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ras\Desktop\Wine\"/>
    </mc:Choice>
  </mc:AlternateContent>
  <xr:revisionPtr revIDLastSave="0" documentId="13_ncr:1_{17DEB3D7-6052-4569-B8C8-BF4D16EBD66B}" xr6:coauthVersionLast="45" xr6:coauthVersionMax="45" xr10:uidLastSave="{00000000-0000-0000-0000-000000000000}"/>
  <bookViews>
    <workbookView xWindow="-120" yWindow="-120" windowWidth="29040" windowHeight="17640" tabRatio="767" xr2:uid="{00000000-000D-0000-FFFF-FFFF00000000}"/>
  </bookViews>
  <sheets>
    <sheet name="Wine1" sheetId="1" r:id="rId1"/>
    <sheet name="Drank" sheetId="2" r:id="rId2"/>
    <sheet name="Sheet1" sheetId="23" r:id="rId3"/>
    <sheet name="Move" sheetId="24" r:id="rId4"/>
    <sheet name="Snapshot" sheetId="22" r:id="rId5"/>
    <sheet name="Sheet2" sheetId="20" r:id="rId6"/>
    <sheet name="Identifier" sheetId="9" r:id="rId7"/>
    <sheet name="Agibility" sheetId="13" r:id="rId8"/>
    <sheet name="Expenses" sheetId="4" r:id="rId9"/>
    <sheet name="Purchases" sheetId="10" r:id="rId10"/>
    <sheet name="BS" sheetId="21" r:id="rId11"/>
    <sheet name="UniqueID" sheetId="15" r:id="rId12"/>
    <sheet name="Tier Agibility" sheetId="12" r:id="rId13"/>
    <sheet name="Drink Dates 2" sheetId="11" r:id="rId14"/>
    <sheet name="Shortage" sheetId="14" r:id="rId15"/>
    <sheet name="Location" sheetId="7" r:id="rId16"/>
    <sheet name="Key" sheetId="3" r:id="rId17"/>
    <sheet name="Buy" sheetId="8" r:id="rId18"/>
    <sheet name="Buy2" sheetId="6" r:id="rId19"/>
    <sheet name="Country" sheetId="17" r:id="rId20"/>
    <sheet name="Region" sheetId="18" r:id="rId21"/>
    <sheet name="Sub Region" sheetId="16" r:id="rId22"/>
  </sheets>
  <definedNames>
    <definedName name="_xlnm._FilterDatabase" localSheetId="7" hidden="1">Agibility!$A$1:$L$253</definedName>
    <definedName name="_xlnm._FilterDatabase" localSheetId="17" hidden="1">Buy!$A$1:$J$140</definedName>
    <definedName name="_xlnm._FilterDatabase" localSheetId="1" hidden="1">Drank!$A$1:$AH$508</definedName>
    <definedName name="_xlnm._FilterDatabase" localSheetId="13" hidden="1">'Drink Dates 2'!$A$2:$AI$44</definedName>
    <definedName name="_xlnm._FilterDatabase" localSheetId="6" hidden="1">Identifier!$A$1:$AJ$53</definedName>
    <definedName name="_xlnm._FilterDatabase" localSheetId="16" hidden="1">Key!$A$175:$D$332</definedName>
    <definedName name="_xlnm._FilterDatabase" localSheetId="15" hidden="1">Location!$A$1:$AR$115</definedName>
    <definedName name="_xlnm._FilterDatabase" localSheetId="2" hidden="1">Sheet1!$A$2:$F$53</definedName>
    <definedName name="_xlnm._FilterDatabase" localSheetId="21" hidden="1">'Sub Region'!$A$2:$K$95</definedName>
    <definedName name="_xlnm._FilterDatabase" localSheetId="11" hidden="1">UniqueID!$A$1:$S$336</definedName>
    <definedName name="_xlnm._FilterDatabase" localSheetId="0" hidden="1">Wine1!$A$1:$AD$1320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2" l="1"/>
  <c r="U2" i="2"/>
  <c r="V2" i="2"/>
  <c r="Y2" i="2"/>
  <c r="AA2" i="2" s="1"/>
  <c r="AB2" i="2"/>
  <c r="AC2" i="2"/>
  <c r="AF2" i="2"/>
  <c r="AG2" i="2"/>
  <c r="A2" i="2"/>
  <c r="A3" i="2"/>
  <c r="A4" i="2"/>
  <c r="A5" i="2"/>
  <c r="AP161" i="1" l="1"/>
  <c r="AO161" i="1"/>
  <c r="AL161" i="1"/>
  <c r="AI161" i="1"/>
  <c r="AF161" i="1" s="1"/>
  <c r="AC161" i="1"/>
  <c r="A161" i="1"/>
  <c r="AP160" i="1"/>
  <c r="AO160" i="1"/>
  <c r="AL160" i="1"/>
  <c r="AI160" i="1"/>
  <c r="AE160" i="1" s="1"/>
  <c r="AF160" i="1"/>
  <c r="AC160" i="1"/>
  <c r="A160" i="1"/>
  <c r="AK160" i="1" s="1"/>
  <c r="AP159" i="1"/>
  <c r="AO159" i="1"/>
  <c r="AL159" i="1"/>
  <c r="AI159" i="1"/>
  <c r="AF159" i="1" s="1"/>
  <c r="AC159" i="1"/>
  <c r="A159" i="1"/>
  <c r="AP158" i="1"/>
  <c r="AO158" i="1"/>
  <c r="AL158" i="1"/>
  <c r="AI158" i="1"/>
  <c r="AF158" i="1" s="1"/>
  <c r="AC158" i="1"/>
  <c r="A158" i="1"/>
  <c r="AP157" i="1"/>
  <c r="AO157" i="1"/>
  <c r="AL157" i="1"/>
  <c r="AI157" i="1"/>
  <c r="AF157" i="1" s="1"/>
  <c r="AC157" i="1"/>
  <c r="A157" i="1"/>
  <c r="AK157" i="1" s="1"/>
  <c r="A156" i="1"/>
  <c r="AC156" i="1"/>
  <c r="AI156" i="1"/>
  <c r="AE156" i="1" s="1"/>
  <c r="AL156" i="1"/>
  <c r="AO156" i="1"/>
  <c r="AP156" i="1"/>
  <c r="AP155" i="1"/>
  <c r="AO155" i="1"/>
  <c r="AL155" i="1"/>
  <c r="AI155" i="1"/>
  <c r="AF155" i="1" s="1"/>
  <c r="AC155" i="1"/>
  <c r="A155" i="1"/>
  <c r="AK155" i="1" s="1"/>
  <c r="AP154" i="1"/>
  <c r="AO154" i="1"/>
  <c r="AL154" i="1"/>
  <c r="AI154" i="1"/>
  <c r="AE154" i="1" s="1"/>
  <c r="AC154" i="1"/>
  <c r="A154" i="1"/>
  <c r="AP153" i="1"/>
  <c r="AO153" i="1"/>
  <c r="AL153" i="1"/>
  <c r="AI153" i="1"/>
  <c r="AF153" i="1" s="1"/>
  <c r="AC153" i="1"/>
  <c r="A153" i="1"/>
  <c r="AK153" i="1" s="1"/>
  <c r="AP152" i="1"/>
  <c r="AO152" i="1"/>
  <c r="AL152" i="1"/>
  <c r="AI152" i="1"/>
  <c r="AE152" i="1" s="1"/>
  <c r="AC152" i="1"/>
  <c r="A152" i="1"/>
  <c r="AK152" i="1" s="1"/>
  <c r="AP151" i="1"/>
  <c r="AO151" i="1"/>
  <c r="AL151" i="1"/>
  <c r="AI151" i="1"/>
  <c r="AF151" i="1" s="1"/>
  <c r="AC151" i="1"/>
  <c r="A151" i="1"/>
  <c r="AP150" i="1"/>
  <c r="AO150" i="1"/>
  <c r="AL150" i="1"/>
  <c r="AI150" i="1"/>
  <c r="AF150" i="1" s="1"/>
  <c r="AC150" i="1"/>
  <c r="A150" i="1"/>
  <c r="AP149" i="1"/>
  <c r="AO149" i="1"/>
  <c r="AL149" i="1"/>
  <c r="AI149" i="1"/>
  <c r="AF149" i="1" s="1"/>
  <c r="AC149" i="1"/>
  <c r="A149" i="1"/>
  <c r="AK149" i="1" s="1"/>
  <c r="AP148" i="1"/>
  <c r="AO148" i="1"/>
  <c r="AL148" i="1"/>
  <c r="AI148" i="1"/>
  <c r="AE148" i="1" s="1"/>
  <c r="AC148" i="1"/>
  <c r="A148" i="1"/>
  <c r="AK148" i="1" s="1"/>
  <c r="AP147" i="1"/>
  <c r="AO147" i="1"/>
  <c r="AL147" i="1"/>
  <c r="AI147" i="1"/>
  <c r="AF147" i="1" s="1"/>
  <c r="AC147" i="1"/>
  <c r="A147" i="1"/>
  <c r="AP146" i="1"/>
  <c r="AO146" i="1"/>
  <c r="AL146" i="1"/>
  <c r="AI146" i="1"/>
  <c r="AF146" i="1" s="1"/>
  <c r="AC146" i="1"/>
  <c r="A146" i="1"/>
  <c r="AP145" i="1"/>
  <c r="AO145" i="1"/>
  <c r="AL145" i="1"/>
  <c r="AI145" i="1"/>
  <c r="AF145" i="1" s="1"/>
  <c r="AC145" i="1"/>
  <c r="A145" i="1"/>
  <c r="AK145" i="1" s="1"/>
  <c r="A144" i="1"/>
  <c r="AC144" i="1"/>
  <c r="AI144" i="1"/>
  <c r="AE144" i="1" s="1"/>
  <c r="AL144" i="1"/>
  <c r="AO144" i="1"/>
  <c r="AP144" i="1"/>
  <c r="AP272" i="1"/>
  <c r="AO272" i="1"/>
  <c r="AL272" i="1"/>
  <c r="AI272" i="1"/>
  <c r="AF272" i="1" s="1"/>
  <c r="AC272" i="1"/>
  <c r="A272" i="1"/>
  <c r="AK272" i="1" s="1"/>
  <c r="AP278" i="1"/>
  <c r="AO278" i="1"/>
  <c r="AL278" i="1"/>
  <c r="AI278" i="1"/>
  <c r="AE278" i="1" s="1"/>
  <c r="AC278" i="1"/>
  <c r="A278" i="1"/>
  <c r="AP277" i="1"/>
  <c r="AO277" i="1"/>
  <c r="AL277" i="1"/>
  <c r="AI277" i="1"/>
  <c r="AE277" i="1" s="1"/>
  <c r="AC277" i="1"/>
  <c r="A277" i="1"/>
  <c r="AK277" i="1" s="1"/>
  <c r="AP276" i="1"/>
  <c r="AO276" i="1"/>
  <c r="AL276" i="1"/>
  <c r="AI276" i="1"/>
  <c r="AF276" i="1" s="1"/>
  <c r="AC276" i="1"/>
  <c r="A276" i="1"/>
  <c r="AP275" i="1"/>
  <c r="AO275" i="1"/>
  <c r="AL275" i="1"/>
  <c r="AI275" i="1"/>
  <c r="AE275" i="1" s="1"/>
  <c r="AC275" i="1"/>
  <c r="A275" i="1"/>
  <c r="AK275" i="1" s="1"/>
  <c r="AP274" i="1"/>
  <c r="AO274" i="1"/>
  <c r="AL274" i="1"/>
  <c r="AI274" i="1"/>
  <c r="AF274" i="1" s="1"/>
  <c r="AC274" i="1"/>
  <c r="A274" i="1"/>
  <c r="AK274" i="1" s="1"/>
  <c r="AP273" i="1"/>
  <c r="AO273" i="1"/>
  <c r="AL273" i="1"/>
  <c r="AI273" i="1"/>
  <c r="AF273" i="1" s="1"/>
  <c r="AC273" i="1"/>
  <c r="A273" i="1"/>
  <c r="AP271" i="1"/>
  <c r="AO271" i="1"/>
  <c r="AL271" i="1"/>
  <c r="AI271" i="1"/>
  <c r="AF271" i="1" s="1"/>
  <c r="AC271" i="1"/>
  <c r="A271" i="1"/>
  <c r="AP270" i="1"/>
  <c r="AO270" i="1"/>
  <c r="AL270" i="1"/>
  <c r="AI270" i="1"/>
  <c r="AE270" i="1" s="1"/>
  <c r="AC270" i="1"/>
  <c r="A270" i="1"/>
  <c r="AK270" i="1" s="1"/>
  <c r="AP269" i="1"/>
  <c r="AO269" i="1"/>
  <c r="AL269" i="1"/>
  <c r="AI269" i="1"/>
  <c r="AF269" i="1" s="1"/>
  <c r="AC269" i="1"/>
  <c r="A269" i="1"/>
  <c r="AK269" i="1" s="1"/>
  <c r="AP268" i="1"/>
  <c r="AO268" i="1"/>
  <c r="AL268" i="1"/>
  <c r="AI268" i="1"/>
  <c r="AE268" i="1" s="1"/>
  <c r="AC268" i="1"/>
  <c r="A268" i="1"/>
  <c r="AK268" i="1" s="1"/>
  <c r="AP267" i="1"/>
  <c r="AO267" i="1"/>
  <c r="AL267" i="1"/>
  <c r="AI267" i="1"/>
  <c r="AF267" i="1" s="1"/>
  <c r="AC267" i="1"/>
  <c r="A267" i="1"/>
  <c r="AK267" i="1" s="1"/>
  <c r="AK158" i="1" l="1"/>
  <c r="AK159" i="1"/>
  <c r="AK156" i="1"/>
  <c r="AE158" i="1"/>
  <c r="AE159" i="1"/>
  <c r="AF154" i="1"/>
  <c r="AE161" i="1"/>
  <c r="AK161" i="1"/>
  <c r="AE157" i="1"/>
  <c r="AF152" i="1"/>
  <c r="AF270" i="1"/>
  <c r="AF148" i="1"/>
  <c r="AK150" i="1"/>
  <c r="AK151" i="1"/>
  <c r="AF156" i="1"/>
  <c r="AE147" i="1"/>
  <c r="AE150" i="1"/>
  <c r="AE151" i="1"/>
  <c r="AF275" i="1"/>
  <c r="AK144" i="1"/>
  <c r="AE155" i="1"/>
  <c r="AE145" i="1"/>
  <c r="AE149" i="1"/>
  <c r="AE267" i="1"/>
  <c r="AE153" i="1"/>
  <c r="AK154" i="1"/>
  <c r="AK147" i="1"/>
  <c r="AE146" i="1"/>
  <c r="AK146" i="1"/>
  <c r="AF144" i="1"/>
  <c r="AE273" i="1"/>
  <c r="AE272" i="1"/>
  <c r="AF268" i="1"/>
  <c r="AF277" i="1"/>
  <c r="AF278" i="1"/>
  <c r="AE271" i="1"/>
  <c r="AK273" i="1"/>
  <c r="AK278" i="1"/>
  <c r="AE276" i="1"/>
  <c r="AK276" i="1"/>
  <c r="AE274" i="1"/>
  <c r="AK271" i="1"/>
  <c r="AE269" i="1"/>
  <c r="AP252" i="1" l="1"/>
  <c r="AO252" i="1"/>
  <c r="AL252" i="1"/>
  <c r="AI252" i="1"/>
  <c r="AE252" i="1" s="1"/>
  <c r="AC252" i="1"/>
  <c r="A252" i="1"/>
  <c r="AK252" i="1" s="1"/>
  <c r="AP251" i="1"/>
  <c r="AO251" i="1"/>
  <c r="AL251" i="1"/>
  <c r="AI251" i="1"/>
  <c r="AF251" i="1" s="1"/>
  <c r="AC251" i="1"/>
  <c r="A251" i="1"/>
  <c r="AP250" i="1"/>
  <c r="AO250" i="1"/>
  <c r="AL250" i="1"/>
  <c r="AI250" i="1"/>
  <c r="AF250" i="1" s="1"/>
  <c r="AC250" i="1"/>
  <c r="A250" i="1"/>
  <c r="A249" i="1"/>
  <c r="AC249" i="1"/>
  <c r="AI249" i="1"/>
  <c r="AE249" i="1" s="1"/>
  <c r="AL249" i="1"/>
  <c r="AO249" i="1"/>
  <c r="AP249" i="1"/>
  <c r="AP241" i="1"/>
  <c r="AO241" i="1"/>
  <c r="AL241" i="1"/>
  <c r="AI241" i="1"/>
  <c r="AE241" i="1" s="1"/>
  <c r="AC241" i="1"/>
  <c r="A241" i="1"/>
  <c r="AK241" i="1" s="1"/>
  <c r="A240" i="1"/>
  <c r="A242" i="1"/>
  <c r="A243" i="1"/>
  <c r="A244" i="1"/>
  <c r="A245" i="1"/>
  <c r="AC240" i="1"/>
  <c r="AC242" i="1"/>
  <c r="AC243" i="1"/>
  <c r="AC244" i="1"/>
  <c r="AC245" i="1"/>
  <c r="AI240" i="1"/>
  <c r="AF240" i="1" s="1"/>
  <c r="AI242" i="1"/>
  <c r="AF242" i="1" s="1"/>
  <c r="AI243" i="1"/>
  <c r="AF243" i="1" s="1"/>
  <c r="AI244" i="1"/>
  <c r="AE244" i="1" s="1"/>
  <c r="AI245" i="1"/>
  <c r="AE245" i="1" s="1"/>
  <c r="AL240" i="1"/>
  <c r="AL242" i="1"/>
  <c r="AL243" i="1"/>
  <c r="AL244" i="1"/>
  <c r="AL245" i="1"/>
  <c r="AO240" i="1"/>
  <c r="AO242" i="1"/>
  <c r="AO243" i="1"/>
  <c r="AO244" i="1"/>
  <c r="AO245" i="1"/>
  <c r="AP240" i="1"/>
  <c r="AP242" i="1"/>
  <c r="AP243" i="1"/>
  <c r="AP244" i="1"/>
  <c r="AP245" i="1"/>
  <c r="AP348" i="1"/>
  <c r="AO348" i="1"/>
  <c r="AL348" i="1"/>
  <c r="AI348" i="1"/>
  <c r="AF348" i="1" s="1"/>
  <c r="AC348" i="1"/>
  <c r="A348" i="1"/>
  <c r="AP347" i="1"/>
  <c r="AO347" i="1"/>
  <c r="AL347" i="1"/>
  <c r="AI347" i="1"/>
  <c r="AF347" i="1" s="1"/>
  <c r="AC347" i="1"/>
  <c r="A347" i="1"/>
  <c r="AK347" i="1" s="1"/>
  <c r="AP346" i="1"/>
  <c r="AO346" i="1"/>
  <c r="AL346" i="1"/>
  <c r="AI346" i="1"/>
  <c r="AF346" i="1" s="1"/>
  <c r="AC346" i="1"/>
  <c r="A346" i="1"/>
  <c r="AP345" i="1"/>
  <c r="AO345" i="1"/>
  <c r="AL345" i="1"/>
  <c r="AI345" i="1"/>
  <c r="AF345" i="1" s="1"/>
  <c r="AC345" i="1"/>
  <c r="A345" i="1"/>
  <c r="AK345" i="1" s="1"/>
  <c r="AP344" i="1"/>
  <c r="AO344" i="1"/>
  <c r="AL344" i="1"/>
  <c r="AI344" i="1"/>
  <c r="AF344" i="1" s="1"/>
  <c r="AC344" i="1"/>
  <c r="A344" i="1"/>
  <c r="AK344" i="1" s="1"/>
  <c r="AP343" i="1"/>
  <c r="AO343" i="1"/>
  <c r="AL343" i="1"/>
  <c r="AI343" i="1"/>
  <c r="AF343" i="1" s="1"/>
  <c r="AC343" i="1"/>
  <c r="A343" i="1"/>
  <c r="AK343" i="1" s="1"/>
  <c r="AP342" i="1"/>
  <c r="AO342" i="1"/>
  <c r="AL342" i="1"/>
  <c r="AI342" i="1"/>
  <c r="AE342" i="1" s="1"/>
  <c r="AC342" i="1"/>
  <c r="A342" i="1"/>
  <c r="AP341" i="1"/>
  <c r="AO341" i="1"/>
  <c r="AL341" i="1"/>
  <c r="AI341" i="1"/>
  <c r="AF341" i="1" s="1"/>
  <c r="AC341" i="1"/>
  <c r="A341" i="1"/>
  <c r="AP340" i="1"/>
  <c r="AO340" i="1"/>
  <c r="AL340" i="1"/>
  <c r="AI340" i="1"/>
  <c r="AF340" i="1" s="1"/>
  <c r="AC340" i="1"/>
  <c r="A340" i="1"/>
  <c r="AP339" i="1"/>
  <c r="AO339" i="1"/>
  <c r="AL339" i="1"/>
  <c r="AI339" i="1"/>
  <c r="AE339" i="1" s="1"/>
  <c r="AC339" i="1"/>
  <c r="A339" i="1"/>
  <c r="AK339" i="1" s="1"/>
  <c r="AP338" i="1"/>
  <c r="AO338" i="1"/>
  <c r="AL338" i="1"/>
  <c r="AI338" i="1"/>
  <c r="AF338" i="1" s="1"/>
  <c r="AC338" i="1"/>
  <c r="A338" i="1"/>
  <c r="A337" i="1"/>
  <c r="AC337" i="1"/>
  <c r="AI337" i="1"/>
  <c r="AF337" i="1" s="1"/>
  <c r="AL337" i="1"/>
  <c r="AO337" i="1"/>
  <c r="AP337" i="1"/>
  <c r="AK240" i="1" l="1"/>
  <c r="AK243" i="1"/>
  <c r="AF241" i="1"/>
  <c r="AE338" i="1"/>
  <c r="AF252" i="1"/>
  <c r="AE251" i="1"/>
  <c r="AK249" i="1"/>
  <c r="AK245" i="1"/>
  <c r="AK251" i="1"/>
  <c r="AK342" i="1"/>
  <c r="AK242" i="1"/>
  <c r="AE250" i="1"/>
  <c r="AF342" i="1"/>
  <c r="AK250" i="1"/>
  <c r="AF249" i="1"/>
  <c r="AK244" i="1"/>
  <c r="AE243" i="1"/>
  <c r="AF245" i="1"/>
  <c r="AF244" i="1"/>
  <c r="AE242" i="1"/>
  <c r="AE240" i="1"/>
  <c r="AE340" i="1"/>
  <c r="AE341" i="1"/>
  <c r="AE343" i="1"/>
  <c r="AE344" i="1"/>
  <c r="AK340" i="1"/>
  <c r="AF339" i="1"/>
  <c r="AK341" i="1"/>
  <c r="AE348" i="1"/>
  <c r="AK337" i="1"/>
  <c r="AE345" i="1"/>
  <c r="AK348" i="1"/>
  <c r="AE347" i="1"/>
  <c r="AE346" i="1"/>
  <c r="AK346" i="1"/>
  <c r="AK338" i="1"/>
  <c r="AE337" i="1"/>
  <c r="U3" i="2"/>
  <c r="V3" i="2"/>
  <c r="U4" i="2"/>
  <c r="V4" i="2"/>
  <c r="Y3" i="2"/>
  <c r="AA3" i="2" s="1"/>
  <c r="AB3" i="2"/>
  <c r="AC3" i="2"/>
  <c r="Y4" i="2"/>
  <c r="AA4" i="2" s="1"/>
  <c r="AB4" i="2"/>
  <c r="AC4" i="2"/>
  <c r="AF3" i="2"/>
  <c r="AG3" i="2"/>
  <c r="AF4" i="2"/>
  <c r="AG4" i="2"/>
  <c r="U5" i="2"/>
  <c r="V5" i="2"/>
  <c r="Y5" i="2"/>
  <c r="AA5" i="2" s="1"/>
  <c r="AB5" i="2"/>
  <c r="AC5" i="2"/>
  <c r="AF5" i="2"/>
  <c r="AG5" i="2"/>
  <c r="A6" i="2"/>
  <c r="A7" i="2"/>
  <c r="H19" i="4"/>
  <c r="U6" i="2"/>
  <c r="V6" i="2"/>
  <c r="U7" i="2"/>
  <c r="V7" i="2"/>
  <c r="U8" i="2"/>
  <c r="V8" i="2"/>
  <c r="U9" i="2"/>
  <c r="V9" i="2"/>
  <c r="Y6" i="2"/>
  <c r="AA6" i="2" s="1"/>
  <c r="AB6" i="2"/>
  <c r="AC6" i="2"/>
  <c r="Y7" i="2"/>
  <c r="AA7" i="2" s="1"/>
  <c r="AB7" i="2"/>
  <c r="AC7" i="2"/>
  <c r="Y8" i="2"/>
  <c r="AA8" i="2" s="1"/>
  <c r="AB8" i="2"/>
  <c r="AC8" i="2"/>
  <c r="Y9" i="2"/>
  <c r="AA9" i="2" s="1"/>
  <c r="AB9" i="2"/>
  <c r="AC9" i="2"/>
  <c r="AF6" i="2"/>
  <c r="AG6" i="2"/>
  <c r="AF7" i="2"/>
  <c r="AG7" i="2"/>
  <c r="AF8" i="2"/>
  <c r="AG8" i="2"/>
  <c r="AF9" i="2"/>
  <c r="AG9" i="2"/>
  <c r="A8" i="2"/>
  <c r="A9" i="2"/>
  <c r="A10" i="2"/>
  <c r="A11" i="2"/>
  <c r="A12" i="2"/>
  <c r="AP956" i="1"/>
  <c r="AO956" i="1"/>
  <c r="AL956" i="1"/>
  <c r="AI956" i="1"/>
  <c r="AF956" i="1" s="1"/>
  <c r="AC956" i="1"/>
  <c r="A956" i="1"/>
  <c r="AK956" i="1" s="1"/>
  <c r="AP955" i="1"/>
  <c r="AO955" i="1"/>
  <c r="AL955" i="1"/>
  <c r="AI955" i="1"/>
  <c r="AF955" i="1" s="1"/>
  <c r="AC955" i="1"/>
  <c r="A955" i="1"/>
  <c r="AK955" i="1" s="1"/>
  <c r="AP954" i="1"/>
  <c r="AO954" i="1"/>
  <c r="AL954" i="1"/>
  <c r="AI954" i="1"/>
  <c r="AF954" i="1" s="1"/>
  <c r="AC954" i="1"/>
  <c r="A954" i="1"/>
  <c r="A953" i="1"/>
  <c r="AC953" i="1"/>
  <c r="AI953" i="1"/>
  <c r="AF953" i="1" s="1"/>
  <c r="AL953" i="1"/>
  <c r="AO953" i="1"/>
  <c r="AP953" i="1"/>
  <c r="G30" i="22"/>
  <c r="G31" i="22"/>
  <c r="G29" i="22"/>
  <c r="G25" i="22"/>
  <c r="G26" i="22"/>
  <c r="G24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87" i="22"/>
  <c r="G46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47" i="22"/>
  <c r="G35" i="22"/>
  <c r="G36" i="22"/>
  <c r="G37" i="22"/>
  <c r="G38" i="22"/>
  <c r="G39" i="22"/>
  <c r="G40" i="22"/>
  <c r="G41" i="22"/>
  <c r="G42" i="22"/>
  <c r="G43" i="22"/>
  <c r="G34" i="22"/>
  <c r="AP701" i="1"/>
  <c r="AO701" i="1"/>
  <c r="AL701" i="1"/>
  <c r="AI701" i="1"/>
  <c r="AF701" i="1" s="1"/>
  <c r="AC701" i="1"/>
  <c r="A701" i="1"/>
  <c r="AP700" i="1"/>
  <c r="AO700" i="1"/>
  <c r="AL700" i="1"/>
  <c r="AI700" i="1"/>
  <c r="AF700" i="1" s="1"/>
  <c r="AC700" i="1"/>
  <c r="A700" i="1"/>
  <c r="AK700" i="1" s="1"/>
  <c r="A699" i="1"/>
  <c r="AC699" i="1"/>
  <c r="AI699" i="1"/>
  <c r="AE699" i="1" s="1"/>
  <c r="AL699" i="1"/>
  <c r="AO699" i="1"/>
  <c r="AP699" i="1"/>
  <c r="AP904" i="1"/>
  <c r="AO904" i="1"/>
  <c r="AL904" i="1"/>
  <c r="AI904" i="1"/>
  <c r="AF904" i="1" s="1"/>
  <c r="AC904" i="1"/>
  <c r="A904" i="1"/>
  <c r="AK904" i="1" s="1"/>
  <c r="AP903" i="1"/>
  <c r="AO903" i="1"/>
  <c r="AL903" i="1"/>
  <c r="AI903" i="1"/>
  <c r="AF903" i="1" s="1"/>
  <c r="AC903" i="1"/>
  <c r="A903" i="1"/>
  <c r="AK903" i="1" s="1"/>
  <c r="AP902" i="1"/>
  <c r="AO902" i="1"/>
  <c r="AL902" i="1"/>
  <c r="AI902" i="1"/>
  <c r="AF902" i="1" s="1"/>
  <c r="AC902" i="1"/>
  <c r="A902" i="1"/>
  <c r="AK902" i="1" s="1"/>
  <c r="AP898" i="1"/>
  <c r="AO898" i="1"/>
  <c r="AL898" i="1"/>
  <c r="AI898" i="1"/>
  <c r="AE898" i="1" s="1"/>
  <c r="AC898" i="1"/>
  <c r="A898" i="1"/>
  <c r="AK898" i="1" s="1"/>
  <c r="AP897" i="1"/>
  <c r="AO897" i="1"/>
  <c r="AL897" i="1"/>
  <c r="AI897" i="1"/>
  <c r="AF897" i="1" s="1"/>
  <c r="AC897" i="1"/>
  <c r="A897" i="1"/>
  <c r="AP895" i="1"/>
  <c r="AO895" i="1"/>
  <c r="AL895" i="1"/>
  <c r="AI895" i="1"/>
  <c r="AF895" i="1" s="1"/>
  <c r="AC895" i="1"/>
  <c r="A895" i="1"/>
  <c r="AP894" i="1"/>
  <c r="AO894" i="1"/>
  <c r="AL894" i="1"/>
  <c r="AI894" i="1"/>
  <c r="AF894" i="1" s="1"/>
  <c r="AC894" i="1"/>
  <c r="A894" i="1"/>
  <c r="AK894" i="1" s="1"/>
  <c r="A901" i="1"/>
  <c r="AC901" i="1"/>
  <c r="AI901" i="1"/>
  <c r="AE901" i="1" s="1"/>
  <c r="AL901" i="1"/>
  <c r="AO901" i="1"/>
  <c r="AP901" i="1"/>
  <c r="A896" i="1"/>
  <c r="AC896" i="1"/>
  <c r="AI896" i="1"/>
  <c r="AE896" i="1" s="1"/>
  <c r="AL896" i="1"/>
  <c r="AO896" i="1"/>
  <c r="AP896" i="1"/>
  <c r="A893" i="1"/>
  <c r="A899" i="1"/>
  <c r="A900" i="1"/>
  <c r="AC893" i="1"/>
  <c r="AC899" i="1"/>
  <c r="AC900" i="1"/>
  <c r="AI893" i="1"/>
  <c r="AE893" i="1" s="1"/>
  <c r="AI899" i="1"/>
  <c r="AF899" i="1" s="1"/>
  <c r="AI900" i="1"/>
  <c r="AF900" i="1" s="1"/>
  <c r="AL893" i="1"/>
  <c r="AL899" i="1"/>
  <c r="AL900" i="1"/>
  <c r="AO893" i="1"/>
  <c r="AO899" i="1"/>
  <c r="AO900" i="1"/>
  <c r="AP893" i="1"/>
  <c r="AP899" i="1"/>
  <c r="AP900" i="1"/>
  <c r="U10" i="2"/>
  <c r="V10" i="2"/>
  <c r="Y10" i="2"/>
  <c r="AA10" i="2" s="1"/>
  <c r="AB10" i="2"/>
  <c r="AC10" i="2"/>
  <c r="AF10" i="2"/>
  <c r="AG10" i="2"/>
  <c r="A13" i="2"/>
  <c r="A14" i="2"/>
  <c r="A15" i="2"/>
  <c r="AP892" i="1"/>
  <c r="AO892" i="1"/>
  <c r="AL892" i="1"/>
  <c r="AI892" i="1"/>
  <c r="AF892" i="1" s="1"/>
  <c r="AC892" i="1"/>
  <c r="A892" i="1"/>
  <c r="AK892" i="1" s="1"/>
  <c r="AP890" i="1"/>
  <c r="AO890" i="1"/>
  <c r="AL890" i="1"/>
  <c r="AI890" i="1"/>
  <c r="AF890" i="1" s="1"/>
  <c r="AC890" i="1"/>
  <c r="A890" i="1"/>
  <c r="AK890" i="1" s="1"/>
  <c r="AP888" i="1"/>
  <c r="AO888" i="1"/>
  <c r="AL888" i="1"/>
  <c r="AI888" i="1"/>
  <c r="AF888" i="1" s="1"/>
  <c r="AC888" i="1"/>
  <c r="A888" i="1"/>
  <c r="AK888" i="1" s="1"/>
  <c r="AP887" i="1"/>
  <c r="AO887" i="1"/>
  <c r="AL887" i="1"/>
  <c r="AI887" i="1"/>
  <c r="AF887" i="1" s="1"/>
  <c r="AC887" i="1"/>
  <c r="A887" i="1"/>
  <c r="AK887" i="1" s="1"/>
  <c r="AC891" i="1"/>
  <c r="AI889" i="1"/>
  <c r="AE889" i="1" s="1"/>
  <c r="A889" i="1"/>
  <c r="A891" i="1"/>
  <c r="AC889" i="1"/>
  <c r="AI891" i="1"/>
  <c r="AE891" i="1" s="1"/>
  <c r="AL889" i="1"/>
  <c r="AL891" i="1"/>
  <c r="AO889" i="1"/>
  <c r="AO891" i="1"/>
  <c r="AP889" i="1"/>
  <c r="AP891" i="1"/>
  <c r="AC886" i="1"/>
  <c r="A886" i="1"/>
  <c r="AI886" i="1"/>
  <c r="AE886" i="1" s="1"/>
  <c r="AL886" i="1"/>
  <c r="AO886" i="1"/>
  <c r="AP886" i="1"/>
  <c r="AP885" i="1"/>
  <c r="AO885" i="1"/>
  <c r="AL885" i="1"/>
  <c r="AI885" i="1"/>
  <c r="AF885" i="1" s="1"/>
  <c r="AC885" i="1"/>
  <c r="A885" i="1"/>
  <c r="AK885" i="1" s="1"/>
  <c r="AP884" i="1"/>
  <c r="AO884" i="1"/>
  <c r="AL884" i="1"/>
  <c r="AI884" i="1"/>
  <c r="AE884" i="1" s="1"/>
  <c r="AC884" i="1"/>
  <c r="A884" i="1"/>
  <c r="AK884" i="1" s="1"/>
  <c r="AP883" i="1"/>
  <c r="AO883" i="1"/>
  <c r="AL883" i="1"/>
  <c r="AI883" i="1"/>
  <c r="AF883" i="1" s="1"/>
  <c r="AC883" i="1"/>
  <c r="A883" i="1"/>
  <c r="A882" i="1"/>
  <c r="AC882" i="1"/>
  <c r="AI882" i="1"/>
  <c r="AE882" i="1" s="1"/>
  <c r="AL882" i="1"/>
  <c r="AO882" i="1"/>
  <c r="AP882" i="1"/>
  <c r="AP465" i="1"/>
  <c r="AO465" i="1"/>
  <c r="AL465" i="1"/>
  <c r="AI465" i="1"/>
  <c r="AF465" i="1" s="1"/>
  <c r="AC465" i="1"/>
  <c r="A465" i="1"/>
  <c r="AK465" i="1" s="1"/>
  <c r="AP463" i="1"/>
  <c r="AO463" i="1"/>
  <c r="AL463" i="1"/>
  <c r="AI463" i="1"/>
  <c r="AE463" i="1" s="1"/>
  <c r="AC463" i="1"/>
  <c r="A463" i="1"/>
  <c r="AK463" i="1" s="1"/>
  <c r="AP461" i="1"/>
  <c r="AO461" i="1"/>
  <c r="AL461" i="1"/>
  <c r="AI461" i="1"/>
  <c r="AF461" i="1" s="1"/>
  <c r="AC461" i="1"/>
  <c r="A461" i="1"/>
  <c r="AK461" i="1" s="1"/>
  <c r="A460" i="1"/>
  <c r="A462" i="1"/>
  <c r="AC460" i="1"/>
  <c r="AC462" i="1"/>
  <c r="AI460" i="1"/>
  <c r="AE460" i="1" s="1"/>
  <c r="AI462" i="1"/>
  <c r="AE462" i="1" s="1"/>
  <c r="AL460" i="1"/>
  <c r="AL462" i="1"/>
  <c r="AO460" i="1"/>
  <c r="AO462" i="1"/>
  <c r="AP460" i="1"/>
  <c r="AP462" i="1"/>
  <c r="A464" i="1"/>
  <c r="A466" i="1"/>
  <c r="A467" i="1"/>
  <c r="AC464" i="1"/>
  <c r="AC466" i="1"/>
  <c r="AC467" i="1"/>
  <c r="AI464" i="1"/>
  <c r="AE464" i="1" s="1"/>
  <c r="AI466" i="1"/>
  <c r="AE466" i="1" s="1"/>
  <c r="AI467" i="1"/>
  <c r="AE467" i="1" s="1"/>
  <c r="AL464" i="1"/>
  <c r="AL466" i="1"/>
  <c r="AL467" i="1"/>
  <c r="AO464" i="1"/>
  <c r="AO466" i="1"/>
  <c r="AO467" i="1"/>
  <c r="AP464" i="1"/>
  <c r="AP466" i="1"/>
  <c r="AP467" i="1"/>
  <c r="AP459" i="1"/>
  <c r="AO459" i="1"/>
  <c r="AL459" i="1"/>
  <c r="AI459" i="1"/>
  <c r="AF459" i="1" s="1"/>
  <c r="AC459" i="1"/>
  <c r="A459" i="1"/>
  <c r="AP458" i="1"/>
  <c r="AO458" i="1"/>
  <c r="AL458" i="1"/>
  <c r="AI458" i="1"/>
  <c r="AF458" i="1" s="1"/>
  <c r="AC458" i="1"/>
  <c r="A458" i="1"/>
  <c r="AP457" i="1"/>
  <c r="AO457" i="1"/>
  <c r="AL457" i="1"/>
  <c r="AI457" i="1"/>
  <c r="AE457" i="1" s="1"/>
  <c r="AC457" i="1"/>
  <c r="A457" i="1"/>
  <c r="AK457" i="1" s="1"/>
  <c r="A456" i="1"/>
  <c r="AC456" i="1"/>
  <c r="AI456" i="1"/>
  <c r="AE456" i="1" s="1"/>
  <c r="AL456" i="1"/>
  <c r="AO456" i="1"/>
  <c r="AP456" i="1"/>
  <c r="U11" i="2"/>
  <c r="V11" i="2"/>
  <c r="U12" i="2"/>
  <c r="V12" i="2"/>
  <c r="U13" i="2"/>
  <c r="V13" i="2"/>
  <c r="Y11" i="2"/>
  <c r="AA11" i="2" s="1"/>
  <c r="AB11" i="2"/>
  <c r="AC11" i="2"/>
  <c r="Y12" i="2"/>
  <c r="AA12" i="2" s="1"/>
  <c r="AB12" i="2"/>
  <c r="AC12" i="2"/>
  <c r="Y13" i="2"/>
  <c r="AA13" i="2" s="1"/>
  <c r="AB13" i="2"/>
  <c r="AC13" i="2"/>
  <c r="AF11" i="2"/>
  <c r="AG11" i="2"/>
  <c r="AF12" i="2"/>
  <c r="AG12" i="2"/>
  <c r="AF13" i="2"/>
  <c r="AG13" i="2"/>
  <c r="AP451" i="1"/>
  <c r="AO451" i="1"/>
  <c r="AL451" i="1"/>
  <c r="AI451" i="1"/>
  <c r="AF451" i="1" s="1"/>
  <c r="AC451" i="1"/>
  <c r="A451" i="1"/>
  <c r="AK451" i="1" s="1"/>
  <c r="AP450" i="1"/>
  <c r="AO450" i="1"/>
  <c r="AL450" i="1"/>
  <c r="AI450" i="1"/>
  <c r="AF450" i="1" s="1"/>
  <c r="AC450" i="1"/>
  <c r="A450" i="1"/>
  <c r="AK450" i="1" s="1"/>
  <c r="AP449" i="1"/>
  <c r="AO449" i="1"/>
  <c r="AL449" i="1"/>
  <c r="AI449" i="1"/>
  <c r="AF449" i="1" s="1"/>
  <c r="AC449" i="1"/>
  <c r="A449" i="1"/>
  <c r="AK449" i="1" s="1"/>
  <c r="A448" i="1"/>
  <c r="AK448" i="1" s="1"/>
  <c r="AC448" i="1"/>
  <c r="AI448" i="1"/>
  <c r="AE448" i="1" s="1"/>
  <c r="AL448" i="1"/>
  <c r="AO448" i="1"/>
  <c r="AP448" i="1"/>
  <c r="Y14" i="2"/>
  <c r="AA14" i="2" s="1"/>
  <c r="AB14" i="2"/>
  <c r="AC14" i="2"/>
  <c r="U14" i="2"/>
  <c r="V14" i="2"/>
  <c r="AF14" i="2"/>
  <c r="AG14" i="2"/>
  <c r="A121" i="2"/>
  <c r="A122" i="2"/>
  <c r="A123" i="2"/>
  <c r="A124" i="2"/>
  <c r="U15" i="2"/>
  <c r="V15" i="2"/>
  <c r="Y15" i="2"/>
  <c r="AA15" i="2" s="1"/>
  <c r="AB15" i="2"/>
  <c r="AC15" i="2"/>
  <c r="AF15" i="2"/>
  <c r="AG15" i="2"/>
  <c r="A16" i="2"/>
  <c r="A17" i="2"/>
  <c r="A18" i="2"/>
  <c r="U16" i="2"/>
  <c r="V16" i="2"/>
  <c r="Y16" i="2"/>
  <c r="AA16" i="2" s="1"/>
  <c r="AB16" i="2"/>
  <c r="AC16" i="2"/>
  <c r="AF16" i="2"/>
  <c r="AG16" i="2"/>
  <c r="AF17" i="2"/>
  <c r="AG17" i="2"/>
  <c r="A19" i="2"/>
  <c r="AP455" i="1"/>
  <c r="AO455" i="1"/>
  <c r="AL455" i="1"/>
  <c r="AI455" i="1"/>
  <c r="AF455" i="1" s="1"/>
  <c r="AC455" i="1"/>
  <c r="A455" i="1"/>
  <c r="AP454" i="1"/>
  <c r="AO454" i="1"/>
  <c r="AL454" i="1"/>
  <c r="AI454" i="1"/>
  <c r="AF454" i="1" s="1"/>
  <c r="AC454" i="1"/>
  <c r="A454" i="1"/>
  <c r="AK454" i="1" s="1"/>
  <c r="AP453" i="1"/>
  <c r="AO453" i="1"/>
  <c r="AL453" i="1"/>
  <c r="AI453" i="1"/>
  <c r="AF453" i="1" s="1"/>
  <c r="AC453" i="1"/>
  <c r="A453" i="1"/>
  <c r="AK453" i="1" s="1"/>
  <c r="A452" i="1"/>
  <c r="AC452" i="1"/>
  <c r="AI452" i="1"/>
  <c r="AF452" i="1" s="1"/>
  <c r="AL452" i="1"/>
  <c r="AO452" i="1"/>
  <c r="AP452" i="1"/>
  <c r="AP447" i="1"/>
  <c r="AO447" i="1"/>
  <c r="AL447" i="1"/>
  <c r="AI447" i="1"/>
  <c r="AF447" i="1" s="1"/>
  <c r="AC447" i="1"/>
  <c r="A447" i="1"/>
  <c r="AK447" i="1" s="1"/>
  <c r="AP446" i="1"/>
  <c r="AO446" i="1"/>
  <c r="AL446" i="1"/>
  <c r="AI446" i="1"/>
  <c r="AF446" i="1" s="1"/>
  <c r="AC446" i="1"/>
  <c r="A446" i="1"/>
  <c r="AP445" i="1"/>
  <c r="AO445" i="1"/>
  <c r="AL445" i="1"/>
  <c r="AI445" i="1"/>
  <c r="AF445" i="1" s="1"/>
  <c r="AC445" i="1"/>
  <c r="A445" i="1"/>
  <c r="AK445" i="1" s="1"/>
  <c r="AP444" i="1"/>
  <c r="AO444" i="1"/>
  <c r="AL444" i="1"/>
  <c r="AI444" i="1"/>
  <c r="AF444" i="1" s="1"/>
  <c r="AC444" i="1"/>
  <c r="A444" i="1"/>
  <c r="AK444" i="1" s="1"/>
  <c r="AP443" i="1"/>
  <c r="AO443" i="1"/>
  <c r="AL443" i="1"/>
  <c r="AI443" i="1"/>
  <c r="AF443" i="1" s="1"/>
  <c r="AC443" i="1"/>
  <c r="A443" i="1"/>
  <c r="AK443" i="1" s="1"/>
  <c r="U17" i="2"/>
  <c r="V17" i="2"/>
  <c r="Y17" i="2"/>
  <c r="AA17" i="2" s="1"/>
  <c r="AB17" i="2"/>
  <c r="AC17" i="2"/>
  <c r="U18" i="2"/>
  <c r="V18" i="2"/>
  <c r="Y18" i="2"/>
  <c r="AA18" i="2" s="1"/>
  <c r="AB18" i="2"/>
  <c r="AC18" i="2"/>
  <c r="AF18" i="2"/>
  <c r="AG18" i="2"/>
  <c r="A20" i="2"/>
  <c r="S240" i="1" l="1"/>
  <c r="R240" i="1"/>
  <c r="W241" i="1"/>
  <c r="S241" i="1"/>
  <c r="W240" i="1"/>
  <c r="R241" i="1"/>
  <c r="AE955" i="1"/>
  <c r="AK954" i="1"/>
  <c r="AE956" i="1"/>
  <c r="AE903" i="1"/>
  <c r="AE954" i="1"/>
  <c r="AE953" i="1"/>
  <c r="AK953" i="1"/>
  <c r="AK699" i="1"/>
  <c r="AE700" i="1"/>
  <c r="AE701" i="1"/>
  <c r="AF699" i="1"/>
  <c r="AK701" i="1"/>
  <c r="AK899" i="1"/>
  <c r="AF898" i="1"/>
  <c r="AE897" i="1"/>
  <c r="AK466" i="1"/>
  <c r="AK896" i="1"/>
  <c r="AK893" i="1"/>
  <c r="AK901" i="1"/>
  <c r="AE894" i="1"/>
  <c r="AE902" i="1"/>
  <c r="AK900" i="1"/>
  <c r="AE904" i="1"/>
  <c r="AK897" i="1"/>
  <c r="AE895" i="1"/>
  <c r="AK895" i="1"/>
  <c r="AF896" i="1"/>
  <c r="AF893" i="1"/>
  <c r="AF901" i="1"/>
  <c r="AE900" i="1"/>
  <c r="AE899" i="1"/>
  <c r="AK889" i="1"/>
  <c r="AE888" i="1"/>
  <c r="AE887" i="1"/>
  <c r="AE892" i="1"/>
  <c r="AK891" i="1"/>
  <c r="AE890" i="1"/>
  <c r="AF891" i="1"/>
  <c r="AF889" i="1"/>
  <c r="AF886" i="1"/>
  <c r="AK464" i="1"/>
  <c r="AK886" i="1"/>
  <c r="AE885" i="1"/>
  <c r="S882" i="1"/>
  <c r="R882" i="1"/>
  <c r="AK882" i="1"/>
  <c r="AF884" i="1"/>
  <c r="AE883" i="1"/>
  <c r="AF463" i="1"/>
  <c r="R885" i="1"/>
  <c r="S885" i="1"/>
  <c r="W885" i="1"/>
  <c r="R884" i="1"/>
  <c r="S884" i="1"/>
  <c r="W884" i="1"/>
  <c r="R883" i="1"/>
  <c r="S883" i="1"/>
  <c r="W883" i="1"/>
  <c r="AK883" i="1"/>
  <c r="W882" i="1"/>
  <c r="AF882" i="1"/>
  <c r="AE465" i="1"/>
  <c r="AE459" i="1"/>
  <c r="AK462" i="1"/>
  <c r="AK467" i="1"/>
  <c r="AE461" i="1"/>
  <c r="AF462" i="1"/>
  <c r="AK456" i="1"/>
  <c r="AF466" i="1"/>
  <c r="AK460" i="1"/>
  <c r="AF460" i="1"/>
  <c r="AF457" i="1"/>
  <c r="AF467" i="1"/>
  <c r="AF464" i="1"/>
  <c r="AK459" i="1"/>
  <c r="AE458" i="1"/>
  <c r="AK458" i="1"/>
  <c r="AF456" i="1"/>
  <c r="AE451" i="1"/>
  <c r="AE449" i="1"/>
  <c r="AE450" i="1"/>
  <c r="AF448" i="1"/>
  <c r="AE454" i="1"/>
  <c r="AE447" i="1"/>
  <c r="AE446" i="1"/>
  <c r="AE453" i="1"/>
  <c r="AE443" i="1"/>
  <c r="AE455" i="1"/>
  <c r="AK455" i="1"/>
  <c r="AE452" i="1"/>
  <c r="AK452" i="1"/>
  <c r="AK446" i="1"/>
  <c r="AE445" i="1"/>
  <c r="AE444" i="1"/>
  <c r="U19" i="2"/>
  <c r="V19" i="2"/>
  <c r="Y19" i="2"/>
  <c r="AA19" i="2" s="1"/>
  <c r="AB19" i="2"/>
  <c r="AC19" i="2"/>
  <c r="AF19" i="2"/>
  <c r="AG19" i="2"/>
  <c r="A21" i="2"/>
  <c r="A22" i="2"/>
  <c r="AP1047" i="1"/>
  <c r="AO1047" i="1"/>
  <c r="AL1047" i="1"/>
  <c r="AI1047" i="1"/>
  <c r="AF1047" i="1" s="1"/>
  <c r="AC1047" i="1"/>
  <c r="A1047" i="1"/>
  <c r="AP934" i="1"/>
  <c r="AO934" i="1"/>
  <c r="AL934" i="1"/>
  <c r="AI934" i="1"/>
  <c r="AE934" i="1" s="1"/>
  <c r="AC934" i="1"/>
  <c r="A934" i="1"/>
  <c r="AK934" i="1" s="1"/>
  <c r="AP841" i="1"/>
  <c r="AO841" i="1"/>
  <c r="AL841" i="1"/>
  <c r="AI841" i="1"/>
  <c r="AF841" i="1" s="1"/>
  <c r="AC841" i="1"/>
  <c r="A841" i="1"/>
  <c r="AP728" i="1"/>
  <c r="AO728" i="1"/>
  <c r="AL728" i="1"/>
  <c r="AI728" i="1"/>
  <c r="AF728" i="1" s="1"/>
  <c r="AC728" i="1"/>
  <c r="A728" i="1"/>
  <c r="AP658" i="1"/>
  <c r="AO658" i="1"/>
  <c r="AL658" i="1"/>
  <c r="AI658" i="1"/>
  <c r="AF658" i="1" s="1"/>
  <c r="AC658" i="1"/>
  <c r="A658" i="1"/>
  <c r="AP501" i="1"/>
  <c r="AO501" i="1"/>
  <c r="AL501" i="1"/>
  <c r="AI501" i="1"/>
  <c r="AF501" i="1" s="1"/>
  <c r="AC501" i="1"/>
  <c r="A501" i="1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65" i="7"/>
  <c r="D65" i="7" s="1"/>
  <c r="B66" i="7"/>
  <c r="D66" i="7" s="1"/>
  <c r="B67" i="7"/>
  <c r="D67" i="7" s="1"/>
  <c r="B68" i="7"/>
  <c r="D68" i="7" s="1"/>
  <c r="B69" i="7"/>
  <c r="D69" i="7" s="1"/>
  <c r="B70" i="7"/>
  <c r="D70" i="7" s="1"/>
  <c r="B71" i="7"/>
  <c r="D71" i="7" s="1"/>
  <c r="B72" i="7"/>
  <c r="D72" i="7" s="1"/>
  <c r="B73" i="7"/>
  <c r="D73" i="7" s="1"/>
  <c r="AP200" i="1"/>
  <c r="AO200" i="1"/>
  <c r="AL200" i="1"/>
  <c r="AI200" i="1"/>
  <c r="AF200" i="1" s="1"/>
  <c r="AC200" i="1"/>
  <c r="A200" i="1"/>
  <c r="AP199" i="1"/>
  <c r="AO199" i="1"/>
  <c r="AL199" i="1"/>
  <c r="AI199" i="1"/>
  <c r="AF199" i="1" s="1"/>
  <c r="AC199" i="1"/>
  <c r="A199" i="1"/>
  <c r="AP131" i="1"/>
  <c r="AO131" i="1"/>
  <c r="AL131" i="1"/>
  <c r="AI131" i="1"/>
  <c r="AF131" i="1" s="1"/>
  <c r="AC131" i="1"/>
  <c r="A131" i="1"/>
  <c r="AP130" i="1"/>
  <c r="AO130" i="1"/>
  <c r="AL130" i="1"/>
  <c r="AI130" i="1"/>
  <c r="AF130" i="1" s="1"/>
  <c r="AC130" i="1"/>
  <c r="A130" i="1"/>
  <c r="AP129" i="1"/>
  <c r="AO129" i="1"/>
  <c r="AL129" i="1"/>
  <c r="AI129" i="1"/>
  <c r="AE129" i="1" s="1"/>
  <c r="AC129" i="1"/>
  <c r="A129" i="1"/>
  <c r="AP13" i="1"/>
  <c r="AO13" i="1"/>
  <c r="AL13" i="1"/>
  <c r="AI13" i="1"/>
  <c r="AF13" i="1" s="1"/>
  <c r="AC13" i="1"/>
  <c r="A13" i="1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80" i="7"/>
  <c r="D80" i="7" s="1"/>
  <c r="B81" i="7"/>
  <c r="D81" i="7" s="1"/>
  <c r="B82" i="7"/>
  <c r="D82" i="7" s="1"/>
  <c r="B83" i="7"/>
  <c r="D83" i="7" s="1"/>
  <c r="B84" i="7"/>
  <c r="D84" i="7" s="1"/>
  <c r="B76" i="7"/>
  <c r="D76" i="7" s="1"/>
  <c r="B77" i="7"/>
  <c r="D77" i="7" s="1"/>
  <c r="B78" i="7"/>
  <c r="D78" i="7" s="1"/>
  <c r="B79" i="7"/>
  <c r="D79" i="7" s="1"/>
  <c r="B62" i="7"/>
  <c r="D62" i="7" s="1"/>
  <c r="B63" i="7"/>
  <c r="D63" i="7" s="1"/>
  <c r="B64" i="7"/>
  <c r="D64" i="7" s="1"/>
  <c r="B74" i="7"/>
  <c r="D74" i="7" s="1"/>
  <c r="B75" i="7"/>
  <c r="D75" i="7" s="1"/>
  <c r="B61" i="7"/>
  <c r="D61" i="7" s="1"/>
  <c r="AP835" i="1"/>
  <c r="AO835" i="1"/>
  <c r="AL835" i="1"/>
  <c r="AI835" i="1"/>
  <c r="AF835" i="1" s="1"/>
  <c r="AC835" i="1"/>
  <c r="A835" i="1"/>
  <c r="AP703" i="1"/>
  <c r="AO703" i="1"/>
  <c r="AL703" i="1"/>
  <c r="AI703" i="1"/>
  <c r="AF703" i="1" s="1"/>
  <c r="AC703" i="1"/>
  <c r="A703" i="1"/>
  <c r="AK703" i="1" s="1"/>
  <c r="AP566" i="1"/>
  <c r="AO566" i="1"/>
  <c r="AL566" i="1"/>
  <c r="AI566" i="1"/>
  <c r="AF566" i="1" s="1"/>
  <c r="AC566" i="1"/>
  <c r="A566" i="1"/>
  <c r="AP381" i="1"/>
  <c r="AO381" i="1"/>
  <c r="AL381" i="1"/>
  <c r="AI381" i="1"/>
  <c r="AF381" i="1" s="1"/>
  <c r="AC381" i="1"/>
  <c r="A381" i="1"/>
  <c r="AP1302" i="1"/>
  <c r="AO1302" i="1"/>
  <c r="AL1302" i="1"/>
  <c r="AI1302" i="1"/>
  <c r="AF1302" i="1" s="1"/>
  <c r="AC1302" i="1"/>
  <c r="A1302" i="1"/>
  <c r="A810" i="1"/>
  <c r="A102" i="1"/>
  <c r="A1107" i="1"/>
  <c r="AC810" i="1"/>
  <c r="AC102" i="1"/>
  <c r="AC1107" i="1"/>
  <c r="AI810" i="1"/>
  <c r="AE810" i="1" s="1"/>
  <c r="AI102" i="1"/>
  <c r="AE102" i="1" s="1"/>
  <c r="AI1107" i="1"/>
  <c r="AE1107" i="1" s="1"/>
  <c r="AL810" i="1"/>
  <c r="AL102" i="1"/>
  <c r="AL1107" i="1"/>
  <c r="AO810" i="1"/>
  <c r="AO102" i="1"/>
  <c r="AO1107" i="1"/>
  <c r="AP810" i="1"/>
  <c r="AP102" i="1"/>
  <c r="AP1107" i="1"/>
  <c r="AP517" i="1"/>
  <c r="AO517" i="1"/>
  <c r="AL517" i="1"/>
  <c r="AI517" i="1"/>
  <c r="AE517" i="1" s="1"/>
  <c r="AC517" i="1"/>
  <c r="A517" i="1"/>
  <c r="AP423" i="1"/>
  <c r="AO423" i="1"/>
  <c r="AL423" i="1"/>
  <c r="AI423" i="1"/>
  <c r="AE423" i="1" s="1"/>
  <c r="AC423" i="1"/>
  <c r="A423" i="1"/>
  <c r="AP422" i="1"/>
  <c r="AO422" i="1"/>
  <c r="AL422" i="1"/>
  <c r="AI422" i="1"/>
  <c r="AF422" i="1" s="1"/>
  <c r="AC422" i="1"/>
  <c r="A422" i="1"/>
  <c r="AK422" i="1" s="1"/>
  <c r="AP316" i="1"/>
  <c r="AO316" i="1"/>
  <c r="AL316" i="1"/>
  <c r="AI316" i="1"/>
  <c r="AF316" i="1" s="1"/>
  <c r="AC316" i="1"/>
  <c r="A316" i="1"/>
  <c r="AP191" i="1"/>
  <c r="AO191" i="1"/>
  <c r="AL191" i="1"/>
  <c r="AI191" i="1"/>
  <c r="AF191" i="1" s="1"/>
  <c r="AC191" i="1"/>
  <c r="A191" i="1"/>
  <c r="AK191" i="1" s="1"/>
  <c r="U20" i="2"/>
  <c r="V20" i="2"/>
  <c r="U21" i="2"/>
  <c r="V21" i="2"/>
  <c r="Y20" i="2"/>
  <c r="AA20" i="2" s="1"/>
  <c r="AB20" i="2"/>
  <c r="AC20" i="2"/>
  <c r="Y21" i="2"/>
  <c r="AA21" i="2" s="1"/>
  <c r="AB21" i="2"/>
  <c r="AC21" i="2"/>
  <c r="AF20" i="2"/>
  <c r="AG20" i="2"/>
  <c r="AF21" i="2"/>
  <c r="AG21" i="2"/>
  <c r="A23" i="2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58" i="7"/>
  <c r="D58" i="7" s="1"/>
  <c r="B59" i="7"/>
  <c r="D59" i="7" s="1"/>
  <c r="B60" i="7"/>
  <c r="D60" i="7" s="1"/>
  <c r="AC3" i="1"/>
  <c r="AC60" i="1"/>
  <c r="AC29" i="1"/>
  <c r="AC30" i="1"/>
  <c r="AC82" i="1"/>
  <c r="AC4" i="1"/>
  <c r="AC83" i="1"/>
  <c r="AC31" i="1"/>
  <c r="AC61" i="1"/>
  <c r="AC5" i="1"/>
  <c r="AC84" i="1"/>
  <c r="AC53" i="1"/>
  <c r="AC85" i="1"/>
  <c r="AC6" i="1"/>
  <c r="AC7" i="1"/>
  <c r="AC8" i="1"/>
  <c r="AC9" i="1"/>
  <c r="AC10" i="1"/>
  <c r="AC11" i="1"/>
  <c r="AC12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4" i="1"/>
  <c r="AC55" i="1"/>
  <c r="AC56" i="1"/>
  <c r="AC57" i="1"/>
  <c r="AC58" i="1"/>
  <c r="AC59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6" i="1"/>
  <c r="AC87" i="1"/>
  <c r="AC88" i="1"/>
  <c r="AC89" i="1"/>
  <c r="AC90" i="1"/>
  <c r="AC91" i="1"/>
  <c r="AC92" i="1"/>
  <c r="AC684" i="1"/>
  <c r="AC93" i="1"/>
  <c r="AC94" i="1"/>
  <c r="AC95" i="1"/>
  <c r="AC96" i="1"/>
  <c r="AC97" i="1"/>
  <c r="AC98" i="1"/>
  <c r="AC99" i="1"/>
  <c r="AC100" i="1"/>
  <c r="AC101" i="1"/>
  <c r="AC68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90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33" i="1"/>
  <c r="AC134" i="1"/>
  <c r="AC135" i="1"/>
  <c r="AC136" i="1"/>
  <c r="AC137" i="1"/>
  <c r="AC138" i="1"/>
  <c r="AC139" i="1"/>
  <c r="AC140" i="1"/>
  <c r="AC141" i="1"/>
  <c r="AC142" i="1"/>
  <c r="AC143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2" i="1"/>
  <c r="AC193" i="1"/>
  <c r="AC194" i="1"/>
  <c r="AC195" i="1"/>
  <c r="AC196" i="1"/>
  <c r="AC197" i="1"/>
  <c r="AC198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6" i="1"/>
  <c r="AC247" i="1"/>
  <c r="AC248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5" i="1"/>
  <c r="AC686" i="1"/>
  <c r="AC687" i="1"/>
  <c r="AC688" i="1"/>
  <c r="AC690" i="1"/>
  <c r="AC691" i="1"/>
  <c r="AC692" i="1"/>
  <c r="AC693" i="1"/>
  <c r="AC694" i="1"/>
  <c r="AC695" i="1"/>
  <c r="AC696" i="1"/>
  <c r="AC697" i="1"/>
  <c r="AC698" i="1"/>
  <c r="AC702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6" i="1"/>
  <c r="AC837" i="1"/>
  <c r="AC838" i="1"/>
  <c r="AC839" i="1"/>
  <c r="AC840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905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293" i="1"/>
  <c r="AC1289" i="1"/>
  <c r="AC132" i="1"/>
  <c r="AC279" i="1"/>
  <c r="AP1289" i="1"/>
  <c r="AO1289" i="1"/>
  <c r="AL1289" i="1"/>
  <c r="AI1289" i="1"/>
  <c r="AF1289" i="1" s="1"/>
  <c r="A1289" i="1"/>
  <c r="A132" i="1"/>
  <c r="AI132" i="1"/>
  <c r="AE132" i="1" s="1"/>
  <c r="AL132" i="1"/>
  <c r="AO132" i="1"/>
  <c r="AP132" i="1"/>
  <c r="U22" i="2"/>
  <c r="V22" i="2"/>
  <c r="U23" i="2"/>
  <c r="V23" i="2"/>
  <c r="U24" i="2"/>
  <c r="V24" i="2"/>
  <c r="Y22" i="2"/>
  <c r="AA22" i="2" s="1"/>
  <c r="AB22" i="2"/>
  <c r="AC22" i="2"/>
  <c r="Y23" i="2"/>
  <c r="AA23" i="2" s="1"/>
  <c r="AB23" i="2"/>
  <c r="AC23" i="2"/>
  <c r="Y24" i="2"/>
  <c r="AA24" i="2" s="1"/>
  <c r="AB24" i="2"/>
  <c r="AC24" i="2"/>
  <c r="AF22" i="2"/>
  <c r="AG22" i="2"/>
  <c r="AF23" i="2"/>
  <c r="AG23" i="2"/>
  <c r="AF24" i="2"/>
  <c r="AG24" i="2"/>
  <c r="A24" i="2"/>
  <c r="A25" i="2"/>
  <c r="A26" i="2"/>
  <c r="A27" i="2"/>
  <c r="A28" i="2"/>
  <c r="A293" i="1"/>
  <c r="AI293" i="1"/>
  <c r="AE293" i="1" s="1"/>
  <c r="AL293" i="1"/>
  <c r="AO293" i="1"/>
  <c r="AP293" i="1"/>
  <c r="U25" i="2"/>
  <c r="V25" i="2"/>
  <c r="U26" i="2"/>
  <c r="V26" i="2"/>
  <c r="Y25" i="2"/>
  <c r="AA25" i="2" s="1"/>
  <c r="AB25" i="2"/>
  <c r="AC25" i="2"/>
  <c r="Y26" i="2"/>
  <c r="AA26" i="2" s="1"/>
  <c r="AB26" i="2"/>
  <c r="AC26" i="2"/>
  <c r="AF25" i="2"/>
  <c r="AG25" i="2"/>
  <c r="AF26" i="2"/>
  <c r="AG26" i="2"/>
  <c r="AP1239" i="1"/>
  <c r="AO1239" i="1"/>
  <c r="AL1239" i="1"/>
  <c r="AI1239" i="1"/>
  <c r="AF1239" i="1" s="1"/>
  <c r="A1239" i="1"/>
  <c r="AK1239" i="1" s="1"/>
  <c r="AP1133" i="1"/>
  <c r="AO1133" i="1"/>
  <c r="AL1133" i="1"/>
  <c r="AI1133" i="1"/>
  <c r="AF1133" i="1" s="1"/>
  <c r="A1133" i="1"/>
  <c r="AP918" i="1"/>
  <c r="AO918" i="1"/>
  <c r="AL918" i="1"/>
  <c r="AI918" i="1"/>
  <c r="AF918" i="1" s="1"/>
  <c r="A918" i="1"/>
  <c r="AK918" i="1" s="1"/>
  <c r="AP1278" i="1"/>
  <c r="AO1278" i="1"/>
  <c r="AL1278" i="1"/>
  <c r="AI1278" i="1"/>
  <c r="AF1278" i="1" s="1"/>
  <c r="A1278" i="1"/>
  <c r="AK1278" i="1" s="1"/>
  <c r="AP1253" i="1"/>
  <c r="AO1253" i="1"/>
  <c r="AL1253" i="1"/>
  <c r="AI1253" i="1"/>
  <c r="AF1253" i="1" s="1"/>
  <c r="A1253" i="1"/>
  <c r="A1232" i="1"/>
  <c r="AI1232" i="1"/>
  <c r="AF1232" i="1" s="1"/>
  <c r="AL1232" i="1"/>
  <c r="AO1232" i="1"/>
  <c r="AP1232" i="1"/>
  <c r="AP1218" i="1"/>
  <c r="AO1218" i="1"/>
  <c r="AL1218" i="1"/>
  <c r="AI1218" i="1"/>
  <c r="AF1218" i="1" s="1"/>
  <c r="A1218" i="1"/>
  <c r="AP1174" i="1"/>
  <c r="AO1174" i="1"/>
  <c r="AL1174" i="1"/>
  <c r="AI1174" i="1"/>
  <c r="AE1174" i="1" s="1"/>
  <c r="A1174" i="1"/>
  <c r="AP1123" i="1"/>
  <c r="AO1123" i="1"/>
  <c r="AL1123" i="1"/>
  <c r="AI1123" i="1"/>
  <c r="AE1123" i="1" s="1"/>
  <c r="A1123" i="1"/>
  <c r="AP1066" i="1"/>
  <c r="AO1066" i="1"/>
  <c r="AL1066" i="1"/>
  <c r="AI1066" i="1"/>
  <c r="AF1066" i="1" s="1"/>
  <c r="A1066" i="1"/>
  <c r="AP970" i="1"/>
  <c r="AO970" i="1"/>
  <c r="AL970" i="1"/>
  <c r="AI970" i="1"/>
  <c r="AF970" i="1" s="1"/>
  <c r="A970" i="1"/>
  <c r="AP1219" i="1"/>
  <c r="AO1219" i="1"/>
  <c r="AL1219" i="1"/>
  <c r="AI1219" i="1"/>
  <c r="AF1219" i="1" s="1"/>
  <c r="A1219" i="1"/>
  <c r="AP1142" i="1"/>
  <c r="AO1142" i="1"/>
  <c r="AL1142" i="1"/>
  <c r="AI1142" i="1"/>
  <c r="AF1142" i="1" s="1"/>
  <c r="A1142" i="1"/>
  <c r="AK1142" i="1" s="1"/>
  <c r="AP1063" i="1"/>
  <c r="AO1063" i="1"/>
  <c r="AL1063" i="1"/>
  <c r="AI1063" i="1"/>
  <c r="AF1063" i="1" s="1"/>
  <c r="A1063" i="1"/>
  <c r="AP881" i="1"/>
  <c r="AO881" i="1"/>
  <c r="AL881" i="1"/>
  <c r="AI881" i="1"/>
  <c r="AF881" i="1" s="1"/>
  <c r="A881" i="1"/>
  <c r="AP752" i="1"/>
  <c r="AO752" i="1"/>
  <c r="AL752" i="1"/>
  <c r="AI752" i="1"/>
  <c r="AF752" i="1" s="1"/>
  <c r="A752" i="1"/>
  <c r="AK752" i="1" s="1"/>
  <c r="AP625" i="1"/>
  <c r="AO625" i="1"/>
  <c r="AL625" i="1"/>
  <c r="AI625" i="1"/>
  <c r="AF625" i="1" s="1"/>
  <c r="A625" i="1"/>
  <c r="AP551" i="1"/>
  <c r="AO551" i="1"/>
  <c r="AL551" i="1"/>
  <c r="AI551" i="1"/>
  <c r="AE551" i="1" s="1"/>
  <c r="A551" i="1"/>
  <c r="AK551" i="1" s="1"/>
  <c r="AP550" i="1"/>
  <c r="AO550" i="1"/>
  <c r="AL550" i="1"/>
  <c r="AI550" i="1"/>
  <c r="AF550" i="1" s="1"/>
  <c r="A550" i="1"/>
  <c r="AK550" i="1" s="1"/>
  <c r="AP481" i="1"/>
  <c r="AO481" i="1"/>
  <c r="AL481" i="1"/>
  <c r="AI481" i="1"/>
  <c r="AE481" i="1" s="1"/>
  <c r="A481" i="1"/>
  <c r="AP480" i="1"/>
  <c r="AO480" i="1"/>
  <c r="AL480" i="1"/>
  <c r="AI480" i="1"/>
  <c r="AF480" i="1" s="1"/>
  <c r="A480" i="1"/>
  <c r="AP373" i="1"/>
  <c r="AO373" i="1"/>
  <c r="AL373" i="1"/>
  <c r="AI373" i="1"/>
  <c r="AF373" i="1" s="1"/>
  <c r="A373" i="1"/>
  <c r="AP372" i="1"/>
  <c r="AO372" i="1"/>
  <c r="AL372" i="1"/>
  <c r="AI372" i="1"/>
  <c r="AF372" i="1" s="1"/>
  <c r="A372" i="1"/>
  <c r="AK372" i="1" s="1"/>
  <c r="AP236" i="1"/>
  <c r="AO236" i="1"/>
  <c r="AL236" i="1"/>
  <c r="AI236" i="1"/>
  <c r="AF236" i="1" s="1"/>
  <c r="A236" i="1"/>
  <c r="AP235" i="1"/>
  <c r="AO235" i="1"/>
  <c r="AL235" i="1"/>
  <c r="AI235" i="1"/>
  <c r="AF235" i="1" s="1"/>
  <c r="A235" i="1"/>
  <c r="AP1298" i="1"/>
  <c r="AO1298" i="1"/>
  <c r="AL1298" i="1"/>
  <c r="AI1298" i="1"/>
  <c r="AE1298" i="1" s="1"/>
  <c r="A1298" i="1"/>
  <c r="AP1226" i="1"/>
  <c r="AO1226" i="1"/>
  <c r="AL1226" i="1"/>
  <c r="AI1226" i="1"/>
  <c r="AF1226" i="1" s="1"/>
  <c r="A1226" i="1"/>
  <c r="AP980" i="1"/>
  <c r="AO980" i="1"/>
  <c r="AL980" i="1"/>
  <c r="AI980" i="1"/>
  <c r="AF980" i="1" s="1"/>
  <c r="A980" i="1"/>
  <c r="AP1310" i="1"/>
  <c r="AO1310" i="1"/>
  <c r="AL1310" i="1"/>
  <c r="AI1310" i="1"/>
  <c r="AF1310" i="1" s="1"/>
  <c r="A1310" i="1"/>
  <c r="AP1282" i="1"/>
  <c r="AO1282" i="1"/>
  <c r="AL1282" i="1"/>
  <c r="AI1282" i="1"/>
  <c r="AF1282" i="1" s="1"/>
  <c r="A1282" i="1"/>
  <c r="A279" i="1"/>
  <c r="A1224" i="1"/>
  <c r="AI279" i="1"/>
  <c r="AE279" i="1" s="1"/>
  <c r="AI1224" i="1"/>
  <c r="AE1224" i="1" s="1"/>
  <c r="AL279" i="1"/>
  <c r="AL1224" i="1"/>
  <c r="AO279" i="1"/>
  <c r="AO1224" i="1"/>
  <c r="AP279" i="1"/>
  <c r="AP1224" i="1"/>
  <c r="A9" i="1"/>
  <c r="A52" i="1"/>
  <c r="A234" i="1"/>
  <c r="AK234" i="1" s="1"/>
  <c r="AI9" i="1"/>
  <c r="AE9" i="1" s="1"/>
  <c r="AI52" i="1"/>
  <c r="AF52" i="1" s="1"/>
  <c r="AI234" i="1"/>
  <c r="AE234" i="1" s="1"/>
  <c r="AL9" i="1"/>
  <c r="AL52" i="1"/>
  <c r="AL234" i="1"/>
  <c r="AO9" i="1"/>
  <c r="AO52" i="1"/>
  <c r="AO234" i="1"/>
  <c r="AP9" i="1"/>
  <c r="AP52" i="1"/>
  <c r="AP234" i="1"/>
  <c r="A1182" i="1"/>
  <c r="A281" i="1"/>
  <c r="A509" i="1"/>
  <c r="AI1182" i="1"/>
  <c r="AE1182" i="1" s="1"/>
  <c r="AI281" i="1"/>
  <c r="AE281" i="1" s="1"/>
  <c r="AI509" i="1"/>
  <c r="AE509" i="1" s="1"/>
  <c r="AL1182" i="1"/>
  <c r="AL281" i="1"/>
  <c r="AL509" i="1"/>
  <c r="AO1182" i="1"/>
  <c r="AO281" i="1"/>
  <c r="AO509" i="1"/>
  <c r="AP1182" i="1"/>
  <c r="AP281" i="1"/>
  <c r="AP509" i="1"/>
  <c r="U27" i="2"/>
  <c r="V27" i="2"/>
  <c r="U28" i="2"/>
  <c r="V28" i="2"/>
  <c r="Y27" i="2"/>
  <c r="AA27" i="2" s="1"/>
  <c r="AB27" i="2"/>
  <c r="AC27" i="2"/>
  <c r="Y28" i="2"/>
  <c r="AA28" i="2" s="1"/>
  <c r="AB28" i="2"/>
  <c r="AC28" i="2"/>
  <c r="AF27" i="2"/>
  <c r="AG27" i="2"/>
  <c r="AF28" i="2"/>
  <c r="AG28" i="2"/>
  <c r="A29" i="2"/>
  <c r="A30" i="2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57" i="7"/>
  <c r="D57" i="7" s="1"/>
  <c r="AP1173" i="1"/>
  <c r="AO1173" i="1"/>
  <c r="AL1173" i="1"/>
  <c r="AI1173" i="1"/>
  <c r="AF1173" i="1" s="1"/>
  <c r="A1173" i="1"/>
  <c r="AP1144" i="1"/>
  <c r="AO1144" i="1"/>
  <c r="AL1144" i="1"/>
  <c r="AI1144" i="1"/>
  <c r="AF1144" i="1" s="1"/>
  <c r="A1144" i="1"/>
  <c r="AP1091" i="1"/>
  <c r="AO1091" i="1"/>
  <c r="AL1091" i="1"/>
  <c r="AI1091" i="1"/>
  <c r="AF1091" i="1" s="1"/>
  <c r="A1091" i="1"/>
  <c r="A907" i="1"/>
  <c r="AI907" i="1"/>
  <c r="AE907" i="1" s="1"/>
  <c r="AL907" i="1"/>
  <c r="AO907" i="1"/>
  <c r="AP907" i="1"/>
  <c r="AP1260" i="1"/>
  <c r="AO1260" i="1"/>
  <c r="AL1260" i="1"/>
  <c r="AI1260" i="1"/>
  <c r="AF1260" i="1" s="1"/>
  <c r="A1260" i="1"/>
  <c r="AP1223" i="1"/>
  <c r="AO1223" i="1"/>
  <c r="AL1223" i="1"/>
  <c r="AI1223" i="1"/>
  <c r="AF1223" i="1" s="1"/>
  <c r="A1223" i="1"/>
  <c r="AK1223" i="1" s="1"/>
  <c r="AP1159" i="1"/>
  <c r="AO1159" i="1"/>
  <c r="AL1159" i="1"/>
  <c r="AI1159" i="1"/>
  <c r="AF1159" i="1" s="1"/>
  <c r="A1159" i="1"/>
  <c r="AP1070" i="1"/>
  <c r="AO1070" i="1"/>
  <c r="AL1070" i="1"/>
  <c r="AI1070" i="1"/>
  <c r="AF1070" i="1" s="1"/>
  <c r="A1070" i="1"/>
  <c r="AP917" i="1"/>
  <c r="AO917" i="1"/>
  <c r="AL917" i="1"/>
  <c r="AI917" i="1"/>
  <c r="AF917" i="1" s="1"/>
  <c r="A917" i="1"/>
  <c r="A288" i="1"/>
  <c r="AI288" i="1"/>
  <c r="AF288" i="1" s="1"/>
  <c r="AL288" i="1"/>
  <c r="AO288" i="1"/>
  <c r="AP288" i="1"/>
  <c r="A1062" i="1"/>
  <c r="AI1062" i="1"/>
  <c r="AE1062" i="1" s="1"/>
  <c r="AL1062" i="1"/>
  <c r="AO1062" i="1"/>
  <c r="AP1062" i="1"/>
  <c r="AP1261" i="1"/>
  <c r="AO1261" i="1"/>
  <c r="AL1261" i="1"/>
  <c r="AI1261" i="1"/>
  <c r="AE1261" i="1" s="1"/>
  <c r="A1261" i="1"/>
  <c r="AP1190" i="1"/>
  <c r="AO1190" i="1"/>
  <c r="AL1190" i="1"/>
  <c r="AI1190" i="1"/>
  <c r="AF1190" i="1" s="1"/>
  <c r="A1190" i="1"/>
  <c r="AP979" i="1"/>
  <c r="AO979" i="1"/>
  <c r="AL979" i="1"/>
  <c r="AI979" i="1"/>
  <c r="AE979" i="1" s="1"/>
  <c r="A979" i="1"/>
  <c r="AK979" i="1" s="1"/>
  <c r="A512" i="1"/>
  <c r="AI512" i="1"/>
  <c r="AF512" i="1" s="1"/>
  <c r="AL512" i="1"/>
  <c r="AO512" i="1"/>
  <c r="AP512" i="1"/>
  <c r="A1236" i="1"/>
  <c r="AI1236" i="1"/>
  <c r="AF1236" i="1" s="1"/>
  <c r="AL1236" i="1"/>
  <c r="AO1236" i="1"/>
  <c r="AP1236" i="1"/>
  <c r="A1237" i="1"/>
  <c r="AI1237" i="1"/>
  <c r="AE1237" i="1" s="1"/>
  <c r="AL1237" i="1"/>
  <c r="AO1237" i="1"/>
  <c r="AP1237" i="1"/>
  <c r="A1238" i="1"/>
  <c r="AI1238" i="1"/>
  <c r="AE1238" i="1" s="1"/>
  <c r="AL1238" i="1"/>
  <c r="AO1238" i="1"/>
  <c r="AP1238" i="1"/>
  <c r="A1240" i="1"/>
  <c r="AI1240" i="1"/>
  <c r="AE1240" i="1" s="1"/>
  <c r="AL1240" i="1"/>
  <c r="AO1240" i="1"/>
  <c r="AP1240" i="1"/>
  <c r="AP1193" i="1"/>
  <c r="AO1193" i="1"/>
  <c r="AL1193" i="1"/>
  <c r="AI1193" i="1"/>
  <c r="AF1193" i="1" s="1"/>
  <c r="A1193" i="1"/>
  <c r="AP1074" i="1"/>
  <c r="AO1074" i="1"/>
  <c r="AL1074" i="1"/>
  <c r="AI1074" i="1"/>
  <c r="AF1074" i="1" s="1"/>
  <c r="A1074" i="1"/>
  <c r="A514" i="1"/>
  <c r="AI514" i="1"/>
  <c r="AF514" i="1" s="1"/>
  <c r="AL514" i="1"/>
  <c r="AO514" i="1"/>
  <c r="AP514" i="1"/>
  <c r="AP761" i="1"/>
  <c r="AO761" i="1"/>
  <c r="AL761" i="1"/>
  <c r="AI761" i="1"/>
  <c r="AF761" i="1" s="1"/>
  <c r="A761" i="1"/>
  <c r="AK761" i="1" s="1"/>
  <c r="AP634" i="1"/>
  <c r="AO634" i="1"/>
  <c r="AL634" i="1"/>
  <c r="AI634" i="1"/>
  <c r="AF634" i="1" s="1"/>
  <c r="A634" i="1"/>
  <c r="AK634" i="1" s="1"/>
  <c r="A378" i="1"/>
  <c r="AI378" i="1"/>
  <c r="AE378" i="1" s="1"/>
  <c r="AL378" i="1"/>
  <c r="AO378" i="1"/>
  <c r="AP378" i="1"/>
  <c r="I3" i="17"/>
  <c r="I4" i="17"/>
  <c r="I5" i="17"/>
  <c r="I6" i="17"/>
  <c r="I7" i="17"/>
  <c r="I8" i="17"/>
  <c r="I9" i="17"/>
  <c r="I10" i="17"/>
  <c r="I11" i="17"/>
  <c r="I2" i="17"/>
  <c r="A121" i="1"/>
  <c r="A120" i="1"/>
  <c r="AI121" i="1"/>
  <c r="AE121" i="1" s="1"/>
  <c r="AI120" i="1"/>
  <c r="AE120" i="1" s="1"/>
  <c r="AL121" i="1"/>
  <c r="AL120" i="1"/>
  <c r="AO121" i="1"/>
  <c r="AO120" i="1"/>
  <c r="AP121" i="1"/>
  <c r="AP120" i="1"/>
  <c r="AP1145" i="1"/>
  <c r="AO1145" i="1"/>
  <c r="AL1145" i="1"/>
  <c r="AI1145" i="1"/>
  <c r="AF1145" i="1" s="1"/>
  <c r="A1145" i="1"/>
  <c r="AP1092" i="1"/>
  <c r="AO1092" i="1"/>
  <c r="AL1092" i="1"/>
  <c r="AI1092" i="1"/>
  <c r="AF1092" i="1" s="1"/>
  <c r="A1092" i="1"/>
  <c r="AP914" i="1"/>
  <c r="AO914" i="1"/>
  <c r="AL914" i="1"/>
  <c r="AI914" i="1"/>
  <c r="AF914" i="1" s="1"/>
  <c r="A914" i="1"/>
  <c r="A741" i="1"/>
  <c r="AI741" i="1"/>
  <c r="AE741" i="1" s="1"/>
  <c r="AL741" i="1"/>
  <c r="AO741" i="1"/>
  <c r="AP741" i="1"/>
  <c r="AP822" i="1"/>
  <c r="AO822" i="1"/>
  <c r="AL822" i="1"/>
  <c r="AI822" i="1"/>
  <c r="AF822" i="1" s="1"/>
  <c r="A822" i="1"/>
  <c r="A689" i="1"/>
  <c r="AI689" i="1"/>
  <c r="AF689" i="1" s="1"/>
  <c r="AL689" i="1"/>
  <c r="AO689" i="1"/>
  <c r="AP689" i="1"/>
  <c r="AP1297" i="1"/>
  <c r="AO1297" i="1"/>
  <c r="AL1297" i="1"/>
  <c r="AI1297" i="1"/>
  <c r="AF1297" i="1" s="1"/>
  <c r="A1297" i="1"/>
  <c r="AP1283" i="1"/>
  <c r="AO1283" i="1"/>
  <c r="AL1283" i="1"/>
  <c r="AI1283" i="1"/>
  <c r="AF1283" i="1" s="1"/>
  <c r="A1283" i="1"/>
  <c r="AK1283" i="1" s="1"/>
  <c r="AP1248" i="1"/>
  <c r="AO1248" i="1"/>
  <c r="AL1248" i="1"/>
  <c r="AI1248" i="1"/>
  <c r="AF1248" i="1" s="1"/>
  <c r="A1248" i="1"/>
  <c r="AP1191" i="1"/>
  <c r="AO1191" i="1"/>
  <c r="AL1191" i="1"/>
  <c r="AI1191" i="1"/>
  <c r="AF1191" i="1" s="1"/>
  <c r="A1191" i="1"/>
  <c r="AP1072" i="1"/>
  <c r="AO1072" i="1"/>
  <c r="AL1072" i="1"/>
  <c r="AI1072" i="1"/>
  <c r="AF1072" i="1" s="1"/>
  <c r="A1072" i="1"/>
  <c r="AP296" i="1"/>
  <c r="AO296" i="1"/>
  <c r="AL296" i="1"/>
  <c r="AI296" i="1"/>
  <c r="AF296" i="1" s="1"/>
  <c r="A296" i="1"/>
  <c r="AP405" i="1"/>
  <c r="AO405" i="1"/>
  <c r="AL405" i="1"/>
  <c r="AI405" i="1"/>
  <c r="AF405" i="1" s="1"/>
  <c r="A405" i="1"/>
  <c r="AP140" i="1"/>
  <c r="AO140" i="1"/>
  <c r="AL140" i="1"/>
  <c r="AI140" i="1"/>
  <c r="AE140" i="1" s="1"/>
  <c r="A140" i="1"/>
  <c r="AP139" i="1"/>
  <c r="AO139" i="1"/>
  <c r="AL139" i="1"/>
  <c r="AI139" i="1"/>
  <c r="AF139" i="1" s="1"/>
  <c r="A139" i="1"/>
  <c r="AP138" i="1"/>
  <c r="AO138" i="1"/>
  <c r="AL138" i="1"/>
  <c r="AI138" i="1"/>
  <c r="AF138" i="1" s="1"/>
  <c r="A138" i="1"/>
  <c r="AP137" i="1"/>
  <c r="AO137" i="1"/>
  <c r="AL137" i="1"/>
  <c r="AI137" i="1"/>
  <c r="AE137" i="1" s="1"/>
  <c r="A137" i="1"/>
  <c r="AP136" i="1"/>
  <c r="AO136" i="1"/>
  <c r="AL136" i="1"/>
  <c r="AI136" i="1"/>
  <c r="AE136" i="1" s="1"/>
  <c r="A136" i="1"/>
  <c r="AP135" i="1"/>
  <c r="AO135" i="1"/>
  <c r="AL135" i="1"/>
  <c r="AI135" i="1"/>
  <c r="AF135" i="1" s="1"/>
  <c r="A135" i="1"/>
  <c r="AK135" i="1" s="1"/>
  <c r="AP134" i="1"/>
  <c r="AO134" i="1"/>
  <c r="AL134" i="1"/>
  <c r="AI134" i="1"/>
  <c r="AF134" i="1" s="1"/>
  <c r="A134" i="1"/>
  <c r="AP133" i="1"/>
  <c r="AO133" i="1"/>
  <c r="AL133" i="1"/>
  <c r="AI133" i="1"/>
  <c r="AF133" i="1" s="1"/>
  <c r="A133" i="1"/>
  <c r="AP28" i="1"/>
  <c r="AO28" i="1"/>
  <c r="AL28" i="1"/>
  <c r="AI28" i="1"/>
  <c r="AF28" i="1" s="1"/>
  <c r="A28" i="1"/>
  <c r="AP1252" i="1"/>
  <c r="AO1252" i="1"/>
  <c r="AL1252" i="1"/>
  <c r="AI1252" i="1"/>
  <c r="AF1252" i="1" s="1"/>
  <c r="A1252" i="1"/>
  <c r="AK1252" i="1" s="1"/>
  <c r="AP1246" i="1"/>
  <c r="AO1246" i="1"/>
  <c r="AL1246" i="1"/>
  <c r="AI1246" i="1"/>
  <c r="AF1246" i="1" s="1"/>
  <c r="A1246" i="1"/>
  <c r="AK1246" i="1" s="1"/>
  <c r="AP1231" i="1"/>
  <c r="AO1231" i="1"/>
  <c r="AL1231" i="1"/>
  <c r="AI1231" i="1"/>
  <c r="AF1231" i="1" s="1"/>
  <c r="A1231" i="1"/>
  <c r="AK1231" i="1" s="1"/>
  <c r="AP1217" i="1"/>
  <c r="AO1217" i="1"/>
  <c r="AL1217" i="1"/>
  <c r="AI1217" i="1"/>
  <c r="AF1217" i="1" s="1"/>
  <c r="A1217" i="1"/>
  <c r="AP1216" i="1"/>
  <c r="AO1216" i="1"/>
  <c r="AL1216" i="1"/>
  <c r="AI1216" i="1"/>
  <c r="AF1216" i="1" s="1"/>
  <c r="A1216" i="1"/>
  <c r="AP1200" i="1"/>
  <c r="AO1200" i="1"/>
  <c r="AL1200" i="1"/>
  <c r="AI1200" i="1"/>
  <c r="AF1200" i="1" s="1"/>
  <c r="A1200" i="1"/>
  <c r="AP1172" i="1"/>
  <c r="AO1172" i="1"/>
  <c r="AL1172" i="1"/>
  <c r="AI1172" i="1"/>
  <c r="AF1172" i="1" s="1"/>
  <c r="A1172" i="1"/>
  <c r="AP1143" i="1"/>
  <c r="AO1143" i="1"/>
  <c r="AL1143" i="1"/>
  <c r="AI1143" i="1"/>
  <c r="AF1143" i="1" s="1"/>
  <c r="A1143" i="1"/>
  <c r="AK1143" i="1" s="1"/>
  <c r="AP1122" i="1"/>
  <c r="AO1122" i="1"/>
  <c r="AL1122" i="1"/>
  <c r="AI1122" i="1"/>
  <c r="AF1122" i="1" s="1"/>
  <c r="A1122" i="1"/>
  <c r="AP1090" i="1"/>
  <c r="AO1090" i="1"/>
  <c r="AL1090" i="1"/>
  <c r="AI1090" i="1"/>
  <c r="AF1090" i="1" s="1"/>
  <c r="A1090" i="1"/>
  <c r="AP1065" i="1"/>
  <c r="AO1065" i="1"/>
  <c r="AL1065" i="1"/>
  <c r="AI1065" i="1"/>
  <c r="AF1065" i="1" s="1"/>
  <c r="A1065" i="1"/>
  <c r="AP1029" i="1"/>
  <c r="AO1029" i="1"/>
  <c r="AL1029" i="1"/>
  <c r="AI1029" i="1"/>
  <c r="AE1029" i="1" s="1"/>
  <c r="A1029" i="1"/>
  <c r="AP280" i="1"/>
  <c r="AO280" i="1"/>
  <c r="AL280" i="1"/>
  <c r="AI280" i="1"/>
  <c r="AF280" i="1" s="1"/>
  <c r="A280" i="1"/>
  <c r="AP395" i="1"/>
  <c r="AO395" i="1"/>
  <c r="AL395" i="1"/>
  <c r="AI395" i="1"/>
  <c r="AE395" i="1" s="1"/>
  <c r="A395" i="1"/>
  <c r="AK395" i="1" s="1"/>
  <c r="AP506" i="1"/>
  <c r="AO506" i="1"/>
  <c r="AL506" i="1"/>
  <c r="AI506" i="1"/>
  <c r="AF506" i="1" s="1"/>
  <c r="A506" i="1"/>
  <c r="AP1245" i="1"/>
  <c r="AO1245" i="1"/>
  <c r="AL1245" i="1"/>
  <c r="AI1245" i="1"/>
  <c r="AF1245" i="1" s="1"/>
  <c r="A1245" i="1"/>
  <c r="AP1215" i="1"/>
  <c r="AO1215" i="1"/>
  <c r="AL1215" i="1"/>
  <c r="AI1215" i="1"/>
  <c r="AF1215" i="1" s="1"/>
  <c r="A1215" i="1"/>
  <c r="AK1215" i="1" s="1"/>
  <c r="AP1171" i="1"/>
  <c r="AO1171" i="1"/>
  <c r="AL1171" i="1"/>
  <c r="AI1171" i="1"/>
  <c r="AF1171" i="1" s="1"/>
  <c r="A1171" i="1"/>
  <c r="AP1121" i="1"/>
  <c r="AO1121" i="1"/>
  <c r="AL1121" i="1"/>
  <c r="AI1121" i="1"/>
  <c r="AF1121" i="1" s="1"/>
  <c r="A1121" i="1"/>
  <c r="AP1064" i="1"/>
  <c r="AO1064" i="1"/>
  <c r="AL1064" i="1"/>
  <c r="AI1064" i="1"/>
  <c r="AF1064" i="1" s="1"/>
  <c r="A1064" i="1"/>
  <c r="AP1028" i="1"/>
  <c r="AO1028" i="1"/>
  <c r="AL1028" i="1"/>
  <c r="AI1028" i="1"/>
  <c r="AF1028" i="1" s="1"/>
  <c r="A1028" i="1"/>
  <c r="AK1028" i="1" s="1"/>
  <c r="AP969" i="1"/>
  <c r="AO969" i="1"/>
  <c r="AL969" i="1"/>
  <c r="AI969" i="1"/>
  <c r="AF969" i="1" s="1"/>
  <c r="A969" i="1"/>
  <c r="AP936" i="1"/>
  <c r="AO936" i="1"/>
  <c r="AL936" i="1"/>
  <c r="AI936" i="1"/>
  <c r="AE936" i="1" s="1"/>
  <c r="A936" i="1"/>
  <c r="AP1139" i="1"/>
  <c r="AO1139" i="1"/>
  <c r="AL1139" i="1"/>
  <c r="AI1139" i="1"/>
  <c r="AF1139" i="1" s="1"/>
  <c r="A1139" i="1"/>
  <c r="AP1112" i="1"/>
  <c r="AO1112" i="1"/>
  <c r="AL1112" i="1"/>
  <c r="AI1112" i="1"/>
  <c r="AF1112" i="1" s="1"/>
  <c r="A1112" i="1"/>
  <c r="AK1112" i="1" s="1"/>
  <c r="AP1111" i="1"/>
  <c r="AO1111" i="1"/>
  <c r="AL1111" i="1"/>
  <c r="AI1111" i="1"/>
  <c r="AF1111" i="1" s="1"/>
  <c r="A1111" i="1"/>
  <c r="AP779" i="1"/>
  <c r="AO779" i="1"/>
  <c r="AL779" i="1"/>
  <c r="AI779" i="1"/>
  <c r="AF779" i="1" s="1"/>
  <c r="A779" i="1"/>
  <c r="AK779" i="1" s="1"/>
  <c r="AP1076" i="1"/>
  <c r="AO1076" i="1"/>
  <c r="AL1076" i="1"/>
  <c r="AI1076" i="1"/>
  <c r="AF1076" i="1" s="1"/>
  <c r="A1076" i="1"/>
  <c r="AP645" i="1"/>
  <c r="AO645" i="1"/>
  <c r="AL645" i="1"/>
  <c r="AI645" i="1"/>
  <c r="AF645" i="1" s="1"/>
  <c r="A645" i="1"/>
  <c r="AP1049" i="1"/>
  <c r="AO1049" i="1"/>
  <c r="AL1049" i="1"/>
  <c r="AI1049" i="1"/>
  <c r="AF1049" i="1" s="1"/>
  <c r="A1049" i="1"/>
  <c r="AP1048" i="1"/>
  <c r="AO1048" i="1"/>
  <c r="AL1048" i="1"/>
  <c r="AI1048" i="1"/>
  <c r="AF1048" i="1" s="1"/>
  <c r="A1048" i="1"/>
  <c r="AK1048" i="1" s="1"/>
  <c r="AP991" i="1"/>
  <c r="AO991" i="1"/>
  <c r="AL991" i="1"/>
  <c r="AI991" i="1"/>
  <c r="AF991" i="1" s="1"/>
  <c r="A991" i="1"/>
  <c r="AP935" i="1"/>
  <c r="AO935" i="1"/>
  <c r="AL935" i="1"/>
  <c r="AI935" i="1"/>
  <c r="AE935" i="1" s="1"/>
  <c r="A935" i="1"/>
  <c r="AP843" i="1"/>
  <c r="AO843" i="1"/>
  <c r="AL843" i="1"/>
  <c r="AI843" i="1"/>
  <c r="AE843" i="1" s="1"/>
  <c r="A843" i="1"/>
  <c r="AK843" i="1" s="1"/>
  <c r="AP842" i="1"/>
  <c r="AO842" i="1"/>
  <c r="AL842" i="1"/>
  <c r="AI842" i="1"/>
  <c r="AE842" i="1" s="1"/>
  <c r="A842" i="1"/>
  <c r="AP778" i="1"/>
  <c r="AO778" i="1"/>
  <c r="AL778" i="1"/>
  <c r="AI778" i="1"/>
  <c r="AF778" i="1" s="1"/>
  <c r="A778" i="1"/>
  <c r="AP258" i="1"/>
  <c r="AO258" i="1"/>
  <c r="AL258" i="1"/>
  <c r="AI258" i="1"/>
  <c r="AF258" i="1" s="1"/>
  <c r="A258" i="1"/>
  <c r="AP708" i="1"/>
  <c r="AO708" i="1"/>
  <c r="AL708" i="1"/>
  <c r="AI708" i="1"/>
  <c r="AF708" i="1" s="1"/>
  <c r="A708" i="1"/>
  <c r="AP707" i="1"/>
  <c r="AO707" i="1"/>
  <c r="AL707" i="1"/>
  <c r="AI707" i="1"/>
  <c r="AF707" i="1" s="1"/>
  <c r="A707" i="1"/>
  <c r="AP644" i="1"/>
  <c r="AO644" i="1"/>
  <c r="AL644" i="1"/>
  <c r="AI644" i="1"/>
  <c r="AF644" i="1" s="1"/>
  <c r="A644" i="1"/>
  <c r="AP643" i="1"/>
  <c r="AO643" i="1"/>
  <c r="AL643" i="1"/>
  <c r="AI643" i="1"/>
  <c r="AF643" i="1" s="1"/>
  <c r="A643" i="1"/>
  <c r="AP573" i="1"/>
  <c r="AO573" i="1"/>
  <c r="AL573" i="1"/>
  <c r="AI573" i="1"/>
  <c r="AF573" i="1" s="1"/>
  <c r="A573" i="1"/>
  <c r="AP572" i="1"/>
  <c r="AO572" i="1"/>
  <c r="AL572" i="1"/>
  <c r="AI572" i="1"/>
  <c r="AF572" i="1" s="1"/>
  <c r="A572" i="1"/>
  <c r="AP571" i="1"/>
  <c r="AO571" i="1"/>
  <c r="AL571" i="1"/>
  <c r="AI571" i="1"/>
  <c r="AF571" i="1" s="1"/>
  <c r="A571" i="1"/>
  <c r="AK571" i="1" s="1"/>
  <c r="AP493" i="1"/>
  <c r="AO493" i="1"/>
  <c r="AL493" i="1"/>
  <c r="AI493" i="1"/>
  <c r="AF493" i="1" s="1"/>
  <c r="A493" i="1"/>
  <c r="AK493" i="1" s="1"/>
  <c r="AP492" i="1"/>
  <c r="AO492" i="1"/>
  <c r="AL492" i="1"/>
  <c r="AI492" i="1"/>
  <c r="AF492" i="1" s="1"/>
  <c r="A492" i="1"/>
  <c r="AP385" i="1"/>
  <c r="AO385" i="1"/>
  <c r="AL385" i="1"/>
  <c r="AI385" i="1"/>
  <c r="AE385" i="1" s="1"/>
  <c r="A385" i="1"/>
  <c r="AP384" i="1"/>
  <c r="AO384" i="1"/>
  <c r="AL384" i="1"/>
  <c r="AI384" i="1"/>
  <c r="AF384" i="1" s="1"/>
  <c r="A384" i="1"/>
  <c r="AP383" i="1"/>
  <c r="AO383" i="1"/>
  <c r="AL383" i="1"/>
  <c r="AI383" i="1"/>
  <c r="AF383" i="1" s="1"/>
  <c r="A383" i="1"/>
  <c r="AP257" i="1"/>
  <c r="AO257" i="1"/>
  <c r="AL257" i="1"/>
  <c r="AI257" i="1"/>
  <c r="AF257" i="1" s="1"/>
  <c r="A257" i="1"/>
  <c r="AK257" i="1" s="1"/>
  <c r="AP256" i="1"/>
  <c r="AO256" i="1"/>
  <c r="AL256" i="1"/>
  <c r="AI256" i="1"/>
  <c r="AF256" i="1" s="1"/>
  <c r="A256" i="1"/>
  <c r="A114" i="1"/>
  <c r="AI114" i="1"/>
  <c r="AE114" i="1" s="1"/>
  <c r="AL114" i="1"/>
  <c r="AO114" i="1"/>
  <c r="AP114" i="1"/>
  <c r="A665" i="1"/>
  <c r="AK665" i="1" s="1"/>
  <c r="AI665" i="1"/>
  <c r="AF665" i="1" s="1"/>
  <c r="AL665" i="1"/>
  <c r="AO665" i="1"/>
  <c r="AP665" i="1"/>
  <c r="A814" i="1"/>
  <c r="AI814" i="1"/>
  <c r="AF814" i="1" s="1"/>
  <c r="AL814" i="1"/>
  <c r="AO814" i="1"/>
  <c r="AP814" i="1"/>
  <c r="AE1047" i="1" l="1"/>
  <c r="AF934" i="1"/>
  <c r="H72" i="7" s="1"/>
  <c r="AE728" i="1"/>
  <c r="R728" i="1"/>
  <c r="S728" i="1"/>
  <c r="AK728" i="1"/>
  <c r="W728" i="1"/>
  <c r="R1047" i="1"/>
  <c r="S1047" i="1"/>
  <c r="W1047" i="1"/>
  <c r="AK1047" i="1"/>
  <c r="R934" i="1"/>
  <c r="S934" i="1"/>
  <c r="W934" i="1"/>
  <c r="R841" i="1"/>
  <c r="AE841" i="1"/>
  <c r="S841" i="1"/>
  <c r="W841" i="1"/>
  <c r="AK841" i="1"/>
  <c r="R658" i="1"/>
  <c r="AE658" i="1"/>
  <c r="S658" i="1"/>
  <c r="W658" i="1"/>
  <c r="AK658" i="1"/>
  <c r="R501" i="1"/>
  <c r="AE501" i="1"/>
  <c r="S501" i="1"/>
  <c r="W501" i="1"/>
  <c r="AK501" i="1"/>
  <c r="H73" i="7"/>
  <c r="H67" i="7"/>
  <c r="H69" i="7"/>
  <c r="K73" i="7"/>
  <c r="K69" i="7"/>
  <c r="J73" i="7"/>
  <c r="J69" i="7"/>
  <c r="I73" i="7"/>
  <c r="I69" i="7"/>
  <c r="K67" i="7"/>
  <c r="J67" i="7"/>
  <c r="I67" i="7"/>
  <c r="H71" i="7"/>
  <c r="K71" i="7"/>
  <c r="J71" i="7"/>
  <c r="I71" i="7"/>
  <c r="H65" i="7"/>
  <c r="K65" i="7"/>
  <c r="J65" i="7"/>
  <c r="I65" i="7"/>
  <c r="J64" i="7"/>
  <c r="K64" i="7"/>
  <c r="I64" i="7"/>
  <c r="H64" i="7"/>
  <c r="R199" i="1"/>
  <c r="AE200" i="1"/>
  <c r="AE199" i="1"/>
  <c r="R200" i="1"/>
  <c r="S200" i="1"/>
  <c r="AK200" i="1"/>
  <c r="W200" i="1"/>
  <c r="S199" i="1"/>
  <c r="W199" i="1"/>
  <c r="AK199" i="1"/>
  <c r="AE13" i="1"/>
  <c r="AF129" i="1"/>
  <c r="AE131" i="1"/>
  <c r="AK131" i="1"/>
  <c r="AE130" i="1"/>
  <c r="AK130" i="1"/>
  <c r="AK129" i="1"/>
  <c r="AK13" i="1"/>
  <c r="AE381" i="1"/>
  <c r="AE566" i="1"/>
  <c r="AE703" i="1"/>
  <c r="AE835" i="1"/>
  <c r="AK835" i="1"/>
  <c r="AK566" i="1"/>
  <c r="AK381" i="1"/>
  <c r="AK102" i="1"/>
  <c r="AK1107" i="1"/>
  <c r="AK810" i="1"/>
  <c r="AE1302" i="1"/>
  <c r="AK1302" i="1"/>
  <c r="AF1107" i="1"/>
  <c r="AF102" i="1"/>
  <c r="AF810" i="1"/>
  <c r="AF423" i="1"/>
  <c r="AE316" i="1"/>
  <c r="AK517" i="1"/>
  <c r="AK423" i="1"/>
  <c r="AK316" i="1"/>
  <c r="AF517" i="1"/>
  <c r="AE191" i="1"/>
  <c r="AE422" i="1"/>
  <c r="H60" i="7"/>
  <c r="K60" i="7"/>
  <c r="J60" i="7"/>
  <c r="I60" i="7"/>
  <c r="AE1289" i="1"/>
  <c r="AK1289" i="1"/>
  <c r="AK132" i="1"/>
  <c r="AF132" i="1"/>
  <c r="AF293" i="1"/>
  <c r="AK293" i="1"/>
  <c r="AK1232" i="1"/>
  <c r="AE918" i="1"/>
  <c r="AE970" i="1"/>
  <c r="AE1278" i="1"/>
  <c r="AE1239" i="1"/>
  <c r="AE1133" i="1"/>
  <c r="AK1133" i="1"/>
  <c r="AE1253" i="1"/>
  <c r="AK1253" i="1"/>
  <c r="AE1232" i="1"/>
  <c r="AF1123" i="1"/>
  <c r="AF1174" i="1"/>
  <c r="AE1218" i="1"/>
  <c r="AK1218" i="1"/>
  <c r="AK1174" i="1"/>
  <c r="AK1123" i="1"/>
  <c r="AE1066" i="1"/>
  <c r="AK1066" i="1"/>
  <c r="AK970" i="1"/>
  <c r="AF551" i="1"/>
  <c r="AE1219" i="1"/>
  <c r="AK1219" i="1"/>
  <c r="AK625" i="1"/>
  <c r="AE625" i="1"/>
  <c r="AK236" i="1"/>
  <c r="AE752" i="1"/>
  <c r="AK9" i="1"/>
  <c r="AE1142" i="1"/>
  <c r="AE881" i="1"/>
  <c r="AE550" i="1"/>
  <c r="AE236" i="1"/>
  <c r="AF481" i="1"/>
  <c r="AE373" i="1"/>
  <c r="AE1063" i="1"/>
  <c r="AK1063" i="1"/>
  <c r="AK881" i="1"/>
  <c r="AK481" i="1"/>
  <c r="AE480" i="1"/>
  <c r="AK480" i="1"/>
  <c r="AK373" i="1"/>
  <c r="AE372" i="1"/>
  <c r="AE235" i="1"/>
  <c r="AK235" i="1"/>
  <c r="AF234" i="1"/>
  <c r="AK52" i="1"/>
  <c r="AE980" i="1"/>
  <c r="AF1298" i="1"/>
  <c r="AK1298" i="1"/>
  <c r="AE1226" i="1"/>
  <c r="AK1226" i="1"/>
  <c r="AK980" i="1"/>
  <c r="AE1310" i="1"/>
  <c r="AK509" i="1"/>
  <c r="AK1310" i="1"/>
  <c r="AE1282" i="1"/>
  <c r="AK1282" i="1"/>
  <c r="AF9" i="1"/>
  <c r="AK1224" i="1"/>
  <c r="AK281" i="1"/>
  <c r="AF509" i="1"/>
  <c r="AK1182" i="1"/>
  <c r="AF1224" i="1"/>
  <c r="AF279" i="1"/>
  <c r="AK279" i="1"/>
  <c r="AE52" i="1"/>
  <c r="AF281" i="1"/>
  <c r="AF1182" i="1"/>
  <c r="AE1144" i="1"/>
  <c r="AK907" i="1"/>
  <c r="AE1173" i="1"/>
  <c r="AK1173" i="1"/>
  <c r="AK1144" i="1"/>
  <c r="AE1091" i="1"/>
  <c r="AK1091" i="1"/>
  <c r="AF907" i="1"/>
  <c r="H63" i="7" s="1"/>
  <c r="AE1260" i="1"/>
  <c r="AE1159" i="1"/>
  <c r="AE1236" i="1"/>
  <c r="AK1159" i="1"/>
  <c r="AK288" i="1"/>
  <c r="AK1260" i="1"/>
  <c r="AE1223" i="1"/>
  <c r="AE1070" i="1"/>
  <c r="AK1070" i="1"/>
  <c r="AE917" i="1"/>
  <c r="AK917" i="1"/>
  <c r="AE288" i="1"/>
  <c r="AK1238" i="1"/>
  <c r="AK1237" i="1"/>
  <c r="AK1240" i="1"/>
  <c r="AF1237" i="1"/>
  <c r="AK1193" i="1"/>
  <c r="AF1238" i="1"/>
  <c r="AE1074" i="1"/>
  <c r="AF1240" i="1"/>
  <c r="AK1236" i="1"/>
  <c r="AE1193" i="1"/>
  <c r="AK514" i="1"/>
  <c r="AK512" i="1"/>
  <c r="AE1190" i="1"/>
  <c r="AF1261" i="1"/>
  <c r="AK1062" i="1"/>
  <c r="AF979" i="1"/>
  <c r="AF1062" i="1"/>
  <c r="AK1261" i="1"/>
  <c r="AK1190" i="1"/>
  <c r="AE512" i="1"/>
  <c r="AK1074" i="1"/>
  <c r="AE514" i="1"/>
  <c r="AE761" i="1"/>
  <c r="AE634" i="1"/>
  <c r="AK378" i="1"/>
  <c r="AF378" i="1"/>
  <c r="AK121" i="1"/>
  <c r="AK120" i="1"/>
  <c r="AF121" i="1"/>
  <c r="AF120" i="1"/>
  <c r="AE914" i="1"/>
  <c r="AK741" i="1"/>
  <c r="AF741" i="1"/>
  <c r="AE1145" i="1"/>
  <c r="AK1145" i="1"/>
  <c r="AE1092" i="1"/>
  <c r="AK1092" i="1"/>
  <c r="AK914" i="1"/>
  <c r="AE822" i="1"/>
  <c r="AK822" i="1"/>
  <c r="AE689" i="1"/>
  <c r="AK689" i="1"/>
  <c r="AF385" i="1"/>
  <c r="AE1065" i="1"/>
  <c r="AF136" i="1"/>
  <c r="AE256" i="1"/>
  <c r="AF843" i="1"/>
  <c r="AK139" i="1"/>
  <c r="AK1122" i="1"/>
  <c r="AE405" i="1"/>
  <c r="AK405" i="1"/>
  <c r="AF842" i="1"/>
  <c r="AE1246" i="1"/>
  <c r="AE1252" i="1"/>
  <c r="AE138" i="1"/>
  <c r="AE1143" i="1"/>
  <c r="AE1231" i="1"/>
  <c r="AE506" i="1"/>
  <c r="AK1200" i="1"/>
  <c r="AF137" i="1"/>
  <c r="AF140" i="1"/>
  <c r="AE1028" i="1"/>
  <c r="AE135" i="1"/>
  <c r="AK137" i="1"/>
  <c r="AE1283" i="1"/>
  <c r="AE1297" i="1"/>
  <c r="AE572" i="1"/>
  <c r="AK1065" i="1"/>
  <c r="AK136" i="1"/>
  <c r="AE707" i="1"/>
  <c r="AE1217" i="1"/>
  <c r="AE133" i="1"/>
  <c r="AE134" i="1"/>
  <c r="AE139" i="1"/>
  <c r="AE296" i="1"/>
  <c r="AE1111" i="1"/>
  <c r="AF395" i="1"/>
  <c r="AK1297" i="1"/>
  <c r="AE1248" i="1"/>
  <c r="AK1248" i="1"/>
  <c r="AE1191" i="1"/>
  <c r="AK1191" i="1"/>
  <c r="AE1072" i="1"/>
  <c r="AK1072" i="1"/>
  <c r="AK296" i="1"/>
  <c r="AK140" i="1"/>
  <c r="AK138" i="1"/>
  <c r="AK134" i="1"/>
  <c r="AK133" i="1"/>
  <c r="AE28" i="1"/>
  <c r="AK28" i="1"/>
  <c r="AE969" i="1"/>
  <c r="AE1200" i="1"/>
  <c r="AE643" i="1"/>
  <c r="AE1121" i="1"/>
  <c r="AE280" i="1"/>
  <c r="AE1090" i="1"/>
  <c r="AE1122" i="1"/>
  <c r="AE257" i="1"/>
  <c r="AE708" i="1"/>
  <c r="AE778" i="1"/>
  <c r="AE1215" i="1"/>
  <c r="AE1245" i="1"/>
  <c r="AF1029" i="1"/>
  <c r="AE645" i="1"/>
  <c r="AE571" i="1"/>
  <c r="AE991" i="1"/>
  <c r="AF936" i="1"/>
  <c r="AK280" i="1"/>
  <c r="AE493" i="1"/>
  <c r="AF935" i="1"/>
  <c r="AE1048" i="1"/>
  <c r="AK1217" i="1"/>
  <c r="AE1216" i="1"/>
  <c r="AK1216" i="1"/>
  <c r="AE1172" i="1"/>
  <c r="AK1172" i="1"/>
  <c r="AK1090" i="1"/>
  <c r="AK1029" i="1"/>
  <c r="AK506" i="1"/>
  <c r="AK1245" i="1"/>
  <c r="AE1171" i="1"/>
  <c r="AK1171" i="1"/>
  <c r="AK1121" i="1"/>
  <c r="AE1064" i="1"/>
  <c r="AK1064" i="1"/>
  <c r="AK969" i="1"/>
  <c r="AK814" i="1"/>
  <c r="AE1076" i="1"/>
  <c r="AE1112" i="1"/>
  <c r="AK114" i="1"/>
  <c r="AE383" i="1"/>
  <c r="AE258" i="1"/>
  <c r="AE1049" i="1"/>
  <c r="AK645" i="1"/>
  <c r="AE779" i="1"/>
  <c r="AE384" i="1"/>
  <c r="AK1111" i="1"/>
  <c r="AK258" i="1"/>
  <c r="AK936" i="1"/>
  <c r="AE1139" i="1"/>
  <c r="AK1139" i="1"/>
  <c r="AK1076" i="1"/>
  <c r="AK1049" i="1"/>
  <c r="AK991" i="1"/>
  <c r="AK935" i="1"/>
  <c r="AK842" i="1"/>
  <c r="AK778" i="1"/>
  <c r="AK708" i="1"/>
  <c r="AK707" i="1"/>
  <c r="AE644" i="1"/>
  <c r="AK644" i="1"/>
  <c r="AK643" i="1"/>
  <c r="AE573" i="1"/>
  <c r="AK573" i="1"/>
  <c r="AK572" i="1"/>
  <c r="AE492" i="1"/>
  <c r="AK492" i="1"/>
  <c r="AK385" i="1"/>
  <c r="AK384" i="1"/>
  <c r="AK383" i="1"/>
  <c r="AK256" i="1"/>
  <c r="AF114" i="1"/>
  <c r="AE665" i="1"/>
  <c r="AE814" i="1"/>
  <c r="K75" i="7" l="1"/>
  <c r="H75" i="7"/>
  <c r="I75" i="7"/>
  <c r="J75" i="7"/>
  <c r="J72" i="7"/>
  <c r="I72" i="7"/>
  <c r="K72" i="7"/>
  <c r="J68" i="7"/>
  <c r="H68" i="7"/>
  <c r="K68" i="7"/>
  <c r="I68" i="7"/>
  <c r="H66" i="7"/>
  <c r="I66" i="7"/>
  <c r="J66" i="7"/>
  <c r="K66" i="7"/>
  <c r="I63" i="7"/>
  <c r="J63" i="7"/>
  <c r="K63" i="7"/>
  <c r="K62" i="7"/>
  <c r="H62" i="7"/>
  <c r="J62" i="7"/>
  <c r="I62" i="7"/>
  <c r="H61" i="7"/>
  <c r="I61" i="7"/>
  <c r="J61" i="7"/>
  <c r="K61" i="7"/>
  <c r="AP603" i="1" l="1"/>
  <c r="AO603" i="1"/>
  <c r="AL603" i="1"/>
  <c r="AI603" i="1"/>
  <c r="AF603" i="1" s="1"/>
  <c r="A603" i="1"/>
  <c r="AP524" i="1"/>
  <c r="AO524" i="1"/>
  <c r="AL524" i="1"/>
  <c r="AI524" i="1"/>
  <c r="AF524" i="1" s="1"/>
  <c r="A524" i="1"/>
  <c r="AP523" i="1"/>
  <c r="AO523" i="1"/>
  <c r="AL523" i="1"/>
  <c r="AI523" i="1"/>
  <c r="AE523" i="1" s="1"/>
  <c r="A523" i="1"/>
  <c r="AP429" i="1"/>
  <c r="AO429" i="1"/>
  <c r="AL429" i="1"/>
  <c r="AI429" i="1"/>
  <c r="AE429" i="1" s="1"/>
  <c r="A429" i="1"/>
  <c r="AK429" i="1" s="1"/>
  <c r="AP428" i="1"/>
  <c r="AO428" i="1"/>
  <c r="AL428" i="1"/>
  <c r="AI428" i="1"/>
  <c r="AF428" i="1" s="1"/>
  <c r="A428" i="1"/>
  <c r="AP326" i="1"/>
  <c r="AO326" i="1"/>
  <c r="AL326" i="1"/>
  <c r="AI326" i="1"/>
  <c r="AF326" i="1" s="1"/>
  <c r="A326" i="1"/>
  <c r="U29" i="2"/>
  <c r="V29" i="2"/>
  <c r="Y29" i="2"/>
  <c r="AA29" i="2" s="1"/>
  <c r="AB29" i="2"/>
  <c r="AC29" i="2"/>
  <c r="AF29" i="2"/>
  <c r="AG29" i="2"/>
  <c r="A31" i="2"/>
  <c r="A32" i="2"/>
  <c r="A33" i="2"/>
  <c r="U30" i="2"/>
  <c r="V30" i="2"/>
  <c r="U31" i="2"/>
  <c r="V31" i="2"/>
  <c r="U32" i="2"/>
  <c r="V32" i="2"/>
  <c r="Y30" i="2"/>
  <c r="AA30" i="2" s="1"/>
  <c r="AB30" i="2"/>
  <c r="AC30" i="2"/>
  <c r="Y31" i="2"/>
  <c r="AA31" i="2" s="1"/>
  <c r="AB31" i="2"/>
  <c r="AC31" i="2"/>
  <c r="Y32" i="2"/>
  <c r="AA32" i="2" s="1"/>
  <c r="AB32" i="2"/>
  <c r="AC32" i="2"/>
  <c r="AF30" i="2"/>
  <c r="AG30" i="2"/>
  <c r="AF31" i="2"/>
  <c r="AG31" i="2"/>
  <c r="AF32" i="2"/>
  <c r="AG32" i="2"/>
  <c r="A225" i="1"/>
  <c r="A285" i="1"/>
  <c r="AK285" i="1" s="1"/>
  <c r="A198" i="1"/>
  <c r="A189" i="1"/>
  <c r="A226" i="1"/>
  <c r="A12" i="1"/>
  <c r="AI225" i="1"/>
  <c r="AE225" i="1" s="1"/>
  <c r="AI285" i="1"/>
  <c r="AE285" i="1" s="1"/>
  <c r="AI198" i="1"/>
  <c r="AE198" i="1" s="1"/>
  <c r="AI189" i="1"/>
  <c r="AE189" i="1" s="1"/>
  <c r="AI226" i="1"/>
  <c r="AE226" i="1" s="1"/>
  <c r="AI12" i="1"/>
  <c r="AE12" i="1" s="1"/>
  <c r="AL225" i="1"/>
  <c r="AL285" i="1"/>
  <c r="AL198" i="1"/>
  <c r="AL189" i="1"/>
  <c r="AL226" i="1"/>
  <c r="AL12" i="1"/>
  <c r="AO225" i="1"/>
  <c r="AO285" i="1"/>
  <c r="AO198" i="1"/>
  <c r="AO189" i="1"/>
  <c r="AO226" i="1"/>
  <c r="AO12" i="1"/>
  <c r="AP225" i="1"/>
  <c r="AP285" i="1"/>
  <c r="AP198" i="1"/>
  <c r="AP189" i="1"/>
  <c r="AP226" i="1"/>
  <c r="AP12" i="1"/>
  <c r="AP1312" i="1"/>
  <c r="AO1312" i="1"/>
  <c r="AL1312" i="1"/>
  <c r="AI1312" i="1"/>
  <c r="AF1312" i="1" s="1"/>
  <c r="A1312" i="1"/>
  <c r="AK1312" i="1" s="1"/>
  <c r="AP1306" i="1"/>
  <c r="AO1306" i="1"/>
  <c r="AL1306" i="1"/>
  <c r="AI1306" i="1"/>
  <c r="AF1306" i="1" s="1"/>
  <c r="A1306" i="1"/>
  <c r="AK1306" i="1" s="1"/>
  <c r="AP1287" i="1"/>
  <c r="AO1287" i="1"/>
  <c r="AL1287" i="1"/>
  <c r="AI1287" i="1"/>
  <c r="AE1287" i="1" s="1"/>
  <c r="A1287" i="1"/>
  <c r="AK1287" i="1" s="1"/>
  <c r="AP1243" i="1"/>
  <c r="AO1243" i="1"/>
  <c r="AL1243" i="1"/>
  <c r="AI1243" i="1"/>
  <c r="AF1243" i="1" s="1"/>
  <c r="A1243" i="1"/>
  <c r="AP1165" i="1"/>
  <c r="AO1165" i="1"/>
  <c r="AL1165" i="1"/>
  <c r="AI1165" i="1"/>
  <c r="AF1165" i="1" s="1"/>
  <c r="A1165" i="1"/>
  <c r="AP1311" i="1"/>
  <c r="AO1311" i="1"/>
  <c r="AL1311" i="1"/>
  <c r="AI1311" i="1"/>
  <c r="AF1311" i="1" s="1"/>
  <c r="A1311" i="1"/>
  <c r="AP1305" i="1"/>
  <c r="AO1305" i="1"/>
  <c r="AL1305" i="1"/>
  <c r="AI1305" i="1"/>
  <c r="AF1305" i="1" s="1"/>
  <c r="A1305" i="1"/>
  <c r="AP1286" i="1"/>
  <c r="AO1286" i="1"/>
  <c r="AL1286" i="1"/>
  <c r="AI1286" i="1"/>
  <c r="AF1286" i="1" s="1"/>
  <c r="A1286" i="1"/>
  <c r="AK1286" i="1" s="1"/>
  <c r="AP1242" i="1"/>
  <c r="AO1242" i="1"/>
  <c r="AL1242" i="1"/>
  <c r="AI1242" i="1"/>
  <c r="AE1242" i="1" s="1"/>
  <c r="A1242" i="1"/>
  <c r="AP1164" i="1"/>
  <c r="AO1164" i="1"/>
  <c r="AL1164" i="1"/>
  <c r="AI1164" i="1"/>
  <c r="AF1164" i="1" s="1"/>
  <c r="A1164" i="1"/>
  <c r="A982" i="1"/>
  <c r="AI982" i="1"/>
  <c r="AF982" i="1" s="1"/>
  <c r="AL982" i="1"/>
  <c r="AO982" i="1"/>
  <c r="AP982" i="1"/>
  <c r="A983" i="1"/>
  <c r="AI983" i="1"/>
  <c r="AF983" i="1" s="1"/>
  <c r="AL983" i="1"/>
  <c r="AO983" i="1"/>
  <c r="AP983" i="1"/>
  <c r="AP1262" i="1"/>
  <c r="AO1262" i="1"/>
  <c r="AL1262" i="1"/>
  <c r="AI1262" i="1"/>
  <c r="AF1262" i="1" s="1"/>
  <c r="A1262" i="1"/>
  <c r="AP818" i="1"/>
  <c r="AO818" i="1"/>
  <c r="AL818" i="1"/>
  <c r="AI818" i="1"/>
  <c r="AF818" i="1" s="1"/>
  <c r="A818" i="1"/>
  <c r="AP751" i="1"/>
  <c r="AO751" i="1"/>
  <c r="AL751" i="1"/>
  <c r="AI751" i="1"/>
  <c r="AF751" i="1" s="1"/>
  <c r="A751" i="1"/>
  <c r="AK751" i="1" s="1"/>
  <c r="AP677" i="1"/>
  <c r="AO677" i="1"/>
  <c r="AL677" i="1"/>
  <c r="AI677" i="1"/>
  <c r="AF677" i="1" s="1"/>
  <c r="A677" i="1"/>
  <c r="AP616" i="1"/>
  <c r="AO616" i="1"/>
  <c r="AL616" i="1"/>
  <c r="AI616" i="1"/>
  <c r="AF616" i="1" s="1"/>
  <c r="A616" i="1"/>
  <c r="AP224" i="1"/>
  <c r="AO224" i="1"/>
  <c r="AL224" i="1"/>
  <c r="AI224" i="1"/>
  <c r="AF224" i="1" s="1"/>
  <c r="A224" i="1"/>
  <c r="A1186" i="1"/>
  <c r="A81" i="1"/>
  <c r="AI1186" i="1"/>
  <c r="AE1186" i="1" s="1"/>
  <c r="AI81" i="1"/>
  <c r="AE81" i="1" s="1"/>
  <c r="AL1186" i="1"/>
  <c r="AL81" i="1"/>
  <c r="AO1186" i="1"/>
  <c r="AO81" i="1"/>
  <c r="AP1186" i="1"/>
  <c r="AP81" i="1"/>
  <c r="AP827" i="1"/>
  <c r="AO827" i="1"/>
  <c r="AL827" i="1"/>
  <c r="AI827" i="1"/>
  <c r="AE827" i="1" s="1"/>
  <c r="A827" i="1"/>
  <c r="AP766" i="1"/>
  <c r="AO766" i="1"/>
  <c r="AL766" i="1"/>
  <c r="AI766" i="1"/>
  <c r="AF766" i="1" s="1"/>
  <c r="A766" i="1"/>
  <c r="AP693" i="1"/>
  <c r="AO693" i="1"/>
  <c r="AL693" i="1"/>
  <c r="AI693" i="1"/>
  <c r="AF693" i="1" s="1"/>
  <c r="A693" i="1"/>
  <c r="AP636" i="1"/>
  <c r="AO636" i="1"/>
  <c r="AL636" i="1"/>
  <c r="AI636" i="1"/>
  <c r="AE636" i="1" s="1"/>
  <c r="A636" i="1"/>
  <c r="AP490" i="1"/>
  <c r="AO490" i="1"/>
  <c r="AL490" i="1"/>
  <c r="AI490" i="1"/>
  <c r="AF490" i="1" s="1"/>
  <c r="A490" i="1"/>
  <c r="A253" i="1"/>
  <c r="AI253" i="1"/>
  <c r="AF253" i="1" s="1"/>
  <c r="AL253" i="1"/>
  <c r="AO253" i="1"/>
  <c r="AP253" i="1"/>
  <c r="AP1315" i="1"/>
  <c r="AO1315" i="1"/>
  <c r="AL1315" i="1"/>
  <c r="AI1315" i="1"/>
  <c r="AF1315" i="1" s="1"/>
  <c r="A1315" i="1"/>
  <c r="AP1307" i="1"/>
  <c r="AO1307" i="1"/>
  <c r="AL1307" i="1"/>
  <c r="AI1307" i="1"/>
  <c r="AF1307" i="1" s="1"/>
  <c r="A1307" i="1"/>
  <c r="AP1277" i="1"/>
  <c r="AO1277" i="1"/>
  <c r="AL1277" i="1"/>
  <c r="AI1277" i="1"/>
  <c r="AF1277" i="1" s="1"/>
  <c r="A1277" i="1"/>
  <c r="AK1277" i="1" s="1"/>
  <c r="AP1212" i="1"/>
  <c r="AO1212" i="1"/>
  <c r="AL1212" i="1"/>
  <c r="AI1212" i="1"/>
  <c r="AE1212" i="1" s="1"/>
  <c r="A1212" i="1"/>
  <c r="AP1075" i="1"/>
  <c r="AO1075" i="1"/>
  <c r="AL1075" i="1"/>
  <c r="AI1075" i="1"/>
  <c r="AF1075" i="1" s="1"/>
  <c r="A1075" i="1"/>
  <c r="A290" i="1"/>
  <c r="AI290" i="1"/>
  <c r="AF290" i="1" s="1"/>
  <c r="AL290" i="1"/>
  <c r="AO290" i="1"/>
  <c r="AP290" i="1"/>
  <c r="A247" i="1"/>
  <c r="A91" i="1"/>
  <c r="A188" i="1"/>
  <c r="A74" i="1"/>
  <c r="A25" i="1"/>
  <c r="A26" i="1"/>
  <c r="A40" i="1"/>
  <c r="A41" i="1"/>
  <c r="A75" i="1"/>
  <c r="A76" i="1"/>
  <c r="A109" i="1"/>
  <c r="AI247" i="1"/>
  <c r="AE247" i="1" s="1"/>
  <c r="AI91" i="1"/>
  <c r="AE91" i="1" s="1"/>
  <c r="AI188" i="1"/>
  <c r="AF188" i="1" s="1"/>
  <c r="AI74" i="1"/>
  <c r="AF74" i="1" s="1"/>
  <c r="AI25" i="1"/>
  <c r="AE25" i="1" s="1"/>
  <c r="AI26" i="1"/>
  <c r="AE26" i="1" s="1"/>
  <c r="AI40" i="1"/>
  <c r="AE40" i="1" s="1"/>
  <c r="AI41" i="1"/>
  <c r="AE41" i="1" s="1"/>
  <c r="AI75" i="1"/>
  <c r="AF75" i="1" s="1"/>
  <c r="AI76" i="1"/>
  <c r="AF76" i="1" s="1"/>
  <c r="AI109" i="1"/>
  <c r="AF109" i="1" s="1"/>
  <c r="AL247" i="1"/>
  <c r="AL91" i="1"/>
  <c r="AL188" i="1"/>
  <c r="AL74" i="1"/>
  <c r="AL25" i="1"/>
  <c r="AL26" i="1"/>
  <c r="AL40" i="1"/>
  <c r="AL41" i="1"/>
  <c r="AL75" i="1"/>
  <c r="AL76" i="1"/>
  <c r="AL109" i="1"/>
  <c r="AO247" i="1"/>
  <c r="AO91" i="1"/>
  <c r="AO188" i="1"/>
  <c r="AO74" i="1"/>
  <c r="AO25" i="1"/>
  <c r="AO26" i="1"/>
  <c r="AO40" i="1"/>
  <c r="AO41" i="1"/>
  <c r="AO75" i="1"/>
  <c r="AO76" i="1"/>
  <c r="AO109" i="1"/>
  <c r="AP247" i="1"/>
  <c r="AP91" i="1"/>
  <c r="AP188" i="1"/>
  <c r="AP74" i="1"/>
  <c r="AP25" i="1"/>
  <c r="AP26" i="1"/>
  <c r="AP40" i="1"/>
  <c r="AP41" i="1"/>
  <c r="AP75" i="1"/>
  <c r="AP76" i="1"/>
  <c r="AP109" i="1"/>
  <c r="AP518" i="1"/>
  <c r="AO518" i="1"/>
  <c r="AL518" i="1"/>
  <c r="AI518" i="1"/>
  <c r="AE518" i="1" s="1"/>
  <c r="A518" i="1"/>
  <c r="AP317" i="1"/>
  <c r="AO317" i="1"/>
  <c r="AL317" i="1"/>
  <c r="AI317" i="1"/>
  <c r="AE317" i="1" s="1"/>
  <c r="A317" i="1"/>
  <c r="AP192" i="1"/>
  <c r="AO192" i="1"/>
  <c r="AL192" i="1"/>
  <c r="AI192" i="1"/>
  <c r="AF192" i="1" s="1"/>
  <c r="A192" i="1"/>
  <c r="A57" i="1"/>
  <c r="AI57" i="1"/>
  <c r="AE57" i="1" s="1"/>
  <c r="AL57" i="1"/>
  <c r="AO57" i="1"/>
  <c r="AP57" i="1"/>
  <c r="U33" i="2"/>
  <c r="V33" i="2"/>
  <c r="Y33" i="2"/>
  <c r="AA33" i="2" s="1"/>
  <c r="AB33" i="2"/>
  <c r="AC33" i="2"/>
  <c r="AF33" i="2"/>
  <c r="AG33" i="2"/>
  <c r="A34" i="2"/>
  <c r="A35" i="2"/>
  <c r="AP421" i="1"/>
  <c r="AO421" i="1"/>
  <c r="AL421" i="1"/>
  <c r="AI421" i="1"/>
  <c r="AF421" i="1" s="1"/>
  <c r="A421" i="1"/>
  <c r="AP420" i="1"/>
  <c r="AO420" i="1"/>
  <c r="AL420" i="1"/>
  <c r="AI420" i="1"/>
  <c r="AF420" i="1" s="1"/>
  <c r="A420" i="1"/>
  <c r="AK420" i="1" s="1"/>
  <c r="AP315" i="1"/>
  <c r="AO315" i="1"/>
  <c r="AL315" i="1"/>
  <c r="AI315" i="1"/>
  <c r="AF315" i="1" s="1"/>
  <c r="A315" i="1"/>
  <c r="AP314" i="1"/>
  <c r="AO314" i="1"/>
  <c r="AL314" i="1"/>
  <c r="AI314" i="1"/>
  <c r="AF314" i="1" s="1"/>
  <c r="A314" i="1"/>
  <c r="AP190" i="1"/>
  <c r="AO190" i="1"/>
  <c r="AL190" i="1"/>
  <c r="AI190" i="1"/>
  <c r="AF190" i="1" s="1"/>
  <c r="A190" i="1"/>
  <c r="AP1018" i="1"/>
  <c r="AO1018" i="1"/>
  <c r="AL1018" i="1"/>
  <c r="AI1018" i="1"/>
  <c r="AF1018" i="1" s="1"/>
  <c r="A1018" i="1"/>
  <c r="AP1179" i="1"/>
  <c r="AO1179" i="1"/>
  <c r="AL1179" i="1"/>
  <c r="AI1179" i="1"/>
  <c r="AF1179" i="1" s="1"/>
  <c r="A1179" i="1"/>
  <c r="AP1156" i="1"/>
  <c r="AO1156" i="1"/>
  <c r="AL1156" i="1"/>
  <c r="AI1156" i="1"/>
  <c r="AF1156" i="1" s="1"/>
  <c r="A1156" i="1"/>
  <c r="AP1102" i="1"/>
  <c r="AO1102" i="1"/>
  <c r="AL1102" i="1"/>
  <c r="AI1102" i="1"/>
  <c r="AF1102" i="1" s="1"/>
  <c r="A1102" i="1"/>
  <c r="AK1102" i="1" s="1"/>
  <c r="AP309" i="1"/>
  <c r="AO309" i="1"/>
  <c r="AL309" i="1"/>
  <c r="AI309" i="1"/>
  <c r="AE309" i="1" s="1"/>
  <c r="A309" i="1"/>
  <c r="AP308" i="1"/>
  <c r="AO308" i="1"/>
  <c r="AL308" i="1"/>
  <c r="AI308" i="1"/>
  <c r="AF308" i="1" s="1"/>
  <c r="A308" i="1"/>
  <c r="AK308" i="1" s="1"/>
  <c r="AP307" i="1"/>
  <c r="AO307" i="1"/>
  <c r="AL307" i="1"/>
  <c r="AI307" i="1"/>
  <c r="AF307" i="1" s="1"/>
  <c r="A307" i="1"/>
  <c r="AK307" i="1" s="1"/>
  <c r="AP177" i="1"/>
  <c r="AO177" i="1"/>
  <c r="AL177" i="1"/>
  <c r="AI177" i="1"/>
  <c r="AF177" i="1" s="1"/>
  <c r="A177" i="1"/>
  <c r="AK177" i="1" s="1"/>
  <c r="AP176" i="1"/>
  <c r="AO176" i="1"/>
  <c r="AL176" i="1"/>
  <c r="AI176" i="1"/>
  <c r="AF176" i="1" s="1"/>
  <c r="A176" i="1"/>
  <c r="AP175" i="1"/>
  <c r="AO175" i="1"/>
  <c r="AL175" i="1"/>
  <c r="AI175" i="1"/>
  <c r="AE175" i="1" s="1"/>
  <c r="A175" i="1"/>
  <c r="AP43" i="1"/>
  <c r="AO43" i="1"/>
  <c r="AL43" i="1"/>
  <c r="AI43" i="1"/>
  <c r="AF43" i="1" s="1"/>
  <c r="A43" i="1"/>
  <c r="U34" i="2"/>
  <c r="V34" i="2"/>
  <c r="Y34" i="2"/>
  <c r="AA34" i="2" s="1"/>
  <c r="AB34" i="2"/>
  <c r="AC34" i="2"/>
  <c r="AF34" i="2"/>
  <c r="AG34" i="2"/>
  <c r="AF35" i="2"/>
  <c r="AG35" i="2"/>
  <c r="AF36" i="2"/>
  <c r="AG36" i="2"/>
  <c r="AP669" i="1"/>
  <c r="AO669" i="1"/>
  <c r="AL669" i="1"/>
  <c r="AI669" i="1"/>
  <c r="AF669" i="1" s="1"/>
  <c r="A669" i="1"/>
  <c r="AK669" i="1" s="1"/>
  <c r="A292" i="1"/>
  <c r="A36" i="2"/>
  <c r="A37" i="2"/>
  <c r="AP1187" i="1"/>
  <c r="AO1187" i="1"/>
  <c r="AL1187" i="1"/>
  <c r="AI1187" i="1"/>
  <c r="AF1187" i="1" s="1"/>
  <c r="A1187" i="1"/>
  <c r="AP1071" i="1"/>
  <c r="AO1071" i="1"/>
  <c r="AL1071" i="1"/>
  <c r="AI1071" i="1"/>
  <c r="AF1071" i="1" s="1"/>
  <c r="A1071" i="1"/>
  <c r="AP978" i="1"/>
  <c r="AO978" i="1"/>
  <c r="AL978" i="1"/>
  <c r="AI978" i="1"/>
  <c r="AE978" i="1" s="1"/>
  <c r="A978" i="1"/>
  <c r="AP774" i="1"/>
  <c r="AO774" i="1"/>
  <c r="AL774" i="1"/>
  <c r="AI774" i="1"/>
  <c r="AF774" i="1" s="1"/>
  <c r="A774" i="1"/>
  <c r="AP1120" i="1"/>
  <c r="AO1120" i="1"/>
  <c r="AL1120" i="1"/>
  <c r="AI1120" i="1"/>
  <c r="AF1120" i="1" s="1"/>
  <c r="A1120" i="1"/>
  <c r="AP1061" i="1"/>
  <c r="AO1061" i="1"/>
  <c r="AL1061" i="1"/>
  <c r="AI1061" i="1"/>
  <c r="AE1061" i="1" s="1"/>
  <c r="A1061" i="1"/>
  <c r="AP1299" i="1"/>
  <c r="AO1299" i="1"/>
  <c r="AL1299" i="1"/>
  <c r="AI1299" i="1"/>
  <c r="AF1299" i="1" s="1"/>
  <c r="A1299" i="1"/>
  <c r="AP1263" i="1"/>
  <c r="AO1263" i="1"/>
  <c r="AL1263" i="1"/>
  <c r="AI1263" i="1"/>
  <c r="AF1263" i="1" s="1"/>
  <c r="A1263" i="1"/>
  <c r="A1207" i="1"/>
  <c r="A1228" i="1"/>
  <c r="A115" i="1"/>
  <c r="AI1207" i="1"/>
  <c r="AF1207" i="1" s="1"/>
  <c r="AI1228" i="1"/>
  <c r="AE1228" i="1" s="1"/>
  <c r="AI115" i="1"/>
  <c r="AF115" i="1" s="1"/>
  <c r="AL1207" i="1"/>
  <c r="AL1228" i="1"/>
  <c r="AL115" i="1"/>
  <c r="AO1207" i="1"/>
  <c r="AO1228" i="1"/>
  <c r="AO115" i="1"/>
  <c r="AP1207" i="1"/>
  <c r="AP1228" i="1"/>
  <c r="AP115" i="1"/>
  <c r="A254" i="1"/>
  <c r="A596" i="1"/>
  <c r="AI254" i="1"/>
  <c r="AF254" i="1" s="1"/>
  <c r="AI596" i="1"/>
  <c r="AE596" i="1" s="1"/>
  <c r="AI292" i="1"/>
  <c r="AF292" i="1" s="1"/>
  <c r="AL254" i="1"/>
  <c r="AL596" i="1"/>
  <c r="AL292" i="1"/>
  <c r="AO254" i="1"/>
  <c r="AO596" i="1"/>
  <c r="AO292" i="1"/>
  <c r="AP254" i="1"/>
  <c r="AP596" i="1"/>
  <c r="AP292" i="1"/>
  <c r="A42" i="1"/>
  <c r="AI42" i="1"/>
  <c r="AF42" i="1" s="1"/>
  <c r="AL42" i="1"/>
  <c r="AO42" i="1"/>
  <c r="AP42" i="1"/>
  <c r="A913" i="1"/>
  <c r="A113" i="1"/>
  <c r="AI913" i="1"/>
  <c r="AE913" i="1" s="1"/>
  <c r="AI113" i="1"/>
  <c r="AF113" i="1" s="1"/>
  <c r="AL913" i="1"/>
  <c r="AL113" i="1"/>
  <c r="AO913" i="1"/>
  <c r="AO113" i="1"/>
  <c r="AP913" i="1"/>
  <c r="AP113" i="1"/>
  <c r="A51" i="1"/>
  <c r="AI51" i="1"/>
  <c r="AE51" i="1" s="1"/>
  <c r="AL51" i="1"/>
  <c r="AO51" i="1"/>
  <c r="AP51" i="1"/>
  <c r="AP1294" i="1"/>
  <c r="AO1294" i="1"/>
  <c r="AL1294" i="1"/>
  <c r="AI1294" i="1"/>
  <c r="AF1294" i="1" s="1"/>
  <c r="A1294" i="1"/>
  <c r="AK1294" i="1" s="1"/>
  <c r="AP1290" i="1"/>
  <c r="AO1290" i="1"/>
  <c r="AL1290" i="1"/>
  <c r="AI1290" i="1"/>
  <c r="AF1290" i="1" s="1"/>
  <c r="A1290" i="1"/>
  <c r="AP1273" i="1"/>
  <c r="AO1273" i="1"/>
  <c r="AL1273" i="1"/>
  <c r="AI1273" i="1"/>
  <c r="AF1273" i="1" s="1"/>
  <c r="A1273" i="1"/>
  <c r="AP1244" i="1"/>
  <c r="AO1244" i="1"/>
  <c r="AL1244" i="1"/>
  <c r="AI1244" i="1"/>
  <c r="AF1244" i="1" s="1"/>
  <c r="A1244" i="1"/>
  <c r="AP1214" i="1"/>
  <c r="AO1214" i="1"/>
  <c r="AL1214" i="1"/>
  <c r="AI1214" i="1"/>
  <c r="AE1214" i="1" s="1"/>
  <c r="A1214" i="1"/>
  <c r="AK1214" i="1" s="1"/>
  <c r="AP1166" i="1"/>
  <c r="AO1166" i="1"/>
  <c r="AL1166" i="1"/>
  <c r="AI1166" i="1"/>
  <c r="AF1166" i="1" s="1"/>
  <c r="A1166" i="1"/>
  <c r="AP1108" i="1"/>
  <c r="AO1108" i="1"/>
  <c r="AL1108" i="1"/>
  <c r="AI1108" i="1"/>
  <c r="AF1108" i="1" s="1"/>
  <c r="A1108" i="1"/>
  <c r="AP1043" i="1"/>
  <c r="AO1043" i="1"/>
  <c r="AL1043" i="1"/>
  <c r="AI1043" i="1"/>
  <c r="AF1043" i="1" s="1"/>
  <c r="A1043" i="1"/>
  <c r="AP921" i="1"/>
  <c r="AO921" i="1"/>
  <c r="AL921" i="1"/>
  <c r="AI921" i="1"/>
  <c r="AF921" i="1" s="1"/>
  <c r="A921" i="1"/>
  <c r="AP817" i="1"/>
  <c r="AO817" i="1"/>
  <c r="AL817" i="1"/>
  <c r="AI817" i="1"/>
  <c r="AF817" i="1" s="1"/>
  <c r="A817" i="1"/>
  <c r="AK817" i="1" s="1"/>
  <c r="AP748" i="1"/>
  <c r="AO748" i="1"/>
  <c r="AL748" i="1"/>
  <c r="AI748" i="1"/>
  <c r="AF748" i="1" s="1"/>
  <c r="A748" i="1"/>
  <c r="AP670" i="1"/>
  <c r="AO670" i="1"/>
  <c r="AL670" i="1"/>
  <c r="AI670" i="1"/>
  <c r="AE670" i="1" s="1"/>
  <c r="A670" i="1"/>
  <c r="AK670" i="1" s="1"/>
  <c r="AP601" i="1"/>
  <c r="AO601" i="1"/>
  <c r="AL601" i="1"/>
  <c r="AI601" i="1"/>
  <c r="AE601" i="1" s="1"/>
  <c r="A601" i="1"/>
  <c r="AP600" i="1"/>
  <c r="AO600" i="1"/>
  <c r="AL600" i="1"/>
  <c r="AI600" i="1"/>
  <c r="AE600" i="1" s="1"/>
  <c r="A600" i="1"/>
  <c r="AP516" i="1"/>
  <c r="AO516" i="1"/>
  <c r="AL516" i="1"/>
  <c r="AI516" i="1"/>
  <c r="AF516" i="1" s="1"/>
  <c r="A516" i="1"/>
  <c r="AK516" i="1" s="1"/>
  <c r="AP515" i="1"/>
  <c r="AO515" i="1"/>
  <c r="AL515" i="1"/>
  <c r="AI515" i="1"/>
  <c r="AF515" i="1" s="1"/>
  <c r="A515" i="1"/>
  <c r="AK515" i="1" s="1"/>
  <c r="AP404" i="1"/>
  <c r="AO404" i="1"/>
  <c r="AL404" i="1"/>
  <c r="AI404" i="1"/>
  <c r="AF404" i="1" s="1"/>
  <c r="A404" i="1"/>
  <c r="AP403" i="1"/>
  <c r="AO403" i="1"/>
  <c r="AL403" i="1"/>
  <c r="AI403" i="1"/>
  <c r="AF403" i="1" s="1"/>
  <c r="A403" i="1"/>
  <c r="AK403" i="1" s="1"/>
  <c r="AP295" i="1"/>
  <c r="AO295" i="1"/>
  <c r="AL295" i="1"/>
  <c r="AI295" i="1"/>
  <c r="AE295" i="1" s="1"/>
  <c r="A295" i="1"/>
  <c r="AP294" i="1"/>
  <c r="AO294" i="1"/>
  <c r="AL294" i="1"/>
  <c r="AI294" i="1"/>
  <c r="AE294" i="1" s="1"/>
  <c r="A294" i="1"/>
  <c r="AP128" i="1"/>
  <c r="AO128" i="1"/>
  <c r="AL128" i="1"/>
  <c r="AI128" i="1"/>
  <c r="AE128" i="1" s="1"/>
  <c r="A128" i="1"/>
  <c r="AP127" i="1"/>
  <c r="AO127" i="1"/>
  <c r="AL127" i="1"/>
  <c r="AI127" i="1"/>
  <c r="AF127" i="1" s="1"/>
  <c r="A127" i="1"/>
  <c r="AK127" i="1" s="1"/>
  <c r="AP7" i="1"/>
  <c r="AO7" i="1"/>
  <c r="AL7" i="1"/>
  <c r="AI7" i="1"/>
  <c r="AF7" i="1" s="1"/>
  <c r="A7" i="1"/>
  <c r="AK7" i="1" s="1"/>
  <c r="R428" i="1" l="1"/>
  <c r="R625" i="1"/>
  <c r="R551" i="1"/>
  <c r="R752" i="1"/>
  <c r="W550" i="1"/>
  <c r="S480" i="1"/>
  <c r="S235" i="1"/>
  <c r="S234" i="1"/>
  <c r="W1144" i="1"/>
  <c r="S907" i="1"/>
  <c r="R236" i="1"/>
  <c r="S752" i="1"/>
  <c r="R481" i="1"/>
  <c r="W236" i="1"/>
  <c r="S625" i="1"/>
  <c r="S481" i="1"/>
  <c r="W480" i="1"/>
  <c r="R372" i="1"/>
  <c r="W235" i="1"/>
  <c r="W907" i="1"/>
  <c r="R1091" i="1"/>
  <c r="W752" i="1"/>
  <c r="R234" i="1"/>
  <c r="S1173" i="1"/>
  <c r="W625" i="1"/>
  <c r="W481" i="1"/>
  <c r="R373" i="1"/>
  <c r="S372" i="1"/>
  <c r="R1173" i="1"/>
  <c r="W1173" i="1"/>
  <c r="S1091" i="1"/>
  <c r="S551" i="1"/>
  <c r="W551" i="1"/>
  <c r="S236" i="1"/>
  <c r="W373" i="1"/>
  <c r="W234" i="1"/>
  <c r="S1144" i="1"/>
  <c r="R907" i="1"/>
  <c r="R235" i="1"/>
  <c r="S373" i="1"/>
  <c r="R1144" i="1"/>
  <c r="W1091" i="1"/>
  <c r="R550" i="1"/>
  <c r="W372" i="1"/>
  <c r="S550" i="1"/>
  <c r="R480" i="1"/>
  <c r="R326" i="1"/>
  <c r="AE524" i="1"/>
  <c r="AF523" i="1"/>
  <c r="AF429" i="1"/>
  <c r="AE428" i="1"/>
  <c r="R523" i="1"/>
  <c r="S523" i="1"/>
  <c r="W523" i="1"/>
  <c r="AK523" i="1"/>
  <c r="R603" i="1"/>
  <c r="AE603" i="1"/>
  <c r="S603" i="1"/>
  <c r="W603" i="1"/>
  <c r="AK603" i="1"/>
  <c r="R524" i="1"/>
  <c r="S524" i="1"/>
  <c r="W524" i="1"/>
  <c r="AK524" i="1"/>
  <c r="R429" i="1"/>
  <c r="S429" i="1"/>
  <c r="W429" i="1"/>
  <c r="S428" i="1"/>
  <c r="W428" i="1"/>
  <c r="AK428" i="1"/>
  <c r="AE326" i="1"/>
  <c r="S326" i="1"/>
  <c r="W326" i="1"/>
  <c r="AK326" i="1"/>
  <c r="AK189" i="1"/>
  <c r="AF1287" i="1"/>
  <c r="J59" i="7" s="1"/>
  <c r="AE1165" i="1"/>
  <c r="AE1311" i="1"/>
  <c r="AK226" i="1"/>
  <c r="AK225" i="1"/>
  <c r="AK982" i="1"/>
  <c r="AK983" i="1"/>
  <c r="AF1242" i="1"/>
  <c r="AE1286" i="1"/>
  <c r="AE1312" i="1"/>
  <c r="AK12" i="1"/>
  <c r="AF12" i="1"/>
  <c r="AF226" i="1"/>
  <c r="AK198" i="1"/>
  <c r="AF189" i="1"/>
  <c r="AF198" i="1"/>
  <c r="AF285" i="1"/>
  <c r="AF225" i="1"/>
  <c r="AE1306" i="1"/>
  <c r="AE1243" i="1"/>
  <c r="AK1243" i="1"/>
  <c r="AK1165" i="1"/>
  <c r="AK1311" i="1"/>
  <c r="AE1305" i="1"/>
  <c r="AK1305" i="1"/>
  <c r="AK1242" i="1"/>
  <c r="AE1164" i="1"/>
  <c r="AK1164" i="1"/>
  <c r="AK1186" i="1"/>
  <c r="AE982" i="1"/>
  <c r="AE983" i="1"/>
  <c r="AK81" i="1"/>
  <c r="AE751" i="1"/>
  <c r="AE818" i="1"/>
  <c r="AE1262" i="1"/>
  <c r="AK1262" i="1"/>
  <c r="AK818" i="1"/>
  <c r="AE677" i="1"/>
  <c r="AK677" i="1"/>
  <c r="AE616" i="1"/>
  <c r="AK616" i="1"/>
  <c r="AE224" i="1"/>
  <c r="AK224" i="1"/>
  <c r="AE490" i="1"/>
  <c r="AF81" i="1"/>
  <c r="AF1186" i="1"/>
  <c r="AF827" i="1"/>
  <c r="AE766" i="1"/>
  <c r="AK253" i="1"/>
  <c r="AF636" i="1"/>
  <c r="AK827" i="1"/>
  <c r="AK766" i="1"/>
  <c r="AE693" i="1"/>
  <c r="AK693" i="1"/>
  <c r="AK636" i="1"/>
  <c r="AK490" i="1"/>
  <c r="AE253" i="1"/>
  <c r="AK188" i="1"/>
  <c r="AK91" i="1"/>
  <c r="AK41" i="1"/>
  <c r="AK109" i="1"/>
  <c r="AK247" i="1"/>
  <c r="AF1212" i="1"/>
  <c r="AK1212" i="1"/>
  <c r="AE1277" i="1"/>
  <c r="AE1315" i="1"/>
  <c r="AK290" i="1"/>
  <c r="AK1315" i="1"/>
  <c r="AE1307" i="1"/>
  <c r="AK1307" i="1"/>
  <c r="AE1075" i="1"/>
  <c r="AK1075" i="1"/>
  <c r="AE290" i="1"/>
  <c r="AK40" i="1"/>
  <c r="AK75" i="1"/>
  <c r="AK74" i="1"/>
  <c r="AE75" i="1"/>
  <c r="AF518" i="1"/>
  <c r="AK25" i="1"/>
  <c r="AF317" i="1"/>
  <c r="AE76" i="1"/>
  <c r="AE74" i="1"/>
  <c r="AE188" i="1"/>
  <c r="AK76" i="1"/>
  <c r="AF25" i="1"/>
  <c r="AF41" i="1"/>
  <c r="AF26" i="1"/>
  <c r="AE109" i="1"/>
  <c r="AF91" i="1"/>
  <c r="AF247" i="1"/>
  <c r="AK26" i="1"/>
  <c r="AF40" i="1"/>
  <c r="AE192" i="1"/>
  <c r="AK57" i="1"/>
  <c r="AK518" i="1"/>
  <c r="AK317" i="1"/>
  <c r="AK192" i="1"/>
  <c r="AF57" i="1"/>
  <c r="AE308" i="1"/>
  <c r="AE1018" i="1"/>
  <c r="AE190" i="1"/>
  <c r="AK1156" i="1"/>
  <c r="AE1179" i="1"/>
  <c r="AE307" i="1"/>
  <c r="AE420" i="1"/>
  <c r="AE669" i="1"/>
  <c r="AF309" i="1"/>
  <c r="AE1102" i="1"/>
  <c r="AE43" i="1"/>
  <c r="AF175" i="1"/>
  <c r="AE421" i="1"/>
  <c r="AK421" i="1"/>
  <c r="AE315" i="1"/>
  <c r="AK315" i="1"/>
  <c r="AE314" i="1"/>
  <c r="AK314" i="1"/>
  <c r="AK190" i="1"/>
  <c r="AK1018" i="1"/>
  <c r="AK1179" i="1"/>
  <c r="AE1156" i="1"/>
  <c r="AK309" i="1"/>
  <c r="AE177" i="1"/>
  <c r="AE176" i="1"/>
  <c r="AK176" i="1"/>
  <c r="AK175" i="1"/>
  <c r="AK43" i="1"/>
  <c r="AF295" i="1"/>
  <c r="AF600" i="1"/>
  <c r="AE1187" i="1"/>
  <c r="AF1061" i="1"/>
  <c r="AK596" i="1"/>
  <c r="AF670" i="1"/>
  <c r="AF978" i="1"/>
  <c r="AK913" i="1"/>
  <c r="AE292" i="1"/>
  <c r="AK1228" i="1"/>
  <c r="AK1187" i="1"/>
  <c r="AE1071" i="1"/>
  <c r="AK1071" i="1"/>
  <c r="AK978" i="1"/>
  <c r="AK254" i="1"/>
  <c r="AK1207" i="1"/>
  <c r="AK51" i="1"/>
  <c r="AE774" i="1"/>
  <c r="AK774" i="1"/>
  <c r="AK128" i="1"/>
  <c r="AK601" i="1"/>
  <c r="AK748" i="1"/>
  <c r="AF913" i="1"/>
  <c r="AK294" i="1"/>
  <c r="AK42" i="1"/>
  <c r="AK113" i="1"/>
  <c r="AK295" i="1"/>
  <c r="AK404" i="1"/>
  <c r="AK600" i="1"/>
  <c r="AK115" i="1"/>
  <c r="AE1299" i="1"/>
  <c r="AE1120" i="1"/>
  <c r="AK1120" i="1"/>
  <c r="AK1061" i="1"/>
  <c r="AE115" i="1"/>
  <c r="AK1299" i="1"/>
  <c r="AE1263" i="1"/>
  <c r="AK1263" i="1"/>
  <c r="AE1207" i="1"/>
  <c r="AF1228" i="1"/>
  <c r="AE254" i="1"/>
  <c r="AE42" i="1"/>
  <c r="AF596" i="1"/>
  <c r="AE113" i="1"/>
  <c r="AE127" i="1"/>
  <c r="AF294" i="1"/>
  <c r="AK292" i="1"/>
  <c r="AE404" i="1"/>
  <c r="AF51" i="1"/>
  <c r="AE516" i="1"/>
  <c r="AE1244" i="1"/>
  <c r="AF128" i="1"/>
  <c r="AE403" i="1"/>
  <c r="AE748" i="1"/>
  <c r="AE7" i="1"/>
  <c r="AE1166" i="1"/>
  <c r="AE1273" i="1"/>
  <c r="AE817" i="1"/>
  <c r="AF601" i="1"/>
  <c r="AF1214" i="1"/>
  <c r="AE515" i="1"/>
  <c r="AE1294" i="1"/>
  <c r="AE1290" i="1"/>
  <c r="AK1290" i="1"/>
  <c r="AK1273" i="1"/>
  <c r="AK1244" i="1"/>
  <c r="AK1166" i="1"/>
  <c r="AE1108" i="1"/>
  <c r="AK1108" i="1"/>
  <c r="AE1043" i="1"/>
  <c r="AK1043" i="1"/>
  <c r="AE921" i="1"/>
  <c r="AK921" i="1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108" i="7"/>
  <c r="A6" i="1"/>
  <c r="AI6" i="1"/>
  <c r="AF6" i="1" s="1"/>
  <c r="AL6" i="1"/>
  <c r="AO6" i="1"/>
  <c r="AP6" i="1"/>
  <c r="A61" i="1"/>
  <c r="A5" i="1"/>
  <c r="A84" i="1"/>
  <c r="A53" i="1"/>
  <c r="A85" i="1"/>
  <c r="A60" i="1"/>
  <c r="A29" i="1"/>
  <c r="AI60" i="1"/>
  <c r="AF60" i="1" s="1"/>
  <c r="AI29" i="1"/>
  <c r="AE29" i="1" s="1"/>
  <c r="AL60" i="1"/>
  <c r="AL29" i="1"/>
  <c r="AO60" i="1"/>
  <c r="AO29" i="1"/>
  <c r="AP60" i="1"/>
  <c r="AP29" i="1"/>
  <c r="A126" i="1"/>
  <c r="A30" i="1"/>
  <c r="A82" i="1"/>
  <c r="A4" i="1"/>
  <c r="A83" i="1"/>
  <c r="A31" i="1"/>
  <c r="AI126" i="1"/>
  <c r="AF126" i="1" s="1"/>
  <c r="AI30" i="1"/>
  <c r="AF30" i="1" s="1"/>
  <c r="AI82" i="1"/>
  <c r="AF82" i="1" s="1"/>
  <c r="AI4" i="1"/>
  <c r="AE4" i="1" s="1"/>
  <c r="AI83" i="1"/>
  <c r="AE83" i="1" s="1"/>
  <c r="AI31" i="1"/>
  <c r="AE31" i="1" s="1"/>
  <c r="AL126" i="1"/>
  <c r="AL30" i="1"/>
  <c r="AL82" i="1"/>
  <c r="AL4" i="1"/>
  <c r="AL83" i="1"/>
  <c r="AL31" i="1"/>
  <c r="AO126" i="1"/>
  <c r="AO30" i="1"/>
  <c r="AO82" i="1"/>
  <c r="AO4" i="1"/>
  <c r="AO83" i="1"/>
  <c r="AO31" i="1"/>
  <c r="AP126" i="1"/>
  <c r="AP30" i="1"/>
  <c r="AP82" i="1"/>
  <c r="AP4" i="1"/>
  <c r="AP83" i="1"/>
  <c r="AP31" i="1"/>
  <c r="A8" i="1"/>
  <c r="AI61" i="1"/>
  <c r="AF61" i="1" s="1"/>
  <c r="AI5" i="1"/>
  <c r="AE5" i="1" s="1"/>
  <c r="AI84" i="1"/>
  <c r="AE84" i="1" s="1"/>
  <c r="AI53" i="1"/>
  <c r="AE53" i="1" s="1"/>
  <c r="AI85" i="1"/>
  <c r="AE85" i="1" s="1"/>
  <c r="AI8" i="1"/>
  <c r="AE8" i="1" s="1"/>
  <c r="AL61" i="1"/>
  <c r="AL5" i="1"/>
  <c r="AL84" i="1"/>
  <c r="AL53" i="1"/>
  <c r="AL85" i="1"/>
  <c r="AL8" i="1"/>
  <c r="AO61" i="1"/>
  <c r="AO5" i="1"/>
  <c r="AO84" i="1"/>
  <c r="AO53" i="1"/>
  <c r="AO85" i="1"/>
  <c r="AO8" i="1"/>
  <c r="AP61" i="1"/>
  <c r="AP5" i="1"/>
  <c r="AP84" i="1"/>
  <c r="AP53" i="1"/>
  <c r="AP85" i="1"/>
  <c r="AP8" i="1"/>
  <c r="I59" i="7" l="1"/>
  <c r="H59" i="7"/>
  <c r="K59" i="7"/>
  <c r="AK126" i="1"/>
  <c r="AK5" i="1"/>
  <c r="H108" i="7"/>
  <c r="AK6" i="1"/>
  <c r="K108" i="7"/>
  <c r="J108" i="7"/>
  <c r="I108" i="7"/>
  <c r="AE6" i="1"/>
  <c r="AK61" i="1"/>
  <c r="AK31" i="1"/>
  <c r="AK82" i="1"/>
  <c r="AK84" i="1"/>
  <c r="AK30" i="1"/>
  <c r="AK53" i="1"/>
  <c r="AE82" i="1"/>
  <c r="AK8" i="1"/>
  <c r="AF4" i="1"/>
  <c r="AK4" i="1"/>
  <c r="AK29" i="1"/>
  <c r="AF5" i="1"/>
  <c r="AF31" i="1"/>
  <c r="AE60" i="1"/>
  <c r="AE126" i="1"/>
  <c r="AF29" i="1"/>
  <c r="AK60" i="1"/>
  <c r="AF85" i="1"/>
  <c r="AF53" i="1"/>
  <c r="AF84" i="1"/>
  <c r="AE30" i="1"/>
  <c r="AF83" i="1"/>
  <c r="AK83" i="1"/>
  <c r="AF8" i="1"/>
  <c r="AE61" i="1"/>
  <c r="AK85" i="1"/>
  <c r="AP325" i="1"/>
  <c r="AO325" i="1"/>
  <c r="AL325" i="1"/>
  <c r="AI325" i="1"/>
  <c r="AF325" i="1" s="1"/>
  <c r="A325" i="1"/>
  <c r="AK325" i="1" s="1"/>
  <c r="AP203" i="1"/>
  <c r="AO203" i="1"/>
  <c r="AL203" i="1"/>
  <c r="AI203" i="1"/>
  <c r="AF203" i="1" s="1"/>
  <c r="A203" i="1"/>
  <c r="AP202" i="1"/>
  <c r="AO202" i="1"/>
  <c r="AL202" i="1"/>
  <c r="AI202" i="1"/>
  <c r="AF202" i="1" s="1"/>
  <c r="A202" i="1"/>
  <c r="AP201" i="1"/>
  <c r="AO201" i="1"/>
  <c r="AL201" i="1"/>
  <c r="AI201" i="1"/>
  <c r="AE201" i="1" s="1"/>
  <c r="A201" i="1"/>
  <c r="AP62" i="1"/>
  <c r="AO62" i="1"/>
  <c r="AL62" i="1"/>
  <c r="AI62" i="1"/>
  <c r="AF62" i="1" s="1"/>
  <c r="A62" i="1"/>
  <c r="AK62" i="1" s="1"/>
  <c r="AP1125" i="1"/>
  <c r="AO1125" i="1"/>
  <c r="AL1125" i="1"/>
  <c r="AI1125" i="1"/>
  <c r="AE1125" i="1" s="1"/>
  <c r="A1125" i="1"/>
  <c r="AP1270" i="1"/>
  <c r="AO1270" i="1"/>
  <c r="AL1270" i="1"/>
  <c r="AI1270" i="1"/>
  <c r="AE1270" i="1" s="1"/>
  <c r="A1270" i="1"/>
  <c r="AK1270" i="1" s="1"/>
  <c r="AP1057" i="1"/>
  <c r="AO1057" i="1"/>
  <c r="AL1057" i="1"/>
  <c r="AI1057" i="1"/>
  <c r="AE1057" i="1" s="1"/>
  <c r="A1057" i="1"/>
  <c r="AP1124" i="1"/>
  <c r="AO1124" i="1"/>
  <c r="AL1124" i="1"/>
  <c r="AI1124" i="1"/>
  <c r="AF1124" i="1" s="1"/>
  <c r="A1124" i="1"/>
  <c r="A906" i="1"/>
  <c r="A98" i="1"/>
  <c r="A117" i="1"/>
  <c r="A803" i="1"/>
  <c r="A124" i="1"/>
  <c r="AI906" i="1"/>
  <c r="AF906" i="1" s="1"/>
  <c r="AI98" i="1"/>
  <c r="AE98" i="1" s="1"/>
  <c r="AI117" i="1"/>
  <c r="AE117" i="1" s="1"/>
  <c r="AI803" i="1"/>
  <c r="AF803" i="1" s="1"/>
  <c r="AI124" i="1"/>
  <c r="AF124" i="1" s="1"/>
  <c r="AL906" i="1"/>
  <c r="AL98" i="1"/>
  <c r="AL117" i="1"/>
  <c r="AL803" i="1"/>
  <c r="AL124" i="1"/>
  <c r="AO906" i="1"/>
  <c r="AO98" i="1"/>
  <c r="AO117" i="1"/>
  <c r="AO803" i="1"/>
  <c r="AO124" i="1"/>
  <c r="AP906" i="1"/>
  <c r="AP98" i="1"/>
  <c r="AP117" i="1"/>
  <c r="AP803" i="1"/>
  <c r="AP124" i="1"/>
  <c r="A123" i="1"/>
  <c r="A63" i="1"/>
  <c r="AI123" i="1"/>
  <c r="AF123" i="1" s="1"/>
  <c r="AI63" i="1"/>
  <c r="AF63" i="1" s="1"/>
  <c r="AL123" i="1"/>
  <c r="AL63" i="1"/>
  <c r="AO123" i="1"/>
  <c r="AO63" i="1"/>
  <c r="AP123" i="1"/>
  <c r="AP63" i="1"/>
  <c r="A86" i="1"/>
  <c r="A103" i="1"/>
  <c r="AI86" i="1"/>
  <c r="AF86" i="1" s="1"/>
  <c r="AI103" i="1"/>
  <c r="AF103" i="1" s="1"/>
  <c r="AL86" i="1"/>
  <c r="AL103" i="1"/>
  <c r="AO86" i="1"/>
  <c r="AO103" i="1"/>
  <c r="AP86" i="1"/>
  <c r="AP103" i="1"/>
  <c r="A104" i="1"/>
  <c r="AI104" i="1"/>
  <c r="AE104" i="1" s="1"/>
  <c r="AL104" i="1"/>
  <c r="AO104" i="1"/>
  <c r="AP104" i="1"/>
  <c r="U35" i="2"/>
  <c r="V35" i="2"/>
  <c r="U36" i="2"/>
  <c r="V36" i="2"/>
  <c r="Y35" i="2"/>
  <c r="AA35" i="2" s="1"/>
  <c r="AB35" i="2"/>
  <c r="AC35" i="2"/>
  <c r="Y36" i="2"/>
  <c r="AA36" i="2" s="1"/>
  <c r="AB36" i="2"/>
  <c r="AC36" i="2"/>
  <c r="A38" i="2"/>
  <c r="S139" i="1" l="1"/>
  <c r="R138" i="1"/>
  <c r="S133" i="1"/>
  <c r="R405" i="1"/>
  <c r="W135" i="1"/>
  <c r="S28" i="1"/>
  <c r="W139" i="1"/>
  <c r="S135" i="1"/>
  <c r="S296" i="1"/>
  <c r="S405" i="1"/>
  <c r="S134" i="1"/>
  <c r="W134" i="1"/>
  <c r="W133" i="1"/>
  <c r="S137" i="1"/>
  <c r="S136" i="1"/>
  <c r="R134" i="1"/>
  <c r="W137" i="1"/>
  <c r="R136" i="1"/>
  <c r="R139" i="1"/>
  <c r="W28" i="1"/>
  <c r="W136" i="1"/>
  <c r="S140" i="1"/>
  <c r="R296" i="1"/>
  <c r="W296" i="1"/>
  <c r="S138" i="1"/>
  <c r="W138" i="1"/>
  <c r="R28" i="1"/>
  <c r="R137" i="1"/>
  <c r="W140" i="1"/>
  <c r="R135" i="1"/>
  <c r="R140" i="1"/>
  <c r="R133" i="1"/>
  <c r="W405" i="1"/>
  <c r="AK124" i="1"/>
  <c r="AE202" i="1"/>
  <c r="AE62" i="1"/>
  <c r="AF201" i="1"/>
  <c r="AE325" i="1"/>
  <c r="AE203" i="1"/>
  <c r="AK203" i="1"/>
  <c r="AK202" i="1"/>
  <c r="AK201" i="1"/>
  <c r="AK123" i="1"/>
  <c r="AK906" i="1"/>
  <c r="AK117" i="1"/>
  <c r="AK98" i="1"/>
  <c r="AF1270" i="1"/>
  <c r="AF1125" i="1"/>
  <c r="H70" i="7" s="1"/>
  <c r="AF1057" i="1"/>
  <c r="H58" i="7" s="1"/>
  <c r="AK1125" i="1"/>
  <c r="AK1057" i="1"/>
  <c r="AE124" i="1"/>
  <c r="AE803" i="1"/>
  <c r="AE1124" i="1"/>
  <c r="AK1124" i="1"/>
  <c r="AE906" i="1"/>
  <c r="AK803" i="1"/>
  <c r="AF117" i="1"/>
  <c r="AF98" i="1"/>
  <c r="AK86" i="1"/>
  <c r="AE63" i="1"/>
  <c r="AE123" i="1"/>
  <c r="AK104" i="1"/>
  <c r="AK103" i="1"/>
  <c r="AK63" i="1"/>
  <c r="AE103" i="1"/>
  <c r="AE86" i="1"/>
  <c r="AF104" i="1"/>
  <c r="K70" i="7" l="1"/>
  <c r="J70" i="7"/>
  <c r="I70" i="7"/>
  <c r="K58" i="7"/>
  <c r="J58" i="7"/>
  <c r="I58" i="7"/>
  <c r="A597" i="1"/>
  <c r="AI597" i="1"/>
  <c r="AE597" i="1" s="1"/>
  <c r="AL597" i="1"/>
  <c r="AO597" i="1"/>
  <c r="AP597" i="1"/>
  <c r="A79" i="1"/>
  <c r="AI79" i="1"/>
  <c r="AE79" i="1" s="1"/>
  <c r="AL79" i="1"/>
  <c r="AO79" i="1"/>
  <c r="AP79" i="1"/>
  <c r="AP850" i="1"/>
  <c r="AO850" i="1"/>
  <c r="AL850" i="1"/>
  <c r="AI850" i="1"/>
  <c r="AF850" i="1" s="1"/>
  <c r="A850" i="1"/>
  <c r="A39" i="2"/>
  <c r="A40" i="2"/>
  <c r="A41" i="2"/>
  <c r="U37" i="2"/>
  <c r="V37" i="2"/>
  <c r="U38" i="2"/>
  <c r="V38" i="2"/>
  <c r="Y37" i="2"/>
  <c r="AA37" i="2" s="1"/>
  <c r="AB37" i="2"/>
  <c r="AC37" i="2"/>
  <c r="Y38" i="2"/>
  <c r="AA38" i="2" s="1"/>
  <c r="AB38" i="2"/>
  <c r="AC38" i="2"/>
  <c r="AF37" i="2"/>
  <c r="AG37" i="2"/>
  <c r="AF38" i="2"/>
  <c r="AG38" i="2"/>
  <c r="AP1176" i="1"/>
  <c r="AO1176" i="1"/>
  <c r="AL1176" i="1"/>
  <c r="AI1176" i="1"/>
  <c r="AF1176" i="1" s="1"/>
  <c r="A1176" i="1"/>
  <c r="AP1127" i="1"/>
  <c r="AO1127" i="1"/>
  <c r="AL1127" i="1"/>
  <c r="AI1127" i="1"/>
  <c r="AF1127" i="1" s="1"/>
  <c r="A1127" i="1"/>
  <c r="AP1068" i="1"/>
  <c r="AO1068" i="1"/>
  <c r="AL1068" i="1"/>
  <c r="AI1068" i="1"/>
  <c r="AF1068" i="1" s="1"/>
  <c r="A1068" i="1"/>
  <c r="AP615" i="1"/>
  <c r="AO615" i="1"/>
  <c r="AL615" i="1"/>
  <c r="AI615" i="1"/>
  <c r="AF615" i="1" s="1"/>
  <c r="A615" i="1"/>
  <c r="A80" i="1"/>
  <c r="A284" i="1"/>
  <c r="AI80" i="1"/>
  <c r="AF80" i="1" s="1"/>
  <c r="AI284" i="1"/>
  <c r="AE284" i="1" s="1"/>
  <c r="AL80" i="1"/>
  <c r="AL284" i="1"/>
  <c r="AO80" i="1"/>
  <c r="AO284" i="1"/>
  <c r="AP80" i="1"/>
  <c r="AP284" i="1"/>
  <c r="A78" i="1"/>
  <c r="AI78" i="1"/>
  <c r="AE78" i="1" s="1"/>
  <c r="AL78" i="1"/>
  <c r="AO78" i="1"/>
  <c r="AP78" i="1"/>
  <c r="AP522" i="1"/>
  <c r="AO522" i="1"/>
  <c r="AL522" i="1"/>
  <c r="AI522" i="1"/>
  <c r="AE522" i="1" s="1"/>
  <c r="A522" i="1"/>
  <c r="AI401" i="1"/>
  <c r="AE401" i="1" s="1"/>
  <c r="AI1067" i="1"/>
  <c r="AF1067" i="1" s="1"/>
  <c r="AI1093" i="1"/>
  <c r="AF1093" i="1" s="1"/>
  <c r="AI1126" i="1"/>
  <c r="AF1126" i="1" s="1"/>
  <c r="AI1146" i="1"/>
  <c r="AE1146" i="1" s="1"/>
  <c r="AI1175" i="1"/>
  <c r="AF1175" i="1" s="1"/>
  <c r="AI2" i="1"/>
  <c r="AE2" i="1" s="1"/>
  <c r="AP1175" i="1"/>
  <c r="AO1175" i="1"/>
  <c r="AL1175" i="1"/>
  <c r="A1175" i="1"/>
  <c r="AP1146" i="1"/>
  <c r="AO1146" i="1"/>
  <c r="AL1146" i="1"/>
  <c r="A1146" i="1"/>
  <c r="AK1146" i="1" s="1"/>
  <c r="AP1126" i="1"/>
  <c r="AO1126" i="1"/>
  <c r="AL1126" i="1"/>
  <c r="A1126" i="1"/>
  <c r="AP1093" i="1"/>
  <c r="AO1093" i="1"/>
  <c r="AL1093" i="1"/>
  <c r="A1093" i="1"/>
  <c r="AP1067" i="1"/>
  <c r="AO1067" i="1"/>
  <c r="AL1067" i="1"/>
  <c r="A1067" i="1"/>
  <c r="AK1067" i="1" s="1"/>
  <c r="AL401" i="1"/>
  <c r="AO401" i="1"/>
  <c r="AP401" i="1"/>
  <c r="A401" i="1"/>
  <c r="AP1185" i="1"/>
  <c r="AO1185" i="1"/>
  <c r="AL1185" i="1"/>
  <c r="AI1185" i="1"/>
  <c r="AF1185" i="1" s="1"/>
  <c r="A1185" i="1"/>
  <c r="AP1205" i="1"/>
  <c r="AO1205" i="1"/>
  <c r="AL1205" i="1"/>
  <c r="AI1205" i="1"/>
  <c r="AF1205" i="1" s="1"/>
  <c r="A1205" i="1"/>
  <c r="AP1296" i="1"/>
  <c r="AO1296" i="1"/>
  <c r="AL1296" i="1"/>
  <c r="AI1296" i="1"/>
  <c r="AE1296" i="1" s="1"/>
  <c r="A1296" i="1"/>
  <c r="AP1255" i="1"/>
  <c r="AO1255" i="1"/>
  <c r="AL1255" i="1"/>
  <c r="AI1255" i="1"/>
  <c r="AF1255" i="1" s="1"/>
  <c r="A1255" i="1"/>
  <c r="AP1279" i="1"/>
  <c r="AO1279" i="1"/>
  <c r="AL1279" i="1"/>
  <c r="AI1279" i="1"/>
  <c r="AE1279" i="1" s="1"/>
  <c r="A1279" i="1"/>
  <c r="AP1254" i="1"/>
  <c r="AO1254" i="1"/>
  <c r="AL1254" i="1"/>
  <c r="AI1254" i="1"/>
  <c r="AF1254" i="1" s="1"/>
  <c r="A1254" i="1"/>
  <c r="AP1233" i="1"/>
  <c r="AO1233" i="1"/>
  <c r="AL1233" i="1"/>
  <c r="AI1233" i="1"/>
  <c r="AF1233" i="1" s="1"/>
  <c r="A1233" i="1"/>
  <c r="AP1201" i="1"/>
  <c r="AO1201" i="1"/>
  <c r="AL1201" i="1"/>
  <c r="AI1201" i="1"/>
  <c r="AF1201" i="1" s="1"/>
  <c r="A1201" i="1"/>
  <c r="A58" i="1"/>
  <c r="AI58" i="1"/>
  <c r="AE58" i="1" s="1"/>
  <c r="AL58" i="1"/>
  <c r="AO58" i="1"/>
  <c r="AP58" i="1"/>
  <c r="A27" i="1"/>
  <c r="A122" i="1"/>
  <c r="A1259" i="1"/>
  <c r="AI27" i="1"/>
  <c r="AF27" i="1" s="1"/>
  <c r="AI122" i="1"/>
  <c r="AF122" i="1" s="1"/>
  <c r="AI1259" i="1"/>
  <c r="AF1259" i="1" s="1"/>
  <c r="AL27" i="1"/>
  <c r="AL122" i="1"/>
  <c r="AL1259" i="1"/>
  <c r="AO27" i="1"/>
  <c r="AO122" i="1"/>
  <c r="AO1259" i="1"/>
  <c r="AP27" i="1"/>
  <c r="AP122" i="1"/>
  <c r="AP1259" i="1"/>
  <c r="A2" i="1"/>
  <c r="A92" i="1"/>
  <c r="A59" i="1"/>
  <c r="AC2" i="1"/>
  <c r="AI92" i="1"/>
  <c r="AF92" i="1" s="1"/>
  <c r="AI59" i="1"/>
  <c r="AF59" i="1" s="1"/>
  <c r="AL2" i="1"/>
  <c r="AL92" i="1"/>
  <c r="AL59" i="1"/>
  <c r="AO2" i="1"/>
  <c r="AO92" i="1"/>
  <c r="AO59" i="1"/>
  <c r="AP2" i="1"/>
  <c r="AP92" i="1"/>
  <c r="AP59" i="1"/>
  <c r="A77" i="1"/>
  <c r="A118" i="1"/>
  <c r="A112" i="1"/>
  <c r="AK112" i="1" s="1"/>
  <c r="A3" i="1"/>
  <c r="AI77" i="1"/>
  <c r="AE77" i="1" s="1"/>
  <c r="AI118" i="1"/>
  <c r="AF118" i="1" s="1"/>
  <c r="AI112" i="1"/>
  <c r="AE112" i="1" s="1"/>
  <c r="AI3" i="1"/>
  <c r="AE3" i="1" s="1"/>
  <c r="AL77" i="1"/>
  <c r="AL118" i="1"/>
  <c r="AL112" i="1"/>
  <c r="AL3" i="1"/>
  <c r="AO77" i="1"/>
  <c r="AO118" i="1"/>
  <c r="AO112" i="1"/>
  <c r="AO3" i="1"/>
  <c r="AP77" i="1"/>
  <c r="AP118" i="1"/>
  <c r="AP112" i="1"/>
  <c r="AP3" i="1"/>
  <c r="A287" i="1"/>
  <c r="A1132" i="1"/>
  <c r="A1183" i="1"/>
  <c r="AI287" i="1"/>
  <c r="AE287" i="1" s="1"/>
  <c r="AI1132" i="1"/>
  <c r="AE1132" i="1" s="1"/>
  <c r="AI1183" i="1"/>
  <c r="AE1183" i="1" s="1"/>
  <c r="AL287" i="1"/>
  <c r="AL1132" i="1"/>
  <c r="AL1183" i="1"/>
  <c r="AO287" i="1"/>
  <c r="AO1132" i="1"/>
  <c r="AO1183" i="1"/>
  <c r="AP287" i="1"/>
  <c r="AP1132" i="1"/>
  <c r="AP1183" i="1"/>
  <c r="U39" i="2"/>
  <c r="V39" i="2"/>
  <c r="Y39" i="2"/>
  <c r="AA39" i="2" s="1"/>
  <c r="AB39" i="2"/>
  <c r="AC39" i="2"/>
  <c r="AF39" i="2"/>
  <c r="AG39" i="2"/>
  <c r="A42" i="2"/>
  <c r="U40" i="2"/>
  <c r="V40" i="2"/>
  <c r="U41" i="2"/>
  <c r="V41" i="2"/>
  <c r="Y40" i="2"/>
  <c r="AA40" i="2" s="1"/>
  <c r="AB40" i="2"/>
  <c r="AC40" i="2"/>
  <c r="Y41" i="2"/>
  <c r="AA41" i="2" s="1"/>
  <c r="AB41" i="2"/>
  <c r="AC41" i="2"/>
  <c r="AF40" i="2"/>
  <c r="AG40" i="2"/>
  <c r="AF41" i="2"/>
  <c r="AG41" i="2"/>
  <c r="A43" i="2"/>
  <c r="A44" i="2"/>
  <c r="AP825" i="1"/>
  <c r="AO825" i="1"/>
  <c r="AL825" i="1"/>
  <c r="AI825" i="1"/>
  <c r="AF825" i="1" s="1"/>
  <c r="A825" i="1"/>
  <c r="AK825" i="1" s="1"/>
  <c r="AP764" i="1"/>
  <c r="AO764" i="1"/>
  <c r="AL764" i="1"/>
  <c r="AI764" i="1"/>
  <c r="AF764" i="1" s="1"/>
  <c r="A764" i="1"/>
  <c r="AK764" i="1" s="1"/>
  <c r="AP691" i="1"/>
  <c r="AO691" i="1"/>
  <c r="AL691" i="1"/>
  <c r="AI691" i="1"/>
  <c r="AF691" i="1" s="1"/>
  <c r="A691" i="1"/>
  <c r="A99" i="1"/>
  <c r="AI99" i="1"/>
  <c r="AE99" i="1" s="1"/>
  <c r="AL99" i="1"/>
  <c r="AO99" i="1"/>
  <c r="AP99" i="1"/>
  <c r="AP993" i="1"/>
  <c r="AO993" i="1"/>
  <c r="AL993" i="1"/>
  <c r="AI993" i="1"/>
  <c r="AF993" i="1" s="1"/>
  <c r="A993" i="1"/>
  <c r="AP992" i="1"/>
  <c r="AO992" i="1"/>
  <c r="AL992" i="1"/>
  <c r="AI992" i="1"/>
  <c r="AF992" i="1" s="1"/>
  <c r="A992" i="1"/>
  <c r="AP939" i="1"/>
  <c r="AO939" i="1"/>
  <c r="AL939" i="1"/>
  <c r="AI939" i="1"/>
  <c r="AF939" i="1" s="1"/>
  <c r="A939" i="1"/>
  <c r="AK939" i="1" s="1"/>
  <c r="AP938" i="1"/>
  <c r="AO938" i="1"/>
  <c r="AL938" i="1"/>
  <c r="AI938" i="1"/>
  <c r="AF938" i="1" s="1"/>
  <c r="A938" i="1"/>
  <c r="AK938" i="1" s="1"/>
  <c r="AP846" i="1"/>
  <c r="AO846" i="1"/>
  <c r="AL846" i="1"/>
  <c r="AI846" i="1"/>
  <c r="AF846" i="1" s="1"/>
  <c r="A846" i="1"/>
  <c r="AP845" i="1"/>
  <c r="AO845" i="1"/>
  <c r="AL845" i="1"/>
  <c r="AI845" i="1"/>
  <c r="AE845" i="1" s="1"/>
  <c r="A845" i="1"/>
  <c r="AP780" i="1"/>
  <c r="AO780" i="1"/>
  <c r="AL780" i="1"/>
  <c r="AI780" i="1"/>
  <c r="AF780" i="1" s="1"/>
  <c r="A780" i="1"/>
  <c r="A110" i="1"/>
  <c r="AI110" i="1"/>
  <c r="AE110" i="1" s="1"/>
  <c r="AL110" i="1"/>
  <c r="AO110" i="1"/>
  <c r="AP110" i="1"/>
  <c r="U42" i="2"/>
  <c r="V42" i="2"/>
  <c r="U43" i="2"/>
  <c r="V43" i="2"/>
  <c r="U44" i="2"/>
  <c r="V44" i="2"/>
  <c r="Y42" i="2"/>
  <c r="AA42" i="2" s="1"/>
  <c r="AB42" i="2"/>
  <c r="AC42" i="2"/>
  <c r="Y43" i="2"/>
  <c r="AA43" i="2" s="1"/>
  <c r="AB43" i="2"/>
  <c r="AC43" i="2"/>
  <c r="Y44" i="2"/>
  <c r="AA44" i="2" s="1"/>
  <c r="AB44" i="2"/>
  <c r="AC44" i="2"/>
  <c r="AF42" i="2"/>
  <c r="AG42" i="2"/>
  <c r="AF43" i="2"/>
  <c r="AG43" i="2"/>
  <c r="AF44" i="2"/>
  <c r="AG44" i="2"/>
  <c r="AF45" i="2"/>
  <c r="AG45" i="2"/>
  <c r="A45" i="2"/>
  <c r="A46" i="2"/>
  <c r="A47" i="2"/>
  <c r="AF597" i="1" l="1"/>
  <c r="AK597" i="1"/>
  <c r="AF79" i="1"/>
  <c r="AK79" i="1"/>
  <c r="AE850" i="1"/>
  <c r="AK850" i="1"/>
  <c r="AE1093" i="1"/>
  <c r="AK284" i="1"/>
  <c r="AE1067" i="1"/>
  <c r="AK80" i="1"/>
  <c r="AE615" i="1"/>
  <c r="AE1127" i="1"/>
  <c r="AF1146" i="1"/>
  <c r="AE1176" i="1"/>
  <c r="AK1176" i="1"/>
  <c r="AK1127" i="1"/>
  <c r="AE1068" i="1"/>
  <c r="AK1068" i="1"/>
  <c r="AF284" i="1"/>
  <c r="AK615" i="1"/>
  <c r="AE80" i="1"/>
  <c r="AK78" i="1"/>
  <c r="AF78" i="1"/>
  <c r="AK401" i="1"/>
  <c r="AE1126" i="1"/>
  <c r="AF401" i="1"/>
  <c r="AF522" i="1"/>
  <c r="AK522" i="1"/>
  <c r="AE1175" i="1"/>
  <c r="AE1185" i="1"/>
  <c r="AK1175" i="1"/>
  <c r="AK1126" i="1"/>
  <c r="AK1093" i="1"/>
  <c r="AK1185" i="1"/>
  <c r="AE1205" i="1"/>
  <c r="AF1296" i="1"/>
  <c r="AK92" i="1"/>
  <c r="AK1205" i="1"/>
  <c r="AE1255" i="1"/>
  <c r="AK122" i="1"/>
  <c r="AE1254" i="1"/>
  <c r="AK1255" i="1"/>
  <c r="AK1296" i="1"/>
  <c r="AE1233" i="1"/>
  <c r="AF1279" i="1"/>
  <c r="AK1279" i="1"/>
  <c r="AK1254" i="1"/>
  <c r="AK1233" i="1"/>
  <c r="AE1201" i="1"/>
  <c r="AK1201" i="1"/>
  <c r="AK1259" i="1"/>
  <c r="AK27" i="1"/>
  <c r="AE122" i="1"/>
  <c r="AK2" i="1"/>
  <c r="AF58" i="1"/>
  <c r="AK3" i="1"/>
  <c r="AK59" i="1"/>
  <c r="AK77" i="1"/>
  <c r="AF2" i="1"/>
  <c r="AF3" i="1"/>
  <c r="AK58" i="1"/>
  <c r="AK1183" i="1"/>
  <c r="AK1132" i="1"/>
  <c r="AF112" i="1"/>
  <c r="AE27" i="1"/>
  <c r="AE59" i="1"/>
  <c r="AE1259" i="1"/>
  <c r="AF77" i="1"/>
  <c r="AE92" i="1"/>
  <c r="AK118" i="1"/>
  <c r="AF287" i="1"/>
  <c r="AE118" i="1"/>
  <c r="AF1132" i="1"/>
  <c r="AK287" i="1"/>
  <c r="AF1183" i="1"/>
  <c r="AE938" i="1"/>
  <c r="AE691" i="1"/>
  <c r="AF845" i="1"/>
  <c r="AK99" i="1"/>
  <c r="AE825" i="1"/>
  <c r="AE846" i="1"/>
  <c r="AE764" i="1"/>
  <c r="AK691" i="1"/>
  <c r="AF99" i="1"/>
  <c r="AE993" i="1"/>
  <c r="AK993" i="1"/>
  <c r="AE992" i="1"/>
  <c r="AK992" i="1"/>
  <c r="AE939" i="1"/>
  <c r="AK846" i="1"/>
  <c r="AK845" i="1"/>
  <c r="AE780" i="1"/>
  <c r="AK780" i="1"/>
  <c r="AK110" i="1"/>
  <c r="AF110" i="1"/>
  <c r="U45" i="2" l="1"/>
  <c r="V45" i="2"/>
  <c r="Y45" i="2"/>
  <c r="AA45" i="2" s="1"/>
  <c r="AB45" i="2"/>
  <c r="AC45" i="2"/>
  <c r="AP1051" i="1" l="1"/>
  <c r="AO1051" i="1"/>
  <c r="AL1051" i="1"/>
  <c r="AI1051" i="1"/>
  <c r="AF1051" i="1" s="1"/>
  <c r="A1051" i="1"/>
  <c r="AK1051" i="1" s="1"/>
  <c r="AP940" i="1"/>
  <c r="AO940" i="1"/>
  <c r="AL940" i="1"/>
  <c r="AI940" i="1"/>
  <c r="AF940" i="1" s="1"/>
  <c r="A940" i="1"/>
  <c r="AP847" i="1"/>
  <c r="AO847" i="1"/>
  <c r="AL847" i="1"/>
  <c r="AI847" i="1"/>
  <c r="AF847" i="1" s="1"/>
  <c r="A847" i="1"/>
  <c r="AP782" i="1"/>
  <c r="AO782" i="1"/>
  <c r="AL782" i="1"/>
  <c r="AI782" i="1"/>
  <c r="AF782" i="1" s="1"/>
  <c r="A782" i="1"/>
  <c r="AP709" i="1"/>
  <c r="AO709" i="1"/>
  <c r="AL709" i="1"/>
  <c r="AI709" i="1"/>
  <c r="AF709" i="1" s="1"/>
  <c r="A709" i="1"/>
  <c r="A111" i="1"/>
  <c r="AI111" i="1"/>
  <c r="AE111" i="1" s="1"/>
  <c r="AL111" i="1"/>
  <c r="AO111" i="1"/>
  <c r="AP111" i="1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110" i="7"/>
  <c r="B107" i="7"/>
  <c r="AP683" i="1"/>
  <c r="AO683" i="1"/>
  <c r="AL683" i="1"/>
  <c r="AI683" i="1"/>
  <c r="AF683" i="1" s="1"/>
  <c r="A683" i="1"/>
  <c r="AP1069" i="1"/>
  <c r="AO1069" i="1"/>
  <c r="AL1069" i="1"/>
  <c r="AI1069" i="1"/>
  <c r="AF1069" i="1" s="1"/>
  <c r="A1069" i="1"/>
  <c r="AP809" i="1"/>
  <c r="AO809" i="1"/>
  <c r="AL809" i="1"/>
  <c r="AI809" i="1"/>
  <c r="AF809" i="1" s="1"/>
  <c r="A809" i="1"/>
  <c r="AK809" i="1" s="1"/>
  <c r="AP975" i="1"/>
  <c r="AO975" i="1"/>
  <c r="AL975" i="1"/>
  <c r="AI975" i="1"/>
  <c r="AF975" i="1" s="1"/>
  <c r="A975" i="1"/>
  <c r="AP1129" i="1"/>
  <c r="AO1129" i="1"/>
  <c r="AL1129" i="1"/>
  <c r="AI1129" i="1"/>
  <c r="AF1129" i="1" s="1"/>
  <c r="A1129" i="1"/>
  <c r="A89" i="1"/>
  <c r="AI89" i="1"/>
  <c r="AE89" i="1" s="1"/>
  <c r="AL89" i="1"/>
  <c r="AO89" i="1"/>
  <c r="AP89" i="1"/>
  <c r="U46" i="2"/>
  <c r="V46" i="2"/>
  <c r="Y46" i="2"/>
  <c r="AA46" i="2" s="1"/>
  <c r="AB46" i="2"/>
  <c r="AC46" i="2"/>
  <c r="AF46" i="2"/>
  <c r="AG46" i="2"/>
  <c r="A48" i="2"/>
  <c r="A49" i="2"/>
  <c r="U47" i="2"/>
  <c r="V47" i="2"/>
  <c r="Y47" i="2"/>
  <c r="AA47" i="2" s="1"/>
  <c r="AB47" i="2"/>
  <c r="AC47" i="2"/>
  <c r="AF47" i="2"/>
  <c r="AG47" i="2"/>
  <c r="AE1051" i="1" l="1"/>
  <c r="AE847" i="1"/>
  <c r="AE782" i="1"/>
  <c r="AE940" i="1"/>
  <c r="AK940" i="1"/>
  <c r="AK847" i="1"/>
  <c r="AK782" i="1"/>
  <c r="AE709" i="1"/>
  <c r="AK709" i="1"/>
  <c r="AF111" i="1"/>
  <c r="AK111" i="1"/>
  <c r="AK89" i="1"/>
  <c r="AE1069" i="1"/>
  <c r="AE1129" i="1"/>
  <c r="AK975" i="1"/>
  <c r="AK1129" i="1"/>
  <c r="AE683" i="1"/>
  <c r="AK683" i="1"/>
  <c r="AK1069" i="1"/>
  <c r="AE809" i="1"/>
  <c r="AE975" i="1"/>
  <c r="AF89" i="1"/>
  <c r="Y48" i="2"/>
  <c r="AA48" i="2" s="1"/>
  <c r="AB48" i="2"/>
  <c r="AC48" i="2"/>
  <c r="Y49" i="2"/>
  <c r="AA49" i="2" s="1"/>
  <c r="AB49" i="2"/>
  <c r="AC49" i="2"/>
  <c r="U48" i="2"/>
  <c r="V48" i="2"/>
  <c r="U49" i="2"/>
  <c r="V49" i="2"/>
  <c r="AF48" i="2"/>
  <c r="AG48" i="2"/>
  <c r="AF49" i="2"/>
  <c r="AG49" i="2"/>
  <c r="A50" i="2"/>
  <c r="A51" i="2"/>
  <c r="A52" i="2"/>
  <c r="A53" i="2"/>
  <c r="A54" i="2"/>
  <c r="U50" i="2"/>
  <c r="V50" i="2"/>
  <c r="U51" i="2"/>
  <c r="V51" i="2"/>
  <c r="Y50" i="2"/>
  <c r="AA50" i="2" s="1"/>
  <c r="AB50" i="2"/>
  <c r="AC50" i="2"/>
  <c r="Y51" i="2"/>
  <c r="AA51" i="2" s="1"/>
  <c r="AB51" i="2"/>
  <c r="AC51" i="2"/>
  <c r="AF50" i="2"/>
  <c r="AG50" i="2"/>
  <c r="AF51" i="2"/>
  <c r="AG51" i="2"/>
  <c r="U52" i="2"/>
  <c r="V52" i="2"/>
  <c r="Y52" i="2"/>
  <c r="AA52" i="2" s="1"/>
  <c r="AB52" i="2"/>
  <c r="AC52" i="2"/>
  <c r="AF52" i="2"/>
  <c r="AG52" i="2"/>
  <c r="AP824" i="1" l="1"/>
  <c r="AO824" i="1"/>
  <c r="AL824" i="1"/>
  <c r="AI824" i="1"/>
  <c r="AF824" i="1" s="1"/>
  <c r="A824" i="1"/>
  <c r="AK824" i="1" s="1"/>
  <c r="AP763" i="1"/>
  <c r="AO763" i="1"/>
  <c r="AL763" i="1"/>
  <c r="AI763" i="1"/>
  <c r="AF763" i="1" s="1"/>
  <c r="A763" i="1"/>
  <c r="AK763" i="1" s="1"/>
  <c r="AP690" i="1"/>
  <c r="AO690" i="1"/>
  <c r="AL690" i="1"/>
  <c r="AI690" i="1"/>
  <c r="AE690" i="1" s="1"/>
  <c r="A690" i="1"/>
  <c r="AK690" i="1" s="1"/>
  <c r="A94" i="1"/>
  <c r="AI94" i="1"/>
  <c r="AF94" i="1" s="1"/>
  <c r="AL94" i="1"/>
  <c r="AO94" i="1"/>
  <c r="AP94" i="1"/>
  <c r="AE763" i="1" l="1"/>
  <c r="AF690" i="1"/>
  <c r="AE824" i="1"/>
  <c r="AK94" i="1"/>
  <c r="AE94" i="1"/>
  <c r="AP753" i="1"/>
  <c r="AO753" i="1"/>
  <c r="AL753" i="1"/>
  <c r="AI753" i="1"/>
  <c r="AF753" i="1" s="1"/>
  <c r="A753" i="1"/>
  <c r="AK753" i="1" s="1"/>
  <c r="AP626" i="1"/>
  <c r="AO626" i="1"/>
  <c r="AL626" i="1"/>
  <c r="AI626" i="1"/>
  <c r="AF626" i="1" s="1"/>
  <c r="A626" i="1"/>
  <c r="AP482" i="1"/>
  <c r="AO482" i="1"/>
  <c r="AL482" i="1"/>
  <c r="AI482" i="1"/>
  <c r="AF482" i="1" s="1"/>
  <c r="A482" i="1"/>
  <c r="AK482" i="1" s="1"/>
  <c r="A237" i="1"/>
  <c r="AI237" i="1"/>
  <c r="AE237" i="1" s="1"/>
  <c r="AL237" i="1"/>
  <c r="AO237" i="1"/>
  <c r="AP237" i="1"/>
  <c r="U53" i="2"/>
  <c r="V53" i="2"/>
  <c r="U54" i="2"/>
  <c r="V54" i="2"/>
  <c r="Y53" i="2"/>
  <c r="AA53" i="2" s="1"/>
  <c r="AB53" i="2"/>
  <c r="AC53" i="2"/>
  <c r="Y54" i="2"/>
  <c r="AA54" i="2" s="1"/>
  <c r="AB54" i="2"/>
  <c r="AC54" i="2"/>
  <c r="AF53" i="2"/>
  <c r="AG53" i="2"/>
  <c r="AF54" i="2"/>
  <c r="AG54" i="2"/>
  <c r="A55" i="2"/>
  <c r="AE482" i="1" l="1"/>
  <c r="AE626" i="1"/>
  <c r="AE753" i="1"/>
  <c r="AK626" i="1"/>
  <c r="AK237" i="1"/>
  <c r="AF237" i="1"/>
  <c r="Y55" i="2" l="1"/>
  <c r="AA55" i="2" s="1"/>
  <c r="AB55" i="2"/>
  <c r="AC55" i="2"/>
  <c r="U55" i="2"/>
  <c r="V55" i="2"/>
  <c r="AF55" i="2"/>
  <c r="AG55" i="2"/>
  <c r="AF56" i="2"/>
  <c r="AG56" i="2"/>
  <c r="A56" i="2"/>
  <c r="A57" i="2"/>
  <c r="A58" i="2"/>
  <c r="H18" i="4"/>
  <c r="AP1045" i="1"/>
  <c r="AO1045" i="1"/>
  <c r="AL1045" i="1"/>
  <c r="AI1045" i="1"/>
  <c r="AF1045" i="1" s="1"/>
  <c r="A1045" i="1"/>
  <c r="AP986" i="1"/>
  <c r="AO986" i="1"/>
  <c r="AL986" i="1"/>
  <c r="AI986" i="1"/>
  <c r="AF986" i="1" s="1"/>
  <c r="A986" i="1"/>
  <c r="AP926" i="1"/>
  <c r="AO926" i="1"/>
  <c r="AL926" i="1"/>
  <c r="AI926" i="1"/>
  <c r="AF926" i="1" s="1"/>
  <c r="A926" i="1"/>
  <c r="AP826" i="1"/>
  <c r="AO826" i="1"/>
  <c r="AL826" i="1"/>
  <c r="AI826" i="1"/>
  <c r="AF826" i="1" s="1"/>
  <c r="A826" i="1"/>
  <c r="AP765" i="1"/>
  <c r="AO765" i="1"/>
  <c r="AL765" i="1"/>
  <c r="AI765" i="1"/>
  <c r="AF765" i="1" s="1"/>
  <c r="A765" i="1"/>
  <c r="AP692" i="1"/>
  <c r="AO692" i="1"/>
  <c r="AL692" i="1"/>
  <c r="AI692" i="1"/>
  <c r="AF692" i="1" s="1"/>
  <c r="A692" i="1"/>
  <c r="AP635" i="1"/>
  <c r="AO635" i="1"/>
  <c r="AL635" i="1"/>
  <c r="AI635" i="1"/>
  <c r="AF635" i="1" s="1"/>
  <c r="A635" i="1"/>
  <c r="AP559" i="1"/>
  <c r="AO559" i="1"/>
  <c r="AL559" i="1"/>
  <c r="AI559" i="1"/>
  <c r="AF559" i="1" s="1"/>
  <c r="A559" i="1"/>
  <c r="AK559" i="1" s="1"/>
  <c r="AP489" i="1"/>
  <c r="AO489" i="1"/>
  <c r="AL489" i="1"/>
  <c r="AI489" i="1"/>
  <c r="AF489" i="1" s="1"/>
  <c r="A489" i="1"/>
  <c r="AP380" i="1"/>
  <c r="AO380" i="1"/>
  <c r="AL380" i="1"/>
  <c r="AI380" i="1"/>
  <c r="AE380" i="1" s="1"/>
  <c r="A380" i="1"/>
  <c r="AP248" i="1"/>
  <c r="AO248" i="1"/>
  <c r="AL248" i="1"/>
  <c r="AI248" i="1"/>
  <c r="AF248" i="1" s="1"/>
  <c r="A248" i="1"/>
  <c r="AK248" i="1" s="1"/>
  <c r="A100" i="1"/>
  <c r="AI100" i="1"/>
  <c r="AF100" i="1" s="1"/>
  <c r="AL100" i="1"/>
  <c r="AO100" i="1"/>
  <c r="AP100" i="1"/>
  <c r="V56" i="2"/>
  <c r="V57" i="2"/>
  <c r="U56" i="2"/>
  <c r="U57" i="2"/>
  <c r="J72" i="4"/>
  <c r="F72" i="4"/>
  <c r="Y56" i="2"/>
  <c r="AA56" i="2" s="1"/>
  <c r="AB56" i="2"/>
  <c r="AC56" i="2"/>
  <c r="Y57" i="2"/>
  <c r="AA57" i="2" s="1"/>
  <c r="AB57" i="2"/>
  <c r="AC57" i="2"/>
  <c r="AF57" i="2"/>
  <c r="AG57" i="2"/>
  <c r="U58" i="2"/>
  <c r="V58" i="2"/>
  <c r="Y58" i="2"/>
  <c r="AA58" i="2" s="1"/>
  <c r="AB58" i="2"/>
  <c r="AC58" i="2"/>
  <c r="AF58" i="2"/>
  <c r="AG58" i="2"/>
  <c r="A59" i="2"/>
  <c r="AF380" i="1" l="1"/>
  <c r="J110" i="7" s="1"/>
  <c r="AE826" i="1"/>
  <c r="AK380" i="1"/>
  <c r="AE635" i="1"/>
  <c r="AE765" i="1"/>
  <c r="AK1045" i="1"/>
  <c r="AK100" i="1"/>
  <c r="AK826" i="1"/>
  <c r="AE248" i="1"/>
  <c r="AE489" i="1"/>
  <c r="AK635" i="1"/>
  <c r="AK765" i="1"/>
  <c r="AE1045" i="1"/>
  <c r="AE986" i="1"/>
  <c r="AK986" i="1"/>
  <c r="AE926" i="1"/>
  <c r="AK926" i="1"/>
  <c r="AE692" i="1"/>
  <c r="AK692" i="1"/>
  <c r="AE559" i="1"/>
  <c r="AK489" i="1"/>
  <c r="AE100" i="1"/>
  <c r="G72" i="4"/>
  <c r="H72" i="4" s="1"/>
  <c r="I110" i="7" l="1"/>
  <c r="H110" i="7"/>
  <c r="K110" i="7"/>
  <c r="AP879" i="1"/>
  <c r="AO879" i="1"/>
  <c r="AL879" i="1"/>
  <c r="AI879" i="1"/>
  <c r="AF879" i="1" s="1"/>
  <c r="A879" i="1"/>
  <c r="AP804" i="1"/>
  <c r="AO804" i="1"/>
  <c r="AL804" i="1"/>
  <c r="AI804" i="1"/>
  <c r="AF804" i="1" s="1"/>
  <c r="A804" i="1"/>
  <c r="AP663" i="1"/>
  <c r="AO663" i="1"/>
  <c r="AL663" i="1"/>
  <c r="AI663" i="1"/>
  <c r="AF663" i="1" s="1"/>
  <c r="A663" i="1"/>
  <c r="AP504" i="1"/>
  <c r="AO504" i="1"/>
  <c r="AL504" i="1"/>
  <c r="AI504" i="1"/>
  <c r="AF504" i="1" s="1"/>
  <c r="A504" i="1"/>
  <c r="AP1059" i="1"/>
  <c r="AO1059" i="1"/>
  <c r="AL1059" i="1"/>
  <c r="AI1059" i="1"/>
  <c r="AF1059" i="1" s="1"/>
  <c r="A1059" i="1"/>
  <c r="AK1059" i="1" s="1"/>
  <c r="AP266" i="1"/>
  <c r="AO266" i="1"/>
  <c r="AL266" i="1"/>
  <c r="AI266" i="1"/>
  <c r="AF266" i="1" s="1"/>
  <c r="A266" i="1"/>
  <c r="U59" i="2"/>
  <c r="V59" i="2"/>
  <c r="U60" i="2"/>
  <c r="V60" i="2"/>
  <c r="U61" i="2"/>
  <c r="V61" i="2"/>
  <c r="Y59" i="2"/>
  <c r="AA59" i="2" s="1"/>
  <c r="AB59" i="2"/>
  <c r="AC59" i="2"/>
  <c r="Y60" i="2"/>
  <c r="AA60" i="2" s="1"/>
  <c r="AB60" i="2"/>
  <c r="AC60" i="2"/>
  <c r="Y61" i="2"/>
  <c r="AA61" i="2" s="1"/>
  <c r="AB61" i="2"/>
  <c r="AC61" i="2"/>
  <c r="AF59" i="2"/>
  <c r="AG59" i="2"/>
  <c r="AF60" i="2"/>
  <c r="AG60" i="2"/>
  <c r="AF61" i="2"/>
  <c r="AG61" i="2"/>
  <c r="A60" i="2"/>
  <c r="A61" i="2"/>
  <c r="A62" i="2"/>
  <c r="A63" i="2"/>
  <c r="A64" i="2"/>
  <c r="L87" i="4"/>
  <c r="M82" i="4"/>
  <c r="M84" i="4"/>
  <c r="M85" i="4"/>
  <c r="M86" i="4"/>
  <c r="M83" i="4"/>
  <c r="AE266" i="1" l="1"/>
  <c r="AE663" i="1"/>
  <c r="AE879" i="1"/>
  <c r="AE1059" i="1"/>
  <c r="AE804" i="1"/>
  <c r="AK879" i="1"/>
  <c r="AK804" i="1"/>
  <c r="AK663" i="1"/>
  <c r="AE504" i="1"/>
  <c r="AK504" i="1"/>
  <c r="AK266" i="1"/>
  <c r="M87" i="4"/>
  <c r="U62" i="2"/>
  <c r="V62" i="2"/>
  <c r="AF62" i="2"/>
  <c r="AG62" i="2"/>
  <c r="Y62" i="2"/>
  <c r="AA62" i="2" s="1"/>
  <c r="AB62" i="2"/>
  <c r="AC62" i="2"/>
  <c r="A65" i="2"/>
  <c r="A66" i="2"/>
  <c r="A67" i="2"/>
  <c r="AP678" i="1"/>
  <c r="AO678" i="1"/>
  <c r="AL678" i="1"/>
  <c r="AI678" i="1"/>
  <c r="AF678" i="1" s="1"/>
  <c r="A678" i="1"/>
  <c r="AK678" i="1" s="1"/>
  <c r="AP617" i="1"/>
  <c r="AO617" i="1"/>
  <c r="AL617" i="1"/>
  <c r="AI617" i="1"/>
  <c r="AF617" i="1" s="1"/>
  <c r="A617" i="1"/>
  <c r="AK617" i="1" s="1"/>
  <c r="AP544" i="1"/>
  <c r="AO544" i="1"/>
  <c r="AL544" i="1"/>
  <c r="AI544" i="1"/>
  <c r="AF544" i="1" s="1"/>
  <c r="A544" i="1"/>
  <c r="A88" i="1"/>
  <c r="AI88" i="1"/>
  <c r="AE88" i="1" s="1"/>
  <c r="AL88" i="1"/>
  <c r="AO88" i="1"/>
  <c r="AP88" i="1"/>
  <c r="AE544" i="1" l="1"/>
  <c r="AE617" i="1"/>
  <c r="AE678" i="1"/>
  <c r="AK88" i="1"/>
  <c r="AK544" i="1"/>
  <c r="AF88" i="1"/>
  <c r="AP672" i="1"/>
  <c r="AO672" i="1"/>
  <c r="AL672" i="1"/>
  <c r="AI672" i="1"/>
  <c r="AF672" i="1" s="1"/>
  <c r="A672" i="1"/>
  <c r="AP525" i="1"/>
  <c r="AO525" i="1"/>
  <c r="AL525" i="1"/>
  <c r="AI525" i="1"/>
  <c r="AF525" i="1" s="1"/>
  <c r="A525" i="1"/>
  <c r="AP327" i="1"/>
  <c r="AO327" i="1"/>
  <c r="AL327" i="1"/>
  <c r="AI327" i="1"/>
  <c r="AE327" i="1" s="1"/>
  <c r="A327" i="1"/>
  <c r="AP823" i="1"/>
  <c r="AO823" i="1"/>
  <c r="AL823" i="1"/>
  <c r="AI823" i="1"/>
  <c r="AF823" i="1" s="1"/>
  <c r="A823" i="1"/>
  <c r="AP762" i="1"/>
  <c r="AO762" i="1"/>
  <c r="AL762" i="1"/>
  <c r="AI762" i="1"/>
  <c r="AF762" i="1" s="1"/>
  <c r="A762" i="1"/>
  <c r="AP558" i="1"/>
  <c r="AO558" i="1"/>
  <c r="AL558" i="1"/>
  <c r="AI558" i="1"/>
  <c r="AE558" i="1" s="1"/>
  <c r="A558" i="1"/>
  <c r="A93" i="1"/>
  <c r="AI93" i="1"/>
  <c r="AF93" i="1" s="1"/>
  <c r="AL93" i="1"/>
  <c r="AO93" i="1"/>
  <c r="AP93" i="1"/>
  <c r="A64" i="1"/>
  <c r="AI64" i="1"/>
  <c r="AE64" i="1" s="1"/>
  <c r="AL64" i="1"/>
  <c r="AO64" i="1"/>
  <c r="AP64" i="1"/>
  <c r="AP1046" i="1"/>
  <c r="AO1046" i="1"/>
  <c r="AL1046" i="1"/>
  <c r="AI1046" i="1"/>
  <c r="AE1046" i="1" s="1"/>
  <c r="A1046" i="1"/>
  <c r="AK1046" i="1" s="1"/>
  <c r="AP828" i="1"/>
  <c r="AO828" i="1"/>
  <c r="AL828" i="1"/>
  <c r="AI828" i="1"/>
  <c r="AF828" i="1" s="1"/>
  <c r="A828" i="1"/>
  <c r="AK828" i="1" s="1"/>
  <c r="A101" i="1"/>
  <c r="AI101" i="1"/>
  <c r="AE101" i="1" s="1"/>
  <c r="AL101" i="1"/>
  <c r="AO101" i="1"/>
  <c r="AP101" i="1"/>
  <c r="U63" i="2"/>
  <c r="V63" i="2"/>
  <c r="Y63" i="2"/>
  <c r="AA63" i="2" s="1"/>
  <c r="AB63" i="2"/>
  <c r="AC63" i="2"/>
  <c r="AF63" i="2"/>
  <c r="AG63" i="2"/>
  <c r="AF558" i="1" l="1"/>
  <c r="AE762" i="1"/>
  <c r="AE525" i="1"/>
  <c r="AE672" i="1"/>
  <c r="AE823" i="1"/>
  <c r="AF327" i="1"/>
  <c r="AK672" i="1"/>
  <c r="AK525" i="1"/>
  <c r="AK327" i="1"/>
  <c r="AK64" i="1"/>
  <c r="AK823" i="1"/>
  <c r="AK762" i="1"/>
  <c r="AK558" i="1"/>
  <c r="AF64" i="1"/>
  <c r="AE93" i="1"/>
  <c r="AK93" i="1"/>
  <c r="AE828" i="1"/>
  <c r="AF1046" i="1"/>
  <c r="AF101" i="1"/>
  <c r="AK101" i="1"/>
  <c r="AP925" i="1" l="1"/>
  <c r="AO925" i="1"/>
  <c r="AL925" i="1"/>
  <c r="AI925" i="1"/>
  <c r="AF925" i="1" s="1"/>
  <c r="A925" i="1"/>
  <c r="AP821" i="1"/>
  <c r="AO821" i="1"/>
  <c r="AL821" i="1"/>
  <c r="AI821" i="1"/>
  <c r="AF821" i="1" s="1"/>
  <c r="A821" i="1"/>
  <c r="AP760" i="1"/>
  <c r="AO760" i="1"/>
  <c r="AL760" i="1"/>
  <c r="AI760" i="1"/>
  <c r="AF760" i="1" s="1"/>
  <c r="A760" i="1"/>
  <c r="AK760" i="1" s="1"/>
  <c r="AP688" i="1"/>
  <c r="AO688" i="1"/>
  <c r="AL688" i="1"/>
  <c r="AI688" i="1"/>
  <c r="AF688" i="1" s="1"/>
  <c r="A688" i="1"/>
  <c r="AP633" i="1"/>
  <c r="AO633" i="1"/>
  <c r="AL633" i="1"/>
  <c r="AI633" i="1"/>
  <c r="AE633" i="1" s="1"/>
  <c r="A633" i="1"/>
  <c r="A684" i="1"/>
  <c r="AI684" i="1"/>
  <c r="AE684" i="1" s="1"/>
  <c r="AL684" i="1"/>
  <c r="AO684" i="1"/>
  <c r="AP684" i="1"/>
  <c r="AF633" i="1" l="1"/>
  <c r="AE688" i="1"/>
  <c r="AK684" i="1"/>
  <c r="AE821" i="1"/>
  <c r="AE760" i="1"/>
  <c r="AK688" i="1"/>
  <c r="AE925" i="1"/>
  <c r="AK821" i="1"/>
  <c r="AK925" i="1"/>
  <c r="AK633" i="1"/>
  <c r="AF684" i="1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56" i="7"/>
  <c r="D56" i="7" s="1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55" i="7"/>
  <c r="D55" i="7" s="1"/>
  <c r="Y64" i="2"/>
  <c r="AA64" i="2" s="1"/>
  <c r="AB64" i="2"/>
  <c r="AC64" i="2"/>
  <c r="U64" i="2"/>
  <c r="V64" i="2"/>
  <c r="AF64" i="2"/>
  <c r="AG64" i="2"/>
  <c r="U65" i="2" l="1"/>
  <c r="V65" i="2"/>
  <c r="U66" i="2"/>
  <c r="V66" i="2"/>
  <c r="Y65" i="2"/>
  <c r="AA65" i="2" s="1"/>
  <c r="AB65" i="2"/>
  <c r="AC65" i="2"/>
  <c r="Y66" i="2"/>
  <c r="AA66" i="2" s="1"/>
  <c r="AB66" i="2"/>
  <c r="AC66" i="2"/>
  <c r="Y67" i="2"/>
  <c r="AA67" i="2" s="1"/>
  <c r="AB67" i="2"/>
  <c r="AC67" i="2"/>
  <c r="AF65" i="2"/>
  <c r="AG65" i="2"/>
  <c r="AF66" i="2"/>
  <c r="AG66" i="2"/>
  <c r="A68" i="2"/>
  <c r="A69" i="2"/>
  <c r="A90" i="1"/>
  <c r="AI90" i="1"/>
  <c r="AF90" i="1" s="1"/>
  <c r="AL90" i="1"/>
  <c r="AO90" i="1"/>
  <c r="AP90" i="1"/>
  <c r="AP24" i="1"/>
  <c r="AO24" i="1"/>
  <c r="AL24" i="1"/>
  <c r="AI24" i="1"/>
  <c r="AF24" i="1" s="1"/>
  <c r="A24" i="1"/>
  <c r="AP23" i="1"/>
  <c r="AO23" i="1"/>
  <c r="AL23" i="1"/>
  <c r="AI23" i="1"/>
  <c r="AE23" i="1" s="1"/>
  <c r="A23" i="1"/>
  <c r="AP22" i="1"/>
  <c r="AO22" i="1"/>
  <c r="AL22" i="1"/>
  <c r="AI22" i="1"/>
  <c r="AE22" i="1" s="1"/>
  <c r="A22" i="1"/>
  <c r="AP119" i="1"/>
  <c r="AO119" i="1"/>
  <c r="AL119" i="1"/>
  <c r="AI119" i="1"/>
  <c r="AF119" i="1" s="1"/>
  <c r="A119" i="1"/>
  <c r="A802" i="1"/>
  <c r="AI802" i="1"/>
  <c r="AE802" i="1" s="1"/>
  <c r="AL802" i="1"/>
  <c r="AO802" i="1"/>
  <c r="AP802" i="1"/>
  <c r="AP849" i="1"/>
  <c r="AO849" i="1"/>
  <c r="AL849" i="1"/>
  <c r="AI849" i="1"/>
  <c r="AF849" i="1" s="1"/>
  <c r="A849" i="1"/>
  <c r="AP784" i="1"/>
  <c r="AO784" i="1"/>
  <c r="AL784" i="1"/>
  <c r="AI784" i="1"/>
  <c r="AF784" i="1" s="1"/>
  <c r="A784" i="1"/>
  <c r="AK784" i="1" s="1"/>
  <c r="AP941" i="1"/>
  <c r="AO941" i="1"/>
  <c r="AL941" i="1"/>
  <c r="AI941" i="1"/>
  <c r="AE941" i="1" s="1"/>
  <c r="A941" i="1"/>
  <c r="AP848" i="1"/>
  <c r="AO848" i="1"/>
  <c r="AL848" i="1"/>
  <c r="AI848" i="1"/>
  <c r="AF848" i="1" s="1"/>
  <c r="A848" i="1"/>
  <c r="AP783" i="1"/>
  <c r="AO783" i="1"/>
  <c r="AL783" i="1"/>
  <c r="AI783" i="1"/>
  <c r="AF783" i="1" s="1"/>
  <c r="A783" i="1"/>
  <c r="AP657" i="1"/>
  <c r="AO657" i="1"/>
  <c r="AL657" i="1"/>
  <c r="AI657" i="1"/>
  <c r="AF657" i="1" s="1"/>
  <c r="A657" i="1"/>
  <c r="AK657" i="1" s="1"/>
  <c r="U67" i="2"/>
  <c r="V67" i="2"/>
  <c r="AF67" i="2"/>
  <c r="AG67" i="2"/>
  <c r="A170" i="2"/>
  <c r="A171" i="2"/>
  <c r="A172" i="2"/>
  <c r="AF22" i="1" l="1"/>
  <c r="AK90" i="1"/>
  <c r="AE90" i="1"/>
  <c r="AK23" i="1"/>
  <c r="AF23" i="1"/>
  <c r="AE24" i="1"/>
  <c r="AK24" i="1"/>
  <c r="AK22" i="1"/>
  <c r="AE119" i="1"/>
  <c r="AK119" i="1"/>
  <c r="AK848" i="1"/>
  <c r="AK941" i="1"/>
  <c r="AK802" i="1"/>
  <c r="AF802" i="1"/>
  <c r="AE848" i="1"/>
  <c r="AF941" i="1"/>
  <c r="AE783" i="1"/>
  <c r="AE657" i="1"/>
  <c r="AE849" i="1"/>
  <c r="AK849" i="1"/>
  <c r="AE784" i="1"/>
  <c r="AK783" i="1"/>
  <c r="AP354" i="1"/>
  <c r="AO354" i="1"/>
  <c r="AL354" i="1"/>
  <c r="AI354" i="1"/>
  <c r="AF354" i="1" s="1"/>
  <c r="A354" i="1"/>
  <c r="AK354" i="1" s="1"/>
  <c r="AP353" i="1"/>
  <c r="AO353" i="1"/>
  <c r="AL353" i="1"/>
  <c r="AI353" i="1"/>
  <c r="AF353" i="1" s="1"/>
  <c r="A353" i="1"/>
  <c r="AK353" i="1" s="1"/>
  <c r="AE354" i="1" l="1"/>
  <c r="AE353" i="1"/>
  <c r="AO994" i="1"/>
  <c r="AP994" i="1"/>
  <c r="AL994" i="1"/>
  <c r="AI994" i="1"/>
  <c r="AE994" i="1" s="1"/>
  <c r="A994" i="1"/>
  <c r="B91" i="7"/>
  <c r="B92" i="7"/>
  <c r="B93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U68" i="2"/>
  <c r="V68" i="2"/>
  <c r="Y68" i="2"/>
  <c r="AA68" i="2" s="1"/>
  <c r="AB68" i="2"/>
  <c r="AC68" i="2"/>
  <c r="AF68" i="2"/>
  <c r="AG68" i="2"/>
  <c r="A70" i="2"/>
  <c r="AP364" i="1"/>
  <c r="AO364" i="1"/>
  <c r="AL364" i="1"/>
  <c r="AI364" i="1"/>
  <c r="AF364" i="1" s="1"/>
  <c r="A364" i="1"/>
  <c r="AK364" i="1" s="1"/>
  <c r="R353" i="1" l="1"/>
  <c r="W354" i="1"/>
  <c r="R354" i="1"/>
  <c r="S354" i="1"/>
  <c r="S353" i="1"/>
  <c r="W353" i="1"/>
  <c r="AK994" i="1"/>
  <c r="AF994" i="1"/>
  <c r="BE115" i="7"/>
  <c r="AW115" i="7"/>
  <c r="BC115" i="7"/>
  <c r="BA115" i="7"/>
  <c r="AS115" i="7"/>
  <c r="BH115" i="7"/>
  <c r="AZ115" i="7"/>
  <c r="BI115" i="7"/>
  <c r="BD115" i="7"/>
  <c r="AV115" i="7"/>
  <c r="BG115" i="7"/>
  <c r="AY115" i="7"/>
  <c r="BF115" i="7"/>
  <c r="AX115" i="7"/>
  <c r="BB115" i="7"/>
  <c r="AT115" i="7"/>
  <c r="AU115" i="7"/>
  <c r="AE364" i="1"/>
  <c r="M47" i="4"/>
  <c r="M48" i="4"/>
  <c r="U69" i="2"/>
  <c r="V69" i="2"/>
  <c r="Y69" i="2"/>
  <c r="AA69" i="2" s="1"/>
  <c r="AB69" i="2"/>
  <c r="AC69" i="2"/>
  <c r="AF69" i="2"/>
  <c r="AG69" i="2"/>
  <c r="S8" i="20" l="1"/>
  <c r="V8" i="20"/>
  <c r="U70" i="2"/>
  <c r="V70" i="2"/>
  <c r="U71" i="2"/>
  <c r="V71" i="2"/>
  <c r="U72" i="2"/>
  <c r="V72" i="2"/>
  <c r="Y70" i="2"/>
  <c r="AA70" i="2" s="1"/>
  <c r="AB70" i="2"/>
  <c r="AC70" i="2"/>
  <c r="Y71" i="2"/>
  <c r="AA71" i="2" s="1"/>
  <c r="AB71" i="2"/>
  <c r="AC71" i="2"/>
  <c r="Y72" i="2"/>
  <c r="AA72" i="2" s="1"/>
  <c r="AB72" i="2"/>
  <c r="AC72" i="2"/>
  <c r="AF70" i="2"/>
  <c r="AG70" i="2"/>
  <c r="AF71" i="2"/>
  <c r="AG71" i="2"/>
  <c r="AF72" i="2"/>
  <c r="AG72" i="2"/>
  <c r="A71" i="2"/>
  <c r="A72" i="2"/>
  <c r="A73" i="2"/>
  <c r="A74" i="2"/>
  <c r="A75" i="2"/>
  <c r="V3" i="20" l="1"/>
  <c r="V4" i="20"/>
  <c r="V5" i="20"/>
  <c r="V6" i="20"/>
  <c r="V7" i="20"/>
  <c r="V9" i="20"/>
  <c r="V10" i="20"/>
  <c r="V11" i="20"/>
  <c r="V12" i="20"/>
  <c r="S3" i="20"/>
  <c r="S4" i="20"/>
  <c r="S5" i="20"/>
  <c r="S6" i="20"/>
  <c r="S7" i="20"/>
  <c r="S9" i="20"/>
  <c r="S10" i="20"/>
  <c r="S11" i="20"/>
  <c r="S12" i="20"/>
  <c r="L5" i="20"/>
  <c r="L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" i="20"/>
  <c r="E4" i="20"/>
  <c r="E5" i="20"/>
  <c r="E6" i="20"/>
  <c r="V13" i="20" l="1"/>
  <c r="K3" i="20"/>
  <c r="K4" i="20"/>
  <c r="K6" i="20"/>
  <c r="M6" i="20" s="1"/>
  <c r="K5" i="20"/>
  <c r="M5" i="20" s="1"/>
  <c r="AP1225" i="1"/>
  <c r="AO1225" i="1"/>
  <c r="AL1225" i="1"/>
  <c r="AI1225" i="1"/>
  <c r="AF1225" i="1" s="1"/>
  <c r="A1225" i="1"/>
  <c r="AK1225" i="1" s="1"/>
  <c r="AP1134" i="1"/>
  <c r="AO1134" i="1"/>
  <c r="AL1134" i="1"/>
  <c r="AI1134" i="1"/>
  <c r="AE1134" i="1" s="1"/>
  <c r="A1134" i="1"/>
  <c r="AP813" i="1"/>
  <c r="AO813" i="1"/>
  <c r="AL813" i="1"/>
  <c r="AI813" i="1"/>
  <c r="AE813" i="1" s="1"/>
  <c r="A813" i="1"/>
  <c r="AK813" i="1" s="1"/>
  <c r="A289" i="1"/>
  <c r="AI289" i="1"/>
  <c r="AE289" i="1" s="1"/>
  <c r="AL289" i="1"/>
  <c r="AO289" i="1"/>
  <c r="AP289" i="1"/>
  <c r="AP1220" i="1"/>
  <c r="AO1220" i="1"/>
  <c r="AL1220" i="1"/>
  <c r="AI1220" i="1"/>
  <c r="AE1220" i="1" s="1"/>
  <c r="A1220" i="1"/>
  <c r="AP508" i="1"/>
  <c r="AO508" i="1"/>
  <c r="AL508" i="1"/>
  <c r="AI508" i="1"/>
  <c r="AF508" i="1" s="1"/>
  <c r="A508" i="1"/>
  <c r="AP811" i="1"/>
  <c r="AO811" i="1"/>
  <c r="AL811" i="1"/>
  <c r="AI811" i="1"/>
  <c r="AF811" i="1" s="1"/>
  <c r="A811" i="1"/>
  <c r="A286" i="1"/>
  <c r="AI286" i="1"/>
  <c r="AE286" i="1" s="1"/>
  <c r="AL286" i="1"/>
  <c r="AO286" i="1"/>
  <c r="AP286" i="1"/>
  <c r="K7" i="20" l="1"/>
  <c r="AK508" i="1"/>
  <c r="AF813" i="1"/>
  <c r="AF1134" i="1"/>
  <c r="AE1225" i="1"/>
  <c r="AK289" i="1"/>
  <c r="AF1220" i="1"/>
  <c r="AK1220" i="1"/>
  <c r="AK1134" i="1"/>
  <c r="AF289" i="1"/>
  <c r="AE811" i="1"/>
  <c r="AE508" i="1"/>
  <c r="AK811" i="1"/>
  <c r="AK286" i="1"/>
  <c r="AF286" i="1"/>
  <c r="AP1052" i="1"/>
  <c r="AO1052" i="1"/>
  <c r="AL1052" i="1"/>
  <c r="AI1052" i="1"/>
  <c r="AF1052" i="1" s="1"/>
  <c r="A1052" i="1"/>
  <c r="AK1052" i="1" s="1"/>
  <c r="AP943" i="1"/>
  <c r="AO943" i="1"/>
  <c r="AL943" i="1"/>
  <c r="AI943" i="1"/>
  <c r="AF943" i="1" s="1"/>
  <c r="A943" i="1"/>
  <c r="AP859" i="1"/>
  <c r="AO859" i="1"/>
  <c r="AL859" i="1"/>
  <c r="AI859" i="1"/>
  <c r="AF859" i="1" s="1"/>
  <c r="A859" i="1"/>
  <c r="AP801" i="1"/>
  <c r="AO801" i="1"/>
  <c r="AL801" i="1"/>
  <c r="AI801" i="1"/>
  <c r="AF801" i="1" s="1"/>
  <c r="A801" i="1"/>
  <c r="AP727" i="1"/>
  <c r="AO727" i="1"/>
  <c r="AL727" i="1"/>
  <c r="AI727" i="1"/>
  <c r="AF727" i="1" s="1"/>
  <c r="A727" i="1"/>
  <c r="AK801" i="1" l="1"/>
  <c r="AE727" i="1"/>
  <c r="AE801" i="1"/>
  <c r="AK859" i="1"/>
  <c r="AE943" i="1"/>
  <c r="AE859" i="1"/>
  <c r="AE1052" i="1"/>
  <c r="AK943" i="1"/>
  <c r="AK727" i="1"/>
  <c r="U73" i="2" l="1"/>
  <c r="V73" i="2"/>
  <c r="Y73" i="2"/>
  <c r="AA73" i="2" s="1"/>
  <c r="AB73" i="2"/>
  <c r="AC73" i="2"/>
  <c r="AF73" i="2"/>
  <c r="AG73" i="2"/>
  <c r="A76" i="2"/>
  <c r="A77" i="2"/>
  <c r="A78" i="2"/>
  <c r="A79" i="2"/>
  <c r="A80" i="2"/>
  <c r="A81" i="2"/>
  <c r="A82" i="2"/>
  <c r="A83" i="2"/>
  <c r="A84" i="2"/>
  <c r="A85" i="2"/>
  <c r="A86" i="2"/>
  <c r="A87" i="2"/>
  <c r="U74" i="2"/>
  <c r="V74" i="2"/>
  <c r="U75" i="2"/>
  <c r="V75" i="2"/>
  <c r="Y74" i="2"/>
  <c r="AA74" i="2" s="1"/>
  <c r="AB74" i="2"/>
  <c r="AC74" i="2"/>
  <c r="AF74" i="2"/>
  <c r="AG74" i="2"/>
  <c r="A377" i="2"/>
  <c r="Y75" i="2"/>
  <c r="AA75" i="2" s="1"/>
  <c r="AB75" i="2"/>
  <c r="AC75" i="2"/>
  <c r="AF75" i="2"/>
  <c r="AG75" i="2"/>
  <c r="AP1050" i="1"/>
  <c r="AO1050" i="1"/>
  <c r="AL1050" i="1"/>
  <c r="AI1050" i="1"/>
  <c r="AF1050" i="1" s="1"/>
  <c r="A1050" i="1"/>
  <c r="AK1050" i="1" s="1"/>
  <c r="AP937" i="1"/>
  <c r="AO937" i="1"/>
  <c r="AL937" i="1"/>
  <c r="AI937" i="1"/>
  <c r="AF937" i="1" s="1"/>
  <c r="A937" i="1"/>
  <c r="AP844" i="1"/>
  <c r="AO844" i="1"/>
  <c r="AL844" i="1"/>
  <c r="AI844" i="1"/>
  <c r="AF844" i="1" s="1"/>
  <c r="A844" i="1"/>
  <c r="AK844" i="1" s="1"/>
  <c r="A259" i="1"/>
  <c r="AK259" i="1" s="1"/>
  <c r="AI259" i="1"/>
  <c r="AE259" i="1" s="1"/>
  <c r="AL259" i="1"/>
  <c r="AO259" i="1"/>
  <c r="AP259" i="1"/>
  <c r="R994" i="1" l="1"/>
  <c r="W994" i="1"/>
  <c r="S994" i="1"/>
  <c r="AE844" i="1"/>
  <c r="AE937" i="1"/>
  <c r="AE1050" i="1"/>
  <c r="AK937" i="1"/>
  <c r="AF259" i="1"/>
  <c r="U76" i="2" l="1"/>
  <c r="V76" i="2"/>
  <c r="Y76" i="2"/>
  <c r="AA76" i="2" s="1"/>
  <c r="AB76" i="2"/>
  <c r="AC76" i="2"/>
  <c r="AF76" i="2"/>
  <c r="AG76" i="2"/>
  <c r="A54" i="1" l="1"/>
  <c r="AI54" i="1"/>
  <c r="AE54" i="1" s="1"/>
  <c r="AL54" i="1"/>
  <c r="AO54" i="1"/>
  <c r="AP54" i="1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B54" i="7"/>
  <c r="D54" i="7" s="1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B89" i="7"/>
  <c r="D89" i="7" s="1"/>
  <c r="AK54" i="1" l="1"/>
  <c r="AF54" i="1"/>
  <c r="A174" i="1"/>
  <c r="AI174" i="1"/>
  <c r="AE174" i="1" s="1"/>
  <c r="AL174" i="1"/>
  <c r="AO174" i="1"/>
  <c r="AP174" i="1"/>
  <c r="AP1301" i="1"/>
  <c r="AO1301" i="1"/>
  <c r="AL1301" i="1"/>
  <c r="AI1301" i="1"/>
  <c r="AF1301" i="1" s="1"/>
  <c r="A1301" i="1"/>
  <c r="AP1267" i="1"/>
  <c r="AO1267" i="1"/>
  <c r="AL1267" i="1"/>
  <c r="AI1267" i="1"/>
  <c r="AF1267" i="1" s="1"/>
  <c r="A1267" i="1"/>
  <c r="A1227" i="1"/>
  <c r="AI1227" i="1"/>
  <c r="AE1227" i="1" s="1"/>
  <c r="AL1227" i="1"/>
  <c r="AO1227" i="1"/>
  <c r="AP1227" i="1"/>
  <c r="AK174" i="1" l="1"/>
  <c r="AF174" i="1"/>
  <c r="AK1227" i="1"/>
  <c r="AE1301" i="1"/>
  <c r="AE1267" i="1"/>
  <c r="AK1301" i="1"/>
  <c r="AK1267" i="1"/>
  <c r="AF1227" i="1"/>
  <c r="H9" i="20"/>
  <c r="AP929" i="1" l="1"/>
  <c r="AO929" i="1"/>
  <c r="AL929" i="1"/>
  <c r="AI929" i="1"/>
  <c r="AF929" i="1" s="1"/>
  <c r="A929" i="1"/>
  <c r="AP836" i="1"/>
  <c r="AO836" i="1"/>
  <c r="AL836" i="1"/>
  <c r="AI836" i="1"/>
  <c r="AE836" i="1" s="1"/>
  <c r="A836" i="1"/>
  <c r="AP775" i="1"/>
  <c r="AO775" i="1"/>
  <c r="AL775" i="1"/>
  <c r="AI775" i="1"/>
  <c r="AF775" i="1" s="1"/>
  <c r="A775" i="1"/>
  <c r="AE929" i="1" l="1"/>
  <c r="AF836" i="1"/>
  <c r="AE775" i="1"/>
  <c r="AK836" i="1"/>
  <c r="AK929" i="1"/>
  <c r="AK775" i="1"/>
  <c r="H39" i="4"/>
  <c r="U77" i="2"/>
  <c r="V77" i="2"/>
  <c r="U78" i="2"/>
  <c r="V78" i="2"/>
  <c r="Y77" i="2"/>
  <c r="AA77" i="2" s="1"/>
  <c r="AB77" i="2"/>
  <c r="AC77" i="2"/>
  <c r="Y78" i="2"/>
  <c r="AA78" i="2" s="1"/>
  <c r="AB78" i="2"/>
  <c r="AC78" i="2"/>
  <c r="AF77" i="2"/>
  <c r="AG77" i="2"/>
  <c r="AF78" i="2"/>
  <c r="AG78" i="2"/>
  <c r="V82" i="2" l="1"/>
  <c r="V83" i="2"/>
  <c r="U79" i="2"/>
  <c r="V79" i="2"/>
  <c r="Y79" i="2"/>
  <c r="AA79" i="2" s="1"/>
  <c r="AB79" i="2"/>
  <c r="AC79" i="2"/>
  <c r="AF79" i="2"/>
  <c r="AG79" i="2"/>
  <c r="AF256" i="2"/>
  <c r="AG256" i="2"/>
  <c r="AP1177" i="1"/>
  <c r="AO1177" i="1"/>
  <c r="AL1177" i="1"/>
  <c r="AI1177" i="1"/>
  <c r="AE1177" i="1" s="1"/>
  <c r="A1177" i="1"/>
  <c r="AP997" i="1"/>
  <c r="AO997" i="1"/>
  <c r="AL997" i="1"/>
  <c r="AI997" i="1"/>
  <c r="AF997" i="1" s="1"/>
  <c r="A997" i="1"/>
  <c r="AP1300" i="1"/>
  <c r="AO1300" i="1"/>
  <c r="AL1300" i="1"/>
  <c r="AI1300" i="1"/>
  <c r="AF1300" i="1" s="1"/>
  <c r="A1300" i="1"/>
  <c r="A1209" i="1"/>
  <c r="AK1209" i="1" s="1"/>
  <c r="AP1264" i="1"/>
  <c r="AO1264" i="1"/>
  <c r="AL1264" i="1"/>
  <c r="AI1264" i="1"/>
  <c r="AF1264" i="1" s="1"/>
  <c r="A1264" i="1"/>
  <c r="AP1188" i="1"/>
  <c r="AO1188" i="1"/>
  <c r="AL1188" i="1"/>
  <c r="AI1188" i="1"/>
  <c r="AF1188" i="1" s="1"/>
  <c r="A1188" i="1"/>
  <c r="A1103" i="1"/>
  <c r="A173" i="1"/>
  <c r="A545" i="1"/>
  <c r="A260" i="1"/>
  <c r="A1030" i="1"/>
  <c r="AI1103" i="1"/>
  <c r="AF1103" i="1" s="1"/>
  <c r="AI1209" i="1"/>
  <c r="AE1209" i="1" s="1"/>
  <c r="AI173" i="1"/>
  <c r="AE173" i="1" s="1"/>
  <c r="AI545" i="1"/>
  <c r="AE545" i="1" s="1"/>
  <c r="AI260" i="1"/>
  <c r="AF260" i="1" s="1"/>
  <c r="AI1030" i="1"/>
  <c r="AF1030" i="1" s="1"/>
  <c r="AL1103" i="1"/>
  <c r="AL1209" i="1"/>
  <c r="AL173" i="1"/>
  <c r="AL545" i="1"/>
  <c r="AL260" i="1"/>
  <c r="AL1030" i="1"/>
  <c r="AO1103" i="1"/>
  <c r="AO1209" i="1"/>
  <c r="AO173" i="1"/>
  <c r="AO545" i="1"/>
  <c r="AO260" i="1"/>
  <c r="AO1030" i="1"/>
  <c r="AP1103" i="1"/>
  <c r="AP1209" i="1"/>
  <c r="AP173" i="1"/>
  <c r="AP545" i="1"/>
  <c r="AP260" i="1"/>
  <c r="AP1030" i="1"/>
  <c r="AF1177" i="1" l="1"/>
  <c r="AE997" i="1"/>
  <c r="AK1177" i="1"/>
  <c r="AE1264" i="1"/>
  <c r="AK997" i="1"/>
  <c r="AK260" i="1"/>
  <c r="AE1300" i="1"/>
  <c r="AK1300" i="1"/>
  <c r="AK173" i="1"/>
  <c r="AK1030" i="1"/>
  <c r="AE1188" i="1"/>
  <c r="AK1264" i="1"/>
  <c r="AK1188" i="1"/>
  <c r="AK1103" i="1"/>
  <c r="AE1030" i="1"/>
  <c r="AF545" i="1"/>
  <c r="AF173" i="1"/>
  <c r="AF1209" i="1"/>
  <c r="AE1103" i="1"/>
  <c r="AK545" i="1"/>
  <c r="AE260" i="1"/>
  <c r="U80" i="2" l="1"/>
  <c r="V80" i="2"/>
  <c r="U81" i="2"/>
  <c r="V81" i="2"/>
  <c r="U82" i="2"/>
  <c r="U83" i="2"/>
  <c r="Y80" i="2"/>
  <c r="AA80" i="2" s="1"/>
  <c r="AB80" i="2"/>
  <c r="AC80" i="2"/>
  <c r="Y81" i="2"/>
  <c r="AA81" i="2" s="1"/>
  <c r="AB81" i="2"/>
  <c r="AC81" i="2"/>
  <c r="Y82" i="2"/>
  <c r="AA82" i="2" s="1"/>
  <c r="AB82" i="2"/>
  <c r="AC82" i="2"/>
  <c r="Y83" i="2"/>
  <c r="AA83" i="2" s="1"/>
  <c r="AB83" i="2"/>
  <c r="AC83" i="2"/>
  <c r="AF80" i="2"/>
  <c r="AG80" i="2"/>
  <c r="AF81" i="2"/>
  <c r="AG81" i="2"/>
  <c r="AF82" i="2"/>
  <c r="AG82" i="2"/>
  <c r="AF83" i="2"/>
  <c r="AG83" i="2"/>
  <c r="V57" i="4" l="1"/>
  <c r="U48" i="4"/>
  <c r="S48" i="4"/>
  <c r="Q48" i="4"/>
  <c r="O48" i="4"/>
  <c r="V58" i="4"/>
  <c r="U55" i="4"/>
  <c r="Y84" i="2" l="1"/>
  <c r="AA84" i="2" s="1"/>
  <c r="AB84" i="2"/>
  <c r="AC84" i="2"/>
  <c r="AF84" i="2"/>
  <c r="AG84" i="2"/>
  <c r="U84" i="2"/>
  <c r="V84" i="2"/>
  <c r="H31" i="20" l="1"/>
  <c r="H27" i="20"/>
  <c r="H37" i="20"/>
  <c r="H36" i="20"/>
  <c r="H17" i="20"/>
  <c r="H30" i="20"/>
  <c r="H29" i="20"/>
  <c r="H24" i="20"/>
  <c r="H28" i="20"/>
  <c r="H3" i="20"/>
  <c r="H15" i="20"/>
  <c r="H11" i="20"/>
  <c r="H4" i="20"/>
  <c r="H26" i="20"/>
  <c r="H12" i="20"/>
  <c r="H16" i="20"/>
  <c r="H19" i="20"/>
  <c r="H6" i="20"/>
  <c r="H38" i="20"/>
  <c r="H33" i="20"/>
  <c r="H25" i="20"/>
  <c r="H7" i="20"/>
  <c r="H32" i="20"/>
  <c r="H35" i="20"/>
  <c r="H18" i="20"/>
  <c r="H20" i="20"/>
  <c r="H21" i="20"/>
  <c r="H22" i="20"/>
  <c r="H34" i="20"/>
  <c r="H13" i="20"/>
  <c r="H14" i="20"/>
  <c r="AP301" i="1"/>
  <c r="AO301" i="1"/>
  <c r="AL301" i="1"/>
  <c r="AI301" i="1"/>
  <c r="AF301" i="1" s="1"/>
  <c r="A301" i="1"/>
  <c r="AP168" i="1"/>
  <c r="AO168" i="1"/>
  <c r="AL168" i="1"/>
  <c r="AI168" i="1"/>
  <c r="AE168" i="1" s="1"/>
  <c r="A168" i="1"/>
  <c r="AP167" i="1"/>
  <c r="AO167" i="1"/>
  <c r="AL167" i="1"/>
  <c r="AI167" i="1"/>
  <c r="AF167" i="1" s="1"/>
  <c r="A167" i="1"/>
  <c r="AP166" i="1"/>
  <c r="AO166" i="1"/>
  <c r="AL166" i="1"/>
  <c r="AI166" i="1"/>
  <c r="AF166" i="1" s="1"/>
  <c r="A166" i="1"/>
  <c r="AP39" i="1"/>
  <c r="AO39" i="1"/>
  <c r="AL39" i="1"/>
  <c r="AI39" i="1"/>
  <c r="AF39" i="1" s="1"/>
  <c r="A39" i="1"/>
  <c r="AP38" i="1"/>
  <c r="AO38" i="1"/>
  <c r="AL38" i="1"/>
  <c r="AI38" i="1"/>
  <c r="AE38" i="1" s="1"/>
  <c r="A38" i="1"/>
  <c r="AP37" i="1"/>
  <c r="AO37" i="1"/>
  <c r="AL37" i="1"/>
  <c r="AI37" i="1"/>
  <c r="AF37" i="1" s="1"/>
  <c r="A37" i="1"/>
  <c r="AK37" i="1" s="1"/>
  <c r="AF168" i="1" l="1"/>
  <c r="AE167" i="1"/>
  <c r="AE37" i="1"/>
  <c r="AF38" i="1"/>
  <c r="AK38" i="1"/>
  <c r="AE39" i="1"/>
  <c r="AE166" i="1"/>
  <c r="AK39" i="1"/>
  <c r="AK166" i="1"/>
  <c r="AK167" i="1"/>
  <c r="AK168" i="1"/>
  <c r="AE301" i="1"/>
  <c r="AK301" i="1"/>
  <c r="U85" i="2"/>
  <c r="V85" i="2"/>
  <c r="U86" i="2"/>
  <c r="V86" i="2"/>
  <c r="Y85" i="2"/>
  <c r="AA85" i="2" s="1"/>
  <c r="AB85" i="2"/>
  <c r="AC85" i="2"/>
  <c r="Y86" i="2"/>
  <c r="AA86" i="2" s="1"/>
  <c r="AB86" i="2"/>
  <c r="AC86" i="2"/>
  <c r="AF85" i="2"/>
  <c r="AG85" i="2"/>
  <c r="AF86" i="2"/>
  <c r="AG86" i="2"/>
  <c r="A88" i="2"/>
  <c r="A89" i="2"/>
  <c r="A90" i="2"/>
  <c r="A91" i="2"/>
  <c r="A300" i="1"/>
  <c r="AI300" i="1"/>
  <c r="AE300" i="1" s="1"/>
  <c r="AL300" i="1"/>
  <c r="AO300" i="1"/>
  <c r="AP300" i="1"/>
  <c r="U87" i="2"/>
  <c r="V87" i="2"/>
  <c r="U88" i="2"/>
  <c r="V88" i="2"/>
  <c r="U89" i="2"/>
  <c r="V89" i="2"/>
  <c r="Y87" i="2"/>
  <c r="AA87" i="2" s="1"/>
  <c r="AB87" i="2"/>
  <c r="AC87" i="2"/>
  <c r="Y88" i="2"/>
  <c r="AA88" i="2" s="1"/>
  <c r="AB88" i="2"/>
  <c r="AC88" i="2"/>
  <c r="Y89" i="2"/>
  <c r="AA89" i="2" s="1"/>
  <c r="AB89" i="2"/>
  <c r="AC89" i="2"/>
  <c r="AF87" i="2"/>
  <c r="AG87" i="2"/>
  <c r="AF88" i="2"/>
  <c r="AG88" i="2"/>
  <c r="AF89" i="2"/>
  <c r="AG89" i="2"/>
  <c r="R23" i="1" l="1"/>
  <c r="W24" i="1"/>
  <c r="S24" i="1"/>
  <c r="R22" i="1"/>
  <c r="S22" i="1"/>
  <c r="S23" i="1"/>
  <c r="R24" i="1"/>
  <c r="W22" i="1"/>
  <c r="W23" i="1"/>
  <c r="W174" i="1"/>
  <c r="S174" i="1"/>
  <c r="R174" i="1"/>
  <c r="AF300" i="1"/>
  <c r="AK300" i="1"/>
  <c r="Y90" i="2" l="1"/>
  <c r="AA90" i="2" s="1"/>
  <c r="AB90" i="2"/>
  <c r="AC90" i="2"/>
  <c r="AF90" i="2"/>
  <c r="AG90" i="2"/>
  <c r="U90" i="2"/>
  <c r="V90" i="2"/>
  <c r="A284" i="2"/>
  <c r="A285" i="2"/>
  <c r="A286" i="2"/>
  <c r="A287" i="2"/>
  <c r="A288" i="2"/>
  <c r="A289" i="2"/>
  <c r="A290" i="2"/>
  <c r="A291" i="2"/>
  <c r="U91" i="2" l="1"/>
  <c r="V91" i="2"/>
  <c r="Y91" i="2"/>
  <c r="AA91" i="2" s="1"/>
  <c r="AB91" i="2"/>
  <c r="AC91" i="2"/>
  <c r="AF91" i="2"/>
  <c r="AG91" i="2"/>
  <c r="H3" i="23" l="1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BA3" i="23"/>
  <c r="BB3" i="23"/>
  <c r="BC3" i="23"/>
  <c r="BD3" i="23"/>
  <c r="BE3" i="23"/>
  <c r="BF3" i="23"/>
  <c r="BG3" i="23"/>
  <c r="BH3" i="23"/>
  <c r="BI3" i="23"/>
  <c r="BJ3" i="23"/>
  <c r="BK3" i="23"/>
  <c r="BL3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BA4" i="23"/>
  <c r="BB4" i="23"/>
  <c r="BC4" i="23"/>
  <c r="BD4" i="23"/>
  <c r="BE4" i="23"/>
  <c r="BF4" i="23"/>
  <c r="BG4" i="23"/>
  <c r="BH4" i="23"/>
  <c r="BI4" i="23"/>
  <c r="BJ4" i="23"/>
  <c r="BK4" i="23"/>
  <c r="BL4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3" i="23"/>
  <c r="U92" i="2" l="1"/>
  <c r="V92" i="2"/>
  <c r="Y92" i="2"/>
  <c r="AA92" i="2" s="1"/>
  <c r="AB92" i="2"/>
  <c r="AC92" i="2"/>
  <c r="AF92" i="2"/>
  <c r="AG92" i="2"/>
  <c r="A92" i="2"/>
  <c r="U93" i="2" l="1"/>
  <c r="V93" i="2"/>
  <c r="U94" i="2"/>
  <c r="V94" i="2"/>
  <c r="U95" i="2"/>
  <c r="V95" i="2"/>
  <c r="U96" i="2"/>
  <c r="V96" i="2"/>
  <c r="U97" i="2"/>
  <c r="V97" i="2"/>
  <c r="Y93" i="2"/>
  <c r="AA93" i="2" s="1"/>
  <c r="AB93" i="2"/>
  <c r="AC93" i="2"/>
  <c r="Y94" i="2"/>
  <c r="AA94" i="2" s="1"/>
  <c r="AB94" i="2"/>
  <c r="AC94" i="2"/>
  <c r="Y95" i="2"/>
  <c r="AA95" i="2" s="1"/>
  <c r="AB95" i="2"/>
  <c r="AC95" i="2"/>
  <c r="Y96" i="2"/>
  <c r="AA96" i="2" s="1"/>
  <c r="AB96" i="2"/>
  <c r="AC96" i="2"/>
  <c r="Y97" i="2"/>
  <c r="AA97" i="2" s="1"/>
  <c r="AB97" i="2"/>
  <c r="AC97" i="2"/>
  <c r="AF93" i="2"/>
  <c r="AG93" i="2"/>
  <c r="AF94" i="2"/>
  <c r="AG94" i="2"/>
  <c r="AF95" i="2"/>
  <c r="AG95" i="2"/>
  <c r="AF96" i="2"/>
  <c r="AG96" i="2"/>
  <c r="AF97" i="2"/>
  <c r="AG97" i="2"/>
  <c r="U99" i="2"/>
  <c r="V99" i="2"/>
  <c r="Y99" i="2"/>
  <c r="AA99" i="2" s="1"/>
  <c r="AB99" i="2"/>
  <c r="AC99" i="2"/>
  <c r="AF99" i="2"/>
  <c r="AG99" i="2"/>
  <c r="A93" i="2"/>
  <c r="A94" i="2"/>
  <c r="A95" i="2"/>
  <c r="A96" i="2"/>
  <c r="A97" i="2"/>
  <c r="A98" i="2"/>
  <c r="A99" i="2"/>
  <c r="A100" i="2"/>
  <c r="A101" i="2"/>
  <c r="U98" i="2"/>
  <c r="V98" i="2"/>
  <c r="Y98" i="2"/>
  <c r="AA98" i="2" s="1"/>
  <c r="AB98" i="2"/>
  <c r="AC98" i="2"/>
  <c r="AF98" i="2"/>
  <c r="AG98" i="2"/>
  <c r="AP996" i="1" l="1"/>
  <c r="AO996" i="1"/>
  <c r="AL996" i="1"/>
  <c r="AI996" i="1"/>
  <c r="AE996" i="1" s="1"/>
  <c r="A996" i="1"/>
  <c r="AK996" i="1" s="1"/>
  <c r="AP785" i="1"/>
  <c r="AO785" i="1"/>
  <c r="AL785" i="1"/>
  <c r="AI785" i="1"/>
  <c r="AF785" i="1" s="1"/>
  <c r="A785" i="1"/>
  <c r="AP646" i="1"/>
  <c r="AO646" i="1"/>
  <c r="AL646" i="1"/>
  <c r="AI646" i="1"/>
  <c r="AF646" i="1" s="1"/>
  <c r="A646" i="1"/>
  <c r="AP406" i="1"/>
  <c r="AO406" i="1"/>
  <c r="AL406" i="1"/>
  <c r="AI406" i="1"/>
  <c r="AE406" i="1" s="1"/>
  <c r="A406" i="1"/>
  <c r="AP297" i="1"/>
  <c r="AO297" i="1"/>
  <c r="AL297" i="1"/>
  <c r="AI297" i="1"/>
  <c r="AF297" i="1" s="1"/>
  <c r="A297" i="1"/>
  <c r="AP143" i="1"/>
  <c r="AO143" i="1"/>
  <c r="AL143" i="1"/>
  <c r="AI143" i="1"/>
  <c r="AF143" i="1" s="1"/>
  <c r="A143" i="1"/>
  <c r="AP142" i="1"/>
  <c r="AO142" i="1"/>
  <c r="AL142" i="1"/>
  <c r="AI142" i="1"/>
  <c r="AE142" i="1" s="1"/>
  <c r="A142" i="1"/>
  <c r="AP141" i="1"/>
  <c r="AO141" i="1"/>
  <c r="AL141" i="1"/>
  <c r="AI141" i="1"/>
  <c r="AF141" i="1" s="1"/>
  <c r="A141" i="1"/>
  <c r="AK141" i="1" s="1"/>
  <c r="AP18" i="1"/>
  <c r="AO18" i="1"/>
  <c r="AL18" i="1"/>
  <c r="AI18" i="1"/>
  <c r="AF18" i="1" s="1"/>
  <c r="A18" i="1"/>
  <c r="AP17" i="1"/>
  <c r="AO17" i="1"/>
  <c r="AL17" i="1"/>
  <c r="AI17" i="1"/>
  <c r="AE17" i="1" s="1"/>
  <c r="A17" i="1"/>
  <c r="AK17" i="1" s="1"/>
  <c r="AP16" i="1"/>
  <c r="AO16" i="1"/>
  <c r="AL16" i="1"/>
  <c r="AI16" i="1"/>
  <c r="AF16" i="1" s="1"/>
  <c r="A16" i="1"/>
  <c r="AP15" i="1"/>
  <c r="AO15" i="1"/>
  <c r="AL15" i="1"/>
  <c r="AI15" i="1"/>
  <c r="AE15" i="1" s="1"/>
  <c r="A15" i="1"/>
  <c r="AE297" i="1" l="1"/>
  <c r="AE143" i="1"/>
  <c r="AK143" i="1"/>
  <c r="AK16" i="1"/>
  <c r="AF15" i="1"/>
  <c r="AE16" i="1"/>
  <c r="AE646" i="1"/>
  <c r="AF142" i="1"/>
  <c r="AK297" i="1"/>
  <c r="AK646" i="1"/>
  <c r="AF996" i="1"/>
  <c r="AE785" i="1"/>
  <c r="AK18" i="1"/>
  <c r="AK785" i="1"/>
  <c r="AK15" i="1"/>
  <c r="AK142" i="1"/>
  <c r="AF17" i="1"/>
  <c r="AE18" i="1"/>
  <c r="AE141" i="1"/>
  <c r="AF406" i="1"/>
  <c r="AK406" i="1"/>
  <c r="U100" i="2"/>
  <c r="V100" i="2"/>
  <c r="Y100" i="2"/>
  <c r="AA100" i="2" s="1"/>
  <c r="AB100" i="2"/>
  <c r="AC100" i="2"/>
  <c r="AF100" i="2"/>
  <c r="AG100" i="2"/>
  <c r="A102" i="2"/>
  <c r="A103" i="2"/>
  <c r="U101" i="2"/>
  <c r="V101" i="2"/>
  <c r="U102" i="2"/>
  <c r="V102" i="2"/>
  <c r="Y101" i="2"/>
  <c r="AA101" i="2" s="1"/>
  <c r="AB101" i="2"/>
  <c r="AC101" i="2"/>
  <c r="Y102" i="2"/>
  <c r="AA102" i="2" s="1"/>
  <c r="AB102" i="2"/>
  <c r="AC102" i="2"/>
  <c r="AF101" i="2"/>
  <c r="AG101" i="2"/>
  <c r="AF102" i="2"/>
  <c r="AG102" i="2"/>
  <c r="A104" i="2"/>
  <c r="U103" i="2"/>
  <c r="V103" i="2"/>
  <c r="U104" i="2"/>
  <c r="V104" i="2"/>
  <c r="Y103" i="2"/>
  <c r="AA103" i="2" s="1"/>
  <c r="AB103" i="2"/>
  <c r="AC103" i="2"/>
  <c r="AF103" i="2"/>
  <c r="AG103" i="2"/>
  <c r="AP531" i="1" l="1"/>
  <c r="AO531" i="1"/>
  <c r="AL531" i="1"/>
  <c r="AI531" i="1"/>
  <c r="AF531" i="1" s="1"/>
  <c r="A531" i="1"/>
  <c r="AK531" i="1" s="1"/>
  <c r="AP530" i="1"/>
  <c r="AO530" i="1"/>
  <c r="AL530" i="1"/>
  <c r="AI530" i="1"/>
  <c r="AF530" i="1" s="1"/>
  <c r="A530" i="1"/>
  <c r="AP436" i="1"/>
  <c r="AO436" i="1"/>
  <c r="AL436" i="1"/>
  <c r="AI436" i="1"/>
  <c r="AF436" i="1" s="1"/>
  <c r="A436" i="1"/>
  <c r="AP435" i="1"/>
  <c r="AO435" i="1"/>
  <c r="AL435" i="1"/>
  <c r="AI435" i="1"/>
  <c r="AF435" i="1" s="1"/>
  <c r="A435" i="1"/>
  <c r="AP336" i="1"/>
  <c r="AO336" i="1"/>
  <c r="AL336" i="1"/>
  <c r="AI336" i="1"/>
  <c r="AF336" i="1" s="1"/>
  <c r="A336" i="1"/>
  <c r="AP335" i="1"/>
  <c r="AO335" i="1"/>
  <c r="AL335" i="1"/>
  <c r="AI335" i="1"/>
  <c r="AF335" i="1" s="1"/>
  <c r="A335" i="1"/>
  <c r="AP222" i="1"/>
  <c r="AO222" i="1"/>
  <c r="AL222" i="1"/>
  <c r="AI222" i="1"/>
  <c r="AF222" i="1" s="1"/>
  <c r="A222" i="1"/>
  <c r="AP212" i="1"/>
  <c r="AO212" i="1"/>
  <c r="AL212" i="1"/>
  <c r="AI212" i="1"/>
  <c r="AE212" i="1" s="1"/>
  <c r="A212" i="1"/>
  <c r="AP211" i="1"/>
  <c r="AO211" i="1"/>
  <c r="AL211" i="1"/>
  <c r="AI211" i="1"/>
  <c r="AF211" i="1" s="1"/>
  <c r="A211" i="1"/>
  <c r="H8" i="20"/>
  <c r="H23" i="20"/>
  <c r="H10" i="20"/>
  <c r="H5" i="20"/>
  <c r="H39" i="20" s="1"/>
  <c r="AF104" i="2"/>
  <c r="AG104" i="2"/>
  <c r="Y104" i="2"/>
  <c r="AA104" i="2" s="1"/>
  <c r="AB104" i="2"/>
  <c r="AC104" i="2"/>
  <c r="A105" i="2"/>
  <c r="H43" i="20" l="1"/>
  <c r="AE336" i="1"/>
  <c r="AF212" i="1"/>
  <c r="AK336" i="1"/>
  <c r="AE222" i="1"/>
  <c r="AE211" i="1"/>
  <c r="AK222" i="1"/>
  <c r="AE531" i="1"/>
  <c r="AE530" i="1"/>
  <c r="AK530" i="1"/>
  <c r="AE436" i="1"/>
  <c r="AK436" i="1"/>
  <c r="AE435" i="1"/>
  <c r="AK435" i="1"/>
  <c r="AE335" i="1"/>
  <c r="AK335" i="1"/>
  <c r="AK212" i="1"/>
  <c r="AK211" i="1"/>
  <c r="AP619" i="1"/>
  <c r="AO619" i="1"/>
  <c r="AL619" i="1"/>
  <c r="AI619" i="1"/>
  <c r="AF619" i="1" s="1"/>
  <c r="A619" i="1"/>
  <c r="AP618" i="1"/>
  <c r="AO618" i="1"/>
  <c r="AL618" i="1"/>
  <c r="AI618" i="1"/>
  <c r="AE618" i="1" s="1"/>
  <c r="A618" i="1"/>
  <c r="AK618" i="1" s="1"/>
  <c r="AP547" i="1"/>
  <c r="AO547" i="1"/>
  <c r="AL547" i="1"/>
  <c r="AI547" i="1"/>
  <c r="AF547" i="1" s="1"/>
  <c r="A547" i="1"/>
  <c r="AP546" i="1"/>
  <c r="AO546" i="1"/>
  <c r="AL546" i="1"/>
  <c r="AI546" i="1"/>
  <c r="AE546" i="1" s="1"/>
  <c r="A546" i="1"/>
  <c r="AP476" i="1"/>
  <c r="AO476" i="1"/>
  <c r="AL476" i="1"/>
  <c r="AI476" i="1"/>
  <c r="AF476" i="1" s="1"/>
  <c r="A476" i="1"/>
  <c r="AP475" i="1"/>
  <c r="AO475" i="1"/>
  <c r="AL475" i="1"/>
  <c r="AI475" i="1"/>
  <c r="AE475" i="1" s="1"/>
  <c r="A475" i="1"/>
  <c r="AP366" i="1"/>
  <c r="AO366" i="1"/>
  <c r="AL366" i="1"/>
  <c r="AI366" i="1"/>
  <c r="AE366" i="1" s="1"/>
  <c r="A366" i="1"/>
  <c r="AP365" i="1"/>
  <c r="AO365" i="1"/>
  <c r="AL365" i="1"/>
  <c r="AI365" i="1"/>
  <c r="AF365" i="1" s="1"/>
  <c r="A365" i="1"/>
  <c r="AP232" i="1"/>
  <c r="AO232" i="1"/>
  <c r="AL232" i="1"/>
  <c r="AI232" i="1"/>
  <c r="AF232" i="1" s="1"/>
  <c r="A232" i="1"/>
  <c r="AP231" i="1"/>
  <c r="AO231" i="1"/>
  <c r="AL231" i="1"/>
  <c r="AI231" i="1"/>
  <c r="AE231" i="1" s="1"/>
  <c r="A231" i="1"/>
  <c r="AF366" i="1" l="1"/>
  <c r="AF475" i="1"/>
  <c r="AF546" i="1"/>
  <c r="AF231" i="1"/>
  <c r="AK365" i="1"/>
  <c r="AK475" i="1"/>
  <c r="AE547" i="1"/>
  <c r="AK476" i="1"/>
  <c r="AK546" i="1"/>
  <c r="AK547" i="1"/>
  <c r="AF618" i="1"/>
  <c r="AE619" i="1"/>
  <c r="AE365" i="1"/>
  <c r="AE232" i="1"/>
  <c r="AE476" i="1"/>
  <c r="AK619" i="1"/>
  <c r="AK366" i="1"/>
  <c r="AK232" i="1"/>
  <c r="AK231" i="1"/>
  <c r="U110" i="2"/>
  <c r="V110" i="2"/>
  <c r="Y110" i="2"/>
  <c r="AA110" i="2" s="1"/>
  <c r="AB110" i="2"/>
  <c r="AC110" i="2"/>
  <c r="AF110" i="2"/>
  <c r="AG110" i="2"/>
  <c r="A110" i="2"/>
  <c r="A111" i="2"/>
  <c r="A112" i="2"/>
  <c r="U105" i="2" l="1"/>
  <c r="V105" i="2"/>
  <c r="Y105" i="2"/>
  <c r="AA105" i="2" s="1"/>
  <c r="AB105" i="2"/>
  <c r="AC105" i="2"/>
  <c r="AF105" i="2"/>
  <c r="AG105" i="2"/>
  <c r="A106" i="2"/>
  <c r="U106" i="2" l="1"/>
  <c r="V106" i="2"/>
  <c r="Y106" i="2"/>
  <c r="AA106" i="2" s="1"/>
  <c r="AB106" i="2"/>
  <c r="AC106" i="2"/>
  <c r="AF106" i="2"/>
  <c r="AG106" i="2"/>
  <c r="A107" i="2"/>
  <c r="A108" i="2"/>
  <c r="U107" i="2"/>
  <c r="V107" i="2"/>
  <c r="Y107" i="2"/>
  <c r="AA107" i="2" s="1"/>
  <c r="AB107" i="2"/>
  <c r="AC107" i="2"/>
  <c r="AF107" i="2"/>
  <c r="AG107" i="2"/>
  <c r="AF108" i="2"/>
  <c r="AG108" i="2"/>
  <c r="AF109" i="2"/>
  <c r="AG109" i="2"/>
  <c r="A109" i="2"/>
  <c r="Y108" i="2" l="1"/>
  <c r="AA108" i="2" s="1"/>
  <c r="AB108" i="2"/>
  <c r="AC108" i="2"/>
  <c r="Y109" i="2"/>
  <c r="AA109" i="2" s="1"/>
  <c r="AB109" i="2"/>
  <c r="AC109" i="2"/>
  <c r="U108" i="2"/>
  <c r="V108" i="2"/>
  <c r="U109" i="2"/>
  <c r="V109" i="2"/>
  <c r="L53" i="7" l="1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B53" i="7"/>
  <c r="D53" i="7" s="1"/>
  <c r="AP607" i="1" l="1"/>
  <c r="AO607" i="1"/>
  <c r="AL607" i="1"/>
  <c r="AI607" i="1"/>
  <c r="AE607" i="1" s="1"/>
  <c r="A607" i="1"/>
  <c r="AP606" i="1"/>
  <c r="AO606" i="1"/>
  <c r="AL606" i="1"/>
  <c r="AI606" i="1"/>
  <c r="AF606" i="1" s="1"/>
  <c r="A606" i="1"/>
  <c r="AP532" i="1"/>
  <c r="AO532" i="1"/>
  <c r="AL532" i="1"/>
  <c r="AI532" i="1"/>
  <c r="AF532" i="1" s="1"/>
  <c r="A532" i="1"/>
  <c r="AP472" i="1"/>
  <c r="AO472" i="1"/>
  <c r="AL472" i="1"/>
  <c r="AI472" i="1"/>
  <c r="AF472" i="1" s="1"/>
  <c r="A472" i="1"/>
  <c r="AP362" i="1"/>
  <c r="AO362" i="1"/>
  <c r="AL362" i="1"/>
  <c r="AI362" i="1"/>
  <c r="AF362" i="1" s="1"/>
  <c r="A362" i="1"/>
  <c r="AP220" i="1"/>
  <c r="AO220" i="1"/>
  <c r="AL220" i="1"/>
  <c r="AI220" i="1"/>
  <c r="AF220" i="1" s="1"/>
  <c r="A220" i="1"/>
  <c r="AP218" i="1"/>
  <c r="AO218" i="1"/>
  <c r="AL218" i="1"/>
  <c r="AI218" i="1"/>
  <c r="AF218" i="1" s="1"/>
  <c r="A218" i="1"/>
  <c r="AP71" i="1"/>
  <c r="AO71" i="1"/>
  <c r="AL71" i="1"/>
  <c r="AI71" i="1"/>
  <c r="AE71" i="1" s="1"/>
  <c r="A71" i="1"/>
  <c r="AP70" i="1"/>
  <c r="AO70" i="1"/>
  <c r="AL70" i="1"/>
  <c r="AI70" i="1"/>
  <c r="AE70" i="1" s="1"/>
  <c r="A70" i="1"/>
  <c r="AP69" i="1"/>
  <c r="AO69" i="1"/>
  <c r="AL69" i="1"/>
  <c r="AI69" i="1"/>
  <c r="AE69" i="1" s="1"/>
  <c r="A69" i="1"/>
  <c r="AK218" i="1" l="1"/>
  <c r="AF69" i="1"/>
  <c r="AF71" i="1"/>
  <c r="AK71" i="1"/>
  <c r="AF70" i="1"/>
  <c r="AK70" i="1"/>
  <c r="AE218" i="1"/>
  <c r="AF607" i="1"/>
  <c r="AE220" i="1"/>
  <c r="AE362" i="1"/>
  <c r="AE472" i="1"/>
  <c r="AE532" i="1"/>
  <c r="AE606" i="1"/>
  <c r="AK220" i="1"/>
  <c r="AK362" i="1"/>
  <c r="AK472" i="1"/>
  <c r="AK532" i="1"/>
  <c r="AK607" i="1"/>
  <c r="AK606" i="1"/>
  <c r="AK69" i="1"/>
  <c r="U111" i="2"/>
  <c r="V111" i="2"/>
  <c r="Y111" i="2"/>
  <c r="AA111" i="2" s="1"/>
  <c r="AB111" i="2"/>
  <c r="AC111" i="2"/>
  <c r="AF111" i="2"/>
  <c r="AG111" i="2"/>
  <c r="AP1274" i="1" l="1"/>
  <c r="AO1274" i="1"/>
  <c r="AL1274" i="1"/>
  <c r="AI1274" i="1"/>
  <c r="AE1274" i="1" s="1"/>
  <c r="A1274" i="1"/>
  <c r="AK1274" i="1" s="1"/>
  <c r="AP1222" i="1"/>
  <c r="AO1222" i="1"/>
  <c r="AL1222" i="1"/>
  <c r="AI1222" i="1"/>
  <c r="AF1222" i="1" s="1"/>
  <c r="A1222" i="1"/>
  <c r="AK1222" i="1" s="1"/>
  <c r="AP1131" i="1"/>
  <c r="AO1131" i="1"/>
  <c r="AL1131" i="1"/>
  <c r="AI1131" i="1"/>
  <c r="AE1131" i="1" s="1"/>
  <c r="A1131" i="1"/>
  <c r="AP976" i="1"/>
  <c r="AO976" i="1"/>
  <c r="AL976" i="1"/>
  <c r="AI976" i="1"/>
  <c r="AF976" i="1" s="1"/>
  <c r="A976" i="1"/>
  <c r="AP667" i="1"/>
  <c r="AO667" i="1"/>
  <c r="AL667" i="1"/>
  <c r="AI667" i="1"/>
  <c r="AF667" i="1" s="1"/>
  <c r="A667" i="1"/>
  <c r="AK667" i="1" s="1"/>
  <c r="AE976" i="1" l="1"/>
  <c r="AK1131" i="1"/>
  <c r="AF1131" i="1"/>
  <c r="AF1274" i="1"/>
  <c r="AK976" i="1"/>
  <c r="AE1222" i="1"/>
  <c r="AE667" i="1"/>
  <c r="AP1168" i="1"/>
  <c r="AO1168" i="1"/>
  <c r="AL1168" i="1"/>
  <c r="AI1168" i="1"/>
  <c r="AF1168" i="1" s="1"/>
  <c r="A1168" i="1"/>
  <c r="AP1118" i="1"/>
  <c r="AO1118" i="1"/>
  <c r="AL1118" i="1"/>
  <c r="AI1118" i="1"/>
  <c r="AF1118" i="1" s="1"/>
  <c r="A1118" i="1"/>
  <c r="AK1118" i="1" s="1"/>
  <c r="AP1087" i="1"/>
  <c r="AO1087" i="1"/>
  <c r="AL1087" i="1"/>
  <c r="AI1087" i="1"/>
  <c r="AF1087" i="1" s="1"/>
  <c r="A1087" i="1"/>
  <c r="AP967" i="1"/>
  <c r="AO967" i="1"/>
  <c r="AL967" i="1"/>
  <c r="AI967" i="1"/>
  <c r="AF967" i="1" s="1"/>
  <c r="A967" i="1"/>
  <c r="AP734" i="1"/>
  <c r="AO734" i="1"/>
  <c r="AL734" i="1"/>
  <c r="AI734" i="1"/>
  <c r="AF734" i="1" s="1"/>
  <c r="A734" i="1"/>
  <c r="AE1118" i="1" l="1"/>
  <c r="AE1168" i="1"/>
  <c r="AE967" i="1"/>
  <c r="AK1168" i="1"/>
  <c r="AE1087" i="1"/>
  <c r="AK1087" i="1"/>
  <c r="AK967" i="1"/>
  <c r="AE734" i="1"/>
  <c r="AK734" i="1"/>
  <c r="U112" i="2"/>
  <c r="V112" i="2"/>
  <c r="U113" i="2"/>
  <c r="V113" i="2"/>
  <c r="Y112" i="2"/>
  <c r="AA112" i="2" s="1"/>
  <c r="AB112" i="2"/>
  <c r="AC112" i="2"/>
  <c r="Y113" i="2"/>
  <c r="AA113" i="2" s="1"/>
  <c r="AB113" i="2"/>
  <c r="AC113" i="2"/>
  <c r="AF112" i="2"/>
  <c r="AG112" i="2"/>
  <c r="AF113" i="2"/>
  <c r="AG113" i="2"/>
  <c r="A113" i="2"/>
  <c r="A114" i="2"/>
  <c r="A115" i="2"/>
  <c r="A116" i="2"/>
  <c r="U114" i="2"/>
  <c r="V114" i="2"/>
  <c r="U115" i="2"/>
  <c r="V115" i="2"/>
  <c r="U116" i="2"/>
  <c r="V116" i="2"/>
  <c r="U117" i="2"/>
  <c r="V117" i="2"/>
  <c r="Y114" i="2"/>
  <c r="AA114" i="2" s="1"/>
  <c r="AB114" i="2"/>
  <c r="AC114" i="2"/>
  <c r="Y115" i="2"/>
  <c r="AA115" i="2" s="1"/>
  <c r="AB115" i="2"/>
  <c r="AC115" i="2"/>
  <c r="Y116" i="2"/>
  <c r="AA116" i="2" s="1"/>
  <c r="AB116" i="2"/>
  <c r="AC116" i="2"/>
  <c r="AF114" i="2"/>
  <c r="AG114" i="2"/>
  <c r="AF115" i="2"/>
  <c r="AG115" i="2"/>
  <c r="AF116" i="2"/>
  <c r="AG116" i="2"/>
  <c r="A117" i="2"/>
  <c r="AC117" i="2" l="1"/>
  <c r="AB117" i="2"/>
  <c r="Y117" i="2"/>
  <c r="AA117" i="2" s="1"/>
  <c r="A105" i="1"/>
  <c r="AI105" i="1"/>
  <c r="AF105" i="1" s="1"/>
  <c r="AL105" i="1"/>
  <c r="AO105" i="1"/>
  <c r="AP105" i="1"/>
  <c r="AF117" i="2"/>
  <c r="AG117" i="2"/>
  <c r="A118" i="2"/>
  <c r="U118" i="2"/>
  <c r="V118" i="2"/>
  <c r="U119" i="2"/>
  <c r="V119" i="2"/>
  <c r="Y118" i="2"/>
  <c r="AA118" i="2" s="1"/>
  <c r="AB118" i="2"/>
  <c r="AC118" i="2"/>
  <c r="Y119" i="2"/>
  <c r="AA119" i="2" s="1"/>
  <c r="AB119" i="2"/>
  <c r="AC119" i="2"/>
  <c r="AF118" i="2"/>
  <c r="AG118" i="2"/>
  <c r="AF119" i="2"/>
  <c r="AG119" i="2"/>
  <c r="A119" i="2"/>
  <c r="A120" i="2"/>
  <c r="AE105" i="1" l="1"/>
  <c r="AK105" i="1"/>
  <c r="W105" i="1"/>
  <c r="S105" i="1"/>
  <c r="R105" i="1"/>
  <c r="AF120" i="2"/>
  <c r="AG120" i="2"/>
  <c r="Y120" i="2"/>
  <c r="AA120" i="2" s="1"/>
  <c r="AB120" i="2"/>
  <c r="AC120" i="2"/>
  <c r="U120" i="2"/>
  <c r="V120" i="2"/>
  <c r="U121" i="2" l="1"/>
  <c r="V121" i="2"/>
  <c r="U122" i="2"/>
  <c r="V122" i="2"/>
  <c r="U123" i="2"/>
  <c r="V123" i="2"/>
  <c r="Y121" i="2"/>
  <c r="AA121" i="2" s="1"/>
  <c r="AB121" i="2"/>
  <c r="AC121" i="2"/>
  <c r="Y122" i="2"/>
  <c r="AA122" i="2" s="1"/>
  <c r="AB122" i="2"/>
  <c r="AC122" i="2"/>
  <c r="Y123" i="2"/>
  <c r="AA123" i="2" s="1"/>
  <c r="AB123" i="2"/>
  <c r="AC123" i="2"/>
  <c r="AF121" i="2"/>
  <c r="AG121" i="2"/>
  <c r="AF122" i="2"/>
  <c r="AG122" i="2"/>
  <c r="AF123" i="2"/>
  <c r="AG123" i="2"/>
  <c r="A125" i="2"/>
  <c r="A126" i="2"/>
  <c r="A127" i="2"/>
  <c r="A128" i="2"/>
  <c r="U124" i="2" l="1"/>
  <c r="V124" i="2"/>
  <c r="Y124" i="2"/>
  <c r="AA124" i="2" s="1"/>
  <c r="AB124" i="2"/>
  <c r="AC124" i="2"/>
  <c r="AF124" i="2"/>
  <c r="AG124" i="2"/>
  <c r="A321" i="1"/>
  <c r="AK321" i="1" s="1"/>
  <c r="A14" i="1"/>
  <c r="AK14" i="1" s="1"/>
  <c r="A369" i="1"/>
  <c r="A95" i="1"/>
  <c r="AI321" i="1"/>
  <c r="AF321" i="1" s="1"/>
  <c r="AI14" i="1"/>
  <c r="AF14" i="1" s="1"/>
  <c r="AI369" i="1"/>
  <c r="AF369" i="1" s="1"/>
  <c r="AI95" i="1"/>
  <c r="AF95" i="1" s="1"/>
  <c r="AL321" i="1"/>
  <c r="AL14" i="1"/>
  <c r="AL369" i="1"/>
  <c r="AL95" i="1"/>
  <c r="AO321" i="1"/>
  <c r="AO14" i="1"/>
  <c r="AO369" i="1"/>
  <c r="AO95" i="1"/>
  <c r="AP321" i="1"/>
  <c r="AP14" i="1"/>
  <c r="AP369" i="1"/>
  <c r="AP95" i="1"/>
  <c r="AP324" i="1"/>
  <c r="AO324" i="1"/>
  <c r="AL324" i="1"/>
  <c r="AI324" i="1"/>
  <c r="AF324" i="1" s="1"/>
  <c r="A324" i="1"/>
  <c r="AK324" i="1" s="1"/>
  <c r="AP196" i="1"/>
  <c r="AO196" i="1"/>
  <c r="AL196" i="1"/>
  <c r="AI196" i="1"/>
  <c r="AF196" i="1" s="1"/>
  <c r="A196" i="1"/>
  <c r="AK196" i="1" s="1"/>
  <c r="U125" i="2"/>
  <c r="V125" i="2"/>
  <c r="U126" i="2"/>
  <c r="V126" i="2"/>
  <c r="Y125" i="2"/>
  <c r="AA125" i="2" s="1"/>
  <c r="AB125" i="2"/>
  <c r="AC125" i="2"/>
  <c r="Y126" i="2"/>
  <c r="AA126" i="2" s="1"/>
  <c r="AB126" i="2"/>
  <c r="AC126" i="2"/>
  <c r="AF125" i="2"/>
  <c r="AG125" i="2"/>
  <c r="AF126" i="2"/>
  <c r="AG126" i="2"/>
  <c r="AK369" i="1" l="1"/>
  <c r="AK95" i="1"/>
  <c r="AE95" i="1"/>
  <c r="AE369" i="1"/>
  <c r="AE14" i="1"/>
  <c r="AE321" i="1"/>
  <c r="AE324" i="1"/>
  <c r="AE196" i="1"/>
  <c r="U127" i="2" l="1"/>
  <c r="V127" i="2"/>
  <c r="U128" i="2"/>
  <c r="V128" i="2"/>
  <c r="Y127" i="2"/>
  <c r="AA127" i="2" s="1"/>
  <c r="AB127" i="2"/>
  <c r="AC127" i="2"/>
  <c r="Y128" i="2"/>
  <c r="AA128" i="2" s="1"/>
  <c r="AB128" i="2"/>
  <c r="AC128" i="2"/>
  <c r="AF127" i="2"/>
  <c r="AG127" i="2"/>
  <c r="AF128" i="2"/>
  <c r="AG128" i="2"/>
  <c r="AF129" i="2"/>
  <c r="AG129" i="2"/>
  <c r="A129" i="2"/>
  <c r="U129" i="2"/>
  <c r="V129" i="2"/>
  <c r="Y129" i="2"/>
  <c r="AA129" i="2" s="1"/>
  <c r="AB129" i="2"/>
  <c r="AC129" i="2"/>
  <c r="A130" i="2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B49" i="7"/>
  <c r="D49" i="7" s="1"/>
  <c r="B50" i="7"/>
  <c r="D50" i="7" s="1"/>
  <c r="B51" i="7"/>
  <c r="D51" i="7" s="1"/>
  <c r="B52" i="7"/>
  <c r="D52" i="7" s="1"/>
  <c r="AP609" i="1"/>
  <c r="AO609" i="1"/>
  <c r="AL609" i="1"/>
  <c r="AI609" i="1"/>
  <c r="AF609" i="1" s="1"/>
  <c r="A609" i="1"/>
  <c r="AP438" i="1"/>
  <c r="AO438" i="1"/>
  <c r="AL438" i="1"/>
  <c r="AI438" i="1"/>
  <c r="AF438" i="1" s="1"/>
  <c r="A438" i="1"/>
  <c r="AP65" i="1"/>
  <c r="AO65" i="1"/>
  <c r="AL65" i="1"/>
  <c r="AI65" i="1"/>
  <c r="AF65" i="1" s="1"/>
  <c r="A65" i="1"/>
  <c r="AP602" i="1"/>
  <c r="AO602" i="1"/>
  <c r="AL602" i="1"/>
  <c r="AI602" i="1"/>
  <c r="AF602" i="1" s="1"/>
  <c r="A602" i="1"/>
  <c r="AP50" i="1"/>
  <c r="AO50" i="1"/>
  <c r="AL50" i="1"/>
  <c r="AI50" i="1"/>
  <c r="AE50" i="1" s="1"/>
  <c r="A50" i="1"/>
  <c r="AP1114" i="1"/>
  <c r="AO1114" i="1"/>
  <c r="AL1114" i="1"/>
  <c r="AI1114" i="1"/>
  <c r="AF1114" i="1" s="1"/>
  <c r="A1114" i="1"/>
  <c r="AP574" i="1"/>
  <c r="AO574" i="1"/>
  <c r="AL574" i="1"/>
  <c r="AI574" i="1"/>
  <c r="AE574" i="1" s="1"/>
  <c r="A574" i="1"/>
  <c r="AP1115" i="1"/>
  <c r="AO1115" i="1"/>
  <c r="AL1115" i="1"/>
  <c r="AI1115" i="1"/>
  <c r="AF1115" i="1" s="1"/>
  <c r="A1115" i="1"/>
  <c r="AP1058" i="1"/>
  <c r="AO1058" i="1"/>
  <c r="AL1058" i="1"/>
  <c r="AI1058" i="1"/>
  <c r="AF1058" i="1" s="1"/>
  <c r="A1058" i="1"/>
  <c r="AP965" i="1"/>
  <c r="AO965" i="1"/>
  <c r="AL965" i="1"/>
  <c r="AI965" i="1"/>
  <c r="AF965" i="1" s="1"/>
  <c r="A965" i="1"/>
  <c r="AK965" i="1" s="1"/>
  <c r="AP1053" i="1"/>
  <c r="AO1053" i="1"/>
  <c r="AL1053" i="1"/>
  <c r="AI1053" i="1"/>
  <c r="AF1053" i="1" s="1"/>
  <c r="A1053" i="1"/>
  <c r="AP995" i="1"/>
  <c r="AO995" i="1"/>
  <c r="AL995" i="1"/>
  <c r="AI995" i="1"/>
  <c r="AF995" i="1" s="1"/>
  <c r="A995" i="1"/>
  <c r="AP942" i="1"/>
  <c r="AO942" i="1"/>
  <c r="AL942" i="1"/>
  <c r="AI942" i="1"/>
  <c r="AE942" i="1" s="1"/>
  <c r="A942" i="1"/>
  <c r="AP720" i="1"/>
  <c r="AO720" i="1"/>
  <c r="AL720" i="1"/>
  <c r="AI720" i="1"/>
  <c r="AF720" i="1" s="1"/>
  <c r="A720" i="1"/>
  <c r="AP411" i="1"/>
  <c r="AO411" i="1"/>
  <c r="AL411" i="1"/>
  <c r="AI411" i="1"/>
  <c r="AF411" i="1" s="1"/>
  <c r="A411" i="1"/>
  <c r="AP44" i="1"/>
  <c r="AO44" i="1"/>
  <c r="AL44" i="1"/>
  <c r="AI44" i="1"/>
  <c r="AF44" i="1" s="1"/>
  <c r="A44" i="1"/>
  <c r="AP45" i="1"/>
  <c r="AO45" i="1"/>
  <c r="AL45" i="1"/>
  <c r="AI45" i="1"/>
  <c r="AF45" i="1" s="1"/>
  <c r="A45" i="1"/>
  <c r="AP416" i="1"/>
  <c r="AO416" i="1"/>
  <c r="AL416" i="1"/>
  <c r="AI416" i="1"/>
  <c r="AF416" i="1" s="1"/>
  <c r="A416" i="1"/>
  <c r="AP47" i="1"/>
  <c r="AO47" i="1"/>
  <c r="AL47" i="1"/>
  <c r="AI47" i="1"/>
  <c r="AE47" i="1" s="1"/>
  <c r="A47" i="1"/>
  <c r="AP46" i="1"/>
  <c r="AO46" i="1"/>
  <c r="AL46" i="1"/>
  <c r="AI46" i="1"/>
  <c r="AF46" i="1" s="1"/>
  <c r="A46" i="1"/>
  <c r="AP20" i="1"/>
  <c r="AO20" i="1"/>
  <c r="AL20" i="1"/>
  <c r="AI20" i="1"/>
  <c r="AE20" i="1" s="1"/>
  <c r="A20" i="1"/>
  <c r="AP19" i="1"/>
  <c r="AO19" i="1"/>
  <c r="AL19" i="1"/>
  <c r="AI19" i="1"/>
  <c r="AF19" i="1" s="1"/>
  <c r="A19" i="1"/>
  <c r="AP808" i="1"/>
  <c r="AO808" i="1"/>
  <c r="AL808" i="1"/>
  <c r="AI808" i="1"/>
  <c r="AF808" i="1" s="1"/>
  <c r="A808" i="1"/>
  <c r="AP739" i="1"/>
  <c r="AO739" i="1"/>
  <c r="AL739" i="1"/>
  <c r="AI739" i="1"/>
  <c r="AE739" i="1" s="1"/>
  <c r="A739" i="1"/>
  <c r="AP595" i="1"/>
  <c r="AO595" i="1"/>
  <c r="AL595" i="1"/>
  <c r="AI595" i="1"/>
  <c r="AF595" i="1" s="1"/>
  <c r="A595" i="1"/>
  <c r="AP507" i="1"/>
  <c r="AO507" i="1"/>
  <c r="AL507" i="1"/>
  <c r="AI507" i="1"/>
  <c r="AF507" i="1" s="1"/>
  <c r="A507" i="1"/>
  <c r="AP399" i="1"/>
  <c r="AO399" i="1"/>
  <c r="AL399" i="1"/>
  <c r="AI399" i="1"/>
  <c r="AF399" i="1" s="1"/>
  <c r="A399" i="1"/>
  <c r="AP283" i="1"/>
  <c r="AO283" i="1"/>
  <c r="AL283" i="1"/>
  <c r="AI283" i="1"/>
  <c r="AF283" i="1" s="1"/>
  <c r="A283" i="1"/>
  <c r="AP998" i="1"/>
  <c r="AO998" i="1"/>
  <c r="AL998" i="1"/>
  <c r="AI998" i="1"/>
  <c r="AF998" i="1" s="1"/>
  <c r="A998" i="1"/>
  <c r="AK998" i="1" s="1"/>
  <c r="AP851" i="1"/>
  <c r="AO851" i="1"/>
  <c r="AL851" i="1"/>
  <c r="AI851" i="1"/>
  <c r="AF851" i="1" s="1"/>
  <c r="A851" i="1"/>
  <c r="AK851" i="1" s="1"/>
  <c r="AP786" i="1"/>
  <c r="AO786" i="1"/>
  <c r="AL786" i="1"/>
  <c r="AI786" i="1"/>
  <c r="AF786" i="1" s="1"/>
  <c r="A786" i="1"/>
  <c r="AK786" i="1" s="1"/>
  <c r="AP712" i="1"/>
  <c r="AO712" i="1"/>
  <c r="AL712" i="1"/>
  <c r="AI712" i="1"/>
  <c r="AF712" i="1" s="1"/>
  <c r="A712" i="1"/>
  <c r="AK712" i="1" s="1"/>
  <c r="AP647" i="1"/>
  <c r="AO647" i="1"/>
  <c r="AL647" i="1"/>
  <c r="AI647" i="1"/>
  <c r="AF647" i="1" s="1"/>
  <c r="A647" i="1"/>
  <c r="H51" i="7" l="1"/>
  <c r="K51" i="7"/>
  <c r="J51" i="7"/>
  <c r="I51" i="7"/>
  <c r="AE438" i="1"/>
  <c r="AE65" i="1"/>
  <c r="AK942" i="1"/>
  <c r="AK416" i="1"/>
  <c r="AK44" i="1"/>
  <c r="AK1115" i="1"/>
  <c r="AK1114" i="1"/>
  <c r="AE609" i="1"/>
  <c r="AK995" i="1"/>
  <c r="AK50" i="1"/>
  <c r="AK1058" i="1"/>
  <c r="AK20" i="1"/>
  <c r="AK609" i="1"/>
  <c r="AK438" i="1"/>
  <c r="AK65" i="1"/>
  <c r="AF50" i="1"/>
  <c r="AE602" i="1"/>
  <c r="AK602" i="1"/>
  <c r="AE720" i="1"/>
  <c r="AF574" i="1"/>
  <c r="AE1114" i="1"/>
  <c r="AE1058" i="1"/>
  <c r="AK574" i="1"/>
  <c r="AE965" i="1"/>
  <c r="AE1115" i="1"/>
  <c r="AF47" i="1"/>
  <c r="AF942" i="1"/>
  <c r="AE995" i="1"/>
  <c r="AE1053" i="1"/>
  <c r="AK1053" i="1"/>
  <c r="AK720" i="1"/>
  <c r="AE411" i="1"/>
  <c r="AE647" i="1"/>
  <c r="AE45" i="1"/>
  <c r="AE44" i="1"/>
  <c r="AK411" i="1"/>
  <c r="AK45" i="1"/>
  <c r="AE416" i="1"/>
  <c r="AF739" i="1"/>
  <c r="AK47" i="1"/>
  <c r="AE46" i="1"/>
  <c r="AK46" i="1"/>
  <c r="AE851" i="1"/>
  <c r="AF20" i="1"/>
  <c r="AE786" i="1"/>
  <c r="AE998" i="1"/>
  <c r="AE399" i="1"/>
  <c r="AE507" i="1"/>
  <c r="AE712" i="1"/>
  <c r="AE19" i="1"/>
  <c r="AK19" i="1"/>
  <c r="AE595" i="1"/>
  <c r="AE808" i="1"/>
  <c r="AK808" i="1"/>
  <c r="AK739" i="1"/>
  <c r="AK595" i="1"/>
  <c r="AK507" i="1"/>
  <c r="AK399" i="1"/>
  <c r="AE283" i="1"/>
  <c r="AK283" i="1"/>
  <c r="AK647" i="1"/>
  <c r="H52" i="7" l="1"/>
  <c r="I52" i="7"/>
  <c r="J52" i="7"/>
  <c r="K52" i="7"/>
  <c r="AF130" i="2" l="1"/>
  <c r="AG130" i="2"/>
  <c r="AF131" i="2"/>
  <c r="AG131" i="2"/>
  <c r="AF132" i="2"/>
  <c r="AG132" i="2"/>
  <c r="AF133" i="2"/>
  <c r="AG133" i="2"/>
  <c r="AF134" i="2"/>
  <c r="AG134" i="2"/>
  <c r="Y130" i="2"/>
  <c r="AA130" i="2" s="1"/>
  <c r="AB130" i="2"/>
  <c r="AC130" i="2"/>
  <c r="Y131" i="2"/>
  <c r="AA131" i="2" s="1"/>
  <c r="AB131" i="2"/>
  <c r="AC131" i="2"/>
  <c r="Y132" i="2"/>
  <c r="AA132" i="2" s="1"/>
  <c r="AB132" i="2"/>
  <c r="AC132" i="2"/>
  <c r="Y133" i="2"/>
  <c r="AA133" i="2" s="1"/>
  <c r="AB133" i="2"/>
  <c r="AC133" i="2"/>
  <c r="Y134" i="2"/>
  <c r="AA134" i="2" s="1"/>
  <c r="AB134" i="2"/>
  <c r="AC134" i="2"/>
  <c r="Y135" i="2"/>
  <c r="AA135" i="2" s="1"/>
  <c r="AB135" i="2"/>
  <c r="AC135" i="2"/>
  <c r="U130" i="2"/>
  <c r="V130" i="2"/>
  <c r="U131" i="2"/>
  <c r="V131" i="2"/>
  <c r="U132" i="2"/>
  <c r="V132" i="2"/>
  <c r="U133" i="2"/>
  <c r="V133" i="2"/>
  <c r="U134" i="2"/>
  <c r="V134" i="2"/>
  <c r="U135" i="2"/>
  <c r="V135" i="2"/>
  <c r="A133" i="2" l="1"/>
  <c r="A134" i="2"/>
  <c r="A131" i="2" l="1"/>
  <c r="A132" i="2"/>
  <c r="A135" i="2"/>
  <c r="W46" i="1" l="1"/>
  <c r="W416" i="1"/>
  <c r="S47" i="1"/>
  <c r="S46" i="1"/>
  <c r="W19" i="1"/>
  <c r="W47" i="1"/>
  <c r="R47" i="1"/>
  <c r="R416" i="1"/>
  <c r="R19" i="1"/>
  <c r="W20" i="1"/>
  <c r="S416" i="1"/>
  <c r="R46" i="1"/>
  <c r="AP1004" i="1"/>
  <c r="AO1004" i="1"/>
  <c r="AL1004" i="1"/>
  <c r="AI1004" i="1"/>
  <c r="AF1004" i="1" s="1"/>
  <c r="A1004" i="1"/>
  <c r="AK1004" i="1" s="1"/>
  <c r="AP948" i="1"/>
  <c r="AO948" i="1"/>
  <c r="AL948" i="1"/>
  <c r="AI948" i="1"/>
  <c r="AE948" i="1" s="1"/>
  <c r="A948" i="1"/>
  <c r="AK948" i="1" s="1"/>
  <c r="AP862" i="1"/>
  <c r="AO862" i="1"/>
  <c r="AL862" i="1"/>
  <c r="AI862" i="1"/>
  <c r="AE862" i="1" s="1"/>
  <c r="A862" i="1"/>
  <c r="AF135" i="2"/>
  <c r="AG135" i="2"/>
  <c r="A136" i="2"/>
  <c r="R20" i="1" l="1"/>
  <c r="S19" i="1"/>
  <c r="S20" i="1"/>
  <c r="AE1004" i="1"/>
  <c r="AF948" i="1"/>
  <c r="AF862" i="1"/>
  <c r="AK862" i="1"/>
  <c r="A137" i="2" l="1"/>
  <c r="AF136" i="2" l="1"/>
  <c r="AG136" i="2"/>
  <c r="Y136" i="2"/>
  <c r="AA136" i="2" s="1"/>
  <c r="AB136" i="2"/>
  <c r="AC136" i="2"/>
  <c r="U136" i="2"/>
  <c r="V136" i="2"/>
  <c r="U137" i="2" l="1"/>
  <c r="V137" i="2"/>
  <c r="U138" i="2"/>
  <c r="V138" i="2"/>
  <c r="Y137" i="2"/>
  <c r="AA137" i="2" s="1"/>
  <c r="AB137" i="2"/>
  <c r="AC137" i="2"/>
  <c r="Y138" i="2"/>
  <c r="AA138" i="2" s="1"/>
  <c r="AB138" i="2"/>
  <c r="AC138" i="2"/>
  <c r="AF137" i="2"/>
  <c r="AG137" i="2"/>
  <c r="AF138" i="2"/>
  <c r="AG138" i="2"/>
  <c r="A138" i="2"/>
  <c r="A139" i="2"/>
  <c r="U139" i="2" l="1"/>
  <c r="V139" i="2"/>
  <c r="Y139" i="2"/>
  <c r="AA139" i="2" s="1"/>
  <c r="AB139" i="2"/>
  <c r="AC139" i="2"/>
  <c r="AF139" i="2"/>
  <c r="AG139" i="2"/>
  <c r="AF140" i="2" l="1"/>
  <c r="AG140" i="2"/>
  <c r="Y140" i="2"/>
  <c r="AA140" i="2" s="1"/>
  <c r="AB140" i="2"/>
  <c r="AC140" i="2"/>
  <c r="U140" i="2"/>
  <c r="V140" i="2"/>
  <c r="A140" i="2"/>
  <c r="U141" i="2" l="1"/>
  <c r="V141" i="2"/>
  <c r="U142" i="2"/>
  <c r="V142" i="2"/>
  <c r="Y141" i="2"/>
  <c r="AA141" i="2" s="1"/>
  <c r="AF141" i="2"/>
  <c r="AG141" i="2"/>
  <c r="AF142" i="2"/>
  <c r="AG142" i="2"/>
  <c r="AB141" i="2"/>
  <c r="AC141" i="2"/>
  <c r="A141" i="2"/>
  <c r="U143" i="2"/>
  <c r="V143" i="2"/>
  <c r="U144" i="2"/>
  <c r="V144" i="2"/>
  <c r="U145" i="2"/>
  <c r="V145" i="2"/>
  <c r="U146" i="2"/>
  <c r="V146" i="2"/>
  <c r="U147" i="2"/>
  <c r="V147" i="2"/>
  <c r="Y142" i="2"/>
  <c r="AA142" i="2" s="1"/>
  <c r="AB142" i="2"/>
  <c r="AC142" i="2"/>
  <c r="Y143" i="2"/>
  <c r="AA143" i="2" s="1"/>
  <c r="AB143" i="2"/>
  <c r="AC143" i="2"/>
  <c r="Y144" i="2"/>
  <c r="AA144" i="2" s="1"/>
  <c r="AB144" i="2"/>
  <c r="AC144" i="2"/>
  <c r="Y145" i="2"/>
  <c r="AA145" i="2" s="1"/>
  <c r="AB145" i="2"/>
  <c r="AC145" i="2"/>
  <c r="Y146" i="2"/>
  <c r="AA146" i="2" s="1"/>
  <c r="AB146" i="2"/>
  <c r="AC146" i="2"/>
  <c r="Y147" i="2"/>
  <c r="AA147" i="2" s="1"/>
  <c r="AB147" i="2"/>
  <c r="AC147" i="2"/>
  <c r="AF143" i="2"/>
  <c r="AG143" i="2"/>
  <c r="AF144" i="2"/>
  <c r="AG144" i="2"/>
  <c r="AF145" i="2"/>
  <c r="AG145" i="2"/>
  <c r="AF146" i="2"/>
  <c r="AG146" i="2"/>
  <c r="AF147" i="2"/>
  <c r="AG147" i="2"/>
  <c r="A142" i="2"/>
  <c r="A143" i="2"/>
  <c r="A144" i="2"/>
  <c r="A145" i="2"/>
  <c r="A146" i="2"/>
  <c r="A147" i="2"/>
  <c r="U148" i="2" l="1"/>
  <c r="V148" i="2"/>
  <c r="Y148" i="2"/>
  <c r="AA148" i="2" s="1"/>
  <c r="AB148" i="2"/>
  <c r="AC148" i="2"/>
  <c r="AF148" i="2"/>
  <c r="AG148" i="2"/>
  <c r="A148" i="2"/>
  <c r="S948" i="1" s="1"/>
  <c r="A149" i="2"/>
  <c r="S862" i="1" l="1"/>
  <c r="R862" i="1"/>
  <c r="R948" i="1"/>
  <c r="S1004" i="1"/>
  <c r="W862" i="1"/>
  <c r="R1004" i="1"/>
  <c r="W948" i="1"/>
  <c r="AP1005" i="1"/>
  <c r="AO1005" i="1"/>
  <c r="AL1005" i="1"/>
  <c r="AI1005" i="1"/>
  <c r="AF1005" i="1" s="1"/>
  <c r="A1005" i="1"/>
  <c r="AP949" i="1"/>
  <c r="AO949" i="1"/>
  <c r="AL949" i="1"/>
  <c r="AI949" i="1"/>
  <c r="AF949" i="1" s="1"/>
  <c r="A949" i="1"/>
  <c r="AP863" i="1"/>
  <c r="AO863" i="1"/>
  <c r="AL863" i="1"/>
  <c r="AI863" i="1"/>
  <c r="AF863" i="1" s="1"/>
  <c r="A863" i="1"/>
  <c r="AP792" i="1"/>
  <c r="AO792" i="1"/>
  <c r="AL792" i="1"/>
  <c r="AI792" i="1"/>
  <c r="AF792" i="1" s="1"/>
  <c r="A792" i="1"/>
  <c r="AK792" i="1" s="1"/>
  <c r="AP717" i="1"/>
  <c r="AO717" i="1"/>
  <c r="AL717" i="1"/>
  <c r="AI717" i="1"/>
  <c r="AE717" i="1" s="1"/>
  <c r="A717" i="1"/>
  <c r="AP578" i="1"/>
  <c r="AO578" i="1"/>
  <c r="AL578" i="1"/>
  <c r="AI578" i="1"/>
  <c r="AF578" i="1" s="1"/>
  <c r="A578" i="1"/>
  <c r="AP389" i="1"/>
  <c r="AO389" i="1"/>
  <c r="AL389" i="1"/>
  <c r="AI389" i="1"/>
  <c r="AE389" i="1" s="1"/>
  <c r="A389" i="1"/>
  <c r="AF149" i="2"/>
  <c r="AG149" i="2"/>
  <c r="Y149" i="2"/>
  <c r="AA149" i="2" s="1"/>
  <c r="AB149" i="2"/>
  <c r="AC149" i="2"/>
  <c r="U149" i="2"/>
  <c r="V149" i="2"/>
  <c r="AF717" i="1" l="1"/>
  <c r="AE792" i="1"/>
  <c r="AK863" i="1"/>
  <c r="AE578" i="1"/>
  <c r="AK578" i="1"/>
  <c r="AE863" i="1"/>
  <c r="AK717" i="1"/>
  <c r="AK389" i="1"/>
  <c r="AK949" i="1"/>
  <c r="AE949" i="1"/>
  <c r="AF389" i="1"/>
  <c r="AE1005" i="1"/>
  <c r="AK1005" i="1"/>
  <c r="U150" i="2" l="1"/>
  <c r="V150" i="2"/>
  <c r="Y150" i="2"/>
  <c r="AA150" i="2" s="1"/>
  <c r="AB150" i="2"/>
  <c r="AC150" i="2"/>
  <c r="AF150" i="2"/>
  <c r="AG150" i="2"/>
  <c r="A150" i="2"/>
  <c r="A151" i="2"/>
  <c r="A152" i="2"/>
  <c r="A153" i="2"/>
  <c r="A154" i="2"/>
  <c r="B12" i="22" l="1"/>
  <c r="C13" i="22" s="1"/>
  <c r="AP1081" i="1"/>
  <c r="AO1081" i="1"/>
  <c r="AL1081" i="1"/>
  <c r="AI1081" i="1"/>
  <c r="AF1081" i="1" s="1"/>
  <c r="A1081" i="1"/>
  <c r="AK1081" i="1" s="1"/>
  <c r="AP961" i="1"/>
  <c r="AO961" i="1"/>
  <c r="AL961" i="1"/>
  <c r="AI961" i="1"/>
  <c r="AF961" i="1" s="1"/>
  <c r="A961" i="1"/>
  <c r="AP729" i="1"/>
  <c r="AO729" i="1"/>
  <c r="AL729" i="1"/>
  <c r="AI729" i="1"/>
  <c r="AF729" i="1" s="1"/>
  <c r="A729" i="1"/>
  <c r="AE1081" i="1" l="1"/>
  <c r="AE961" i="1"/>
  <c r="AK961" i="1"/>
  <c r="AE729" i="1"/>
  <c r="AK729" i="1"/>
  <c r="U151" i="2"/>
  <c r="V151" i="2"/>
  <c r="AF151" i="2"/>
  <c r="AG151" i="2"/>
  <c r="Y151" i="2"/>
  <c r="AA151" i="2" s="1"/>
  <c r="AB151" i="2"/>
  <c r="AC151" i="2"/>
  <c r="U152" i="2"/>
  <c r="V152" i="2"/>
  <c r="U153" i="2"/>
  <c r="V153" i="2"/>
  <c r="U154" i="2"/>
  <c r="V154" i="2"/>
  <c r="Y152" i="2"/>
  <c r="AA152" i="2" s="1"/>
  <c r="AB152" i="2"/>
  <c r="AC152" i="2"/>
  <c r="Y153" i="2"/>
  <c r="AA153" i="2" s="1"/>
  <c r="AB153" i="2"/>
  <c r="AC153" i="2"/>
  <c r="Y154" i="2"/>
  <c r="AA154" i="2" s="1"/>
  <c r="AB154" i="2"/>
  <c r="AC154" i="2"/>
  <c r="AF152" i="2"/>
  <c r="AG152" i="2"/>
  <c r="AF153" i="2"/>
  <c r="AG153" i="2"/>
  <c r="AF154" i="2"/>
  <c r="AG154" i="2"/>
  <c r="U155" i="2" l="1"/>
  <c r="V155" i="2"/>
  <c r="Y155" i="2" l="1"/>
  <c r="AA155" i="2" s="1"/>
  <c r="AB155" i="2"/>
  <c r="AC155" i="2"/>
  <c r="AF155" i="2"/>
  <c r="AG155" i="2"/>
  <c r="A155" i="2"/>
  <c r="AP759" i="1" l="1"/>
  <c r="AO759" i="1"/>
  <c r="AL759" i="1"/>
  <c r="AI759" i="1"/>
  <c r="AF759" i="1" s="1"/>
  <c r="A759" i="1"/>
  <c r="AP687" i="1"/>
  <c r="AO687" i="1"/>
  <c r="AL687" i="1"/>
  <c r="AI687" i="1"/>
  <c r="AF687" i="1" s="1"/>
  <c r="A687" i="1"/>
  <c r="AK687" i="1" s="1"/>
  <c r="AP487" i="1"/>
  <c r="AO487" i="1"/>
  <c r="AL487" i="1"/>
  <c r="AI487" i="1"/>
  <c r="AF487" i="1" s="1"/>
  <c r="A487" i="1"/>
  <c r="AE487" i="1" l="1"/>
  <c r="AE687" i="1"/>
  <c r="AE759" i="1"/>
  <c r="AK759" i="1"/>
  <c r="AK487" i="1"/>
  <c r="A18" i="4"/>
  <c r="A19" i="4"/>
  <c r="A20" i="4"/>
  <c r="A21" i="4"/>
  <c r="A22" i="4"/>
  <c r="K18" i="4"/>
  <c r="K19" i="4"/>
  <c r="K20" i="4"/>
  <c r="K21" i="4"/>
  <c r="K2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2" i="4"/>
  <c r="A4" i="21"/>
  <c r="A5" i="21"/>
  <c r="A6" i="21"/>
  <c r="A7" i="21"/>
  <c r="A8" i="21"/>
  <c r="A9" i="21"/>
  <c r="A10" i="21"/>
  <c r="A11" i="21"/>
  <c r="A12" i="21"/>
  <c r="A13" i="21"/>
  <c r="A14" i="21"/>
  <c r="A15" i="21"/>
  <c r="A3" i="21"/>
  <c r="A5" i="10"/>
  <c r="A6" i="10"/>
  <c r="A7" i="10"/>
  <c r="A8" i="10"/>
  <c r="A9" i="10"/>
  <c r="A10" i="10"/>
  <c r="A11" i="10"/>
  <c r="A12" i="10"/>
  <c r="A13" i="10"/>
  <c r="A14" i="10"/>
  <c r="A15" i="10"/>
  <c r="A16" i="10"/>
  <c r="A4" i="10"/>
  <c r="U156" i="2"/>
  <c r="V156" i="2"/>
  <c r="Y156" i="2"/>
  <c r="AA156" i="2" s="1"/>
  <c r="AB156" i="2"/>
  <c r="AC156" i="2"/>
  <c r="AF156" i="2"/>
  <c r="AG156" i="2"/>
  <c r="A156" i="2"/>
  <c r="A157" i="2"/>
  <c r="A158" i="2"/>
  <c r="A159" i="2"/>
  <c r="A160" i="2"/>
  <c r="U157" i="2"/>
  <c r="V157" i="2"/>
  <c r="U158" i="2"/>
  <c r="V158" i="2"/>
  <c r="Y157" i="2"/>
  <c r="AA157" i="2" s="1"/>
  <c r="AB157" i="2"/>
  <c r="AC157" i="2"/>
  <c r="Y158" i="2"/>
  <c r="AA158" i="2" s="1"/>
  <c r="AB158" i="2"/>
  <c r="AC158" i="2"/>
  <c r="AF157" i="2"/>
  <c r="AG157" i="2"/>
  <c r="AF158" i="2"/>
  <c r="AG158" i="2"/>
  <c r="AF159" i="2"/>
  <c r="AG159" i="2"/>
  <c r="U159" i="2"/>
  <c r="V159" i="2"/>
  <c r="Y159" i="2"/>
  <c r="AA159" i="2" s="1"/>
  <c r="AB159" i="2"/>
  <c r="AC159" i="2"/>
  <c r="U160" i="2" l="1"/>
  <c r="V160" i="2"/>
  <c r="Y160" i="2"/>
  <c r="AA160" i="2" s="1"/>
  <c r="AB160" i="2"/>
  <c r="AC160" i="2"/>
  <c r="Y161" i="2"/>
  <c r="AA161" i="2" s="1"/>
  <c r="AB161" i="2"/>
  <c r="AC161" i="2"/>
  <c r="AF160" i="2"/>
  <c r="AG160" i="2"/>
  <c r="AP1178" i="1" l="1"/>
  <c r="AO1178" i="1"/>
  <c r="AL1178" i="1"/>
  <c r="AI1178" i="1"/>
  <c r="AF1178" i="1" s="1"/>
  <c r="A1178" i="1"/>
  <c r="AP1094" i="1"/>
  <c r="AO1094" i="1"/>
  <c r="AL1094" i="1"/>
  <c r="AI1094" i="1"/>
  <c r="AF1094" i="1" s="1"/>
  <c r="A1094" i="1"/>
  <c r="AP908" i="1"/>
  <c r="AO908" i="1"/>
  <c r="AL908" i="1"/>
  <c r="AI908" i="1"/>
  <c r="AF908" i="1" s="1"/>
  <c r="A908" i="1"/>
  <c r="A116" i="1"/>
  <c r="AI116" i="1"/>
  <c r="AE116" i="1" s="1"/>
  <c r="AL116" i="1"/>
  <c r="AO116" i="1"/>
  <c r="AP116" i="1"/>
  <c r="AE1094" i="1" l="1"/>
  <c r="AE1178" i="1"/>
  <c r="AK116" i="1"/>
  <c r="AK1094" i="1"/>
  <c r="AK1178" i="1"/>
  <c r="AE908" i="1"/>
  <c r="AK908" i="1"/>
  <c r="AF116" i="1"/>
  <c r="U161" i="2"/>
  <c r="V161" i="2"/>
  <c r="AF161" i="2"/>
  <c r="AG161" i="2"/>
  <c r="A161" i="2"/>
  <c r="A162" i="2"/>
  <c r="A163" i="2"/>
  <c r="A164" i="2"/>
  <c r="A165" i="2"/>
  <c r="AP49" i="1" l="1"/>
  <c r="AO49" i="1"/>
  <c r="AL49" i="1"/>
  <c r="AI49" i="1"/>
  <c r="AF49" i="1" s="1"/>
  <c r="A49" i="1"/>
  <c r="AP1017" i="1"/>
  <c r="AO1017" i="1"/>
  <c r="AL1017" i="1"/>
  <c r="AI1017" i="1"/>
  <c r="AE1017" i="1" s="1"/>
  <c r="A1017" i="1"/>
  <c r="AP957" i="1"/>
  <c r="AO957" i="1"/>
  <c r="AL957" i="1"/>
  <c r="AI957" i="1"/>
  <c r="AF957" i="1" s="1"/>
  <c r="A957" i="1"/>
  <c r="AP873" i="1"/>
  <c r="AO873" i="1"/>
  <c r="AL873" i="1"/>
  <c r="AI873" i="1"/>
  <c r="AE873" i="1" s="1"/>
  <c r="A873" i="1"/>
  <c r="AP797" i="1"/>
  <c r="AO797" i="1"/>
  <c r="AL797" i="1"/>
  <c r="AI797" i="1"/>
  <c r="AF797" i="1" s="1"/>
  <c r="A797" i="1"/>
  <c r="AP586" i="1"/>
  <c r="AO586" i="1"/>
  <c r="AL586" i="1"/>
  <c r="AI586" i="1"/>
  <c r="AE586" i="1" s="1"/>
  <c r="A586" i="1"/>
  <c r="A227" i="1"/>
  <c r="AI227" i="1"/>
  <c r="AE227" i="1" s="1"/>
  <c r="AL227" i="1"/>
  <c r="AO227" i="1"/>
  <c r="AP227" i="1"/>
  <c r="AP679" i="1"/>
  <c r="AO679" i="1"/>
  <c r="AL679" i="1"/>
  <c r="AI679" i="1"/>
  <c r="AE679" i="1" s="1"/>
  <c r="A679" i="1"/>
  <c r="U162" i="2"/>
  <c r="V162" i="2"/>
  <c r="Y162" i="2"/>
  <c r="AA162" i="2" s="1"/>
  <c r="AB162" i="2"/>
  <c r="AC162" i="2"/>
  <c r="AF162" i="2"/>
  <c r="AG162" i="2"/>
  <c r="AE49" i="1" l="1"/>
  <c r="AK49" i="1"/>
  <c r="AF873" i="1"/>
  <c r="AK797" i="1"/>
  <c r="AK679" i="1"/>
  <c r="AK957" i="1"/>
  <c r="AK873" i="1"/>
  <c r="AK1017" i="1"/>
  <c r="AF1017" i="1"/>
  <c r="AF679" i="1"/>
  <c r="AE797" i="1"/>
  <c r="AF586" i="1"/>
  <c r="AE957" i="1"/>
  <c r="AK586" i="1"/>
  <c r="AK227" i="1"/>
  <c r="AF227" i="1"/>
  <c r="Y163" i="2"/>
  <c r="AA163" i="2" s="1"/>
  <c r="AB163" i="2"/>
  <c r="AC163" i="2"/>
  <c r="Y164" i="2"/>
  <c r="AA164" i="2" s="1"/>
  <c r="AB164" i="2"/>
  <c r="AC164" i="2"/>
  <c r="AF163" i="2"/>
  <c r="AG163" i="2"/>
  <c r="AF164" i="2"/>
  <c r="AG164" i="2"/>
  <c r="AF165" i="2"/>
  <c r="AG165" i="2"/>
  <c r="U163" i="2"/>
  <c r="V163" i="2"/>
  <c r="U164" i="2"/>
  <c r="V164" i="2"/>
  <c r="U165" i="2"/>
  <c r="V165" i="2"/>
  <c r="Y165" i="2"/>
  <c r="AA165" i="2" s="1"/>
  <c r="AB165" i="2"/>
  <c r="AC165" i="2"/>
  <c r="U166" i="2" l="1"/>
  <c r="V166" i="2"/>
  <c r="AF166" i="2"/>
  <c r="AG166" i="2"/>
  <c r="Y166" i="2"/>
  <c r="AA166" i="2" s="1"/>
  <c r="AB166" i="2"/>
  <c r="AC166" i="2"/>
  <c r="A166" i="2"/>
  <c r="AP310" i="1" l="1"/>
  <c r="AO310" i="1"/>
  <c r="AL310" i="1"/>
  <c r="AI310" i="1"/>
  <c r="AE310" i="1" s="1"/>
  <c r="A310" i="1"/>
  <c r="AP178" i="1"/>
  <c r="AO178" i="1"/>
  <c r="AL178" i="1"/>
  <c r="AI178" i="1"/>
  <c r="AF178" i="1" s="1"/>
  <c r="A178" i="1"/>
  <c r="Y167" i="2"/>
  <c r="AA167" i="2" s="1"/>
  <c r="AB167" i="2"/>
  <c r="AC167" i="2"/>
  <c r="U167" i="2"/>
  <c r="V167" i="2"/>
  <c r="AF167" i="2"/>
  <c r="AG167" i="2"/>
  <c r="A167" i="2"/>
  <c r="AE178" i="1" l="1"/>
  <c r="AF310" i="1"/>
  <c r="AK178" i="1"/>
  <c r="AK310" i="1"/>
  <c r="U168" i="2" l="1"/>
  <c r="V168" i="2"/>
  <c r="U169" i="2"/>
  <c r="V169" i="2"/>
  <c r="U170" i="2"/>
  <c r="V170" i="2"/>
  <c r="AF168" i="2"/>
  <c r="AG168" i="2"/>
  <c r="AF169" i="2"/>
  <c r="AG169" i="2"/>
  <c r="AF170" i="2"/>
  <c r="AG170" i="2"/>
  <c r="Y168" i="2"/>
  <c r="AA168" i="2" s="1"/>
  <c r="AB168" i="2"/>
  <c r="AC168" i="2"/>
  <c r="Y169" i="2"/>
  <c r="AA169" i="2" s="1"/>
  <c r="AB169" i="2"/>
  <c r="AC169" i="2"/>
  <c r="Y170" i="2"/>
  <c r="AA170" i="2" s="1"/>
  <c r="AB170" i="2"/>
  <c r="AC170" i="2"/>
  <c r="A168" i="2"/>
  <c r="A169" i="2"/>
  <c r="W227" i="1" l="1"/>
  <c r="R227" i="1"/>
  <c r="S227" i="1"/>
  <c r="AP1011" i="1"/>
  <c r="AO1011" i="1"/>
  <c r="AL1011" i="1"/>
  <c r="AI1011" i="1"/>
  <c r="AF1011" i="1" s="1"/>
  <c r="A1011" i="1"/>
  <c r="AK1011" i="1" s="1"/>
  <c r="AP799" i="1"/>
  <c r="AO799" i="1"/>
  <c r="AL799" i="1"/>
  <c r="AI799" i="1"/>
  <c r="AE799" i="1" s="1"/>
  <c r="A799" i="1"/>
  <c r="AK799" i="1" s="1"/>
  <c r="AP588" i="1"/>
  <c r="AO588" i="1"/>
  <c r="AL588" i="1"/>
  <c r="AI588" i="1"/>
  <c r="AF588" i="1" s="1"/>
  <c r="A588" i="1"/>
  <c r="AP675" i="1"/>
  <c r="AO675" i="1"/>
  <c r="AL675" i="1"/>
  <c r="AI675" i="1"/>
  <c r="AE675" i="1" s="1"/>
  <c r="A675" i="1"/>
  <c r="AK675" i="1" s="1"/>
  <c r="A360" i="1"/>
  <c r="AI360" i="1"/>
  <c r="AE360" i="1" s="1"/>
  <c r="AL360" i="1"/>
  <c r="AO360" i="1"/>
  <c r="AP360" i="1"/>
  <c r="AF799" i="1" l="1"/>
  <c r="AE1011" i="1"/>
  <c r="AE588" i="1"/>
  <c r="AK588" i="1"/>
  <c r="AF675" i="1"/>
  <c r="AK360" i="1"/>
  <c r="AF360" i="1"/>
  <c r="A107" i="1"/>
  <c r="AI107" i="1"/>
  <c r="AE107" i="1" s="1"/>
  <c r="AL107" i="1"/>
  <c r="AO107" i="1"/>
  <c r="AP107" i="1"/>
  <c r="AP852" i="1"/>
  <c r="AO852" i="1"/>
  <c r="AL852" i="1"/>
  <c r="AI852" i="1"/>
  <c r="AF852" i="1" s="1"/>
  <c r="A852" i="1"/>
  <c r="AP788" i="1"/>
  <c r="AO788" i="1"/>
  <c r="AL788" i="1"/>
  <c r="AI788" i="1"/>
  <c r="AF788" i="1" s="1"/>
  <c r="A788" i="1"/>
  <c r="AK788" i="1" s="1"/>
  <c r="AP713" i="1"/>
  <c r="AO713" i="1"/>
  <c r="AL713" i="1"/>
  <c r="AI713" i="1"/>
  <c r="AE713" i="1" s="1"/>
  <c r="A713" i="1"/>
  <c r="AK713" i="1" s="1"/>
  <c r="AP648" i="1"/>
  <c r="AO648" i="1"/>
  <c r="AL648" i="1"/>
  <c r="AI648" i="1"/>
  <c r="AF648" i="1" s="1"/>
  <c r="A648" i="1"/>
  <c r="AK648" i="1" s="1"/>
  <c r="AP576" i="1"/>
  <c r="AO576" i="1"/>
  <c r="AL576" i="1"/>
  <c r="AI576" i="1"/>
  <c r="AE576" i="1" s="1"/>
  <c r="A576" i="1"/>
  <c r="AP494" i="1"/>
  <c r="AO494" i="1"/>
  <c r="AL494" i="1"/>
  <c r="AI494" i="1"/>
  <c r="AF494" i="1" s="1"/>
  <c r="A494" i="1"/>
  <c r="AK494" i="1" s="1"/>
  <c r="AP388" i="1"/>
  <c r="AO388" i="1"/>
  <c r="AL388" i="1"/>
  <c r="AI388" i="1"/>
  <c r="AF388" i="1" s="1"/>
  <c r="A388" i="1"/>
  <c r="AP386" i="1"/>
  <c r="AO386" i="1"/>
  <c r="AL386" i="1"/>
  <c r="AI386" i="1"/>
  <c r="AF386" i="1" s="1"/>
  <c r="A386" i="1"/>
  <c r="AK386" i="1" s="1"/>
  <c r="AP1180" i="1"/>
  <c r="AO1180" i="1"/>
  <c r="AL1180" i="1"/>
  <c r="AI1180" i="1"/>
  <c r="AF1180" i="1" s="1"/>
  <c r="A1180" i="1"/>
  <c r="AP755" i="1"/>
  <c r="AO755" i="1"/>
  <c r="AL755" i="1"/>
  <c r="AI755" i="1"/>
  <c r="AF755" i="1" s="1"/>
  <c r="A755" i="1"/>
  <c r="AP630" i="1"/>
  <c r="AO630" i="1"/>
  <c r="AL630" i="1"/>
  <c r="AI630" i="1"/>
  <c r="AF630" i="1" s="1"/>
  <c r="A630" i="1"/>
  <c r="AP485" i="1"/>
  <c r="AO485" i="1"/>
  <c r="AL485" i="1"/>
  <c r="AI485" i="1"/>
  <c r="AF485" i="1" s="1"/>
  <c r="A485" i="1"/>
  <c r="AP868" i="1"/>
  <c r="AO868" i="1"/>
  <c r="AL868" i="1"/>
  <c r="AI868" i="1"/>
  <c r="AF868" i="1" s="1"/>
  <c r="A868" i="1"/>
  <c r="A263" i="1"/>
  <c r="AI263" i="1"/>
  <c r="AF263" i="1" s="1"/>
  <c r="AL263" i="1"/>
  <c r="AO263" i="1"/>
  <c r="AP263" i="1"/>
  <c r="A915" i="1"/>
  <c r="AI915" i="1"/>
  <c r="AE915" i="1" s="1"/>
  <c r="AL915" i="1"/>
  <c r="AO915" i="1"/>
  <c r="AP915" i="1"/>
  <c r="AP303" i="1"/>
  <c r="AO303" i="1"/>
  <c r="AL303" i="1"/>
  <c r="AI303" i="1"/>
  <c r="AE303" i="1" s="1"/>
  <c r="A303" i="1"/>
  <c r="AP36" i="1"/>
  <c r="AO36" i="1"/>
  <c r="AL36" i="1"/>
  <c r="AI36" i="1"/>
  <c r="AF36" i="1" s="1"/>
  <c r="A36" i="1"/>
  <c r="AK36" i="1" s="1"/>
  <c r="AP35" i="1"/>
  <c r="AO35" i="1"/>
  <c r="AL35" i="1"/>
  <c r="AI35" i="1"/>
  <c r="AF35" i="1" s="1"/>
  <c r="A35" i="1"/>
  <c r="H107" i="7" l="1"/>
  <c r="I107" i="7"/>
  <c r="J107" i="7"/>
  <c r="K107" i="7"/>
  <c r="AK630" i="1"/>
  <c r="AE388" i="1"/>
  <c r="AK388" i="1"/>
  <c r="AK576" i="1"/>
  <c r="AE852" i="1"/>
  <c r="AK303" i="1"/>
  <c r="AE494" i="1"/>
  <c r="AE648" i="1"/>
  <c r="AE788" i="1"/>
  <c r="AK755" i="1"/>
  <c r="AE386" i="1"/>
  <c r="AF107" i="1"/>
  <c r="AF576" i="1"/>
  <c r="AF713" i="1"/>
  <c r="AK107" i="1"/>
  <c r="AK852" i="1"/>
  <c r="AE755" i="1"/>
  <c r="AE1180" i="1"/>
  <c r="AK1180" i="1"/>
  <c r="AE485" i="1"/>
  <c r="AE630" i="1"/>
  <c r="AK485" i="1"/>
  <c r="AE868" i="1"/>
  <c r="AK868" i="1"/>
  <c r="AE263" i="1"/>
  <c r="AK263" i="1"/>
  <c r="AF915" i="1"/>
  <c r="AK915" i="1"/>
  <c r="AF303" i="1"/>
  <c r="AE36" i="1"/>
  <c r="AE35" i="1"/>
  <c r="AK35" i="1"/>
  <c r="AP1095" i="1"/>
  <c r="AO1095" i="1"/>
  <c r="AL1095" i="1"/>
  <c r="AI1095" i="1"/>
  <c r="AE1095" i="1" s="1"/>
  <c r="A1095" i="1"/>
  <c r="A807" i="1"/>
  <c r="AI807" i="1"/>
  <c r="AE807" i="1" s="1"/>
  <c r="AL807" i="1"/>
  <c r="AO807" i="1"/>
  <c r="AP807" i="1"/>
  <c r="AF171" i="2"/>
  <c r="AG171" i="2"/>
  <c r="AF172" i="2"/>
  <c r="AG172" i="2"/>
  <c r="Y171" i="2"/>
  <c r="AA171" i="2" s="1"/>
  <c r="AB171" i="2"/>
  <c r="AC171" i="2"/>
  <c r="Y172" i="2"/>
  <c r="AA172" i="2" s="1"/>
  <c r="AB172" i="2"/>
  <c r="AC172" i="2"/>
  <c r="U171" i="2"/>
  <c r="V171" i="2"/>
  <c r="U172" i="2"/>
  <c r="V172" i="2"/>
  <c r="H49" i="7" l="1"/>
  <c r="H50" i="7"/>
  <c r="I50" i="7"/>
  <c r="J50" i="7"/>
  <c r="K50" i="7"/>
  <c r="K49" i="7"/>
  <c r="J49" i="7"/>
  <c r="I49" i="7"/>
  <c r="AF1095" i="1"/>
  <c r="AK1095" i="1"/>
  <c r="AF807" i="1"/>
  <c r="AK807" i="1"/>
  <c r="Y173" i="2"/>
  <c r="AA173" i="2" s="1"/>
  <c r="AB173" i="2"/>
  <c r="AC173" i="2"/>
  <c r="AF173" i="2"/>
  <c r="AG173" i="2"/>
  <c r="U173" i="2"/>
  <c r="V173" i="2"/>
  <c r="A173" i="2"/>
  <c r="U174" i="2"/>
  <c r="V174" i="2"/>
  <c r="U175" i="2"/>
  <c r="V175" i="2"/>
  <c r="Y174" i="2"/>
  <c r="AA174" i="2" s="1"/>
  <c r="AB174" i="2"/>
  <c r="AC174" i="2"/>
  <c r="Y175" i="2"/>
  <c r="AA175" i="2" s="1"/>
  <c r="AB175" i="2"/>
  <c r="AC175" i="2"/>
  <c r="AF174" i="2"/>
  <c r="AG174" i="2"/>
  <c r="AF175" i="2"/>
  <c r="AG175" i="2"/>
  <c r="A174" i="2"/>
  <c r="A175" i="2"/>
  <c r="A176" i="2"/>
  <c r="A177" i="2"/>
  <c r="A178" i="2"/>
  <c r="A179" i="2"/>
  <c r="A180" i="2"/>
  <c r="A181" i="2"/>
  <c r="U176" i="2"/>
  <c r="V176" i="2"/>
  <c r="Y176" i="2"/>
  <c r="AA176" i="2" s="1"/>
  <c r="AB176" i="2"/>
  <c r="AC176" i="2"/>
  <c r="AF176" i="2"/>
  <c r="AG176" i="2"/>
  <c r="U177" i="2" l="1"/>
  <c r="V177" i="2"/>
  <c r="U178" i="2"/>
  <c r="V178" i="2"/>
  <c r="Y177" i="2"/>
  <c r="AA177" i="2" s="1"/>
  <c r="AB177" i="2"/>
  <c r="AC177" i="2"/>
  <c r="Y178" i="2"/>
  <c r="AA178" i="2" s="1"/>
  <c r="AB178" i="2"/>
  <c r="AC178" i="2"/>
  <c r="AF177" i="2"/>
  <c r="AG177" i="2"/>
  <c r="AF178" i="2"/>
  <c r="AG178" i="2"/>
  <c r="AF179" i="2"/>
  <c r="AG179" i="2"/>
  <c r="AF180" i="2"/>
  <c r="AG180" i="2"/>
  <c r="AF181" i="2"/>
  <c r="AG181" i="2"/>
  <c r="AF182" i="2"/>
  <c r="AG182" i="2"/>
  <c r="AF183" i="2"/>
  <c r="AG183" i="2"/>
  <c r="A182" i="2"/>
  <c r="Y179" i="2" l="1"/>
  <c r="AA179" i="2" s="1"/>
  <c r="Y180" i="2"/>
  <c r="AA180" i="2" s="1"/>
  <c r="Y181" i="2"/>
  <c r="Y182" i="2"/>
  <c r="Y183" i="2"/>
  <c r="U179" i="2"/>
  <c r="V179" i="2"/>
  <c r="U180" i="2"/>
  <c r="V180" i="2"/>
  <c r="AB179" i="2"/>
  <c r="AC179" i="2"/>
  <c r="AB180" i="2"/>
  <c r="AC180" i="2"/>
  <c r="AF1" i="2"/>
  <c r="AG1" i="2"/>
  <c r="A183" i="2"/>
  <c r="U181" i="2" l="1"/>
  <c r="V181" i="2"/>
  <c r="U182" i="2"/>
  <c r="V182" i="2"/>
  <c r="AA181" i="2"/>
  <c r="AB181" i="2"/>
  <c r="AC181" i="2"/>
  <c r="AA182" i="2"/>
  <c r="AB182" i="2"/>
  <c r="AC182" i="2"/>
  <c r="AA183" i="2"/>
  <c r="AB183" i="2"/>
  <c r="AC183" i="2"/>
  <c r="Y184" i="2"/>
  <c r="AA184" i="2" s="1"/>
  <c r="AB184" i="2"/>
  <c r="AC184" i="2"/>
  <c r="A184" i="2"/>
  <c r="AF184" i="2" l="1"/>
  <c r="AG184" i="2"/>
  <c r="U183" i="2"/>
  <c r="V183" i="2"/>
  <c r="U184" i="2"/>
  <c r="V184" i="2"/>
  <c r="A185" i="2"/>
  <c r="A186" i="2"/>
  <c r="U185" i="2" l="1"/>
  <c r="V185" i="2"/>
  <c r="U186" i="2"/>
  <c r="V186" i="2"/>
  <c r="U187" i="2"/>
  <c r="V187" i="2"/>
  <c r="Y185" i="2"/>
  <c r="AA185" i="2" s="1"/>
  <c r="AB185" i="2"/>
  <c r="AC185" i="2"/>
  <c r="Y186" i="2"/>
  <c r="AA186" i="2" s="1"/>
  <c r="AB186" i="2"/>
  <c r="AC186" i="2"/>
  <c r="Y187" i="2"/>
  <c r="AA187" i="2" s="1"/>
  <c r="AB187" i="2"/>
  <c r="AC187" i="2"/>
  <c r="AF185" i="2"/>
  <c r="AG185" i="2"/>
  <c r="AF186" i="2"/>
  <c r="AG186" i="2"/>
  <c r="AF187" i="2"/>
  <c r="AG187" i="2"/>
  <c r="AF188" i="2"/>
  <c r="AG188" i="2"/>
  <c r="AF189" i="2"/>
  <c r="AG189" i="2"/>
  <c r="A187" i="2"/>
  <c r="A188" i="2"/>
  <c r="A189" i="2"/>
  <c r="A190" i="2"/>
  <c r="U188" i="2" l="1"/>
  <c r="V188" i="2"/>
  <c r="U189" i="2"/>
  <c r="V189" i="2"/>
  <c r="Y188" i="2"/>
  <c r="AA188" i="2" s="1"/>
  <c r="AB188" i="2"/>
  <c r="AC188" i="2"/>
  <c r="Y189" i="2"/>
  <c r="AA189" i="2" s="1"/>
  <c r="AB189" i="2"/>
  <c r="AC189" i="2"/>
  <c r="A191" i="2"/>
  <c r="A192" i="2"/>
  <c r="L48" i="7" l="1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B48" i="7"/>
  <c r="D48" i="7" s="1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B46" i="7"/>
  <c r="D46" i="7" s="1"/>
  <c r="B47" i="7"/>
  <c r="D47" i="7" s="1"/>
  <c r="B44" i="7"/>
  <c r="D44" i="7" s="1"/>
  <c r="B45" i="7"/>
  <c r="D45" i="7" s="1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U190" i="2"/>
  <c r="V190" i="2"/>
  <c r="U191" i="2"/>
  <c r="V191" i="2"/>
  <c r="Y190" i="2"/>
  <c r="AA190" i="2" s="1"/>
  <c r="AB190" i="2"/>
  <c r="AC190" i="2"/>
  <c r="Y191" i="2"/>
  <c r="AA191" i="2" s="1"/>
  <c r="AB191" i="2"/>
  <c r="AC191" i="2"/>
  <c r="AF190" i="2"/>
  <c r="AG190" i="2"/>
  <c r="AF191" i="2"/>
  <c r="AG191" i="2"/>
  <c r="U192" i="2" l="1"/>
  <c r="V192" i="2"/>
  <c r="U193" i="2"/>
  <c r="V193" i="2"/>
  <c r="Y192" i="2"/>
  <c r="AA192" i="2" s="1"/>
  <c r="AB192" i="2"/>
  <c r="AC192" i="2"/>
  <c r="Y193" i="2"/>
  <c r="AA193" i="2" s="1"/>
  <c r="AB193" i="2"/>
  <c r="AC193" i="2"/>
  <c r="AF192" i="2"/>
  <c r="AG192" i="2"/>
  <c r="AF193" i="2"/>
  <c r="AG193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U194" i="2" l="1"/>
  <c r="V194" i="2"/>
  <c r="U195" i="2"/>
  <c r="V195" i="2"/>
  <c r="U196" i="2"/>
  <c r="V196" i="2"/>
  <c r="U197" i="2"/>
  <c r="V197" i="2"/>
  <c r="U198" i="2"/>
  <c r="V198" i="2"/>
  <c r="Y194" i="2"/>
  <c r="AA194" i="2" s="1"/>
  <c r="Y195" i="2"/>
  <c r="AA195" i="2" s="1"/>
  <c r="Y196" i="2"/>
  <c r="AA196" i="2" s="1"/>
  <c r="Y197" i="2"/>
  <c r="AA197" i="2" s="1"/>
  <c r="Y198" i="2"/>
  <c r="AA198" i="2" s="1"/>
  <c r="AB194" i="2"/>
  <c r="AC194" i="2"/>
  <c r="AB195" i="2"/>
  <c r="AC195" i="2"/>
  <c r="AB196" i="2"/>
  <c r="AC196" i="2"/>
  <c r="AB197" i="2"/>
  <c r="AC197" i="2"/>
  <c r="AB198" i="2"/>
  <c r="AC198" i="2"/>
  <c r="AF194" i="2"/>
  <c r="AG194" i="2"/>
  <c r="AF195" i="2"/>
  <c r="AG195" i="2"/>
  <c r="AF196" i="2"/>
  <c r="AG196" i="2"/>
  <c r="AF197" i="2"/>
  <c r="AG197" i="2"/>
  <c r="AF198" i="2"/>
  <c r="AG198" i="2"/>
  <c r="G48" i="4" l="1"/>
  <c r="U199" i="2" l="1"/>
  <c r="V199" i="2"/>
  <c r="U200" i="2"/>
  <c r="V200" i="2"/>
  <c r="Y199" i="2"/>
  <c r="AA199" i="2" s="1"/>
  <c r="AB199" i="2"/>
  <c r="AC199" i="2"/>
  <c r="Y200" i="2"/>
  <c r="AA200" i="2" s="1"/>
  <c r="AB200" i="2"/>
  <c r="AC200" i="2"/>
  <c r="AF199" i="2"/>
  <c r="AG199" i="2"/>
  <c r="AF200" i="2"/>
  <c r="AG200" i="2"/>
  <c r="AP10" i="1"/>
  <c r="AO10" i="1"/>
  <c r="AL10" i="1"/>
  <c r="AI10" i="1"/>
  <c r="AF10" i="1" s="1"/>
  <c r="A10" i="1"/>
  <c r="AP561" i="1"/>
  <c r="AO561" i="1"/>
  <c r="AL561" i="1"/>
  <c r="AI561" i="1"/>
  <c r="AF561" i="1" s="1"/>
  <c r="A561" i="1"/>
  <c r="A96" i="1"/>
  <c r="AI96" i="1"/>
  <c r="AE96" i="1" s="1"/>
  <c r="AL96" i="1"/>
  <c r="AO96" i="1"/>
  <c r="AP96" i="1"/>
  <c r="AP228" i="1"/>
  <c r="AO228" i="1"/>
  <c r="AL228" i="1"/>
  <c r="AI228" i="1"/>
  <c r="AF228" i="1" s="1"/>
  <c r="A228" i="1"/>
  <c r="AP66" i="1"/>
  <c r="AO66" i="1"/>
  <c r="AL66" i="1"/>
  <c r="AI66" i="1"/>
  <c r="AF66" i="1" s="1"/>
  <c r="A66" i="1"/>
  <c r="A229" i="1"/>
  <c r="U201" i="2"/>
  <c r="V201" i="2"/>
  <c r="U202" i="2"/>
  <c r="V202" i="2"/>
  <c r="Y201" i="2"/>
  <c r="AA201" i="2" s="1"/>
  <c r="AB201" i="2"/>
  <c r="AC201" i="2"/>
  <c r="Y202" i="2"/>
  <c r="AA202" i="2" s="1"/>
  <c r="AB202" i="2"/>
  <c r="AC202" i="2"/>
  <c r="AF201" i="2"/>
  <c r="AG201" i="2"/>
  <c r="AF202" i="2"/>
  <c r="AG202" i="2"/>
  <c r="AF203" i="2"/>
  <c r="AG203" i="2"/>
  <c r="AF204" i="2"/>
  <c r="AG204" i="2"/>
  <c r="U203" i="2"/>
  <c r="V203" i="2"/>
  <c r="U204" i="2"/>
  <c r="V204" i="2"/>
  <c r="Y203" i="2"/>
  <c r="AA203" i="2" s="1"/>
  <c r="AB203" i="2"/>
  <c r="AC203" i="2"/>
  <c r="Y204" i="2"/>
  <c r="AA204" i="2" s="1"/>
  <c r="AB204" i="2"/>
  <c r="AC204" i="2"/>
  <c r="AE10" i="1" l="1"/>
  <c r="AK10" i="1"/>
  <c r="AE561" i="1"/>
  <c r="AK561" i="1"/>
  <c r="AK96" i="1"/>
  <c r="AF96" i="1"/>
  <c r="AK66" i="1"/>
  <c r="AE66" i="1"/>
  <c r="AE228" i="1"/>
  <c r="AK228" i="1"/>
  <c r="AP1206" i="1"/>
  <c r="AO1206" i="1"/>
  <c r="AL1206" i="1"/>
  <c r="AI1206" i="1"/>
  <c r="AE1206" i="1" s="1"/>
  <c r="A1206" i="1"/>
  <c r="AP742" i="1"/>
  <c r="AO742" i="1"/>
  <c r="AL742" i="1"/>
  <c r="AI742" i="1"/>
  <c r="AF742" i="1" s="1"/>
  <c r="A742" i="1"/>
  <c r="AF267" i="2"/>
  <c r="AG267" i="2"/>
  <c r="AF268" i="2"/>
  <c r="AG268" i="2"/>
  <c r="AF269" i="2"/>
  <c r="AG269" i="2"/>
  <c r="AF270" i="2"/>
  <c r="AG270" i="2"/>
  <c r="AF271" i="2"/>
  <c r="AG271" i="2"/>
  <c r="AF272" i="2"/>
  <c r="AG272" i="2"/>
  <c r="AF273" i="2"/>
  <c r="AG273" i="2"/>
  <c r="AF274" i="2"/>
  <c r="AG274" i="2"/>
  <c r="AF275" i="2"/>
  <c r="AG275" i="2"/>
  <c r="AF276" i="2"/>
  <c r="AG276" i="2"/>
  <c r="AF206" i="2"/>
  <c r="AG206" i="2"/>
  <c r="AF207" i="2"/>
  <c r="AG207" i="2"/>
  <c r="AF208" i="2"/>
  <c r="AG208" i="2"/>
  <c r="AF209" i="2"/>
  <c r="AG209" i="2"/>
  <c r="AF210" i="2"/>
  <c r="AG210" i="2"/>
  <c r="AF211" i="2"/>
  <c r="AG211" i="2"/>
  <c r="AF212" i="2"/>
  <c r="AG212" i="2"/>
  <c r="AF213" i="2"/>
  <c r="AG213" i="2"/>
  <c r="AF214" i="2"/>
  <c r="AG214" i="2"/>
  <c r="AF215" i="2"/>
  <c r="AG215" i="2"/>
  <c r="AF216" i="2"/>
  <c r="AG216" i="2"/>
  <c r="AF217" i="2"/>
  <c r="AG217" i="2"/>
  <c r="AF218" i="2"/>
  <c r="AG218" i="2"/>
  <c r="AF219" i="2"/>
  <c r="AG219" i="2"/>
  <c r="AF220" i="2"/>
  <c r="AG220" i="2"/>
  <c r="AF221" i="2"/>
  <c r="AG221" i="2"/>
  <c r="AF222" i="2"/>
  <c r="AG222" i="2"/>
  <c r="AF223" i="2"/>
  <c r="AG223" i="2"/>
  <c r="AF224" i="2"/>
  <c r="AG224" i="2"/>
  <c r="AF225" i="2"/>
  <c r="AG225" i="2"/>
  <c r="AF226" i="2"/>
  <c r="AG226" i="2"/>
  <c r="AF227" i="2"/>
  <c r="AG227" i="2"/>
  <c r="AF228" i="2"/>
  <c r="AG228" i="2"/>
  <c r="AF229" i="2"/>
  <c r="AG229" i="2"/>
  <c r="AF230" i="2"/>
  <c r="AG230" i="2"/>
  <c r="AF231" i="2"/>
  <c r="AG231" i="2"/>
  <c r="AF232" i="2"/>
  <c r="AG232" i="2"/>
  <c r="AF233" i="2"/>
  <c r="AG233" i="2"/>
  <c r="AF234" i="2"/>
  <c r="AG234" i="2"/>
  <c r="AF235" i="2"/>
  <c r="AG235" i="2"/>
  <c r="AF236" i="2"/>
  <c r="AG236" i="2"/>
  <c r="AF237" i="2"/>
  <c r="AG237" i="2"/>
  <c r="AF238" i="2"/>
  <c r="AG238" i="2"/>
  <c r="AF239" i="2"/>
  <c r="AG239" i="2"/>
  <c r="AF240" i="2"/>
  <c r="AG240" i="2"/>
  <c r="AF241" i="2"/>
  <c r="AG241" i="2"/>
  <c r="AF242" i="2"/>
  <c r="AG242" i="2"/>
  <c r="AF243" i="2"/>
  <c r="AG243" i="2"/>
  <c r="AF244" i="2"/>
  <c r="AG244" i="2"/>
  <c r="AF245" i="2"/>
  <c r="AG245" i="2"/>
  <c r="AF246" i="2"/>
  <c r="AG246" i="2"/>
  <c r="AF247" i="2"/>
  <c r="AG247" i="2"/>
  <c r="AF248" i="2"/>
  <c r="AG248" i="2"/>
  <c r="AF249" i="2"/>
  <c r="AG249" i="2"/>
  <c r="AF250" i="2"/>
  <c r="AG250" i="2"/>
  <c r="AF251" i="2"/>
  <c r="AG251" i="2"/>
  <c r="AF252" i="2"/>
  <c r="AG252" i="2"/>
  <c r="AF253" i="2"/>
  <c r="AG253" i="2"/>
  <c r="AF254" i="2"/>
  <c r="AG254" i="2"/>
  <c r="AF255" i="2"/>
  <c r="AG255" i="2"/>
  <c r="AF257" i="2"/>
  <c r="AG257" i="2"/>
  <c r="AF258" i="2"/>
  <c r="AG258" i="2"/>
  <c r="AF259" i="2"/>
  <c r="AG259" i="2"/>
  <c r="AF260" i="2"/>
  <c r="AG260" i="2"/>
  <c r="AF261" i="2"/>
  <c r="AG261" i="2"/>
  <c r="AF262" i="2"/>
  <c r="AG262" i="2"/>
  <c r="AF263" i="2"/>
  <c r="AG263" i="2"/>
  <c r="AF264" i="2"/>
  <c r="AG264" i="2"/>
  <c r="AF265" i="2"/>
  <c r="AG265" i="2"/>
  <c r="AF266" i="2"/>
  <c r="AG266" i="2"/>
  <c r="AG205" i="2"/>
  <c r="AF205" i="2"/>
  <c r="AP33" i="1"/>
  <c r="AP34" i="1"/>
  <c r="AP922" i="1"/>
  <c r="AP48" i="1"/>
  <c r="AP195" i="1"/>
  <c r="AP32" i="1"/>
  <c r="AP21" i="1"/>
  <c r="AP11" i="1"/>
  <c r="AP207" i="1"/>
  <c r="AP67" i="1"/>
  <c r="AP68" i="1"/>
  <c r="AP55" i="1"/>
  <c r="AP56" i="1"/>
  <c r="AP87" i="1"/>
  <c r="AP97" i="1"/>
  <c r="AP187" i="1"/>
  <c r="AP106" i="1"/>
  <c r="AP585" i="1"/>
  <c r="AP261" i="1"/>
  <c r="AP496" i="1"/>
  <c r="AP108" i="1"/>
  <c r="AP710" i="1"/>
  <c r="AP805" i="1"/>
  <c r="AP282" i="1"/>
  <c r="AP510" i="1"/>
  <c r="AP125" i="1"/>
  <c r="AP72" i="1"/>
  <c r="AP73" i="1"/>
  <c r="AP219" i="1"/>
  <c r="AP183" i="1"/>
  <c r="AP184" i="1"/>
  <c r="AP185" i="1"/>
  <c r="AP181" i="1"/>
  <c r="AP182" i="1"/>
  <c r="AP163" i="1"/>
  <c r="AP165" i="1"/>
  <c r="AP170" i="1"/>
  <c r="AP164" i="1"/>
  <c r="AP171" i="1"/>
  <c r="AP374" i="1"/>
  <c r="AP169" i="1"/>
  <c r="AP162" i="1"/>
  <c r="AP204" i="1"/>
  <c r="AP205" i="1"/>
  <c r="AP172" i="1"/>
  <c r="AP206" i="1"/>
  <c r="AP180" i="1"/>
  <c r="AP179" i="1"/>
  <c r="AP208" i="1"/>
  <c r="AP209" i="1"/>
  <c r="AP210" i="1"/>
  <c r="AP216" i="1"/>
  <c r="AP217" i="1"/>
  <c r="AP193" i="1"/>
  <c r="AP186" i="1"/>
  <c r="AP194" i="1"/>
  <c r="AP197" i="1"/>
  <c r="AP671" i="1"/>
  <c r="AP612" i="1"/>
  <c r="AP229" i="1"/>
  <c r="AP230" i="1"/>
  <c r="AP214" i="1"/>
  <c r="AP330" i="1"/>
  <c r="AP213" i="1"/>
  <c r="AP215" i="1"/>
  <c r="AP387" i="1"/>
  <c r="AP233" i="1"/>
  <c r="AP656" i="1"/>
  <c r="AP239" i="1"/>
  <c r="AP238" i="1"/>
  <c r="AP246" i="1"/>
  <c r="AP255" i="1"/>
  <c r="AP262" i="1"/>
  <c r="AP264" i="1"/>
  <c r="AP725" i="1"/>
  <c r="AP1008" i="1"/>
  <c r="AP394" i="1"/>
  <c r="AP265" i="1"/>
  <c r="AP736" i="1"/>
  <c r="AP291" i="1"/>
  <c r="AP221" i="1"/>
  <c r="AP223" i="1"/>
  <c r="AP361" i="1"/>
  <c r="AP322" i="1"/>
  <c r="AP627" i="1"/>
  <c r="AP302" i="1"/>
  <c r="AP413" i="1"/>
  <c r="AP298" i="1"/>
  <c r="AP299" i="1"/>
  <c r="AP328" i="1"/>
  <c r="AP329" i="1"/>
  <c r="AP304" i="1"/>
  <c r="AP305" i="1"/>
  <c r="AP430" i="1"/>
  <c r="AP412" i="1"/>
  <c r="AP312" i="1"/>
  <c r="AP311" i="1"/>
  <c r="AP331" i="1"/>
  <c r="AP332" i="1"/>
  <c r="AP333" i="1"/>
  <c r="AP334" i="1"/>
  <c r="AP355" i="1"/>
  <c r="AP356" i="1"/>
  <c r="AP358" i="1"/>
  <c r="AP318" i="1"/>
  <c r="AP319" i="1"/>
  <c r="AP320" i="1"/>
  <c r="AP323" i="1"/>
  <c r="AP350" i="1"/>
  <c r="AP351" i="1"/>
  <c r="AP352" i="1"/>
  <c r="AP359" i="1"/>
  <c r="AP357" i="1"/>
  <c r="AP349" i="1"/>
  <c r="AP371" i="1"/>
  <c r="AP367" i="1"/>
  <c r="AP575" i="1"/>
  <c r="AP370" i="1"/>
  <c r="AP368" i="1"/>
  <c r="AP375" i="1"/>
  <c r="AP376" i="1"/>
  <c r="AP313" i="1"/>
  <c r="AP379" i="1"/>
  <c r="AP382" i="1"/>
  <c r="AP390" i="1"/>
  <c r="AP391" i="1"/>
  <c r="AP393" i="1"/>
  <c r="AP392" i="1"/>
  <c r="AP662" i="1"/>
  <c r="AP400" i="1"/>
  <c r="AP396" i="1"/>
  <c r="AP397" i="1"/>
  <c r="AP398" i="1"/>
  <c r="AP402" i="1"/>
  <c r="AP984" i="1"/>
  <c r="AP985" i="1"/>
  <c r="AP471" i="1"/>
  <c r="AP409" i="1"/>
  <c r="AP407" i="1"/>
  <c r="AP408" i="1"/>
  <c r="AP431" i="1"/>
  <c r="AP526" i="1"/>
  <c r="AP410" i="1"/>
  <c r="AP604" i="1"/>
  <c r="AP415" i="1"/>
  <c r="AP414" i="1"/>
  <c r="AP432" i="1"/>
  <c r="AP433" i="1"/>
  <c r="AP434" i="1"/>
  <c r="AP468" i="1"/>
  <c r="AP469" i="1"/>
  <c r="AP424" i="1"/>
  <c r="AP417" i="1"/>
  <c r="AP306" i="1"/>
  <c r="AP425" i="1"/>
  <c r="AP426" i="1"/>
  <c r="AP923" i="1"/>
  <c r="AP427" i="1"/>
  <c r="AP440" i="1"/>
  <c r="AP441" i="1"/>
  <c r="AP442" i="1"/>
  <c r="AP470" i="1"/>
  <c r="AP437" i="1"/>
  <c r="AP439" i="1"/>
  <c r="AP479" i="1"/>
  <c r="AP711" i="1"/>
  <c r="AP477" i="1"/>
  <c r="AP478" i="1"/>
  <c r="AP483" i="1"/>
  <c r="AP486" i="1"/>
  <c r="AP484" i="1"/>
  <c r="AP418" i="1"/>
  <c r="AP419" i="1"/>
  <c r="AP562" i="1"/>
  <c r="AP488" i="1"/>
  <c r="AP491" i="1"/>
  <c r="AP499" i="1"/>
  <c r="AP498" i="1"/>
  <c r="AP500" i="1"/>
  <c r="AP781" i="1"/>
  <c r="AP497" i="1"/>
  <c r="AP495" i="1"/>
  <c r="AP502" i="1"/>
  <c r="AP503" i="1"/>
  <c r="AP743" i="1"/>
  <c r="AP511" i="1"/>
  <c r="AP513" i="1"/>
  <c r="AP473" i="1"/>
  <c r="AP474" i="1"/>
  <c r="AP527" i="1"/>
  <c r="AP528" i="1"/>
  <c r="AP529" i="1"/>
  <c r="AP538" i="1"/>
  <c r="AP521" i="1"/>
  <c r="AP520" i="1"/>
  <c r="AP519" i="1"/>
  <c r="AP541" i="1"/>
  <c r="AP535" i="1"/>
  <c r="AP536" i="1"/>
  <c r="AP537" i="1"/>
  <c r="AP539" i="1"/>
  <c r="AP533" i="1"/>
  <c r="AP750" i="1"/>
  <c r="AP540" i="1"/>
  <c r="AP534" i="1"/>
  <c r="AP548" i="1"/>
  <c r="AP549" i="1"/>
  <c r="AP787" i="1"/>
  <c r="AP944" i="1"/>
  <c r="AP556" i="1"/>
  <c r="AP557" i="1"/>
  <c r="AP554" i="1"/>
  <c r="AP555" i="1"/>
  <c r="AP552" i="1"/>
  <c r="AP553" i="1"/>
  <c r="AP654" i="1"/>
  <c r="AP565" i="1"/>
  <c r="AP564" i="1"/>
  <c r="AP563" i="1"/>
  <c r="AP570" i="1"/>
  <c r="AP569" i="1"/>
  <c r="AP568" i="1"/>
  <c r="AP715" i="1"/>
  <c r="AP582" i="1"/>
  <c r="AP583" i="1"/>
  <c r="AP580" i="1"/>
  <c r="AP587" i="1"/>
  <c r="AP579" i="1"/>
  <c r="AP871" i="1"/>
  <c r="AP791" i="1"/>
  <c r="AP584" i="1"/>
  <c r="AP638" i="1"/>
  <c r="AP581" i="1"/>
  <c r="AP718" i="1"/>
  <c r="AP589" i="1"/>
  <c r="AP590" i="1"/>
  <c r="AP505" i="1"/>
  <c r="AP968" i="1"/>
  <c r="AP591" i="1"/>
  <c r="AP592" i="1"/>
  <c r="AP593" i="1"/>
  <c r="AP594" i="1"/>
  <c r="AP598" i="1"/>
  <c r="AP599" i="1"/>
  <c r="AP542" i="1"/>
  <c r="AP543" i="1"/>
  <c r="AP605" i="1"/>
  <c r="AP749" i="1"/>
  <c r="AP613" i="1"/>
  <c r="AP614" i="1"/>
  <c r="AP608" i="1"/>
  <c r="AP610" i="1"/>
  <c r="AP611" i="1"/>
  <c r="AP623" i="1"/>
  <c r="AP621" i="1"/>
  <c r="AP1054" i="1"/>
  <c r="AP1113" i="1"/>
  <c r="AP622" i="1"/>
  <c r="AP624" i="1"/>
  <c r="AP620" i="1"/>
  <c r="AP800" i="1"/>
  <c r="AP377" i="1"/>
  <c r="AP628" i="1"/>
  <c r="AP631" i="1"/>
  <c r="AP632" i="1"/>
  <c r="AP629" i="1"/>
  <c r="AP637" i="1"/>
  <c r="AP640" i="1"/>
  <c r="AP641" i="1"/>
  <c r="AP642" i="1"/>
  <c r="AP649" i="1"/>
  <c r="AP653" i="1"/>
  <c r="AP652" i="1"/>
  <c r="AP655" i="1"/>
  <c r="AP731" i="1"/>
  <c r="AP650" i="1"/>
  <c r="AP651" i="1"/>
  <c r="AP660" i="1"/>
  <c r="AP659" i="1"/>
  <c r="AP577" i="1"/>
  <c r="AP661" i="1"/>
  <c r="AP664" i="1"/>
  <c r="AP1060" i="1"/>
  <c r="AP806" i="1"/>
  <c r="AP666" i="1"/>
  <c r="AP812" i="1"/>
  <c r="AP668" i="1"/>
  <c r="AP816" i="1"/>
  <c r="AP674" i="1"/>
  <c r="AP673" i="1"/>
  <c r="AP682" i="1"/>
  <c r="AP680" i="1"/>
  <c r="AP681" i="1"/>
  <c r="AP833" i="1"/>
  <c r="AP959" i="1"/>
  <c r="AP685" i="1"/>
  <c r="AP686" i="1"/>
  <c r="AP696" i="1"/>
  <c r="AP796" i="1"/>
  <c r="AP694" i="1"/>
  <c r="AP702" i="1"/>
  <c r="AP697" i="1"/>
  <c r="AP698" i="1"/>
  <c r="AP695" i="1"/>
  <c r="AP705" i="1"/>
  <c r="AP704" i="1"/>
  <c r="AP706" i="1"/>
  <c r="AP724" i="1"/>
  <c r="AP714" i="1"/>
  <c r="AP726" i="1"/>
  <c r="AP722" i="1"/>
  <c r="AP721" i="1"/>
  <c r="AP719" i="1"/>
  <c r="AP723" i="1"/>
  <c r="AP732" i="1"/>
  <c r="AP730" i="1"/>
  <c r="AP733" i="1"/>
  <c r="AP737" i="1"/>
  <c r="AP738" i="1"/>
  <c r="AP740" i="1"/>
  <c r="AP977" i="1"/>
  <c r="AP744" i="1"/>
  <c r="AP745" i="1"/>
  <c r="AP746" i="1"/>
  <c r="AP747" i="1"/>
  <c r="AP676" i="1"/>
  <c r="AP1055" i="1"/>
  <c r="AP758" i="1"/>
  <c r="AP757" i="1"/>
  <c r="AP756" i="1"/>
  <c r="AP754" i="1"/>
  <c r="AP771" i="1"/>
  <c r="AP773" i="1"/>
  <c r="AP770" i="1"/>
  <c r="AP639" i="1"/>
  <c r="AP560" i="1"/>
  <c r="AP772" i="1"/>
  <c r="AP769" i="1"/>
  <c r="AP768" i="1"/>
  <c r="AP776" i="1"/>
  <c r="AP777" i="1"/>
  <c r="AP858" i="1"/>
  <c r="AP789" i="1"/>
  <c r="AP795" i="1"/>
  <c r="AP794" i="1"/>
  <c r="AP798" i="1"/>
  <c r="AP793" i="1"/>
  <c r="AP767" i="1"/>
  <c r="AP866" i="1"/>
  <c r="AP864" i="1"/>
  <c r="AP790" i="1"/>
  <c r="AP716" i="1"/>
  <c r="AP1089" i="1"/>
  <c r="AP815" i="1"/>
  <c r="AP820" i="1"/>
  <c r="AP819" i="1"/>
  <c r="AP834" i="1"/>
  <c r="AP831" i="1"/>
  <c r="AP830" i="1"/>
  <c r="AP832" i="1"/>
  <c r="AP829" i="1"/>
  <c r="AP927" i="1"/>
  <c r="AP952" i="1"/>
  <c r="AP837" i="1"/>
  <c r="AP839" i="1"/>
  <c r="AP840" i="1"/>
  <c r="AP567" i="1"/>
  <c r="AP838" i="1"/>
  <c r="AP870" i="1"/>
  <c r="AP872" i="1"/>
  <c r="AP867" i="1"/>
  <c r="AP854" i="1"/>
  <c r="AP857" i="1"/>
  <c r="AP861" i="1"/>
  <c r="AP865" i="1"/>
  <c r="AP869" i="1"/>
  <c r="AP856" i="1"/>
  <c r="AP853" i="1"/>
  <c r="AP878" i="1"/>
  <c r="AP875" i="1"/>
  <c r="AP876" i="1"/>
  <c r="AP877" i="1"/>
  <c r="AP880" i="1"/>
  <c r="AP909" i="1"/>
  <c r="AP910" i="1"/>
  <c r="AP916" i="1"/>
  <c r="AP919" i="1"/>
  <c r="AP920" i="1"/>
  <c r="AP924" i="1"/>
  <c r="AP930" i="1"/>
  <c r="AP931" i="1"/>
  <c r="AP932" i="1"/>
  <c r="AP933" i="1"/>
  <c r="AP950" i="1"/>
  <c r="AP945" i="1"/>
  <c r="AP951" i="1"/>
  <c r="AP958" i="1"/>
  <c r="AP855" i="1"/>
  <c r="AP947" i="1"/>
  <c r="AP1199" i="1"/>
  <c r="AP1020" i="1"/>
  <c r="AP946" i="1"/>
  <c r="AP960" i="1"/>
  <c r="AP963" i="1"/>
  <c r="AP962" i="1"/>
  <c r="AP966" i="1"/>
  <c r="AP860" i="1"/>
  <c r="AP905" i="1"/>
  <c r="AP973" i="1"/>
  <c r="AP1119" i="1"/>
  <c r="AP971" i="1"/>
  <c r="AP972" i="1"/>
  <c r="AP974" i="1"/>
  <c r="AP1104" i="1"/>
  <c r="AP981" i="1"/>
  <c r="AP1077" i="1"/>
  <c r="AP363" i="1"/>
  <c r="AP987" i="1"/>
  <c r="AP989" i="1"/>
  <c r="AP988" i="1"/>
  <c r="AP990" i="1"/>
  <c r="AP1002" i="1"/>
  <c r="AP1013" i="1"/>
  <c r="AP1015" i="1"/>
  <c r="AP1010" i="1"/>
  <c r="AP874" i="1"/>
  <c r="AP1007" i="1"/>
  <c r="AP1001" i="1"/>
  <c r="AP999" i="1"/>
  <c r="AP1014" i="1"/>
  <c r="AP1012" i="1"/>
  <c r="AP928" i="1"/>
  <c r="AP1080" i="1"/>
  <c r="AP1006" i="1"/>
  <c r="AP1000" i="1"/>
  <c r="AP1009" i="1"/>
  <c r="AP1016" i="1"/>
  <c r="AP1019" i="1"/>
  <c r="AP1023" i="1"/>
  <c r="AP1024" i="1"/>
  <c r="AP1025" i="1"/>
  <c r="AP964" i="1"/>
  <c r="AP1022" i="1"/>
  <c r="AP1021" i="1"/>
  <c r="AP1026" i="1"/>
  <c r="AP1027" i="1"/>
  <c r="AP735" i="1"/>
  <c r="AP1031" i="1"/>
  <c r="AP911" i="1"/>
  <c r="AP1032" i="1"/>
  <c r="AP1033" i="1"/>
  <c r="AP1034" i="1"/>
  <c r="AP912" i="1"/>
  <c r="AP1035" i="1"/>
  <c r="AP1036" i="1"/>
  <c r="AP1130" i="1"/>
  <c r="AP1037" i="1"/>
  <c r="AP1039" i="1"/>
  <c r="AP1038" i="1"/>
  <c r="AP1040" i="1"/>
  <c r="AP1042" i="1"/>
  <c r="AP1041" i="1"/>
  <c r="AP1044" i="1"/>
  <c r="AP1056" i="1"/>
  <c r="AP1003" i="1"/>
  <c r="AP1141" i="1"/>
  <c r="AP1073" i="1"/>
  <c r="AP1078" i="1"/>
  <c r="AP1083" i="1"/>
  <c r="AP1085" i="1"/>
  <c r="AP1086" i="1"/>
  <c r="AP1084" i="1"/>
  <c r="AP1082" i="1"/>
  <c r="AP1088" i="1"/>
  <c r="AP1096" i="1"/>
  <c r="AP1099" i="1"/>
  <c r="AP1097" i="1"/>
  <c r="AP1098" i="1"/>
  <c r="AP1100" i="1"/>
  <c r="AP1101" i="1"/>
  <c r="AP1160" i="1"/>
  <c r="AP1105" i="1"/>
  <c r="AP1106" i="1"/>
  <c r="AP1109" i="1"/>
  <c r="AP1110" i="1"/>
  <c r="AP1117" i="1"/>
  <c r="AP1079" i="1"/>
  <c r="AP1116" i="1"/>
  <c r="AP1128" i="1"/>
  <c r="AP1135" i="1"/>
  <c r="AP1136" i="1"/>
  <c r="AP1137" i="1"/>
  <c r="AP1138" i="1"/>
  <c r="AP1140" i="1"/>
  <c r="AP1149" i="1"/>
  <c r="AP1150" i="1"/>
  <c r="AP1151" i="1"/>
  <c r="AP1147" i="1"/>
  <c r="AP1148" i="1"/>
  <c r="AP1154" i="1"/>
  <c r="AP1155" i="1"/>
  <c r="AP1158" i="1"/>
  <c r="AP1157" i="1"/>
  <c r="AP1153" i="1"/>
  <c r="AP1208" i="1"/>
  <c r="AP1161" i="1"/>
  <c r="AP1162" i="1"/>
  <c r="AP1163" i="1"/>
  <c r="AP1167" i="1"/>
  <c r="AP1170" i="1"/>
  <c r="AP1152" i="1"/>
  <c r="AP1169" i="1"/>
  <c r="AP1181" i="1"/>
  <c r="AP1184" i="1"/>
  <c r="AP1189" i="1"/>
  <c r="AP1221" i="1"/>
  <c r="AP1192" i="1"/>
  <c r="AP1194" i="1"/>
  <c r="AP1195" i="1"/>
  <c r="AP1196" i="1"/>
  <c r="AP1197" i="1"/>
  <c r="AP1198" i="1"/>
  <c r="AP1202" i="1"/>
  <c r="AP1203" i="1"/>
  <c r="AP1204" i="1"/>
  <c r="AP1210" i="1"/>
  <c r="AP1211" i="1"/>
  <c r="AP1213" i="1"/>
  <c r="AP1229" i="1"/>
  <c r="AP1230" i="1"/>
  <c r="AP1234" i="1"/>
  <c r="AP1235" i="1"/>
  <c r="AP1265" i="1"/>
  <c r="AP1241" i="1"/>
  <c r="AP1247" i="1"/>
  <c r="AP1249" i="1"/>
  <c r="AP1250" i="1"/>
  <c r="AP1251" i="1"/>
  <c r="AP1256" i="1"/>
  <c r="AP1257" i="1"/>
  <c r="AP1258" i="1"/>
  <c r="AP1292" i="1"/>
  <c r="AP1266" i="1"/>
  <c r="AP1268" i="1"/>
  <c r="AP1269" i="1"/>
  <c r="AP1271" i="1"/>
  <c r="AP1272" i="1"/>
  <c r="AP1275" i="1"/>
  <c r="AP1276" i="1"/>
  <c r="AP1280" i="1"/>
  <c r="AP1281" i="1"/>
  <c r="AP1284" i="1"/>
  <c r="AP1285" i="1"/>
  <c r="AP1288" i="1"/>
  <c r="AP1291" i="1"/>
  <c r="AP1293" i="1"/>
  <c r="AP1295" i="1"/>
  <c r="AP1303" i="1"/>
  <c r="AP1304" i="1"/>
  <c r="AP1308" i="1"/>
  <c r="AP1309" i="1"/>
  <c r="AP1313" i="1"/>
  <c r="AP1314" i="1"/>
  <c r="AP1316" i="1"/>
  <c r="AP1317" i="1"/>
  <c r="AO33" i="1"/>
  <c r="AO34" i="1"/>
  <c r="AO922" i="1"/>
  <c r="AO48" i="1"/>
  <c r="AO195" i="1"/>
  <c r="AO32" i="1"/>
  <c r="AO21" i="1"/>
  <c r="AO11" i="1"/>
  <c r="AO207" i="1"/>
  <c r="AO67" i="1"/>
  <c r="AO68" i="1"/>
  <c r="AO55" i="1"/>
  <c r="AO56" i="1"/>
  <c r="AO87" i="1"/>
  <c r="AO97" i="1"/>
  <c r="AO187" i="1"/>
  <c r="AO106" i="1"/>
  <c r="AO585" i="1"/>
  <c r="AO261" i="1"/>
  <c r="AO496" i="1"/>
  <c r="AO108" i="1"/>
  <c r="AO710" i="1"/>
  <c r="AO805" i="1"/>
  <c r="AO282" i="1"/>
  <c r="AO510" i="1"/>
  <c r="AO125" i="1"/>
  <c r="AO72" i="1"/>
  <c r="AO73" i="1"/>
  <c r="AO219" i="1"/>
  <c r="AO183" i="1"/>
  <c r="AO184" i="1"/>
  <c r="AO185" i="1"/>
  <c r="AO181" i="1"/>
  <c r="AO182" i="1"/>
  <c r="AO163" i="1"/>
  <c r="AO165" i="1"/>
  <c r="AO170" i="1"/>
  <c r="AO164" i="1"/>
  <c r="AO171" i="1"/>
  <c r="AO374" i="1"/>
  <c r="AO169" i="1"/>
  <c r="AO162" i="1"/>
  <c r="AO204" i="1"/>
  <c r="AO205" i="1"/>
  <c r="AO172" i="1"/>
  <c r="AO206" i="1"/>
  <c r="AO180" i="1"/>
  <c r="AO179" i="1"/>
  <c r="AO208" i="1"/>
  <c r="AO209" i="1"/>
  <c r="AO210" i="1"/>
  <c r="AO216" i="1"/>
  <c r="AO217" i="1"/>
  <c r="AO193" i="1"/>
  <c r="AO186" i="1"/>
  <c r="AO194" i="1"/>
  <c r="AO197" i="1"/>
  <c r="AO671" i="1"/>
  <c r="AO612" i="1"/>
  <c r="AO229" i="1"/>
  <c r="AO230" i="1"/>
  <c r="AO214" i="1"/>
  <c r="AO330" i="1"/>
  <c r="AO213" i="1"/>
  <c r="AO215" i="1"/>
  <c r="AO387" i="1"/>
  <c r="AO233" i="1"/>
  <c r="AO656" i="1"/>
  <c r="AO239" i="1"/>
  <c r="AO238" i="1"/>
  <c r="AO246" i="1"/>
  <c r="AO255" i="1"/>
  <c r="AO262" i="1"/>
  <c r="AO264" i="1"/>
  <c r="AO725" i="1"/>
  <c r="AO1008" i="1"/>
  <c r="AO394" i="1"/>
  <c r="AO265" i="1"/>
  <c r="AO736" i="1"/>
  <c r="AO291" i="1"/>
  <c r="AO221" i="1"/>
  <c r="AO223" i="1"/>
  <c r="AO361" i="1"/>
  <c r="AO322" i="1"/>
  <c r="AO627" i="1"/>
  <c r="AO302" i="1"/>
  <c r="AO413" i="1"/>
  <c r="AO298" i="1"/>
  <c r="AO299" i="1"/>
  <c r="AO328" i="1"/>
  <c r="AO329" i="1"/>
  <c r="AO304" i="1"/>
  <c r="AO305" i="1"/>
  <c r="AO430" i="1"/>
  <c r="AO412" i="1"/>
  <c r="AO312" i="1"/>
  <c r="AO311" i="1"/>
  <c r="AO331" i="1"/>
  <c r="AO332" i="1"/>
  <c r="AO333" i="1"/>
  <c r="AO334" i="1"/>
  <c r="AO355" i="1"/>
  <c r="AO356" i="1"/>
  <c r="AO358" i="1"/>
  <c r="AO318" i="1"/>
  <c r="AO319" i="1"/>
  <c r="AO320" i="1"/>
  <c r="AO323" i="1"/>
  <c r="AO350" i="1"/>
  <c r="AO351" i="1"/>
  <c r="AO352" i="1"/>
  <c r="AO359" i="1"/>
  <c r="AO357" i="1"/>
  <c r="AO349" i="1"/>
  <c r="AO371" i="1"/>
  <c r="AO367" i="1"/>
  <c r="AO575" i="1"/>
  <c r="AO370" i="1"/>
  <c r="AO368" i="1"/>
  <c r="AO375" i="1"/>
  <c r="AO376" i="1"/>
  <c r="AO313" i="1"/>
  <c r="AO379" i="1"/>
  <c r="AO382" i="1"/>
  <c r="AO390" i="1"/>
  <c r="AO391" i="1"/>
  <c r="AO393" i="1"/>
  <c r="AO392" i="1"/>
  <c r="AO662" i="1"/>
  <c r="AO400" i="1"/>
  <c r="AO396" i="1"/>
  <c r="AO397" i="1"/>
  <c r="AO398" i="1"/>
  <c r="AO402" i="1"/>
  <c r="AO984" i="1"/>
  <c r="AO985" i="1"/>
  <c r="AO471" i="1"/>
  <c r="AO409" i="1"/>
  <c r="AO407" i="1"/>
  <c r="AO408" i="1"/>
  <c r="AO431" i="1"/>
  <c r="AO526" i="1"/>
  <c r="AO410" i="1"/>
  <c r="AO604" i="1"/>
  <c r="AO415" i="1"/>
  <c r="AO414" i="1"/>
  <c r="AO432" i="1"/>
  <c r="AO433" i="1"/>
  <c r="AO434" i="1"/>
  <c r="AO468" i="1"/>
  <c r="AO469" i="1"/>
  <c r="AO424" i="1"/>
  <c r="AO417" i="1"/>
  <c r="AO306" i="1"/>
  <c r="AO425" i="1"/>
  <c r="AO426" i="1"/>
  <c r="AO923" i="1"/>
  <c r="AO427" i="1"/>
  <c r="AO440" i="1"/>
  <c r="AO441" i="1"/>
  <c r="AO442" i="1"/>
  <c r="AO470" i="1"/>
  <c r="AO437" i="1"/>
  <c r="AO439" i="1"/>
  <c r="AO479" i="1"/>
  <c r="AO711" i="1"/>
  <c r="AO477" i="1"/>
  <c r="AO478" i="1"/>
  <c r="AO483" i="1"/>
  <c r="AO486" i="1"/>
  <c r="AO484" i="1"/>
  <c r="AO418" i="1"/>
  <c r="AO419" i="1"/>
  <c r="AO562" i="1"/>
  <c r="AO488" i="1"/>
  <c r="AO491" i="1"/>
  <c r="AO499" i="1"/>
  <c r="AO498" i="1"/>
  <c r="AO500" i="1"/>
  <c r="AO781" i="1"/>
  <c r="AO497" i="1"/>
  <c r="AO495" i="1"/>
  <c r="AO502" i="1"/>
  <c r="AO503" i="1"/>
  <c r="AO743" i="1"/>
  <c r="AO511" i="1"/>
  <c r="AO513" i="1"/>
  <c r="AO473" i="1"/>
  <c r="AO474" i="1"/>
  <c r="AO527" i="1"/>
  <c r="AO528" i="1"/>
  <c r="AO529" i="1"/>
  <c r="AO538" i="1"/>
  <c r="AO521" i="1"/>
  <c r="AO520" i="1"/>
  <c r="AO519" i="1"/>
  <c r="AO541" i="1"/>
  <c r="AO535" i="1"/>
  <c r="AO536" i="1"/>
  <c r="AO537" i="1"/>
  <c r="AO539" i="1"/>
  <c r="AO533" i="1"/>
  <c r="AO750" i="1"/>
  <c r="AO540" i="1"/>
  <c r="AO534" i="1"/>
  <c r="AO548" i="1"/>
  <c r="AO549" i="1"/>
  <c r="AO787" i="1"/>
  <c r="AO944" i="1"/>
  <c r="AO556" i="1"/>
  <c r="AO557" i="1"/>
  <c r="AO554" i="1"/>
  <c r="AO555" i="1"/>
  <c r="AO552" i="1"/>
  <c r="AO553" i="1"/>
  <c r="AO654" i="1"/>
  <c r="AO565" i="1"/>
  <c r="AO564" i="1"/>
  <c r="AO563" i="1"/>
  <c r="AO570" i="1"/>
  <c r="AO569" i="1"/>
  <c r="AO568" i="1"/>
  <c r="AO715" i="1"/>
  <c r="AO582" i="1"/>
  <c r="AO583" i="1"/>
  <c r="AO580" i="1"/>
  <c r="AO587" i="1"/>
  <c r="AO579" i="1"/>
  <c r="AO871" i="1"/>
  <c r="AO791" i="1"/>
  <c r="AO584" i="1"/>
  <c r="AO638" i="1"/>
  <c r="AO581" i="1"/>
  <c r="AO718" i="1"/>
  <c r="AO589" i="1"/>
  <c r="AO590" i="1"/>
  <c r="AO505" i="1"/>
  <c r="AO968" i="1"/>
  <c r="AO591" i="1"/>
  <c r="AO592" i="1"/>
  <c r="AO593" i="1"/>
  <c r="AO594" i="1"/>
  <c r="AO598" i="1"/>
  <c r="AO599" i="1"/>
  <c r="AO542" i="1"/>
  <c r="AO543" i="1"/>
  <c r="AO605" i="1"/>
  <c r="AO749" i="1"/>
  <c r="AO613" i="1"/>
  <c r="AO614" i="1"/>
  <c r="AO608" i="1"/>
  <c r="AO610" i="1"/>
  <c r="AO611" i="1"/>
  <c r="AO623" i="1"/>
  <c r="AO621" i="1"/>
  <c r="AO1054" i="1"/>
  <c r="AO1113" i="1"/>
  <c r="AO622" i="1"/>
  <c r="AO624" i="1"/>
  <c r="AO620" i="1"/>
  <c r="AO800" i="1"/>
  <c r="AO377" i="1"/>
  <c r="AO628" i="1"/>
  <c r="AO631" i="1"/>
  <c r="AO632" i="1"/>
  <c r="AO629" i="1"/>
  <c r="AO637" i="1"/>
  <c r="AO640" i="1"/>
  <c r="AO641" i="1"/>
  <c r="AO642" i="1"/>
  <c r="AO649" i="1"/>
  <c r="AO653" i="1"/>
  <c r="AO652" i="1"/>
  <c r="AO655" i="1"/>
  <c r="AO731" i="1"/>
  <c r="AO650" i="1"/>
  <c r="AO651" i="1"/>
  <c r="AO660" i="1"/>
  <c r="AO659" i="1"/>
  <c r="AO577" i="1"/>
  <c r="AO661" i="1"/>
  <c r="AO664" i="1"/>
  <c r="AO1060" i="1"/>
  <c r="AO806" i="1"/>
  <c r="AO666" i="1"/>
  <c r="AO812" i="1"/>
  <c r="AO668" i="1"/>
  <c r="AO816" i="1"/>
  <c r="AO674" i="1"/>
  <c r="AO673" i="1"/>
  <c r="AO682" i="1"/>
  <c r="AO680" i="1"/>
  <c r="AO681" i="1"/>
  <c r="AO833" i="1"/>
  <c r="AO959" i="1"/>
  <c r="AO685" i="1"/>
  <c r="AO686" i="1"/>
  <c r="AO696" i="1"/>
  <c r="AO796" i="1"/>
  <c r="AO694" i="1"/>
  <c r="AO702" i="1"/>
  <c r="AO697" i="1"/>
  <c r="AO698" i="1"/>
  <c r="AO695" i="1"/>
  <c r="AO705" i="1"/>
  <c r="AO704" i="1"/>
  <c r="AO706" i="1"/>
  <c r="AO724" i="1"/>
  <c r="AO714" i="1"/>
  <c r="AO726" i="1"/>
  <c r="AO722" i="1"/>
  <c r="AO721" i="1"/>
  <c r="AO719" i="1"/>
  <c r="AO723" i="1"/>
  <c r="AO732" i="1"/>
  <c r="AO730" i="1"/>
  <c r="AO733" i="1"/>
  <c r="AO737" i="1"/>
  <c r="AO738" i="1"/>
  <c r="AO740" i="1"/>
  <c r="AO977" i="1"/>
  <c r="AO744" i="1"/>
  <c r="AO745" i="1"/>
  <c r="AO746" i="1"/>
  <c r="AO747" i="1"/>
  <c r="AO676" i="1"/>
  <c r="AO1055" i="1"/>
  <c r="AO758" i="1"/>
  <c r="AO757" i="1"/>
  <c r="AO756" i="1"/>
  <c r="AO754" i="1"/>
  <c r="AO771" i="1"/>
  <c r="AO773" i="1"/>
  <c r="AO770" i="1"/>
  <c r="AO639" i="1"/>
  <c r="AO560" i="1"/>
  <c r="AO772" i="1"/>
  <c r="AO769" i="1"/>
  <c r="AO768" i="1"/>
  <c r="AO776" i="1"/>
  <c r="AO777" i="1"/>
  <c r="AO858" i="1"/>
  <c r="AO789" i="1"/>
  <c r="AO795" i="1"/>
  <c r="AO794" i="1"/>
  <c r="AO798" i="1"/>
  <c r="AO793" i="1"/>
  <c r="AO767" i="1"/>
  <c r="AO866" i="1"/>
  <c r="AO864" i="1"/>
  <c r="AO790" i="1"/>
  <c r="AO716" i="1"/>
  <c r="AO1089" i="1"/>
  <c r="AO815" i="1"/>
  <c r="AO820" i="1"/>
  <c r="AO819" i="1"/>
  <c r="AO834" i="1"/>
  <c r="AO831" i="1"/>
  <c r="AO830" i="1"/>
  <c r="AO832" i="1"/>
  <c r="AO829" i="1"/>
  <c r="AO927" i="1"/>
  <c r="AO952" i="1"/>
  <c r="AO837" i="1"/>
  <c r="AO839" i="1"/>
  <c r="AO840" i="1"/>
  <c r="AO567" i="1"/>
  <c r="AO838" i="1"/>
  <c r="AO870" i="1"/>
  <c r="AO872" i="1"/>
  <c r="AO867" i="1"/>
  <c r="AO854" i="1"/>
  <c r="AO857" i="1"/>
  <c r="AO861" i="1"/>
  <c r="AO865" i="1"/>
  <c r="AO869" i="1"/>
  <c r="AO856" i="1"/>
  <c r="AO853" i="1"/>
  <c r="AO878" i="1"/>
  <c r="AO875" i="1"/>
  <c r="AO876" i="1"/>
  <c r="AO877" i="1"/>
  <c r="AO880" i="1"/>
  <c r="AO909" i="1"/>
  <c r="AO910" i="1"/>
  <c r="AO916" i="1"/>
  <c r="AO919" i="1"/>
  <c r="AO920" i="1"/>
  <c r="AO924" i="1"/>
  <c r="AO930" i="1"/>
  <c r="AO931" i="1"/>
  <c r="AO932" i="1"/>
  <c r="AO933" i="1"/>
  <c r="AO950" i="1"/>
  <c r="AO945" i="1"/>
  <c r="AO951" i="1"/>
  <c r="AO958" i="1"/>
  <c r="AO855" i="1"/>
  <c r="AO947" i="1"/>
  <c r="AO1199" i="1"/>
  <c r="AO1020" i="1"/>
  <c r="AO946" i="1"/>
  <c r="AO960" i="1"/>
  <c r="AO963" i="1"/>
  <c r="AO962" i="1"/>
  <c r="AO966" i="1"/>
  <c r="AO860" i="1"/>
  <c r="AO905" i="1"/>
  <c r="AO973" i="1"/>
  <c r="AO1119" i="1"/>
  <c r="AO971" i="1"/>
  <c r="AO972" i="1"/>
  <c r="AO974" i="1"/>
  <c r="AO1104" i="1"/>
  <c r="AO981" i="1"/>
  <c r="AO1077" i="1"/>
  <c r="AO363" i="1"/>
  <c r="AO987" i="1"/>
  <c r="AO989" i="1"/>
  <c r="AO988" i="1"/>
  <c r="AO990" i="1"/>
  <c r="AO1002" i="1"/>
  <c r="AO1013" i="1"/>
  <c r="AO1015" i="1"/>
  <c r="AO1010" i="1"/>
  <c r="AO874" i="1"/>
  <c r="AO1007" i="1"/>
  <c r="AO1001" i="1"/>
  <c r="AO999" i="1"/>
  <c r="AO1014" i="1"/>
  <c r="AO1012" i="1"/>
  <c r="AO928" i="1"/>
  <c r="AO1080" i="1"/>
  <c r="AO1006" i="1"/>
  <c r="AO1000" i="1"/>
  <c r="AO1009" i="1"/>
  <c r="AO1016" i="1"/>
  <c r="AO1019" i="1"/>
  <c r="AO1023" i="1"/>
  <c r="AO1024" i="1"/>
  <c r="AO1025" i="1"/>
  <c r="AO964" i="1"/>
  <c r="AO1022" i="1"/>
  <c r="AO1021" i="1"/>
  <c r="AO1026" i="1"/>
  <c r="AO1027" i="1"/>
  <c r="AO735" i="1"/>
  <c r="AO1031" i="1"/>
  <c r="AO911" i="1"/>
  <c r="AO1032" i="1"/>
  <c r="AO1033" i="1"/>
  <c r="AO1034" i="1"/>
  <c r="AO912" i="1"/>
  <c r="AO1035" i="1"/>
  <c r="AO1036" i="1"/>
  <c r="AO1130" i="1"/>
  <c r="AO1037" i="1"/>
  <c r="AO1039" i="1"/>
  <c r="AO1038" i="1"/>
  <c r="AO1040" i="1"/>
  <c r="AO1042" i="1"/>
  <c r="AO1041" i="1"/>
  <c r="AO1044" i="1"/>
  <c r="AO1056" i="1"/>
  <c r="AO1003" i="1"/>
  <c r="AO1141" i="1"/>
  <c r="AO1073" i="1"/>
  <c r="AO1078" i="1"/>
  <c r="AO1083" i="1"/>
  <c r="AO1085" i="1"/>
  <c r="AO1086" i="1"/>
  <c r="AO1084" i="1"/>
  <c r="AO1082" i="1"/>
  <c r="AO1088" i="1"/>
  <c r="AO1096" i="1"/>
  <c r="AO1099" i="1"/>
  <c r="AO1097" i="1"/>
  <c r="AO1098" i="1"/>
  <c r="AO1100" i="1"/>
  <c r="AO1101" i="1"/>
  <c r="AO1160" i="1"/>
  <c r="AO1105" i="1"/>
  <c r="AO1106" i="1"/>
  <c r="AO1109" i="1"/>
  <c r="AO1110" i="1"/>
  <c r="AO1117" i="1"/>
  <c r="AO1079" i="1"/>
  <c r="AO1116" i="1"/>
  <c r="AO1128" i="1"/>
  <c r="AO1135" i="1"/>
  <c r="AO1136" i="1"/>
  <c r="AO1137" i="1"/>
  <c r="AO1138" i="1"/>
  <c r="AO1140" i="1"/>
  <c r="AO1149" i="1"/>
  <c r="AO1150" i="1"/>
  <c r="AO1151" i="1"/>
  <c r="AO1147" i="1"/>
  <c r="AO1148" i="1"/>
  <c r="AO1154" i="1"/>
  <c r="AO1155" i="1"/>
  <c r="AO1158" i="1"/>
  <c r="AO1157" i="1"/>
  <c r="AO1153" i="1"/>
  <c r="AO1208" i="1"/>
  <c r="AO1161" i="1"/>
  <c r="AO1162" i="1"/>
  <c r="AO1163" i="1"/>
  <c r="AO1167" i="1"/>
  <c r="AO1170" i="1"/>
  <c r="AO1152" i="1"/>
  <c r="AO1169" i="1"/>
  <c r="AO1181" i="1"/>
  <c r="AO1184" i="1"/>
  <c r="AO1189" i="1"/>
  <c r="AO1221" i="1"/>
  <c r="AO1192" i="1"/>
  <c r="AO1194" i="1"/>
  <c r="AO1195" i="1"/>
  <c r="AO1196" i="1"/>
  <c r="AO1197" i="1"/>
  <c r="AO1198" i="1"/>
  <c r="AO1202" i="1"/>
  <c r="AO1203" i="1"/>
  <c r="AO1204" i="1"/>
  <c r="AO1210" i="1"/>
  <c r="AO1211" i="1"/>
  <c r="AO1213" i="1"/>
  <c r="AO1229" i="1"/>
  <c r="AO1230" i="1"/>
  <c r="AO1234" i="1"/>
  <c r="AO1235" i="1"/>
  <c r="AO1265" i="1"/>
  <c r="AO1241" i="1"/>
  <c r="AO1247" i="1"/>
  <c r="AO1249" i="1"/>
  <c r="AO1250" i="1"/>
  <c r="AO1251" i="1"/>
  <c r="AO1256" i="1"/>
  <c r="AO1257" i="1"/>
  <c r="AO1258" i="1"/>
  <c r="AO1292" i="1"/>
  <c r="AO1266" i="1"/>
  <c r="AO1268" i="1"/>
  <c r="AO1269" i="1"/>
  <c r="AO1271" i="1"/>
  <c r="AO1272" i="1"/>
  <c r="AO1275" i="1"/>
  <c r="AO1276" i="1"/>
  <c r="AO1280" i="1"/>
  <c r="AO1281" i="1"/>
  <c r="AO1284" i="1"/>
  <c r="AO1285" i="1"/>
  <c r="AO1288" i="1"/>
  <c r="AO1291" i="1"/>
  <c r="AO1293" i="1"/>
  <c r="AO1295" i="1"/>
  <c r="AO1303" i="1"/>
  <c r="AO1304" i="1"/>
  <c r="AO1308" i="1"/>
  <c r="AO1309" i="1"/>
  <c r="AO1313" i="1"/>
  <c r="AO1314" i="1"/>
  <c r="AO1316" i="1"/>
  <c r="AO1317" i="1"/>
  <c r="AL1152" i="1"/>
  <c r="AI1152" i="1"/>
  <c r="AE1152" i="1" s="1"/>
  <c r="A1152" i="1"/>
  <c r="AL911" i="1"/>
  <c r="AI911" i="1"/>
  <c r="AF911" i="1" s="1"/>
  <c r="A911" i="1"/>
  <c r="AK911" i="1" s="1"/>
  <c r="AL800" i="1"/>
  <c r="AI800" i="1"/>
  <c r="AF800" i="1" s="1"/>
  <c r="A800" i="1"/>
  <c r="AK800" i="1" s="1"/>
  <c r="AL656" i="1"/>
  <c r="AI656" i="1"/>
  <c r="AF656" i="1" s="1"/>
  <c r="A656" i="1"/>
  <c r="AL34" i="1"/>
  <c r="AI34" i="1"/>
  <c r="AF34" i="1" s="1"/>
  <c r="A34" i="1"/>
  <c r="AK34" i="1" s="1"/>
  <c r="AL33" i="1"/>
  <c r="AI33" i="1"/>
  <c r="AF33" i="1" s="1"/>
  <c r="A33" i="1"/>
  <c r="AL21" i="1"/>
  <c r="AI21" i="1"/>
  <c r="AF21" i="1" s="1"/>
  <c r="A21" i="1"/>
  <c r="AK21" i="1" s="1"/>
  <c r="AL48" i="1"/>
  <c r="AI48" i="1"/>
  <c r="AF48" i="1" s="1"/>
  <c r="A48" i="1"/>
  <c r="AK48" i="1" s="1"/>
  <c r="AL1026" i="1"/>
  <c r="AI1026" i="1"/>
  <c r="AF1026" i="1" s="1"/>
  <c r="A1026" i="1"/>
  <c r="AK1026" i="1" s="1"/>
  <c r="AL733" i="1"/>
  <c r="AI733" i="1"/>
  <c r="AF733" i="1" s="1"/>
  <c r="A733" i="1"/>
  <c r="AL313" i="1"/>
  <c r="AI313" i="1"/>
  <c r="AF313" i="1" s="1"/>
  <c r="A313" i="1"/>
  <c r="AK313" i="1" s="1"/>
  <c r="AL1077" i="1"/>
  <c r="AI1077" i="1"/>
  <c r="AF1077" i="1" s="1"/>
  <c r="A1077" i="1"/>
  <c r="AK1077" i="1" s="1"/>
  <c r="AL878" i="1"/>
  <c r="AI878" i="1"/>
  <c r="AF878" i="1" s="1"/>
  <c r="A878" i="1"/>
  <c r="AK878" i="1" s="1"/>
  <c r="AL1258" i="1"/>
  <c r="AI1258" i="1"/>
  <c r="AE1258" i="1" s="1"/>
  <c r="A1258" i="1"/>
  <c r="AK1258" i="1" s="1"/>
  <c r="Y205" i="2"/>
  <c r="AA205" i="2" s="1"/>
  <c r="AB205" i="2"/>
  <c r="AC205" i="2"/>
  <c r="Y206" i="2"/>
  <c r="AA206" i="2" s="1"/>
  <c r="AB206" i="2"/>
  <c r="AC206" i="2"/>
  <c r="Y207" i="2"/>
  <c r="AA207" i="2" s="1"/>
  <c r="AB207" i="2"/>
  <c r="AC207" i="2"/>
  <c r="U205" i="2"/>
  <c r="V205" i="2"/>
  <c r="U206" i="2"/>
  <c r="V206" i="2"/>
  <c r="U207" i="2"/>
  <c r="V207" i="2"/>
  <c r="F14" i="10" l="1"/>
  <c r="F15" i="10"/>
  <c r="L13" i="10"/>
  <c r="O14" i="10"/>
  <c r="F13" i="10"/>
  <c r="I16" i="10"/>
  <c r="I13" i="10"/>
  <c r="I14" i="10"/>
  <c r="L14" i="10"/>
  <c r="O16" i="10"/>
  <c r="L15" i="10"/>
  <c r="L16" i="10"/>
  <c r="F16" i="10"/>
  <c r="I15" i="10"/>
  <c r="O15" i="10"/>
  <c r="O13" i="10"/>
  <c r="E14" i="10"/>
  <c r="G14" i="10" s="1"/>
  <c r="D13" i="21" s="1"/>
  <c r="N13" i="10"/>
  <c r="K13" i="10"/>
  <c r="M13" i="10" s="1"/>
  <c r="J12" i="21" s="1"/>
  <c r="H13" i="10"/>
  <c r="E13" i="10"/>
  <c r="G13" i="10" s="1"/>
  <c r="N16" i="10"/>
  <c r="K16" i="10"/>
  <c r="H16" i="10"/>
  <c r="J16" i="10" s="1"/>
  <c r="G15" i="21" s="1"/>
  <c r="E16" i="10"/>
  <c r="N15" i="10"/>
  <c r="K15" i="10"/>
  <c r="M15" i="10" s="1"/>
  <c r="J14" i="21" s="1"/>
  <c r="H15" i="10"/>
  <c r="E15" i="10"/>
  <c r="G15" i="10" s="1"/>
  <c r="N14" i="10"/>
  <c r="P14" i="10" s="1"/>
  <c r="M13" i="21" s="1"/>
  <c r="K14" i="10"/>
  <c r="H14" i="10"/>
  <c r="J14" i="10" s="1"/>
  <c r="G13" i="21" s="1"/>
  <c r="F12" i="10"/>
  <c r="O12" i="10"/>
  <c r="I12" i="10"/>
  <c r="L12" i="10"/>
  <c r="L11" i="10"/>
  <c r="I11" i="10"/>
  <c r="O10" i="10"/>
  <c r="O11" i="10"/>
  <c r="F10" i="10"/>
  <c r="F11" i="10"/>
  <c r="L10" i="10"/>
  <c r="I10" i="10"/>
  <c r="E11" i="10"/>
  <c r="N11" i="10"/>
  <c r="K11" i="10"/>
  <c r="H11" i="10"/>
  <c r="H10" i="10"/>
  <c r="K10" i="10"/>
  <c r="N10" i="10"/>
  <c r="E10" i="10"/>
  <c r="S66" i="1"/>
  <c r="R66" i="1"/>
  <c r="W228" i="1"/>
  <c r="S228" i="1"/>
  <c r="W66" i="1"/>
  <c r="R228" i="1"/>
  <c r="AF1206" i="1"/>
  <c r="AK1206" i="1"/>
  <c r="AE742" i="1"/>
  <c r="AK742" i="1"/>
  <c r="K9" i="10"/>
  <c r="H7" i="10"/>
  <c r="H9" i="10"/>
  <c r="N8" i="10"/>
  <c r="K8" i="10"/>
  <c r="E9" i="10"/>
  <c r="H8" i="10"/>
  <c r="E8" i="10"/>
  <c r="N7" i="10"/>
  <c r="E7" i="10"/>
  <c r="K7" i="10"/>
  <c r="N9" i="10"/>
  <c r="F7" i="10"/>
  <c r="L7" i="10"/>
  <c r="O9" i="10"/>
  <c r="L8" i="10"/>
  <c r="I7" i="10"/>
  <c r="F9" i="10"/>
  <c r="F8" i="10"/>
  <c r="O6" i="10"/>
  <c r="L9" i="10"/>
  <c r="I8" i="10"/>
  <c r="F6" i="10"/>
  <c r="L6" i="10"/>
  <c r="I9" i="10"/>
  <c r="O7" i="10"/>
  <c r="F5" i="10"/>
  <c r="I6" i="10"/>
  <c r="O8" i="10"/>
  <c r="AF1152" i="1"/>
  <c r="AK1152" i="1"/>
  <c r="AE911" i="1"/>
  <c r="AE33" i="1"/>
  <c r="AE34" i="1"/>
  <c r="AE800" i="1"/>
  <c r="AE656" i="1"/>
  <c r="AK656" i="1"/>
  <c r="AK33" i="1"/>
  <c r="AE21" i="1"/>
  <c r="R48" i="1"/>
  <c r="AE48" i="1"/>
  <c r="S48" i="1"/>
  <c r="W48" i="1"/>
  <c r="AE1026" i="1"/>
  <c r="AE733" i="1"/>
  <c r="AK733" i="1"/>
  <c r="AE313" i="1"/>
  <c r="AE1077" i="1"/>
  <c r="AE878" i="1"/>
  <c r="AF1258" i="1"/>
  <c r="J13" i="10" l="1"/>
  <c r="G12" i="21" s="1"/>
  <c r="M14" i="10"/>
  <c r="J13" i="21" s="1"/>
  <c r="P13" i="21" s="1"/>
  <c r="J15" i="10"/>
  <c r="G14" i="21" s="1"/>
  <c r="P15" i="10"/>
  <c r="M14" i="21" s="1"/>
  <c r="M16" i="10"/>
  <c r="J15" i="21" s="1"/>
  <c r="G16" i="10"/>
  <c r="D15" i="21" s="1"/>
  <c r="P16" i="10"/>
  <c r="M15" i="21" s="1"/>
  <c r="P13" i="10"/>
  <c r="M12" i="21" s="1"/>
  <c r="D14" i="21"/>
  <c r="D12" i="21"/>
  <c r="Q14" i="10"/>
  <c r="G11" i="10"/>
  <c r="D10" i="21" s="1"/>
  <c r="J11" i="10"/>
  <c r="G10" i="21" s="1"/>
  <c r="G10" i="10"/>
  <c r="D9" i="21" s="1"/>
  <c r="P10" i="10"/>
  <c r="M9" i="21" s="1"/>
  <c r="P11" i="10"/>
  <c r="M10" i="21" s="1"/>
  <c r="M10" i="10"/>
  <c r="J9" i="21" s="1"/>
  <c r="J10" i="10"/>
  <c r="G9" i="21" s="1"/>
  <c r="M11" i="10"/>
  <c r="J10" i="21" s="1"/>
  <c r="G7" i="10"/>
  <c r="J7" i="10"/>
  <c r="G6" i="21" s="1"/>
  <c r="M7" i="10"/>
  <c r="J9" i="10"/>
  <c r="G8" i="21" s="1"/>
  <c r="G9" i="10"/>
  <c r="M8" i="10"/>
  <c r="J7" i="21" s="1"/>
  <c r="P9" i="10"/>
  <c r="M8" i="21" s="1"/>
  <c r="P8" i="10"/>
  <c r="M7" i="21" s="1"/>
  <c r="P7" i="10"/>
  <c r="M6" i="21" s="1"/>
  <c r="M9" i="10"/>
  <c r="J8" i="21" s="1"/>
  <c r="G8" i="10"/>
  <c r="J8" i="10"/>
  <c r="G7" i="21" s="1"/>
  <c r="K47" i="7"/>
  <c r="J47" i="7"/>
  <c r="I47" i="7"/>
  <c r="H47" i="7"/>
  <c r="P14" i="21" l="1"/>
  <c r="Q15" i="10"/>
  <c r="Q13" i="10"/>
  <c r="Q16" i="10"/>
  <c r="P12" i="21"/>
  <c r="P15" i="21"/>
  <c r="P10" i="21"/>
  <c r="Q10" i="10"/>
  <c r="Q11" i="10"/>
  <c r="P9" i="21"/>
  <c r="D7" i="21"/>
  <c r="P7" i="21" s="1"/>
  <c r="Q8" i="10"/>
  <c r="D8" i="21"/>
  <c r="P8" i="21" s="1"/>
  <c r="Q9" i="10"/>
  <c r="D6" i="21"/>
  <c r="Q7" i="10"/>
  <c r="J6" i="21"/>
  <c r="U208" i="2"/>
  <c r="V208" i="2"/>
  <c r="Y208" i="2"/>
  <c r="AA208" i="2" s="1"/>
  <c r="AB208" i="2"/>
  <c r="AC208" i="2"/>
  <c r="A208" i="2"/>
  <c r="A209" i="2"/>
  <c r="A210" i="2"/>
  <c r="A211" i="2"/>
  <c r="A212" i="2"/>
  <c r="A213" i="2"/>
  <c r="P6" i="21" l="1"/>
  <c r="J4" i="16"/>
  <c r="K4" i="16" s="1"/>
  <c r="J5" i="16"/>
  <c r="K5" i="16" s="1"/>
  <c r="J6" i="16"/>
  <c r="K6" i="16" s="1"/>
  <c r="J7" i="16"/>
  <c r="K7" i="16" s="1"/>
  <c r="J8" i="16"/>
  <c r="K8" i="16" s="1"/>
  <c r="J9" i="16"/>
  <c r="K9" i="16" s="1"/>
  <c r="J10" i="16"/>
  <c r="K10" i="16" s="1"/>
  <c r="J11" i="16"/>
  <c r="K11" i="16" s="1"/>
  <c r="J12" i="16"/>
  <c r="K12" i="16" s="1"/>
  <c r="J13" i="16"/>
  <c r="K13" i="16" s="1"/>
  <c r="J14" i="16"/>
  <c r="K14" i="16" s="1"/>
  <c r="J15" i="16"/>
  <c r="K15" i="16" s="1"/>
  <c r="J16" i="16"/>
  <c r="K16" i="16" s="1"/>
  <c r="J17" i="16"/>
  <c r="K17" i="16" s="1"/>
  <c r="J18" i="16"/>
  <c r="K18" i="16" s="1"/>
  <c r="J19" i="16"/>
  <c r="K19" i="16" s="1"/>
  <c r="J20" i="16"/>
  <c r="K20" i="16" s="1"/>
  <c r="J21" i="16"/>
  <c r="K21" i="16" s="1"/>
  <c r="J22" i="16"/>
  <c r="K22" i="16" s="1"/>
  <c r="J23" i="16"/>
  <c r="K23" i="16" s="1"/>
  <c r="J24" i="16"/>
  <c r="K24" i="16" s="1"/>
  <c r="J25" i="16"/>
  <c r="K25" i="16" s="1"/>
  <c r="J26" i="16"/>
  <c r="K26" i="16" s="1"/>
  <c r="J27" i="16"/>
  <c r="K27" i="16" s="1"/>
  <c r="J28" i="16"/>
  <c r="K28" i="16" s="1"/>
  <c r="J29" i="16"/>
  <c r="K29" i="16" s="1"/>
  <c r="J30" i="16"/>
  <c r="K30" i="16" s="1"/>
  <c r="J31" i="16"/>
  <c r="K31" i="16" s="1"/>
  <c r="J32" i="16"/>
  <c r="K32" i="16" s="1"/>
  <c r="J33" i="16"/>
  <c r="K33" i="16" s="1"/>
  <c r="J34" i="16"/>
  <c r="K34" i="16" s="1"/>
  <c r="J35" i="16"/>
  <c r="K35" i="16" s="1"/>
  <c r="J36" i="16"/>
  <c r="K36" i="16" s="1"/>
  <c r="J37" i="16"/>
  <c r="K37" i="16" s="1"/>
  <c r="J38" i="16"/>
  <c r="K38" i="16" s="1"/>
  <c r="J39" i="16"/>
  <c r="K39" i="16" s="1"/>
  <c r="J40" i="16"/>
  <c r="K40" i="16" s="1"/>
  <c r="J41" i="16"/>
  <c r="K41" i="16" s="1"/>
  <c r="J42" i="16"/>
  <c r="K42" i="16" s="1"/>
  <c r="J43" i="16"/>
  <c r="K43" i="16" s="1"/>
  <c r="J44" i="16"/>
  <c r="K44" i="16" s="1"/>
  <c r="J45" i="16"/>
  <c r="K45" i="16" s="1"/>
  <c r="J46" i="16"/>
  <c r="K46" i="16" s="1"/>
  <c r="J47" i="16"/>
  <c r="K47" i="16" s="1"/>
  <c r="J48" i="16"/>
  <c r="K48" i="16" s="1"/>
  <c r="J49" i="16"/>
  <c r="K49" i="16" s="1"/>
  <c r="J50" i="16"/>
  <c r="K50" i="16" s="1"/>
  <c r="J51" i="16"/>
  <c r="K51" i="16" s="1"/>
  <c r="J52" i="16"/>
  <c r="K52" i="16" s="1"/>
  <c r="J53" i="16"/>
  <c r="K53" i="16" s="1"/>
  <c r="J54" i="16"/>
  <c r="K54" i="16" s="1"/>
  <c r="J55" i="16"/>
  <c r="K55" i="16" s="1"/>
  <c r="J56" i="16"/>
  <c r="K56" i="16" s="1"/>
  <c r="J57" i="16"/>
  <c r="K57" i="16" s="1"/>
  <c r="J58" i="16"/>
  <c r="K58" i="16" s="1"/>
  <c r="J59" i="16"/>
  <c r="K59" i="16" s="1"/>
  <c r="J60" i="16"/>
  <c r="K60" i="16" s="1"/>
  <c r="J61" i="16"/>
  <c r="K61" i="16" s="1"/>
  <c r="J62" i="16"/>
  <c r="K62" i="16" s="1"/>
  <c r="J63" i="16"/>
  <c r="K63" i="16" s="1"/>
  <c r="J64" i="16"/>
  <c r="K64" i="16" s="1"/>
  <c r="J65" i="16"/>
  <c r="K65" i="16" s="1"/>
  <c r="J66" i="16"/>
  <c r="K66" i="16" s="1"/>
  <c r="J67" i="16"/>
  <c r="K67" i="16" s="1"/>
  <c r="J68" i="16"/>
  <c r="K68" i="16" s="1"/>
  <c r="J69" i="16"/>
  <c r="K69" i="16" s="1"/>
  <c r="J70" i="16"/>
  <c r="K70" i="16" s="1"/>
  <c r="J71" i="16"/>
  <c r="K71" i="16" s="1"/>
  <c r="J72" i="16"/>
  <c r="K72" i="16" s="1"/>
  <c r="J73" i="16"/>
  <c r="K73" i="16" s="1"/>
  <c r="J74" i="16"/>
  <c r="K74" i="16" s="1"/>
  <c r="J75" i="16"/>
  <c r="K75" i="16" s="1"/>
  <c r="J76" i="16"/>
  <c r="K76" i="16" s="1"/>
  <c r="J77" i="16"/>
  <c r="K77" i="16" s="1"/>
  <c r="J78" i="16"/>
  <c r="K78" i="16" s="1"/>
  <c r="J79" i="16"/>
  <c r="K79" i="16" s="1"/>
  <c r="J80" i="16"/>
  <c r="K80" i="16" s="1"/>
  <c r="J81" i="16"/>
  <c r="K81" i="16" s="1"/>
  <c r="J82" i="16"/>
  <c r="K82" i="16" s="1"/>
  <c r="J83" i="16"/>
  <c r="K83" i="16" s="1"/>
  <c r="J84" i="16"/>
  <c r="K84" i="16" s="1"/>
  <c r="J85" i="16"/>
  <c r="K85" i="16" s="1"/>
  <c r="J86" i="16"/>
  <c r="K86" i="16" s="1"/>
  <c r="J87" i="16"/>
  <c r="K87" i="16" s="1"/>
  <c r="J88" i="16"/>
  <c r="K88" i="16" s="1"/>
  <c r="J89" i="16"/>
  <c r="K89" i="16" s="1"/>
  <c r="J90" i="16"/>
  <c r="K90" i="16" s="1"/>
  <c r="J91" i="16"/>
  <c r="K91" i="16" s="1"/>
  <c r="J92" i="16"/>
  <c r="K92" i="16" s="1"/>
  <c r="J93" i="16"/>
  <c r="K93" i="16" s="1"/>
  <c r="J94" i="16"/>
  <c r="K94" i="16" s="1"/>
  <c r="J95" i="16"/>
  <c r="K95" i="16" s="1"/>
  <c r="J3" i="16"/>
  <c r="K3" i="16" s="1"/>
  <c r="AL673" i="1"/>
  <c r="AI673" i="1"/>
  <c r="AE673" i="1" s="1"/>
  <c r="A673" i="1"/>
  <c r="AL611" i="1"/>
  <c r="AI611" i="1"/>
  <c r="AF611" i="1" s="1"/>
  <c r="A611" i="1"/>
  <c r="AK611" i="1" s="1"/>
  <c r="AL610" i="1"/>
  <c r="AI610" i="1"/>
  <c r="AE610" i="1" s="1"/>
  <c r="A610" i="1"/>
  <c r="AL534" i="1"/>
  <c r="AI534" i="1"/>
  <c r="AF534" i="1" s="1"/>
  <c r="A534" i="1"/>
  <c r="AL439" i="1"/>
  <c r="AI439" i="1"/>
  <c r="AF439" i="1" s="1"/>
  <c r="A439" i="1"/>
  <c r="AL349" i="1"/>
  <c r="AI349" i="1"/>
  <c r="AF349" i="1" s="1"/>
  <c r="A349" i="1"/>
  <c r="AL215" i="1"/>
  <c r="AI215" i="1"/>
  <c r="AF215" i="1" s="1"/>
  <c r="A215" i="1"/>
  <c r="AK215" i="1" s="1"/>
  <c r="AL182" i="1"/>
  <c r="AI182" i="1"/>
  <c r="AF182" i="1" s="1"/>
  <c r="A182" i="1"/>
  <c r="AK182" i="1" s="1"/>
  <c r="AL181" i="1"/>
  <c r="AI181" i="1"/>
  <c r="AF181" i="1" s="1"/>
  <c r="A181" i="1"/>
  <c r="AK181" i="1" s="1"/>
  <c r="AL988" i="1"/>
  <c r="AI988" i="1"/>
  <c r="AF988" i="1" s="1"/>
  <c r="A988" i="1"/>
  <c r="AK988" i="1" s="1"/>
  <c r="AL932" i="1"/>
  <c r="AI932" i="1"/>
  <c r="AF932" i="1" s="1"/>
  <c r="A932" i="1"/>
  <c r="AK932" i="1" s="1"/>
  <c r="AL931" i="1"/>
  <c r="AI931" i="1"/>
  <c r="AF931" i="1" s="1"/>
  <c r="A931" i="1"/>
  <c r="AK931" i="1" s="1"/>
  <c r="AL930" i="1"/>
  <c r="AI930" i="1"/>
  <c r="AF930" i="1" s="1"/>
  <c r="A930" i="1"/>
  <c r="AK930" i="1" s="1"/>
  <c r="AL837" i="1"/>
  <c r="AI837" i="1"/>
  <c r="AF837" i="1" s="1"/>
  <c r="A837" i="1"/>
  <c r="AK837" i="1" s="1"/>
  <c r="AL776" i="1"/>
  <c r="AI776" i="1"/>
  <c r="AF776" i="1" s="1"/>
  <c r="A776" i="1"/>
  <c r="AK776" i="1" s="1"/>
  <c r="U209" i="2"/>
  <c r="V209" i="2"/>
  <c r="U210" i="2"/>
  <c r="V210" i="2"/>
  <c r="U211" i="2"/>
  <c r="V211" i="2"/>
  <c r="U212" i="2"/>
  <c r="V212" i="2"/>
  <c r="Y209" i="2"/>
  <c r="AA209" i="2" s="1"/>
  <c r="AB209" i="2"/>
  <c r="AC209" i="2"/>
  <c r="Y210" i="2"/>
  <c r="AA210" i="2" s="1"/>
  <c r="AB210" i="2"/>
  <c r="AC210" i="2"/>
  <c r="Y211" i="2"/>
  <c r="AA211" i="2" s="1"/>
  <c r="AB211" i="2"/>
  <c r="AC211" i="2"/>
  <c r="Y212" i="2"/>
  <c r="AA212" i="2" s="1"/>
  <c r="AB212" i="2"/>
  <c r="AC212" i="2"/>
  <c r="AF610" i="1" l="1"/>
  <c r="AE439" i="1"/>
  <c r="AK349" i="1"/>
  <c r="AK534" i="1"/>
  <c r="AE349" i="1"/>
  <c r="AK439" i="1"/>
  <c r="AK610" i="1"/>
  <c r="AE534" i="1"/>
  <c r="AF673" i="1"/>
  <c r="AK673" i="1"/>
  <c r="AE611" i="1"/>
  <c r="AE215" i="1"/>
  <c r="R931" i="1"/>
  <c r="S931" i="1"/>
  <c r="AE931" i="1"/>
  <c r="W931" i="1"/>
  <c r="R988" i="1"/>
  <c r="AE182" i="1"/>
  <c r="AE181" i="1"/>
  <c r="AE988" i="1"/>
  <c r="AE932" i="1"/>
  <c r="S988" i="1"/>
  <c r="W988" i="1"/>
  <c r="R932" i="1"/>
  <c r="S932" i="1"/>
  <c r="W932" i="1"/>
  <c r="R930" i="1"/>
  <c r="AE930" i="1"/>
  <c r="S930" i="1"/>
  <c r="W930" i="1"/>
  <c r="R837" i="1"/>
  <c r="AE837" i="1"/>
  <c r="S837" i="1"/>
  <c r="W837" i="1"/>
  <c r="R776" i="1"/>
  <c r="AE776" i="1"/>
  <c r="S776" i="1"/>
  <c r="W776" i="1"/>
  <c r="AL1015" i="1" l="1"/>
  <c r="AI1015" i="1"/>
  <c r="AF1015" i="1" s="1"/>
  <c r="A1015" i="1"/>
  <c r="AL951" i="1"/>
  <c r="AI951" i="1"/>
  <c r="AF951" i="1" s="1"/>
  <c r="A951" i="1"/>
  <c r="AL872" i="1"/>
  <c r="AI872" i="1"/>
  <c r="AF872" i="1" s="1"/>
  <c r="A872" i="1"/>
  <c r="AL795" i="1"/>
  <c r="AI795" i="1"/>
  <c r="AF795" i="1" s="1"/>
  <c r="A795" i="1"/>
  <c r="AL726" i="1"/>
  <c r="AI726" i="1"/>
  <c r="AF726" i="1" s="1"/>
  <c r="A726" i="1"/>
  <c r="A653" i="1"/>
  <c r="AI653" i="1"/>
  <c r="AF653" i="1" s="1"/>
  <c r="AL653" i="1"/>
  <c r="A215" i="2"/>
  <c r="U213" i="2"/>
  <c r="V213" i="2"/>
  <c r="Y213" i="2"/>
  <c r="AA213" i="2" s="1"/>
  <c r="AB213" i="2"/>
  <c r="AC213" i="2"/>
  <c r="J44" i="7" l="1"/>
  <c r="K44" i="7"/>
  <c r="I44" i="7"/>
  <c r="H44" i="7"/>
  <c r="H46" i="7"/>
  <c r="J46" i="7"/>
  <c r="K46" i="7"/>
  <c r="I46" i="7"/>
  <c r="AK872" i="1"/>
  <c r="AK951" i="1"/>
  <c r="AK726" i="1"/>
  <c r="AE726" i="1"/>
  <c r="R872" i="1"/>
  <c r="AE951" i="1"/>
  <c r="S872" i="1"/>
  <c r="AE795" i="1"/>
  <c r="W872" i="1"/>
  <c r="W795" i="1"/>
  <c r="R795" i="1"/>
  <c r="AK795" i="1"/>
  <c r="AE872" i="1"/>
  <c r="S795" i="1"/>
  <c r="R1015" i="1"/>
  <c r="AE1015" i="1"/>
  <c r="S1015" i="1"/>
  <c r="W1015" i="1"/>
  <c r="AK1015" i="1"/>
  <c r="R951" i="1"/>
  <c r="S951" i="1"/>
  <c r="W951" i="1"/>
  <c r="R726" i="1"/>
  <c r="S726" i="1"/>
  <c r="W726" i="1"/>
  <c r="AE653" i="1"/>
  <c r="W653" i="1"/>
  <c r="S653" i="1"/>
  <c r="AK653" i="1"/>
  <c r="R653" i="1"/>
  <c r="L43" i="7" l="1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B43" i="7"/>
  <c r="D43" i="7" s="1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B88" i="7"/>
  <c r="D88" i="7" s="1"/>
  <c r="U214" i="2"/>
  <c r="V214" i="2"/>
  <c r="U215" i="2"/>
  <c r="V215" i="2"/>
  <c r="Y214" i="2"/>
  <c r="AA214" i="2" s="1"/>
  <c r="AB214" i="2"/>
  <c r="AC214" i="2"/>
  <c r="Y215" i="2"/>
  <c r="AA215" i="2" s="1"/>
  <c r="AB215" i="2"/>
  <c r="AC215" i="2"/>
  <c r="A214" i="2"/>
  <c r="A216" i="2"/>
  <c r="A217" i="2"/>
  <c r="W21" i="1" l="1"/>
  <c r="S21" i="1"/>
  <c r="R21" i="1"/>
  <c r="AL424" i="1"/>
  <c r="AI424" i="1"/>
  <c r="AE424" i="1" s="1"/>
  <c r="A424" i="1"/>
  <c r="AL318" i="1"/>
  <c r="AI318" i="1"/>
  <c r="AF318" i="1" s="1"/>
  <c r="A318" i="1"/>
  <c r="AL193" i="1"/>
  <c r="AI193" i="1"/>
  <c r="AF193" i="1" s="1"/>
  <c r="A193" i="1"/>
  <c r="U216" i="2"/>
  <c r="V216" i="2"/>
  <c r="U217" i="2"/>
  <c r="V217" i="2"/>
  <c r="Y216" i="2"/>
  <c r="AA216" i="2" s="1"/>
  <c r="AB216" i="2"/>
  <c r="AC216" i="2"/>
  <c r="Y217" i="2"/>
  <c r="AA217" i="2" s="1"/>
  <c r="AB217" i="2"/>
  <c r="AC217" i="2"/>
  <c r="A218" i="2"/>
  <c r="A219" i="2"/>
  <c r="A220" i="2"/>
  <c r="AL469" i="1"/>
  <c r="AI469" i="1"/>
  <c r="AF469" i="1" s="1"/>
  <c r="A469" i="1"/>
  <c r="AL358" i="1"/>
  <c r="AI358" i="1"/>
  <c r="AF358" i="1" s="1"/>
  <c r="A358" i="1"/>
  <c r="U218" i="2"/>
  <c r="V218" i="2"/>
  <c r="Y218" i="2"/>
  <c r="AA218" i="2" s="1"/>
  <c r="AB218" i="2"/>
  <c r="AC218" i="2"/>
  <c r="A221" i="2"/>
  <c r="B40" i="7"/>
  <c r="D40" i="7" s="1"/>
  <c r="B41" i="7"/>
  <c r="D41" i="7" s="1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B114" i="7"/>
  <c r="D114" i="7" s="1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L833" i="1"/>
  <c r="AI833" i="1"/>
  <c r="AF833" i="1" s="1"/>
  <c r="A833" i="1"/>
  <c r="AL704" i="1"/>
  <c r="AI704" i="1"/>
  <c r="AF704" i="1" s="1"/>
  <c r="A704" i="1"/>
  <c r="AL1016" i="1"/>
  <c r="AI1016" i="1"/>
  <c r="AF1016" i="1" s="1"/>
  <c r="A1016" i="1"/>
  <c r="AL1009" i="1"/>
  <c r="AI1009" i="1"/>
  <c r="AF1009" i="1" s="1"/>
  <c r="A1009" i="1"/>
  <c r="AL651" i="1"/>
  <c r="AI651" i="1"/>
  <c r="AF651" i="1" s="1"/>
  <c r="A651" i="1"/>
  <c r="AL1140" i="1"/>
  <c r="AI1140" i="1"/>
  <c r="AF1140" i="1" s="1"/>
  <c r="A1140" i="1"/>
  <c r="AL1078" i="1"/>
  <c r="AI1078" i="1"/>
  <c r="AF1078" i="1" s="1"/>
  <c r="A1078" i="1"/>
  <c r="AL1000" i="1"/>
  <c r="AI1000" i="1"/>
  <c r="AF1000" i="1" s="1"/>
  <c r="A1000" i="1"/>
  <c r="AL946" i="1"/>
  <c r="AI946" i="1"/>
  <c r="AF946" i="1" s="1"/>
  <c r="A946" i="1"/>
  <c r="AL853" i="1"/>
  <c r="AI853" i="1"/>
  <c r="AF853" i="1" s="1"/>
  <c r="A853" i="1"/>
  <c r="AL790" i="1"/>
  <c r="AI790" i="1"/>
  <c r="AF790" i="1" s="1"/>
  <c r="A790" i="1"/>
  <c r="AL714" i="1"/>
  <c r="AI714" i="1"/>
  <c r="AF714" i="1" s="1"/>
  <c r="A714" i="1"/>
  <c r="AL495" i="1"/>
  <c r="AI495" i="1"/>
  <c r="AF495" i="1" s="1"/>
  <c r="A495" i="1"/>
  <c r="AL856" i="1"/>
  <c r="AI856" i="1"/>
  <c r="AF856" i="1" s="1"/>
  <c r="A856" i="1"/>
  <c r="A496" i="1"/>
  <c r="A108" i="1"/>
  <c r="A710" i="1"/>
  <c r="AI496" i="1"/>
  <c r="AF496" i="1" s="1"/>
  <c r="AI108" i="1"/>
  <c r="AF108" i="1" s="1"/>
  <c r="AI710" i="1"/>
  <c r="AE710" i="1" s="1"/>
  <c r="AL496" i="1"/>
  <c r="AL108" i="1"/>
  <c r="AL710" i="1"/>
  <c r="AL1280" i="1"/>
  <c r="AI1280" i="1"/>
  <c r="AF1280" i="1" s="1"/>
  <c r="A1280" i="1"/>
  <c r="AL1256" i="1"/>
  <c r="AI1256" i="1"/>
  <c r="AF1256" i="1" s="1"/>
  <c r="A1256" i="1"/>
  <c r="AL1234" i="1"/>
  <c r="AI1234" i="1"/>
  <c r="AF1234" i="1" s="1"/>
  <c r="A1234" i="1"/>
  <c r="AL1202" i="1"/>
  <c r="AI1202" i="1"/>
  <c r="AF1202" i="1" s="1"/>
  <c r="A1202" i="1"/>
  <c r="AL1150" i="1"/>
  <c r="AI1150" i="1"/>
  <c r="AE1150" i="1" s="1"/>
  <c r="A1150" i="1"/>
  <c r="AL1097" i="1"/>
  <c r="AI1097" i="1"/>
  <c r="AF1097" i="1" s="1"/>
  <c r="A1097" i="1"/>
  <c r="AL1032" i="1"/>
  <c r="AI1032" i="1"/>
  <c r="AF1032" i="1" s="1"/>
  <c r="A1032" i="1"/>
  <c r="AL909" i="1"/>
  <c r="AI909" i="1"/>
  <c r="AE909" i="1" s="1"/>
  <c r="A909" i="1"/>
  <c r="AL737" i="1"/>
  <c r="AI737" i="1"/>
  <c r="AF737" i="1" s="1"/>
  <c r="A737" i="1"/>
  <c r="AL593" i="1"/>
  <c r="AI593" i="1"/>
  <c r="AF593" i="1" s="1"/>
  <c r="A593" i="1"/>
  <c r="AL397" i="1"/>
  <c r="AI397" i="1"/>
  <c r="AF397" i="1" s="1"/>
  <c r="A397" i="1"/>
  <c r="AL1281" i="1"/>
  <c r="AI1281" i="1"/>
  <c r="AE1281" i="1" s="1"/>
  <c r="A1281" i="1"/>
  <c r="AL1257" i="1"/>
  <c r="AI1257" i="1"/>
  <c r="AF1257" i="1" s="1"/>
  <c r="A1257" i="1"/>
  <c r="AL1235" i="1"/>
  <c r="AI1235" i="1"/>
  <c r="AF1235" i="1" s="1"/>
  <c r="A1235" i="1"/>
  <c r="AL1203" i="1"/>
  <c r="AI1203" i="1"/>
  <c r="AF1203" i="1" s="1"/>
  <c r="A1203" i="1"/>
  <c r="AL1151" i="1"/>
  <c r="AI1151" i="1"/>
  <c r="AE1151" i="1" s="1"/>
  <c r="A1151" i="1"/>
  <c r="AL1098" i="1"/>
  <c r="AI1098" i="1"/>
  <c r="AF1098" i="1" s="1"/>
  <c r="A1098" i="1"/>
  <c r="AL1033" i="1"/>
  <c r="AI1033" i="1"/>
  <c r="AF1033" i="1" s="1"/>
  <c r="A1033" i="1"/>
  <c r="AL910" i="1"/>
  <c r="AI910" i="1"/>
  <c r="AF910" i="1" s="1"/>
  <c r="A910" i="1"/>
  <c r="AL738" i="1"/>
  <c r="AI738" i="1"/>
  <c r="AE738" i="1" s="1"/>
  <c r="A738" i="1"/>
  <c r="AL594" i="1"/>
  <c r="AI594" i="1"/>
  <c r="AF594" i="1" s="1"/>
  <c r="A594" i="1"/>
  <c r="AL398" i="1"/>
  <c r="AI398" i="1"/>
  <c r="AF398" i="1" s="1"/>
  <c r="A398" i="1"/>
  <c r="U219" i="2"/>
  <c r="V219" i="2"/>
  <c r="Y219" i="2"/>
  <c r="AA219" i="2" s="1"/>
  <c r="AB219" i="2"/>
  <c r="AC219" i="2"/>
  <c r="Y220" i="2"/>
  <c r="AA220" i="2" s="1"/>
  <c r="AB220" i="2"/>
  <c r="AC220" i="2"/>
  <c r="U220" i="2"/>
  <c r="V220" i="2"/>
  <c r="U221" i="2"/>
  <c r="V221" i="2"/>
  <c r="U222" i="2"/>
  <c r="V222" i="2"/>
  <c r="Y221" i="2"/>
  <c r="AA221" i="2" s="1"/>
  <c r="AB221" i="2"/>
  <c r="AC221" i="2"/>
  <c r="A222" i="2"/>
  <c r="AL1006" i="1"/>
  <c r="AI1006" i="1"/>
  <c r="AE1006" i="1" s="1"/>
  <c r="A1006" i="1"/>
  <c r="AL864" i="1"/>
  <c r="AI864" i="1"/>
  <c r="AF864" i="1" s="1"/>
  <c r="A864" i="1"/>
  <c r="AL718" i="1"/>
  <c r="AI718" i="1"/>
  <c r="AF718" i="1" s="1"/>
  <c r="A718" i="1"/>
  <c r="AL623" i="1"/>
  <c r="AI623" i="1"/>
  <c r="AF623" i="1" s="1"/>
  <c r="A623" i="1"/>
  <c r="AL548" i="1"/>
  <c r="AI548" i="1"/>
  <c r="AF548" i="1" s="1"/>
  <c r="A548" i="1"/>
  <c r="AL479" i="1"/>
  <c r="AI479" i="1"/>
  <c r="AE479" i="1" s="1"/>
  <c r="A479" i="1"/>
  <c r="A261" i="1"/>
  <c r="AI261" i="1"/>
  <c r="AF261" i="1" s="1"/>
  <c r="AL261" i="1"/>
  <c r="J1318" i="1"/>
  <c r="U223" i="2"/>
  <c r="V223" i="2"/>
  <c r="U224" i="2"/>
  <c r="V224" i="2"/>
  <c r="U225" i="2"/>
  <c r="V225" i="2"/>
  <c r="U226" i="2"/>
  <c r="V226" i="2"/>
  <c r="U227" i="2"/>
  <c r="V227" i="2"/>
  <c r="U228" i="2"/>
  <c r="V228" i="2"/>
  <c r="U229" i="2"/>
  <c r="V229" i="2"/>
  <c r="U230" i="2"/>
  <c r="V230" i="2"/>
  <c r="Y223" i="2"/>
  <c r="AA223" i="2" s="1"/>
  <c r="AB223" i="2"/>
  <c r="AC223" i="2"/>
  <c r="Y224" i="2"/>
  <c r="AA224" i="2" s="1"/>
  <c r="AB224" i="2"/>
  <c r="AC224" i="2"/>
  <c r="Y225" i="2"/>
  <c r="AA225" i="2" s="1"/>
  <c r="AB225" i="2"/>
  <c r="AC225" i="2"/>
  <c r="Y226" i="2"/>
  <c r="AA226" i="2" s="1"/>
  <c r="AB226" i="2"/>
  <c r="AC226" i="2"/>
  <c r="Y227" i="2"/>
  <c r="AA227" i="2" s="1"/>
  <c r="AB227" i="2"/>
  <c r="AC227" i="2"/>
  <c r="Y228" i="2"/>
  <c r="AA228" i="2" s="1"/>
  <c r="AB228" i="2"/>
  <c r="AC228" i="2"/>
  <c r="Y229" i="2"/>
  <c r="AA229" i="2" s="1"/>
  <c r="AB229" i="2"/>
  <c r="AC229" i="2"/>
  <c r="Y230" i="2"/>
  <c r="AA230" i="2" s="1"/>
  <c r="AB230" i="2"/>
  <c r="AC230" i="2"/>
  <c r="Y232" i="2"/>
  <c r="AA232" i="2" s="1"/>
  <c r="AB232" i="2"/>
  <c r="AC232" i="2"/>
  <c r="Y233" i="2"/>
  <c r="AA233" i="2" s="1"/>
  <c r="AB233" i="2"/>
  <c r="AC233" i="2"/>
  <c r="Y234" i="2"/>
  <c r="AA234" i="2" s="1"/>
  <c r="AB234" i="2"/>
  <c r="AC234" i="2"/>
  <c r="Y235" i="2"/>
  <c r="AA235" i="2" s="1"/>
  <c r="AB235" i="2"/>
  <c r="AC235" i="2"/>
  <c r="Y236" i="2"/>
  <c r="AA236" i="2" s="1"/>
  <c r="AB236" i="2"/>
  <c r="AC236" i="2"/>
  <c r="Y237" i="2"/>
  <c r="AA237" i="2" s="1"/>
  <c r="AB237" i="2"/>
  <c r="AC237" i="2"/>
  <c r="Y238" i="2"/>
  <c r="AA238" i="2" s="1"/>
  <c r="AB238" i="2"/>
  <c r="AC238" i="2"/>
  <c r="Y239" i="2"/>
  <c r="AA239" i="2" s="1"/>
  <c r="AB239" i="2"/>
  <c r="AC239" i="2"/>
  <c r="Y240" i="2"/>
  <c r="AA240" i="2" s="1"/>
  <c r="AB240" i="2"/>
  <c r="AC240" i="2"/>
  <c r="Y241" i="2"/>
  <c r="AA241" i="2" s="1"/>
  <c r="AB241" i="2"/>
  <c r="AC241" i="2"/>
  <c r="Y242" i="2"/>
  <c r="AA242" i="2" s="1"/>
  <c r="AB242" i="2"/>
  <c r="AC242" i="2"/>
  <c r="Y243" i="2"/>
  <c r="AA243" i="2" s="1"/>
  <c r="AB243" i="2"/>
  <c r="AC243" i="2"/>
  <c r="Y244" i="2"/>
  <c r="AA244" i="2" s="1"/>
  <c r="AB244" i="2"/>
  <c r="AC244" i="2"/>
  <c r="Y245" i="2"/>
  <c r="AA245" i="2" s="1"/>
  <c r="AB245" i="2"/>
  <c r="AC245" i="2"/>
  <c r="Y246" i="2"/>
  <c r="AA246" i="2" s="1"/>
  <c r="AB246" i="2"/>
  <c r="AC246" i="2"/>
  <c r="Y247" i="2"/>
  <c r="AA247" i="2" s="1"/>
  <c r="AB247" i="2"/>
  <c r="AC247" i="2"/>
  <c r="Y248" i="2"/>
  <c r="AA248" i="2" s="1"/>
  <c r="AB248" i="2"/>
  <c r="AC248" i="2"/>
  <c r="Y249" i="2"/>
  <c r="AA249" i="2" s="1"/>
  <c r="AB249" i="2"/>
  <c r="AC249" i="2"/>
  <c r="Y250" i="2"/>
  <c r="AA250" i="2" s="1"/>
  <c r="AB250" i="2"/>
  <c r="AC250" i="2"/>
  <c r="Y251" i="2"/>
  <c r="AA251" i="2" s="1"/>
  <c r="AB251" i="2"/>
  <c r="AC251" i="2"/>
  <c r="Y252" i="2"/>
  <c r="AA252" i="2" s="1"/>
  <c r="AB252" i="2"/>
  <c r="AC252" i="2"/>
  <c r="Y253" i="2"/>
  <c r="AA253" i="2" s="1"/>
  <c r="AB253" i="2"/>
  <c r="AC253" i="2"/>
  <c r="Y254" i="2"/>
  <c r="AA254" i="2" s="1"/>
  <c r="AB254" i="2"/>
  <c r="AC254" i="2"/>
  <c r="Y255" i="2"/>
  <c r="AA255" i="2" s="1"/>
  <c r="AB255" i="2"/>
  <c r="AC255" i="2"/>
  <c r="Y256" i="2"/>
  <c r="AA256" i="2" s="1"/>
  <c r="AB256" i="2"/>
  <c r="AC256" i="2"/>
  <c r="Y257" i="2"/>
  <c r="AA257" i="2" s="1"/>
  <c r="AB257" i="2"/>
  <c r="AC257" i="2"/>
  <c r="Y258" i="2"/>
  <c r="AA258" i="2" s="1"/>
  <c r="AB258" i="2"/>
  <c r="AC258" i="2"/>
  <c r="Y259" i="2"/>
  <c r="AA259" i="2" s="1"/>
  <c r="AB259" i="2"/>
  <c r="AC259" i="2"/>
  <c r="Y260" i="2"/>
  <c r="AA260" i="2" s="1"/>
  <c r="AB260" i="2"/>
  <c r="AC260" i="2"/>
  <c r="Y261" i="2"/>
  <c r="AA261" i="2" s="1"/>
  <c r="AB261" i="2"/>
  <c r="AC261" i="2"/>
  <c r="Y262" i="2"/>
  <c r="AA262" i="2" s="1"/>
  <c r="AB262" i="2"/>
  <c r="AC262" i="2"/>
  <c r="Y263" i="2"/>
  <c r="AA263" i="2" s="1"/>
  <c r="AB263" i="2"/>
  <c r="AC263" i="2"/>
  <c r="Y264" i="2"/>
  <c r="AA264" i="2" s="1"/>
  <c r="AB264" i="2"/>
  <c r="AC264" i="2"/>
  <c r="Y265" i="2"/>
  <c r="AA265" i="2" s="1"/>
  <c r="AB265" i="2"/>
  <c r="AC265" i="2"/>
  <c r="Y266" i="2"/>
  <c r="AA266" i="2" s="1"/>
  <c r="AB266" i="2"/>
  <c r="AC266" i="2"/>
  <c r="Y267" i="2"/>
  <c r="AA267" i="2" s="1"/>
  <c r="AB267" i="2"/>
  <c r="AC267" i="2"/>
  <c r="Y268" i="2"/>
  <c r="AA268" i="2" s="1"/>
  <c r="AB268" i="2"/>
  <c r="AC268" i="2"/>
  <c r="Y269" i="2"/>
  <c r="AA269" i="2" s="1"/>
  <c r="AB269" i="2"/>
  <c r="AC269" i="2"/>
  <c r="Y270" i="2"/>
  <c r="AA270" i="2" s="1"/>
  <c r="AB270" i="2"/>
  <c r="AC270" i="2"/>
  <c r="Y271" i="2"/>
  <c r="AA271" i="2" s="1"/>
  <c r="AB271" i="2"/>
  <c r="AC271" i="2"/>
  <c r="Y272" i="2"/>
  <c r="AA272" i="2" s="1"/>
  <c r="AB272" i="2"/>
  <c r="AC272" i="2"/>
  <c r="Y273" i="2"/>
  <c r="AA273" i="2" s="1"/>
  <c r="AB273" i="2"/>
  <c r="AC273" i="2"/>
  <c r="Y274" i="2"/>
  <c r="AA274" i="2" s="1"/>
  <c r="AB274" i="2"/>
  <c r="AC274" i="2"/>
  <c r="Y275" i="2"/>
  <c r="AA275" i="2" s="1"/>
  <c r="AB275" i="2"/>
  <c r="AC275" i="2"/>
  <c r="Y276" i="2"/>
  <c r="AA276" i="2" s="1"/>
  <c r="AB276" i="2"/>
  <c r="AC276" i="2"/>
  <c r="Y277" i="2"/>
  <c r="AA277" i="2" s="1"/>
  <c r="AB277" i="2"/>
  <c r="AC277" i="2"/>
  <c r="Y278" i="2"/>
  <c r="AA278" i="2" s="1"/>
  <c r="AB278" i="2"/>
  <c r="AC278" i="2"/>
  <c r="Y279" i="2"/>
  <c r="AA279" i="2" s="1"/>
  <c r="AB279" i="2"/>
  <c r="AC279" i="2"/>
  <c r="Y280" i="2"/>
  <c r="AA280" i="2" s="1"/>
  <c r="AB280" i="2"/>
  <c r="AC280" i="2"/>
  <c r="Y281" i="2"/>
  <c r="AA281" i="2" s="1"/>
  <c r="AB281" i="2"/>
  <c r="AC281" i="2"/>
  <c r="Y282" i="2"/>
  <c r="AA282" i="2" s="1"/>
  <c r="AB282" i="2"/>
  <c r="AC282" i="2"/>
  <c r="Y283" i="2"/>
  <c r="AA283" i="2" s="1"/>
  <c r="AB283" i="2"/>
  <c r="AC283" i="2"/>
  <c r="Y284" i="2"/>
  <c r="AA284" i="2" s="1"/>
  <c r="AB284" i="2"/>
  <c r="AC284" i="2"/>
  <c r="Y285" i="2"/>
  <c r="AA285" i="2" s="1"/>
  <c r="AB285" i="2"/>
  <c r="AC285" i="2"/>
  <c r="Y286" i="2"/>
  <c r="AA286" i="2" s="1"/>
  <c r="AB286" i="2"/>
  <c r="AC286" i="2"/>
  <c r="Y287" i="2"/>
  <c r="AA287" i="2" s="1"/>
  <c r="AB287" i="2"/>
  <c r="AC287" i="2"/>
  <c r="Y288" i="2"/>
  <c r="AA288" i="2" s="1"/>
  <c r="AB288" i="2"/>
  <c r="AC288" i="2"/>
  <c r="Y289" i="2"/>
  <c r="AA289" i="2" s="1"/>
  <c r="AB289" i="2"/>
  <c r="AC289" i="2"/>
  <c r="Y290" i="2"/>
  <c r="AA290" i="2" s="1"/>
  <c r="AB290" i="2"/>
  <c r="AC290" i="2"/>
  <c r="Y291" i="2"/>
  <c r="AA291" i="2" s="1"/>
  <c r="AB291" i="2"/>
  <c r="AC291" i="2"/>
  <c r="Y292" i="2"/>
  <c r="AA292" i="2" s="1"/>
  <c r="AB292" i="2"/>
  <c r="AC292" i="2"/>
  <c r="Y293" i="2"/>
  <c r="AA293" i="2" s="1"/>
  <c r="AB293" i="2"/>
  <c r="AC293" i="2"/>
  <c r="Y294" i="2"/>
  <c r="AA294" i="2" s="1"/>
  <c r="AB294" i="2"/>
  <c r="AC294" i="2"/>
  <c r="Y295" i="2"/>
  <c r="AA295" i="2" s="1"/>
  <c r="AB295" i="2"/>
  <c r="AC295" i="2"/>
  <c r="Y296" i="2"/>
  <c r="AA296" i="2" s="1"/>
  <c r="AB296" i="2"/>
  <c r="AC296" i="2"/>
  <c r="Y297" i="2"/>
  <c r="AA297" i="2" s="1"/>
  <c r="AB297" i="2"/>
  <c r="AC297" i="2"/>
  <c r="Y298" i="2"/>
  <c r="AA298" i="2" s="1"/>
  <c r="AB298" i="2"/>
  <c r="AC298" i="2"/>
  <c r="Y299" i="2"/>
  <c r="AA299" i="2" s="1"/>
  <c r="AB299" i="2"/>
  <c r="AC299" i="2"/>
  <c r="Y300" i="2"/>
  <c r="AA300" i="2" s="1"/>
  <c r="AB300" i="2"/>
  <c r="AC300" i="2"/>
  <c r="Y301" i="2"/>
  <c r="AA301" i="2" s="1"/>
  <c r="AB301" i="2"/>
  <c r="AC301" i="2"/>
  <c r="Y302" i="2"/>
  <c r="AA302" i="2" s="1"/>
  <c r="AB302" i="2"/>
  <c r="AC302" i="2"/>
  <c r="Y303" i="2"/>
  <c r="AA303" i="2" s="1"/>
  <c r="AB303" i="2"/>
  <c r="AC303" i="2"/>
  <c r="Y304" i="2"/>
  <c r="AA304" i="2" s="1"/>
  <c r="AB304" i="2"/>
  <c r="AC304" i="2"/>
  <c r="Y305" i="2"/>
  <c r="AA305" i="2" s="1"/>
  <c r="AB305" i="2"/>
  <c r="AC305" i="2"/>
  <c r="Y306" i="2"/>
  <c r="AA306" i="2" s="1"/>
  <c r="AB306" i="2"/>
  <c r="AC306" i="2"/>
  <c r="Y307" i="2"/>
  <c r="AA307" i="2" s="1"/>
  <c r="AB307" i="2"/>
  <c r="AC307" i="2"/>
  <c r="Y308" i="2"/>
  <c r="AA308" i="2" s="1"/>
  <c r="AB308" i="2"/>
  <c r="AC308" i="2"/>
  <c r="Y309" i="2"/>
  <c r="AA309" i="2" s="1"/>
  <c r="AB309" i="2"/>
  <c r="AC309" i="2"/>
  <c r="Y310" i="2"/>
  <c r="AA310" i="2" s="1"/>
  <c r="AB310" i="2"/>
  <c r="AC310" i="2"/>
  <c r="Y311" i="2"/>
  <c r="AA311" i="2" s="1"/>
  <c r="AB311" i="2"/>
  <c r="AC311" i="2"/>
  <c r="Y312" i="2"/>
  <c r="AA312" i="2" s="1"/>
  <c r="AB312" i="2"/>
  <c r="AC312" i="2"/>
  <c r="Y313" i="2"/>
  <c r="AA313" i="2" s="1"/>
  <c r="AB313" i="2"/>
  <c r="AC313" i="2"/>
  <c r="Y314" i="2"/>
  <c r="AA314" i="2" s="1"/>
  <c r="AB314" i="2"/>
  <c r="AC314" i="2"/>
  <c r="Y315" i="2"/>
  <c r="AA315" i="2" s="1"/>
  <c r="AB315" i="2"/>
  <c r="AC315" i="2"/>
  <c r="Y316" i="2"/>
  <c r="AA316" i="2" s="1"/>
  <c r="AB316" i="2"/>
  <c r="AC316" i="2"/>
  <c r="Y317" i="2"/>
  <c r="AA317" i="2" s="1"/>
  <c r="AB317" i="2"/>
  <c r="AC317" i="2"/>
  <c r="Y318" i="2"/>
  <c r="AA318" i="2" s="1"/>
  <c r="AB318" i="2"/>
  <c r="AC318" i="2"/>
  <c r="Y319" i="2"/>
  <c r="AA319" i="2" s="1"/>
  <c r="AB319" i="2"/>
  <c r="AC319" i="2"/>
  <c r="Y320" i="2"/>
  <c r="AA320" i="2" s="1"/>
  <c r="AB320" i="2"/>
  <c r="AC320" i="2"/>
  <c r="Y321" i="2"/>
  <c r="AA321" i="2" s="1"/>
  <c r="AB321" i="2"/>
  <c r="AC321" i="2"/>
  <c r="Y322" i="2"/>
  <c r="AA322" i="2" s="1"/>
  <c r="AB322" i="2"/>
  <c r="AC322" i="2"/>
  <c r="Y323" i="2"/>
  <c r="AA323" i="2" s="1"/>
  <c r="AB323" i="2"/>
  <c r="AC323" i="2"/>
  <c r="Y324" i="2"/>
  <c r="AA324" i="2" s="1"/>
  <c r="AB324" i="2"/>
  <c r="AC324" i="2"/>
  <c r="Y325" i="2"/>
  <c r="AA325" i="2" s="1"/>
  <c r="AB325" i="2"/>
  <c r="AC325" i="2"/>
  <c r="Y326" i="2"/>
  <c r="AA326" i="2" s="1"/>
  <c r="AB326" i="2"/>
  <c r="AC326" i="2"/>
  <c r="Y327" i="2"/>
  <c r="AA327" i="2" s="1"/>
  <c r="AB327" i="2"/>
  <c r="AC327" i="2"/>
  <c r="Y328" i="2"/>
  <c r="AA328" i="2" s="1"/>
  <c r="AB328" i="2"/>
  <c r="AC328" i="2"/>
  <c r="Y329" i="2"/>
  <c r="AA329" i="2" s="1"/>
  <c r="AB329" i="2"/>
  <c r="AC329" i="2"/>
  <c r="Y330" i="2"/>
  <c r="AA330" i="2" s="1"/>
  <c r="AB330" i="2"/>
  <c r="AC330" i="2"/>
  <c r="Y331" i="2"/>
  <c r="AA331" i="2" s="1"/>
  <c r="AB331" i="2"/>
  <c r="AC331" i="2"/>
  <c r="Y332" i="2"/>
  <c r="AA332" i="2" s="1"/>
  <c r="AB332" i="2"/>
  <c r="AC332" i="2"/>
  <c r="Y333" i="2"/>
  <c r="AA333" i="2" s="1"/>
  <c r="AB333" i="2"/>
  <c r="AC333" i="2"/>
  <c r="Y334" i="2"/>
  <c r="AA334" i="2" s="1"/>
  <c r="AB334" i="2"/>
  <c r="AC334" i="2"/>
  <c r="Y335" i="2"/>
  <c r="AA335" i="2" s="1"/>
  <c r="AB335" i="2"/>
  <c r="AC335" i="2"/>
  <c r="Y336" i="2"/>
  <c r="AA336" i="2" s="1"/>
  <c r="AB336" i="2"/>
  <c r="AC336" i="2"/>
  <c r="Y337" i="2"/>
  <c r="AA337" i="2" s="1"/>
  <c r="AB337" i="2"/>
  <c r="AC337" i="2"/>
  <c r="Y338" i="2"/>
  <c r="AA338" i="2" s="1"/>
  <c r="AB338" i="2"/>
  <c r="AC338" i="2"/>
  <c r="Y339" i="2"/>
  <c r="AA339" i="2" s="1"/>
  <c r="AB339" i="2"/>
  <c r="AC339" i="2"/>
  <c r="Y340" i="2"/>
  <c r="AA340" i="2" s="1"/>
  <c r="AB340" i="2"/>
  <c r="AC340" i="2"/>
  <c r="Y341" i="2"/>
  <c r="AA341" i="2" s="1"/>
  <c r="AB341" i="2"/>
  <c r="AC341" i="2"/>
  <c r="Y342" i="2"/>
  <c r="AA342" i="2" s="1"/>
  <c r="AB342" i="2"/>
  <c r="AC342" i="2"/>
  <c r="Y343" i="2"/>
  <c r="AA343" i="2" s="1"/>
  <c r="AB343" i="2"/>
  <c r="AC343" i="2"/>
  <c r="Y344" i="2"/>
  <c r="AA344" i="2" s="1"/>
  <c r="AB344" i="2"/>
  <c r="AC344" i="2"/>
  <c r="Y345" i="2"/>
  <c r="AA345" i="2" s="1"/>
  <c r="AB345" i="2"/>
  <c r="AC345" i="2"/>
  <c r="Y346" i="2"/>
  <c r="AA346" i="2" s="1"/>
  <c r="AB346" i="2"/>
  <c r="AC346" i="2"/>
  <c r="Y347" i="2"/>
  <c r="AA347" i="2" s="1"/>
  <c r="AB347" i="2"/>
  <c r="AC347" i="2"/>
  <c r="Y348" i="2"/>
  <c r="AA348" i="2" s="1"/>
  <c r="AB348" i="2"/>
  <c r="AC348" i="2"/>
  <c r="Y349" i="2"/>
  <c r="AA349" i="2" s="1"/>
  <c r="AB349" i="2"/>
  <c r="AC349" i="2"/>
  <c r="Y350" i="2"/>
  <c r="AA350" i="2" s="1"/>
  <c r="AB350" i="2"/>
  <c r="AC350" i="2"/>
  <c r="Y351" i="2"/>
  <c r="AA351" i="2" s="1"/>
  <c r="AB351" i="2"/>
  <c r="AC351" i="2"/>
  <c r="Y352" i="2"/>
  <c r="AA352" i="2" s="1"/>
  <c r="AB352" i="2"/>
  <c r="AC352" i="2"/>
  <c r="Y353" i="2"/>
  <c r="AA353" i="2" s="1"/>
  <c r="AB353" i="2"/>
  <c r="AC353" i="2"/>
  <c r="Y354" i="2"/>
  <c r="AA354" i="2" s="1"/>
  <c r="AB354" i="2"/>
  <c r="AC354" i="2"/>
  <c r="Y355" i="2"/>
  <c r="AA355" i="2" s="1"/>
  <c r="AB355" i="2"/>
  <c r="AC355" i="2"/>
  <c r="Y356" i="2"/>
  <c r="AA356" i="2" s="1"/>
  <c r="AB356" i="2"/>
  <c r="AC356" i="2"/>
  <c r="Y357" i="2"/>
  <c r="AA357" i="2" s="1"/>
  <c r="AB357" i="2"/>
  <c r="AC357" i="2"/>
  <c r="Y358" i="2"/>
  <c r="AA358" i="2" s="1"/>
  <c r="AB358" i="2"/>
  <c r="AC358" i="2"/>
  <c r="Y359" i="2"/>
  <c r="AA359" i="2" s="1"/>
  <c r="AB359" i="2"/>
  <c r="AC359" i="2"/>
  <c r="Y360" i="2"/>
  <c r="AA360" i="2" s="1"/>
  <c r="AB360" i="2"/>
  <c r="AC360" i="2"/>
  <c r="Y361" i="2"/>
  <c r="AA361" i="2" s="1"/>
  <c r="AB361" i="2"/>
  <c r="AC361" i="2"/>
  <c r="Y362" i="2"/>
  <c r="AA362" i="2" s="1"/>
  <c r="AB362" i="2"/>
  <c r="AC362" i="2"/>
  <c r="Y363" i="2"/>
  <c r="AA363" i="2" s="1"/>
  <c r="AB363" i="2"/>
  <c r="AC363" i="2"/>
  <c r="Y364" i="2"/>
  <c r="AA364" i="2" s="1"/>
  <c r="AB364" i="2"/>
  <c r="AC364" i="2"/>
  <c r="Y365" i="2"/>
  <c r="AA365" i="2" s="1"/>
  <c r="AB365" i="2"/>
  <c r="AC365" i="2"/>
  <c r="Y366" i="2"/>
  <c r="AA366" i="2" s="1"/>
  <c r="AB366" i="2"/>
  <c r="AC366" i="2"/>
  <c r="Y367" i="2"/>
  <c r="AA367" i="2" s="1"/>
  <c r="AB367" i="2"/>
  <c r="AC367" i="2"/>
  <c r="Y368" i="2"/>
  <c r="AA368" i="2" s="1"/>
  <c r="AB368" i="2"/>
  <c r="AC368" i="2"/>
  <c r="Y369" i="2"/>
  <c r="AA369" i="2" s="1"/>
  <c r="AB369" i="2"/>
  <c r="AC369" i="2"/>
  <c r="Y370" i="2"/>
  <c r="AA370" i="2" s="1"/>
  <c r="AB370" i="2"/>
  <c r="AC370" i="2"/>
  <c r="Y371" i="2"/>
  <c r="AA371" i="2" s="1"/>
  <c r="AB371" i="2"/>
  <c r="AC371" i="2"/>
  <c r="Y372" i="2"/>
  <c r="AA372" i="2" s="1"/>
  <c r="AB372" i="2"/>
  <c r="AC372" i="2"/>
  <c r="Y373" i="2"/>
  <c r="AA373" i="2" s="1"/>
  <c r="AB373" i="2"/>
  <c r="AC373" i="2"/>
  <c r="Y374" i="2"/>
  <c r="AA374" i="2" s="1"/>
  <c r="AB374" i="2"/>
  <c r="AC374" i="2"/>
  <c r="Y375" i="2"/>
  <c r="AA375" i="2" s="1"/>
  <c r="AB375" i="2"/>
  <c r="AC375" i="2"/>
  <c r="Y376" i="2"/>
  <c r="AA376" i="2" s="1"/>
  <c r="AB376" i="2"/>
  <c r="AC376" i="2"/>
  <c r="Y377" i="2"/>
  <c r="AA377" i="2" s="1"/>
  <c r="AB377" i="2"/>
  <c r="AC377" i="2"/>
  <c r="Y378" i="2"/>
  <c r="AA378" i="2" s="1"/>
  <c r="AB378" i="2"/>
  <c r="AC378" i="2"/>
  <c r="Y379" i="2"/>
  <c r="AA379" i="2" s="1"/>
  <c r="AB379" i="2"/>
  <c r="AC379" i="2"/>
  <c r="Y380" i="2"/>
  <c r="AA380" i="2" s="1"/>
  <c r="AB380" i="2"/>
  <c r="AC380" i="2"/>
  <c r="Y381" i="2"/>
  <c r="AA381" i="2" s="1"/>
  <c r="AB381" i="2"/>
  <c r="AC381" i="2"/>
  <c r="Y382" i="2"/>
  <c r="AA382" i="2" s="1"/>
  <c r="AB382" i="2"/>
  <c r="AC382" i="2"/>
  <c r="Y383" i="2"/>
  <c r="AA383" i="2" s="1"/>
  <c r="AB383" i="2"/>
  <c r="AC383" i="2"/>
  <c r="Y384" i="2"/>
  <c r="AA384" i="2" s="1"/>
  <c r="AB384" i="2"/>
  <c r="AC384" i="2"/>
  <c r="Y385" i="2"/>
  <c r="AA385" i="2" s="1"/>
  <c r="AB385" i="2"/>
  <c r="AC385" i="2"/>
  <c r="Y386" i="2"/>
  <c r="AA386" i="2" s="1"/>
  <c r="AB386" i="2"/>
  <c r="AC386" i="2"/>
  <c r="Y387" i="2"/>
  <c r="AA387" i="2" s="1"/>
  <c r="AB387" i="2"/>
  <c r="AC387" i="2"/>
  <c r="Y388" i="2"/>
  <c r="AA388" i="2" s="1"/>
  <c r="AB388" i="2"/>
  <c r="AC388" i="2"/>
  <c r="Y389" i="2"/>
  <c r="AA389" i="2" s="1"/>
  <c r="AB389" i="2"/>
  <c r="AC389" i="2"/>
  <c r="Y390" i="2"/>
  <c r="AA390" i="2" s="1"/>
  <c r="AB390" i="2"/>
  <c r="AC390" i="2"/>
  <c r="Y391" i="2"/>
  <c r="AA391" i="2" s="1"/>
  <c r="AB391" i="2"/>
  <c r="AC391" i="2"/>
  <c r="Y392" i="2"/>
  <c r="AA392" i="2" s="1"/>
  <c r="AB392" i="2"/>
  <c r="AC392" i="2"/>
  <c r="Y393" i="2"/>
  <c r="AA393" i="2" s="1"/>
  <c r="AB393" i="2"/>
  <c r="AC393" i="2"/>
  <c r="Y394" i="2"/>
  <c r="AA394" i="2" s="1"/>
  <c r="AB394" i="2"/>
  <c r="AC394" i="2"/>
  <c r="Y395" i="2"/>
  <c r="AA395" i="2" s="1"/>
  <c r="AB395" i="2"/>
  <c r="AC395" i="2"/>
  <c r="Y396" i="2"/>
  <c r="AA396" i="2" s="1"/>
  <c r="AB396" i="2"/>
  <c r="AC396" i="2"/>
  <c r="Y397" i="2"/>
  <c r="AA397" i="2" s="1"/>
  <c r="AB397" i="2"/>
  <c r="AC397" i="2"/>
  <c r="Y398" i="2"/>
  <c r="AA398" i="2" s="1"/>
  <c r="AB398" i="2"/>
  <c r="AC398" i="2"/>
  <c r="Y399" i="2"/>
  <c r="AA399" i="2" s="1"/>
  <c r="AB399" i="2"/>
  <c r="AC399" i="2"/>
  <c r="Y400" i="2"/>
  <c r="AA400" i="2" s="1"/>
  <c r="AB400" i="2"/>
  <c r="AC400" i="2"/>
  <c r="Y401" i="2"/>
  <c r="AA401" i="2" s="1"/>
  <c r="AB401" i="2"/>
  <c r="AC401" i="2"/>
  <c r="Y402" i="2"/>
  <c r="AA402" i="2" s="1"/>
  <c r="AB402" i="2"/>
  <c r="AC402" i="2"/>
  <c r="Y403" i="2"/>
  <c r="AA403" i="2" s="1"/>
  <c r="AB403" i="2"/>
  <c r="AC403" i="2"/>
  <c r="Y404" i="2"/>
  <c r="AA404" i="2" s="1"/>
  <c r="AB404" i="2"/>
  <c r="AC404" i="2"/>
  <c r="Y405" i="2"/>
  <c r="AA405" i="2" s="1"/>
  <c r="AB405" i="2"/>
  <c r="AC405" i="2"/>
  <c r="Y406" i="2"/>
  <c r="AA406" i="2" s="1"/>
  <c r="AB406" i="2"/>
  <c r="AC406" i="2"/>
  <c r="Y407" i="2"/>
  <c r="AA407" i="2" s="1"/>
  <c r="AB407" i="2"/>
  <c r="AC407" i="2"/>
  <c r="Y408" i="2"/>
  <c r="AA408" i="2" s="1"/>
  <c r="AB408" i="2"/>
  <c r="AC408" i="2"/>
  <c r="Y409" i="2"/>
  <c r="AA409" i="2" s="1"/>
  <c r="AB409" i="2"/>
  <c r="AC409" i="2"/>
  <c r="Y410" i="2"/>
  <c r="AA410" i="2" s="1"/>
  <c r="AB410" i="2"/>
  <c r="AC410" i="2"/>
  <c r="Y411" i="2"/>
  <c r="AA411" i="2" s="1"/>
  <c r="AB411" i="2"/>
  <c r="AC411" i="2"/>
  <c r="Y412" i="2"/>
  <c r="AA412" i="2" s="1"/>
  <c r="AB412" i="2"/>
  <c r="AC412" i="2"/>
  <c r="Y413" i="2"/>
  <c r="AA413" i="2" s="1"/>
  <c r="AB413" i="2"/>
  <c r="AC413" i="2"/>
  <c r="Y414" i="2"/>
  <c r="AA414" i="2" s="1"/>
  <c r="AB414" i="2"/>
  <c r="AC414" i="2"/>
  <c r="Y415" i="2"/>
  <c r="AA415" i="2" s="1"/>
  <c r="AB415" i="2"/>
  <c r="AC415" i="2"/>
  <c r="Y416" i="2"/>
  <c r="AA416" i="2" s="1"/>
  <c r="AB416" i="2"/>
  <c r="AC416" i="2"/>
  <c r="Y417" i="2"/>
  <c r="AA417" i="2" s="1"/>
  <c r="AB417" i="2"/>
  <c r="AC417" i="2"/>
  <c r="Y418" i="2"/>
  <c r="AA418" i="2" s="1"/>
  <c r="AB418" i="2"/>
  <c r="AC418" i="2"/>
  <c r="Y419" i="2"/>
  <c r="AA419" i="2" s="1"/>
  <c r="AB419" i="2"/>
  <c r="AC419" i="2"/>
  <c r="Y420" i="2"/>
  <c r="AA420" i="2" s="1"/>
  <c r="AB420" i="2"/>
  <c r="AC420" i="2"/>
  <c r="Y421" i="2"/>
  <c r="AA421" i="2" s="1"/>
  <c r="AB421" i="2"/>
  <c r="AC421" i="2"/>
  <c r="Y422" i="2"/>
  <c r="AA422" i="2" s="1"/>
  <c r="AB422" i="2"/>
  <c r="AC422" i="2"/>
  <c r="Y423" i="2"/>
  <c r="AA423" i="2" s="1"/>
  <c r="AB423" i="2"/>
  <c r="AC423" i="2"/>
  <c r="Y424" i="2"/>
  <c r="AA424" i="2" s="1"/>
  <c r="AB424" i="2"/>
  <c r="AC424" i="2"/>
  <c r="Y425" i="2"/>
  <c r="AA425" i="2" s="1"/>
  <c r="AB425" i="2"/>
  <c r="AC425" i="2"/>
  <c r="Y426" i="2"/>
  <c r="AA426" i="2" s="1"/>
  <c r="AB426" i="2"/>
  <c r="AC426" i="2"/>
  <c r="Y427" i="2"/>
  <c r="AA427" i="2" s="1"/>
  <c r="AB427" i="2"/>
  <c r="AC427" i="2"/>
  <c r="Y428" i="2"/>
  <c r="AA428" i="2" s="1"/>
  <c r="AB428" i="2"/>
  <c r="AC428" i="2"/>
  <c r="Y429" i="2"/>
  <c r="AA429" i="2" s="1"/>
  <c r="AB429" i="2"/>
  <c r="AC429" i="2"/>
  <c r="Y430" i="2"/>
  <c r="AA430" i="2" s="1"/>
  <c r="AB430" i="2"/>
  <c r="AC430" i="2"/>
  <c r="Y431" i="2"/>
  <c r="AA431" i="2" s="1"/>
  <c r="AB431" i="2"/>
  <c r="AC431" i="2"/>
  <c r="Y432" i="2"/>
  <c r="AA432" i="2" s="1"/>
  <c r="AB432" i="2"/>
  <c r="AC432" i="2"/>
  <c r="Y433" i="2"/>
  <c r="AA433" i="2" s="1"/>
  <c r="AB433" i="2"/>
  <c r="AC433" i="2"/>
  <c r="Y434" i="2"/>
  <c r="AA434" i="2" s="1"/>
  <c r="AB434" i="2"/>
  <c r="AC434" i="2"/>
  <c r="Y435" i="2"/>
  <c r="AA435" i="2" s="1"/>
  <c r="AB435" i="2"/>
  <c r="AC435" i="2"/>
  <c r="Y436" i="2"/>
  <c r="AA436" i="2" s="1"/>
  <c r="AB436" i="2"/>
  <c r="AC436" i="2"/>
  <c r="Y437" i="2"/>
  <c r="AA437" i="2" s="1"/>
  <c r="AB437" i="2"/>
  <c r="AC437" i="2"/>
  <c r="Y438" i="2"/>
  <c r="AA438" i="2" s="1"/>
  <c r="AB438" i="2"/>
  <c r="AC438" i="2"/>
  <c r="Y439" i="2"/>
  <c r="AA439" i="2" s="1"/>
  <c r="AB439" i="2"/>
  <c r="AC439" i="2"/>
  <c r="Y440" i="2"/>
  <c r="AA440" i="2" s="1"/>
  <c r="AB440" i="2"/>
  <c r="AC440" i="2"/>
  <c r="Y441" i="2"/>
  <c r="AA441" i="2" s="1"/>
  <c r="AB441" i="2"/>
  <c r="AC441" i="2"/>
  <c r="Y442" i="2"/>
  <c r="AA442" i="2" s="1"/>
  <c r="AB442" i="2"/>
  <c r="AC442" i="2"/>
  <c r="Y443" i="2"/>
  <c r="AA443" i="2" s="1"/>
  <c r="AB443" i="2"/>
  <c r="AC443" i="2"/>
  <c r="Y444" i="2"/>
  <c r="AA444" i="2" s="1"/>
  <c r="AB444" i="2"/>
  <c r="AC444" i="2"/>
  <c r="Y445" i="2"/>
  <c r="AA445" i="2" s="1"/>
  <c r="AB445" i="2"/>
  <c r="AC445" i="2"/>
  <c r="Y446" i="2"/>
  <c r="AA446" i="2" s="1"/>
  <c r="AB446" i="2"/>
  <c r="AC446" i="2"/>
  <c r="Y447" i="2"/>
  <c r="AA447" i="2" s="1"/>
  <c r="AB447" i="2"/>
  <c r="AC447" i="2"/>
  <c r="Y448" i="2"/>
  <c r="AA448" i="2" s="1"/>
  <c r="AB448" i="2"/>
  <c r="AC448" i="2"/>
  <c r="Y449" i="2"/>
  <c r="AA449" i="2" s="1"/>
  <c r="AB449" i="2"/>
  <c r="AC449" i="2"/>
  <c r="Y450" i="2"/>
  <c r="AA450" i="2" s="1"/>
  <c r="AB450" i="2"/>
  <c r="AC450" i="2"/>
  <c r="Y451" i="2"/>
  <c r="AA451" i="2" s="1"/>
  <c r="AB451" i="2"/>
  <c r="AC451" i="2"/>
  <c r="Y452" i="2"/>
  <c r="AA452" i="2" s="1"/>
  <c r="AB452" i="2"/>
  <c r="AC452" i="2"/>
  <c r="Y453" i="2"/>
  <c r="AA453" i="2" s="1"/>
  <c r="AB453" i="2"/>
  <c r="AC453" i="2"/>
  <c r="Y454" i="2"/>
  <c r="AA454" i="2" s="1"/>
  <c r="AB454" i="2"/>
  <c r="AC454" i="2"/>
  <c r="Y455" i="2"/>
  <c r="AA455" i="2" s="1"/>
  <c r="AB455" i="2"/>
  <c r="AC455" i="2"/>
  <c r="Y456" i="2"/>
  <c r="AA456" i="2" s="1"/>
  <c r="AB456" i="2"/>
  <c r="AC456" i="2"/>
  <c r="Y457" i="2"/>
  <c r="AA457" i="2" s="1"/>
  <c r="AB457" i="2"/>
  <c r="AC457" i="2"/>
  <c r="Y458" i="2"/>
  <c r="AA458" i="2" s="1"/>
  <c r="AB458" i="2"/>
  <c r="AC458" i="2"/>
  <c r="Y459" i="2"/>
  <c r="AA459" i="2" s="1"/>
  <c r="AB459" i="2"/>
  <c r="AC459" i="2"/>
  <c r="Y460" i="2"/>
  <c r="AA460" i="2" s="1"/>
  <c r="AB460" i="2"/>
  <c r="AC460" i="2"/>
  <c r="Y461" i="2"/>
  <c r="AA461" i="2" s="1"/>
  <c r="AB461" i="2"/>
  <c r="AC461" i="2"/>
  <c r="Y462" i="2"/>
  <c r="AA462" i="2" s="1"/>
  <c r="AB462" i="2"/>
  <c r="AC462" i="2"/>
  <c r="Y463" i="2"/>
  <c r="AA463" i="2" s="1"/>
  <c r="AB463" i="2"/>
  <c r="AC463" i="2"/>
  <c r="Y464" i="2"/>
  <c r="AA464" i="2" s="1"/>
  <c r="AB464" i="2"/>
  <c r="AC464" i="2"/>
  <c r="Y465" i="2"/>
  <c r="AA465" i="2" s="1"/>
  <c r="AB465" i="2"/>
  <c r="AC465" i="2"/>
  <c r="Y466" i="2"/>
  <c r="AA466" i="2" s="1"/>
  <c r="AB466" i="2"/>
  <c r="AC466" i="2"/>
  <c r="Y467" i="2"/>
  <c r="AA467" i="2" s="1"/>
  <c r="AB467" i="2"/>
  <c r="AC467" i="2"/>
  <c r="Y468" i="2"/>
  <c r="AA468" i="2" s="1"/>
  <c r="AB468" i="2"/>
  <c r="AC468" i="2"/>
  <c r="Y469" i="2"/>
  <c r="AA469" i="2" s="1"/>
  <c r="AB469" i="2"/>
  <c r="AC469" i="2"/>
  <c r="Y470" i="2"/>
  <c r="AA470" i="2" s="1"/>
  <c r="AB470" i="2"/>
  <c r="AC470" i="2"/>
  <c r="Y471" i="2"/>
  <c r="AA471" i="2" s="1"/>
  <c r="AB471" i="2"/>
  <c r="AC471" i="2"/>
  <c r="Y472" i="2"/>
  <c r="AA472" i="2" s="1"/>
  <c r="AB472" i="2"/>
  <c r="AC472" i="2"/>
  <c r="Y473" i="2"/>
  <c r="AA473" i="2" s="1"/>
  <c r="AB473" i="2"/>
  <c r="AC473" i="2"/>
  <c r="Y474" i="2"/>
  <c r="AA474" i="2" s="1"/>
  <c r="AB474" i="2"/>
  <c r="AC474" i="2"/>
  <c r="Y475" i="2"/>
  <c r="AA475" i="2" s="1"/>
  <c r="AB475" i="2"/>
  <c r="AC475" i="2"/>
  <c r="Y476" i="2"/>
  <c r="AA476" i="2" s="1"/>
  <c r="AB476" i="2"/>
  <c r="AC476" i="2"/>
  <c r="Y477" i="2"/>
  <c r="AA477" i="2" s="1"/>
  <c r="AB477" i="2"/>
  <c r="AC477" i="2"/>
  <c r="Y478" i="2"/>
  <c r="AA478" i="2" s="1"/>
  <c r="AB478" i="2"/>
  <c r="AC478" i="2"/>
  <c r="Y479" i="2"/>
  <c r="AA479" i="2" s="1"/>
  <c r="AB479" i="2"/>
  <c r="AC479" i="2"/>
  <c r="Y480" i="2"/>
  <c r="AA480" i="2" s="1"/>
  <c r="AB480" i="2"/>
  <c r="AC480" i="2"/>
  <c r="Y481" i="2"/>
  <c r="AA481" i="2" s="1"/>
  <c r="AB481" i="2"/>
  <c r="AC481" i="2"/>
  <c r="Y482" i="2"/>
  <c r="AA482" i="2" s="1"/>
  <c r="AB482" i="2"/>
  <c r="AC482" i="2"/>
  <c r="Y483" i="2"/>
  <c r="AA483" i="2" s="1"/>
  <c r="AB483" i="2"/>
  <c r="AC483" i="2"/>
  <c r="Y484" i="2"/>
  <c r="AA484" i="2" s="1"/>
  <c r="AB484" i="2"/>
  <c r="AC484" i="2"/>
  <c r="Y485" i="2"/>
  <c r="AA485" i="2" s="1"/>
  <c r="AB485" i="2"/>
  <c r="AC485" i="2"/>
  <c r="Y486" i="2"/>
  <c r="AA486" i="2" s="1"/>
  <c r="AB486" i="2"/>
  <c r="AC486" i="2"/>
  <c r="Y487" i="2"/>
  <c r="AA487" i="2" s="1"/>
  <c r="AB487" i="2"/>
  <c r="AC487" i="2"/>
  <c r="Y488" i="2"/>
  <c r="AA488" i="2" s="1"/>
  <c r="AB488" i="2"/>
  <c r="AC488" i="2"/>
  <c r="Y489" i="2"/>
  <c r="AA489" i="2" s="1"/>
  <c r="AB489" i="2"/>
  <c r="AC489" i="2"/>
  <c r="Y490" i="2"/>
  <c r="AA490" i="2" s="1"/>
  <c r="AB490" i="2"/>
  <c r="AC490" i="2"/>
  <c r="Y491" i="2"/>
  <c r="AA491" i="2" s="1"/>
  <c r="AB491" i="2"/>
  <c r="AC491" i="2"/>
  <c r="Y492" i="2"/>
  <c r="AA492" i="2" s="1"/>
  <c r="AB492" i="2"/>
  <c r="AC492" i="2"/>
  <c r="Y493" i="2"/>
  <c r="AA493" i="2" s="1"/>
  <c r="AB493" i="2"/>
  <c r="AC493" i="2"/>
  <c r="Y494" i="2"/>
  <c r="AA494" i="2" s="1"/>
  <c r="AB494" i="2"/>
  <c r="AC494" i="2"/>
  <c r="Y495" i="2"/>
  <c r="AA495" i="2" s="1"/>
  <c r="AB495" i="2"/>
  <c r="AC495" i="2"/>
  <c r="Y496" i="2"/>
  <c r="AA496" i="2" s="1"/>
  <c r="AB496" i="2"/>
  <c r="AC496" i="2"/>
  <c r="Y497" i="2"/>
  <c r="AA497" i="2" s="1"/>
  <c r="AB497" i="2"/>
  <c r="AC497" i="2"/>
  <c r="Y498" i="2"/>
  <c r="AA498" i="2" s="1"/>
  <c r="AB498" i="2"/>
  <c r="AC498" i="2"/>
  <c r="Y499" i="2"/>
  <c r="AA499" i="2" s="1"/>
  <c r="AB499" i="2"/>
  <c r="AC499" i="2"/>
  <c r="Y500" i="2"/>
  <c r="AA500" i="2" s="1"/>
  <c r="AB500" i="2"/>
  <c r="AC500" i="2"/>
  <c r="Y501" i="2"/>
  <c r="AA501" i="2" s="1"/>
  <c r="AB501" i="2"/>
  <c r="AC501" i="2"/>
  <c r="Y502" i="2"/>
  <c r="AA502" i="2" s="1"/>
  <c r="AB502" i="2"/>
  <c r="AC502" i="2"/>
  <c r="Y503" i="2"/>
  <c r="AA503" i="2" s="1"/>
  <c r="AB503" i="2"/>
  <c r="AC503" i="2"/>
  <c r="Y504" i="2"/>
  <c r="AA504" i="2" s="1"/>
  <c r="AB504" i="2"/>
  <c r="AC504" i="2"/>
  <c r="Y505" i="2"/>
  <c r="AA505" i="2" s="1"/>
  <c r="AB505" i="2"/>
  <c r="AC505" i="2"/>
  <c r="Y506" i="2"/>
  <c r="AA506" i="2" s="1"/>
  <c r="AB506" i="2"/>
  <c r="AC506" i="2"/>
  <c r="Y507" i="2"/>
  <c r="AA507" i="2" s="1"/>
  <c r="AB507" i="2"/>
  <c r="AC507" i="2"/>
  <c r="Y222" i="2"/>
  <c r="AA222" i="2" s="1"/>
  <c r="A223" i="2"/>
  <c r="A224" i="2"/>
  <c r="A225" i="2"/>
  <c r="A226" i="2"/>
  <c r="A227" i="2"/>
  <c r="A228" i="2"/>
  <c r="A229" i="2"/>
  <c r="A230" i="2"/>
  <c r="A231" i="2"/>
  <c r="A232" i="2"/>
  <c r="A233" i="2"/>
  <c r="G19" i="22" l="1"/>
  <c r="G20" i="22"/>
  <c r="G21" i="22"/>
  <c r="G16" i="22"/>
  <c r="G17" i="22"/>
  <c r="G18" i="22"/>
  <c r="L4" i="10"/>
  <c r="L5" i="10"/>
  <c r="I5" i="10"/>
  <c r="O5" i="10"/>
  <c r="O4" i="10"/>
  <c r="I4" i="10"/>
  <c r="F4" i="10"/>
  <c r="F17" i="10" s="1"/>
  <c r="AK193" i="1"/>
  <c r="AK424" i="1"/>
  <c r="AK398" i="1"/>
  <c r="AK397" i="1"/>
  <c r="AK946" i="1"/>
  <c r="AK651" i="1"/>
  <c r="AK1098" i="1"/>
  <c r="AK1257" i="1"/>
  <c r="AK856" i="1"/>
  <c r="AK853" i="1"/>
  <c r="AK1000" i="1"/>
  <c r="AK318" i="1"/>
  <c r="AE318" i="1"/>
  <c r="AE193" i="1"/>
  <c r="AF424" i="1"/>
  <c r="AE358" i="1"/>
  <c r="AK469" i="1"/>
  <c r="AE469" i="1"/>
  <c r="AK358" i="1"/>
  <c r="AK108" i="1"/>
  <c r="AE1140" i="1"/>
  <c r="AK496" i="1"/>
  <c r="AK710" i="1"/>
  <c r="AK714" i="1"/>
  <c r="AE853" i="1"/>
  <c r="AE714" i="1"/>
  <c r="AK1009" i="1"/>
  <c r="AE1016" i="1"/>
  <c r="AE1009" i="1"/>
  <c r="AE833" i="1"/>
  <c r="AK833" i="1"/>
  <c r="AE704" i="1"/>
  <c r="AK704" i="1"/>
  <c r="AK1016" i="1"/>
  <c r="AF710" i="1"/>
  <c r="AE651" i="1"/>
  <c r="AE108" i="1"/>
  <c r="AK1140" i="1"/>
  <c r="AE1078" i="1"/>
  <c r="AK1078" i="1"/>
  <c r="AE1000" i="1"/>
  <c r="AE946" i="1"/>
  <c r="AE790" i="1"/>
  <c r="AK790" i="1"/>
  <c r="AE495" i="1"/>
  <c r="AK495" i="1"/>
  <c r="AE856" i="1"/>
  <c r="AE496" i="1"/>
  <c r="AE1097" i="1"/>
  <c r="AK1032" i="1"/>
  <c r="AF1281" i="1"/>
  <c r="AF1150" i="1"/>
  <c r="AF1151" i="1"/>
  <c r="AE910" i="1"/>
  <c r="AE1234" i="1"/>
  <c r="AE594" i="1"/>
  <c r="AE737" i="1"/>
  <c r="AE1033" i="1"/>
  <c r="AE1203" i="1"/>
  <c r="AF738" i="1"/>
  <c r="AK738" i="1"/>
  <c r="AF909" i="1"/>
  <c r="AE1032" i="1"/>
  <c r="AK1202" i="1"/>
  <c r="AK910" i="1"/>
  <c r="AE593" i="1"/>
  <c r="AK1234" i="1"/>
  <c r="AK909" i="1"/>
  <c r="AK594" i="1"/>
  <c r="AK1033" i="1"/>
  <c r="AK1203" i="1"/>
  <c r="AK737" i="1"/>
  <c r="AK1150" i="1"/>
  <c r="AE1098" i="1"/>
  <c r="AK1151" i="1"/>
  <c r="AE1257" i="1"/>
  <c r="AK593" i="1"/>
  <c r="AK1097" i="1"/>
  <c r="AE1202" i="1"/>
  <c r="AE1280" i="1"/>
  <c r="AK1280" i="1"/>
  <c r="AE1256" i="1"/>
  <c r="AK1256" i="1"/>
  <c r="AE397" i="1"/>
  <c r="AK1281" i="1"/>
  <c r="AE1235" i="1"/>
  <c r="AK1235" i="1"/>
  <c r="AE398" i="1"/>
  <c r="AK261" i="1"/>
  <c r="AF1006" i="1"/>
  <c r="AE548" i="1"/>
  <c r="AF479" i="1"/>
  <c r="AE623" i="1"/>
  <c r="AK1006" i="1"/>
  <c r="AE864" i="1"/>
  <c r="AK864" i="1"/>
  <c r="AE718" i="1"/>
  <c r="AK718" i="1"/>
  <c r="AK623" i="1"/>
  <c r="AK548" i="1"/>
  <c r="AK479" i="1"/>
  <c r="AE261" i="1"/>
  <c r="L17" i="10" l="1"/>
  <c r="I17" i="10"/>
  <c r="O17" i="10"/>
  <c r="H43" i="7"/>
  <c r="K43" i="7"/>
  <c r="J43" i="7"/>
  <c r="I43" i="7"/>
  <c r="H114" i="7"/>
  <c r="I114" i="7"/>
  <c r="J114" i="7"/>
  <c r="K114" i="7"/>
  <c r="I508" i="2" l="1"/>
  <c r="AB222" i="2"/>
  <c r="AC222" i="2"/>
  <c r="U231" i="2"/>
  <c r="V231" i="2"/>
  <c r="Y231" i="2"/>
  <c r="AA231" i="2" s="1"/>
  <c r="AB231" i="2"/>
  <c r="AC231" i="2"/>
  <c r="U232" i="2"/>
  <c r="V232" i="2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B39" i="7"/>
  <c r="D39" i="7" s="1"/>
  <c r="S337" i="1" l="1"/>
  <c r="R340" i="1"/>
  <c r="S341" i="1"/>
  <c r="S342" i="1"/>
  <c r="R271" i="1"/>
  <c r="S273" i="1"/>
  <c r="W342" i="1"/>
  <c r="W267" i="1"/>
  <c r="R272" i="1"/>
  <c r="W270" i="1"/>
  <c r="R347" i="1"/>
  <c r="W274" i="1"/>
  <c r="S267" i="1"/>
  <c r="S348" i="1"/>
  <c r="R270" i="1"/>
  <c r="W272" i="1"/>
  <c r="S344" i="1"/>
  <c r="R276" i="1"/>
  <c r="S268" i="1"/>
  <c r="R343" i="1"/>
  <c r="S269" i="1"/>
  <c r="R342" i="1"/>
  <c r="S339" i="1"/>
  <c r="R345" i="1"/>
  <c r="S275" i="1"/>
  <c r="S343" i="1"/>
  <c r="W271" i="1"/>
  <c r="R277" i="1"/>
  <c r="R268" i="1"/>
  <c r="R346" i="1"/>
  <c r="S270" i="1"/>
  <c r="W341" i="1"/>
  <c r="W269" i="1"/>
  <c r="W278" i="1"/>
  <c r="R341" i="1"/>
  <c r="S271" i="1"/>
  <c r="S346" i="1"/>
  <c r="S276" i="1"/>
  <c r="S340" i="1"/>
  <c r="W273" i="1"/>
  <c r="W348" i="1"/>
  <c r="R348" i="1"/>
  <c r="S347" i="1"/>
  <c r="R269" i="1"/>
  <c r="S272" i="1"/>
  <c r="R278" i="1"/>
  <c r="S274" i="1"/>
  <c r="W343" i="1"/>
  <c r="S345" i="1"/>
  <c r="W347" i="1"/>
  <c r="W338" i="1"/>
  <c r="W340" i="1"/>
  <c r="W268" i="1"/>
  <c r="S278" i="1"/>
  <c r="R344" i="1"/>
  <c r="W346" i="1"/>
  <c r="W275" i="1"/>
  <c r="W339" i="1"/>
  <c r="R267" i="1"/>
  <c r="R275" i="1"/>
  <c r="W337" i="1"/>
  <c r="R273" i="1"/>
  <c r="W345" i="1"/>
  <c r="S277" i="1"/>
  <c r="W277" i="1"/>
  <c r="R339" i="1"/>
  <c r="W276" i="1"/>
  <c r="S338" i="1"/>
  <c r="R337" i="1"/>
  <c r="R338" i="1"/>
  <c r="R274" i="1"/>
  <c r="W344" i="1"/>
  <c r="R384" i="1"/>
  <c r="R969" i="1"/>
  <c r="R1217" i="1"/>
  <c r="R256" i="1"/>
  <c r="R778" i="1"/>
  <c r="W1065" i="1"/>
  <c r="W280" i="1"/>
  <c r="W1111" i="1"/>
  <c r="R1049" i="1"/>
  <c r="R936" i="1"/>
  <c r="R1245" i="1"/>
  <c r="R1076" i="1"/>
  <c r="W1200" i="1"/>
  <c r="W1122" i="1"/>
  <c r="S1217" i="1"/>
  <c r="S1076" i="1"/>
  <c r="S493" i="1"/>
  <c r="S114" i="1"/>
  <c r="W384" i="1"/>
  <c r="R707" i="1"/>
  <c r="S1121" i="1"/>
  <c r="S573" i="1"/>
  <c r="R1216" i="1"/>
  <c r="W1064" i="1"/>
  <c r="S257" i="1"/>
  <c r="W991" i="1"/>
  <c r="R779" i="1"/>
  <c r="S492" i="1"/>
  <c r="S1062" i="1"/>
  <c r="W506" i="1"/>
  <c r="R385" i="1"/>
  <c r="R258" i="1"/>
  <c r="R1139" i="1"/>
  <c r="W779" i="1"/>
  <c r="R571" i="1"/>
  <c r="S1252" i="1"/>
  <c r="R395" i="1"/>
  <c r="W1028" i="1"/>
  <c r="R383" i="1"/>
  <c r="R1200" i="1"/>
  <c r="S256" i="1"/>
  <c r="W969" i="1"/>
  <c r="R493" i="1"/>
  <c r="S1245" i="1"/>
  <c r="R1171" i="1"/>
  <c r="W936" i="1"/>
  <c r="W1171" i="1"/>
  <c r="W1112" i="1"/>
  <c r="R643" i="1"/>
  <c r="S395" i="1"/>
  <c r="W1090" i="1"/>
  <c r="S991" i="1"/>
  <c r="S643" i="1"/>
  <c r="W114" i="1"/>
  <c r="S1048" i="1"/>
  <c r="R1111" i="1"/>
  <c r="W257" i="1"/>
  <c r="W1076" i="1"/>
  <c r="W1143" i="1"/>
  <c r="R644" i="1"/>
  <c r="R1065" i="1"/>
  <c r="S1246" i="1"/>
  <c r="W572" i="1"/>
  <c r="S1200" i="1"/>
  <c r="W1231" i="1"/>
  <c r="W1121" i="1"/>
  <c r="R1231" i="1"/>
  <c r="W1217" i="1"/>
  <c r="W778" i="1"/>
  <c r="W1172" i="1"/>
  <c r="W842" i="1"/>
  <c r="R1090" i="1"/>
  <c r="S969" i="1"/>
  <c r="S1028" i="1"/>
  <c r="R842" i="1"/>
  <c r="S707" i="1"/>
  <c r="R1215" i="1"/>
  <c r="R935" i="1"/>
  <c r="R1143" i="1"/>
  <c r="R1112" i="1"/>
  <c r="W665" i="1"/>
  <c r="W843" i="1"/>
  <c r="S779" i="1"/>
  <c r="W1216" i="1"/>
  <c r="W1029" i="1"/>
  <c r="W707" i="1"/>
  <c r="S1215" i="1"/>
  <c r="W493" i="1"/>
  <c r="R280" i="1"/>
  <c r="W571" i="1"/>
  <c r="R1121" i="1"/>
  <c r="W1245" i="1"/>
  <c r="R492" i="1"/>
  <c r="R572" i="1"/>
  <c r="R1122" i="1"/>
  <c r="R991" i="1"/>
  <c r="R1062" i="1"/>
  <c r="R1246" i="1"/>
  <c r="W1252" i="1"/>
  <c r="S1049" i="1"/>
  <c r="S1111" i="1"/>
  <c r="W1139" i="1"/>
  <c r="S645" i="1"/>
  <c r="S1122" i="1"/>
  <c r="W645" i="1"/>
  <c r="W395" i="1"/>
  <c r="W1246" i="1"/>
  <c r="R114" i="1"/>
  <c r="W256" i="1"/>
  <c r="S778" i="1"/>
  <c r="W644" i="1"/>
  <c r="S935" i="1"/>
  <c r="S506" i="1"/>
  <c r="S1139" i="1"/>
  <c r="S1090" i="1"/>
  <c r="W383" i="1"/>
  <c r="R1048" i="1"/>
  <c r="W1049" i="1"/>
  <c r="R573" i="1"/>
  <c r="S708" i="1"/>
  <c r="R1064" i="1"/>
  <c r="S936" i="1"/>
  <c r="R665" i="1"/>
  <c r="W935" i="1"/>
  <c r="S1231" i="1"/>
  <c r="S385" i="1"/>
  <c r="W1215" i="1"/>
  <c r="S1236" i="1"/>
  <c r="S280" i="1"/>
  <c r="S258" i="1"/>
  <c r="W258" i="1"/>
  <c r="R1252" i="1"/>
  <c r="S1143" i="1"/>
  <c r="S1216" i="1"/>
  <c r="S572" i="1"/>
  <c r="R1236" i="1"/>
  <c r="W1062" i="1"/>
  <c r="S571" i="1"/>
  <c r="W708" i="1"/>
  <c r="R1028" i="1"/>
  <c r="W1236" i="1"/>
  <c r="S842" i="1"/>
  <c r="W643" i="1"/>
  <c r="R1029" i="1"/>
  <c r="R1172" i="1"/>
  <c r="S843" i="1"/>
  <c r="R506" i="1"/>
  <c r="S665" i="1"/>
  <c r="R708" i="1"/>
  <c r="W1048" i="1"/>
  <c r="S1065" i="1"/>
  <c r="S1112" i="1"/>
  <c r="S384" i="1"/>
  <c r="S383" i="1"/>
  <c r="R257" i="1"/>
  <c r="S1064" i="1"/>
  <c r="W385" i="1"/>
  <c r="S644" i="1"/>
  <c r="W573" i="1"/>
  <c r="R843" i="1"/>
  <c r="S1172" i="1"/>
  <c r="S1171" i="1"/>
  <c r="R645" i="1"/>
  <c r="S1029" i="1"/>
  <c r="W492" i="1"/>
  <c r="S490" i="1"/>
  <c r="R693" i="1"/>
  <c r="S253" i="1"/>
  <c r="S693" i="1"/>
  <c r="R636" i="1"/>
  <c r="W253" i="1"/>
  <c r="S636" i="1"/>
  <c r="R253" i="1"/>
  <c r="W490" i="1"/>
  <c r="R827" i="1"/>
  <c r="W693" i="1"/>
  <c r="S766" i="1"/>
  <c r="W827" i="1"/>
  <c r="R490" i="1"/>
  <c r="W766" i="1"/>
  <c r="W636" i="1"/>
  <c r="S827" i="1"/>
  <c r="R766" i="1"/>
  <c r="R1254" i="1"/>
  <c r="S1201" i="1"/>
  <c r="S1254" i="1"/>
  <c r="R1201" i="1"/>
  <c r="S1279" i="1"/>
  <c r="S1296" i="1"/>
  <c r="W1279" i="1"/>
  <c r="W1296" i="1"/>
  <c r="S1255" i="1"/>
  <c r="W1255" i="1"/>
  <c r="R1296" i="1"/>
  <c r="S1233" i="1"/>
  <c r="R1233" i="1"/>
  <c r="R1279" i="1"/>
  <c r="W1201" i="1"/>
  <c r="W1254" i="1"/>
  <c r="W1233" i="1"/>
  <c r="R1255" i="1"/>
  <c r="S663" i="1"/>
  <c r="W1059" i="1"/>
  <c r="W804" i="1"/>
  <c r="W504" i="1"/>
  <c r="S879" i="1"/>
  <c r="W266" i="1"/>
  <c r="R504" i="1"/>
  <c r="R1059" i="1"/>
  <c r="S266" i="1"/>
  <c r="R663" i="1"/>
  <c r="R804" i="1"/>
  <c r="S1059" i="1"/>
  <c r="R266" i="1"/>
  <c r="W663" i="1"/>
  <c r="W879" i="1"/>
  <c r="S804" i="1"/>
  <c r="R879" i="1"/>
  <c r="S504" i="1"/>
  <c r="S783" i="1"/>
  <c r="R783" i="1"/>
  <c r="S657" i="1"/>
  <c r="R657" i="1"/>
  <c r="S849" i="1"/>
  <c r="W783" i="1"/>
  <c r="R784" i="1"/>
  <c r="R849" i="1"/>
  <c r="R848" i="1"/>
  <c r="S848" i="1"/>
  <c r="W849" i="1"/>
  <c r="W784" i="1"/>
  <c r="S784" i="1"/>
  <c r="S941" i="1"/>
  <c r="W657" i="1"/>
  <c r="R941" i="1"/>
  <c r="W941" i="1"/>
  <c r="W848" i="1"/>
  <c r="R364" i="1"/>
  <c r="W364" i="1"/>
  <c r="S364" i="1"/>
  <c r="S54" i="1"/>
  <c r="W54" i="1"/>
  <c r="R54" i="1"/>
  <c r="W1004" i="1"/>
  <c r="AL1208" i="1"/>
  <c r="AI1208" i="1"/>
  <c r="AF1208" i="1" s="1"/>
  <c r="A1208" i="1"/>
  <c r="AL1160" i="1"/>
  <c r="AI1160" i="1"/>
  <c r="AF1160" i="1" s="1"/>
  <c r="A1160" i="1"/>
  <c r="AL1104" i="1"/>
  <c r="AI1104" i="1"/>
  <c r="AF1104" i="1" s="1"/>
  <c r="A1104" i="1"/>
  <c r="AL977" i="1"/>
  <c r="AI977" i="1"/>
  <c r="AE977" i="1" s="1"/>
  <c r="A977" i="1"/>
  <c r="AL510" i="1"/>
  <c r="AI510" i="1"/>
  <c r="AF510" i="1" s="1"/>
  <c r="A510" i="1"/>
  <c r="A291" i="1"/>
  <c r="AK291" i="1" l="1"/>
  <c r="AK1160" i="1"/>
  <c r="AK977" i="1"/>
  <c r="AK510" i="1"/>
  <c r="AK1208" i="1"/>
  <c r="AK1104" i="1"/>
  <c r="H88" i="7"/>
  <c r="I88" i="7"/>
  <c r="J88" i="7"/>
  <c r="K88" i="7"/>
  <c r="AE1160" i="1"/>
  <c r="AF977" i="1"/>
  <c r="AE1104" i="1"/>
  <c r="AE1208" i="1"/>
  <c r="AE510" i="1"/>
  <c r="AL1167" i="1"/>
  <c r="AI1167" i="1"/>
  <c r="AF1167" i="1" s="1"/>
  <c r="A1167" i="1"/>
  <c r="AL1109" i="1"/>
  <c r="AI1109" i="1"/>
  <c r="AF1109" i="1" s="1"/>
  <c r="A1109" i="1"/>
  <c r="AL1044" i="1"/>
  <c r="AI1044" i="1"/>
  <c r="AF1044" i="1" s="1"/>
  <c r="A1044" i="1"/>
  <c r="AL924" i="1"/>
  <c r="AI924" i="1"/>
  <c r="AF924" i="1" s="1"/>
  <c r="A924" i="1"/>
  <c r="AL676" i="1"/>
  <c r="AI676" i="1"/>
  <c r="AE676" i="1" s="1"/>
  <c r="A676" i="1"/>
  <c r="AL543" i="1"/>
  <c r="AI543" i="1"/>
  <c r="AF543" i="1" s="1"/>
  <c r="A543" i="1"/>
  <c r="AL542" i="1"/>
  <c r="AI542" i="1"/>
  <c r="AE542" i="1" s="1"/>
  <c r="A542" i="1"/>
  <c r="AL474" i="1"/>
  <c r="AI474" i="1"/>
  <c r="AE474" i="1" s="1"/>
  <c r="A474" i="1"/>
  <c r="AL473" i="1"/>
  <c r="AI473" i="1"/>
  <c r="AF473" i="1" s="1"/>
  <c r="A473" i="1"/>
  <c r="AL471" i="1"/>
  <c r="AI471" i="1"/>
  <c r="AF471" i="1" s="1"/>
  <c r="A471" i="1"/>
  <c r="AL985" i="1"/>
  <c r="AI985" i="1"/>
  <c r="AF985" i="1" s="1"/>
  <c r="A985" i="1"/>
  <c r="AL984" i="1"/>
  <c r="AI984" i="1"/>
  <c r="AF984" i="1" s="1"/>
  <c r="A984" i="1"/>
  <c r="AL361" i="1"/>
  <c r="AI361" i="1"/>
  <c r="AF361" i="1" s="1"/>
  <c r="A361" i="1"/>
  <c r="AL223" i="1"/>
  <c r="AI223" i="1"/>
  <c r="AF223" i="1" s="1"/>
  <c r="A223" i="1"/>
  <c r="AL221" i="1"/>
  <c r="AI221" i="1"/>
  <c r="AE221" i="1" s="1"/>
  <c r="A221" i="1"/>
  <c r="AL219" i="1"/>
  <c r="AI219" i="1"/>
  <c r="AE219" i="1" s="1"/>
  <c r="A219" i="1"/>
  <c r="AL73" i="1"/>
  <c r="AI73" i="1"/>
  <c r="AE73" i="1" s="1"/>
  <c r="A73" i="1"/>
  <c r="AL72" i="1"/>
  <c r="AI72" i="1"/>
  <c r="AF72" i="1" s="1"/>
  <c r="A72" i="1"/>
  <c r="U233" i="2"/>
  <c r="V233" i="2"/>
  <c r="U234" i="2"/>
  <c r="V234" i="2"/>
  <c r="A234" i="2"/>
  <c r="A235" i="2"/>
  <c r="U235" i="2"/>
  <c r="V235" i="2"/>
  <c r="A236" i="2"/>
  <c r="A237" i="2"/>
  <c r="U236" i="2"/>
  <c r="V236" i="2"/>
  <c r="I1318" i="1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B38" i="7"/>
  <c r="D38" i="7" s="1"/>
  <c r="AK72" i="1" l="1"/>
  <c r="AK219" i="1"/>
  <c r="AK223" i="1"/>
  <c r="AK984" i="1"/>
  <c r="AK471" i="1"/>
  <c r="AK474" i="1"/>
  <c r="AK543" i="1"/>
  <c r="AK924" i="1"/>
  <c r="AK1109" i="1"/>
  <c r="AK73" i="1"/>
  <c r="AK221" i="1"/>
  <c r="AK361" i="1"/>
  <c r="AK985" i="1"/>
  <c r="AK473" i="1"/>
  <c r="AK542" i="1"/>
  <c r="AK676" i="1"/>
  <c r="AK1044" i="1"/>
  <c r="AK1167" i="1"/>
  <c r="AE543" i="1"/>
  <c r="AE471" i="1"/>
  <c r="AF73" i="1"/>
  <c r="AF474" i="1"/>
  <c r="AE1044" i="1"/>
  <c r="AF221" i="1"/>
  <c r="AF542" i="1"/>
  <c r="AF219" i="1"/>
  <c r="AF676" i="1"/>
  <c r="AE72" i="1"/>
  <c r="AE984" i="1"/>
  <c r="AE924" i="1"/>
  <c r="AE361" i="1"/>
  <c r="AE223" i="1"/>
  <c r="AE985" i="1"/>
  <c r="AE1167" i="1"/>
  <c r="AE1109" i="1"/>
  <c r="AE473" i="1"/>
  <c r="U237" i="2"/>
  <c r="V237" i="2"/>
  <c r="U238" i="2"/>
  <c r="V238" i="2"/>
  <c r="U239" i="2"/>
  <c r="V239" i="2"/>
  <c r="A238" i="2"/>
  <c r="A239" i="2"/>
  <c r="K89" i="7" l="1"/>
  <c r="H89" i="7"/>
  <c r="I89" i="7"/>
  <c r="J89" i="7"/>
  <c r="U240" i="2"/>
  <c r="V240" i="2"/>
  <c r="U241" i="2"/>
  <c r="G18" i="4" s="1"/>
  <c r="V241" i="2"/>
  <c r="A240" i="2"/>
  <c r="A241" i="2"/>
  <c r="A242" i="2"/>
  <c r="A1313" i="1"/>
  <c r="AI1313" i="1"/>
  <c r="AE1313" i="1" s="1"/>
  <c r="AL1313" i="1"/>
  <c r="A1197" i="1"/>
  <c r="AI1197" i="1"/>
  <c r="AE1197" i="1" s="1"/>
  <c r="AL1197" i="1"/>
  <c r="A1269" i="1"/>
  <c r="AI1269" i="1"/>
  <c r="AE1269" i="1" s="1"/>
  <c r="AL1269" i="1"/>
  <c r="A1100" i="1"/>
  <c r="AI1100" i="1"/>
  <c r="AE1100" i="1" s="1"/>
  <c r="AL1100" i="1"/>
  <c r="A1284" i="1"/>
  <c r="AI1284" i="1"/>
  <c r="AE1284" i="1" s="1"/>
  <c r="AL1284" i="1"/>
  <c r="A1230" i="1"/>
  <c r="AI1230" i="1"/>
  <c r="AE1230" i="1" s="1"/>
  <c r="AL1230" i="1"/>
  <c r="AL1293" i="1"/>
  <c r="AI1293" i="1"/>
  <c r="AF1293" i="1" s="1"/>
  <c r="A1293" i="1"/>
  <c r="AL1250" i="1"/>
  <c r="AI1250" i="1"/>
  <c r="AF1250" i="1" s="1"/>
  <c r="A1250" i="1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B42" i="7"/>
  <c r="D42" i="7" s="1"/>
  <c r="D3" i="1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B104" i="7"/>
  <c r="D104" i="7" s="1"/>
  <c r="AL1249" i="1"/>
  <c r="AI1249" i="1"/>
  <c r="AF1249" i="1" s="1"/>
  <c r="A1249" i="1"/>
  <c r="AL1229" i="1"/>
  <c r="AI1229" i="1"/>
  <c r="AF1229" i="1" s="1"/>
  <c r="A1229" i="1"/>
  <c r="AL1210" i="1"/>
  <c r="AI1210" i="1"/>
  <c r="AF1210" i="1" s="1"/>
  <c r="A1210" i="1"/>
  <c r="AL1192" i="1"/>
  <c r="AI1192" i="1"/>
  <c r="AF1192" i="1" s="1"/>
  <c r="A1192" i="1"/>
  <c r="AL1162" i="1"/>
  <c r="AI1162" i="1"/>
  <c r="AE1162" i="1" s="1"/>
  <c r="A1162" i="1"/>
  <c r="AL1136" i="1"/>
  <c r="AI1136" i="1"/>
  <c r="AF1136" i="1" s="1"/>
  <c r="A1136" i="1"/>
  <c r="AL1106" i="1"/>
  <c r="AI1106" i="1"/>
  <c r="AE1106" i="1" s="1"/>
  <c r="A1106" i="1"/>
  <c r="AL1073" i="1"/>
  <c r="AI1073" i="1"/>
  <c r="AE1073" i="1" s="1"/>
  <c r="A1073" i="1"/>
  <c r="AL1037" i="1"/>
  <c r="AI1037" i="1"/>
  <c r="AE1037" i="1" s="1"/>
  <c r="A1037" i="1"/>
  <c r="AL981" i="1"/>
  <c r="AI981" i="1"/>
  <c r="AE981" i="1" s="1"/>
  <c r="A981" i="1"/>
  <c r="AL920" i="1"/>
  <c r="AI920" i="1"/>
  <c r="AF920" i="1" s="1"/>
  <c r="A920" i="1"/>
  <c r="AL746" i="1"/>
  <c r="AI746" i="1"/>
  <c r="AF746" i="1" s="1"/>
  <c r="A746" i="1"/>
  <c r="AL521" i="1"/>
  <c r="AI521" i="1"/>
  <c r="AF521" i="1" s="1"/>
  <c r="A521" i="1"/>
  <c r="AL756" i="1"/>
  <c r="AI756" i="1"/>
  <c r="AF756" i="1" s="1"/>
  <c r="A756" i="1"/>
  <c r="AL413" i="1"/>
  <c r="AI413" i="1"/>
  <c r="AF413" i="1" s="1"/>
  <c r="A413" i="1"/>
  <c r="AL541" i="1"/>
  <c r="AI541" i="1"/>
  <c r="AE541" i="1" s="1"/>
  <c r="A541" i="1"/>
  <c r="A650" i="1"/>
  <c r="A556" i="1"/>
  <c r="AI650" i="1"/>
  <c r="AF650" i="1" s="1"/>
  <c r="AI556" i="1"/>
  <c r="AF556" i="1" s="1"/>
  <c r="AL650" i="1"/>
  <c r="AL556" i="1"/>
  <c r="U242" i="2"/>
  <c r="V242" i="2"/>
  <c r="U243" i="2"/>
  <c r="V243" i="2"/>
  <c r="U244" i="2"/>
  <c r="A243" i="2"/>
  <c r="E19" i="4" l="1"/>
  <c r="AK556" i="1"/>
  <c r="AK413" i="1"/>
  <c r="AK521" i="1"/>
  <c r="AK920" i="1"/>
  <c r="AK1037" i="1"/>
  <c r="AK1106" i="1"/>
  <c r="AK1162" i="1"/>
  <c r="AK1210" i="1"/>
  <c r="AK1249" i="1"/>
  <c r="AK1284" i="1"/>
  <c r="AK1269" i="1"/>
  <c r="AK1313" i="1"/>
  <c r="AK1250" i="1"/>
  <c r="AK650" i="1"/>
  <c r="AK541" i="1"/>
  <c r="AK756" i="1"/>
  <c r="AK746" i="1"/>
  <c r="AK981" i="1"/>
  <c r="AK1073" i="1"/>
  <c r="AK1136" i="1"/>
  <c r="AK1192" i="1"/>
  <c r="AK1229" i="1"/>
  <c r="AK1230" i="1"/>
  <c r="AK1100" i="1"/>
  <c r="AK1197" i="1"/>
  <c r="AK1293" i="1"/>
  <c r="AF1313" i="1"/>
  <c r="AF1197" i="1"/>
  <c r="AF1269" i="1"/>
  <c r="AF1100" i="1"/>
  <c r="AF1284" i="1"/>
  <c r="AF1230" i="1"/>
  <c r="AE1293" i="1"/>
  <c r="AE1250" i="1"/>
  <c r="AF981" i="1"/>
  <c r="AF1106" i="1"/>
  <c r="AF1073" i="1"/>
  <c r="AE413" i="1"/>
  <c r="AE1192" i="1"/>
  <c r="AE920" i="1"/>
  <c r="AF1037" i="1"/>
  <c r="AF1162" i="1"/>
  <c r="AE1249" i="1"/>
  <c r="AE1229" i="1"/>
  <c r="AE1210" i="1"/>
  <c r="AE1136" i="1"/>
  <c r="AE746" i="1"/>
  <c r="AF541" i="1"/>
  <c r="N5" i="10" s="1"/>
  <c r="P5" i="10" s="1"/>
  <c r="M4" i="21" s="1"/>
  <c r="AE521" i="1"/>
  <c r="AE756" i="1"/>
  <c r="AE556" i="1"/>
  <c r="AE650" i="1"/>
  <c r="K5" i="10" l="1"/>
  <c r="M5" i="10" s="1"/>
  <c r="J4" i="21" s="1"/>
  <c r="E5" i="10"/>
  <c r="G5" i="10" s="1"/>
  <c r="H5" i="10"/>
  <c r="J5" i="10" s="1"/>
  <c r="G4" i="21" s="1"/>
  <c r="J38" i="7"/>
  <c r="I38" i="7"/>
  <c r="K38" i="7"/>
  <c r="H38" i="7"/>
  <c r="H104" i="7"/>
  <c r="J104" i="7"/>
  <c r="K104" i="7"/>
  <c r="I104" i="7"/>
  <c r="D4" i="21" l="1"/>
  <c r="P4" i="21" s="1"/>
  <c r="Q5" i="10"/>
  <c r="A502" i="2"/>
  <c r="V244" i="2"/>
  <c r="U245" i="2"/>
  <c r="V245" i="2"/>
  <c r="U246" i="2"/>
  <c r="V246" i="2"/>
  <c r="U247" i="2"/>
  <c r="V247" i="2"/>
  <c r="U249" i="2"/>
  <c r="V249" i="2"/>
  <c r="U250" i="2"/>
  <c r="V250" i="2"/>
  <c r="U251" i="2"/>
  <c r="V251" i="2"/>
  <c r="U252" i="2"/>
  <c r="V252" i="2"/>
  <c r="U253" i="2"/>
  <c r="V253" i="2"/>
  <c r="U254" i="2"/>
  <c r="V254" i="2"/>
  <c r="U255" i="2"/>
  <c r="V255" i="2"/>
  <c r="U256" i="2"/>
  <c r="V256" i="2"/>
  <c r="U257" i="2"/>
  <c r="V257" i="2"/>
  <c r="U258" i="2"/>
  <c r="V258" i="2"/>
  <c r="U259" i="2"/>
  <c r="V259" i="2"/>
  <c r="U260" i="2"/>
  <c r="V260" i="2"/>
  <c r="U261" i="2"/>
  <c r="V261" i="2"/>
  <c r="U262" i="2"/>
  <c r="V262" i="2"/>
  <c r="U263" i="2"/>
  <c r="V263" i="2"/>
  <c r="U264" i="2"/>
  <c r="V264" i="2"/>
  <c r="U265" i="2"/>
  <c r="V265" i="2"/>
  <c r="U266" i="2"/>
  <c r="V266" i="2"/>
  <c r="U267" i="2"/>
  <c r="V267" i="2"/>
  <c r="U268" i="2"/>
  <c r="V268" i="2"/>
  <c r="U269" i="2"/>
  <c r="V269" i="2"/>
  <c r="U270" i="2"/>
  <c r="V270" i="2"/>
  <c r="U271" i="2"/>
  <c r="V271" i="2"/>
  <c r="U272" i="2"/>
  <c r="V272" i="2"/>
  <c r="U273" i="2"/>
  <c r="V273" i="2"/>
  <c r="U274" i="2"/>
  <c r="V274" i="2"/>
  <c r="U275" i="2"/>
  <c r="V275" i="2"/>
  <c r="U276" i="2"/>
  <c r="V276" i="2"/>
  <c r="U277" i="2"/>
  <c r="V277" i="2"/>
  <c r="U278" i="2"/>
  <c r="V278" i="2"/>
  <c r="U279" i="2"/>
  <c r="V279" i="2"/>
  <c r="U280" i="2"/>
  <c r="V280" i="2"/>
  <c r="U281" i="2"/>
  <c r="V281" i="2"/>
  <c r="U282" i="2"/>
  <c r="V282" i="2"/>
  <c r="U283" i="2"/>
  <c r="V283" i="2"/>
  <c r="U284" i="2"/>
  <c r="V284" i="2"/>
  <c r="U285" i="2"/>
  <c r="V285" i="2"/>
  <c r="U286" i="2"/>
  <c r="V286" i="2"/>
  <c r="U287" i="2"/>
  <c r="V287" i="2"/>
  <c r="U288" i="2"/>
  <c r="V288" i="2"/>
  <c r="U289" i="2"/>
  <c r="V289" i="2"/>
  <c r="U290" i="2"/>
  <c r="V290" i="2"/>
  <c r="U291" i="2"/>
  <c r="V291" i="2"/>
  <c r="U292" i="2"/>
  <c r="V292" i="2"/>
  <c r="U293" i="2"/>
  <c r="V293" i="2"/>
  <c r="U294" i="2"/>
  <c r="V294" i="2"/>
  <c r="U295" i="2"/>
  <c r="V295" i="2"/>
  <c r="U296" i="2"/>
  <c r="V296" i="2"/>
  <c r="U297" i="2"/>
  <c r="V297" i="2"/>
  <c r="U298" i="2"/>
  <c r="V298" i="2"/>
  <c r="U299" i="2"/>
  <c r="V299" i="2"/>
  <c r="U300" i="2"/>
  <c r="V300" i="2"/>
  <c r="U301" i="2"/>
  <c r="V301" i="2"/>
  <c r="U302" i="2"/>
  <c r="V302" i="2"/>
  <c r="U303" i="2"/>
  <c r="V303" i="2"/>
  <c r="U304" i="2"/>
  <c r="V304" i="2"/>
  <c r="U305" i="2"/>
  <c r="V305" i="2"/>
  <c r="U306" i="2"/>
  <c r="V306" i="2"/>
  <c r="U307" i="2"/>
  <c r="V307" i="2"/>
  <c r="U308" i="2"/>
  <c r="V308" i="2"/>
  <c r="U309" i="2"/>
  <c r="V309" i="2"/>
  <c r="U310" i="2"/>
  <c r="V310" i="2"/>
  <c r="U311" i="2"/>
  <c r="V311" i="2"/>
  <c r="U312" i="2"/>
  <c r="V312" i="2"/>
  <c r="U313" i="2"/>
  <c r="V313" i="2"/>
  <c r="U314" i="2"/>
  <c r="V314" i="2"/>
  <c r="U315" i="2"/>
  <c r="V315" i="2"/>
  <c r="U316" i="2"/>
  <c r="V316" i="2"/>
  <c r="U317" i="2"/>
  <c r="V317" i="2"/>
  <c r="U318" i="2"/>
  <c r="V318" i="2"/>
  <c r="U319" i="2"/>
  <c r="V319" i="2"/>
  <c r="U320" i="2"/>
  <c r="V320" i="2"/>
  <c r="U321" i="2"/>
  <c r="V321" i="2"/>
  <c r="U322" i="2"/>
  <c r="V322" i="2"/>
  <c r="U323" i="2"/>
  <c r="V323" i="2"/>
  <c r="U324" i="2"/>
  <c r="V324" i="2"/>
  <c r="U325" i="2"/>
  <c r="V325" i="2"/>
  <c r="U326" i="2"/>
  <c r="V326" i="2"/>
  <c r="U327" i="2"/>
  <c r="V327" i="2"/>
  <c r="U328" i="2"/>
  <c r="V328" i="2"/>
  <c r="U329" i="2"/>
  <c r="V329" i="2"/>
  <c r="U330" i="2"/>
  <c r="V330" i="2"/>
  <c r="U331" i="2"/>
  <c r="V331" i="2"/>
  <c r="U332" i="2"/>
  <c r="V332" i="2"/>
  <c r="U333" i="2"/>
  <c r="V333" i="2"/>
  <c r="U334" i="2"/>
  <c r="V334" i="2"/>
  <c r="U335" i="2"/>
  <c r="V335" i="2"/>
  <c r="U336" i="2"/>
  <c r="V336" i="2"/>
  <c r="U337" i="2"/>
  <c r="V337" i="2"/>
  <c r="U338" i="2"/>
  <c r="V338" i="2"/>
  <c r="U339" i="2"/>
  <c r="V339" i="2"/>
  <c r="U340" i="2"/>
  <c r="V340" i="2"/>
  <c r="U341" i="2"/>
  <c r="V341" i="2"/>
  <c r="U342" i="2"/>
  <c r="V342" i="2"/>
  <c r="U343" i="2"/>
  <c r="V343" i="2"/>
  <c r="U344" i="2"/>
  <c r="V344" i="2"/>
  <c r="U345" i="2"/>
  <c r="V345" i="2"/>
  <c r="U346" i="2"/>
  <c r="V346" i="2"/>
  <c r="U347" i="2"/>
  <c r="V347" i="2"/>
  <c r="U348" i="2"/>
  <c r="V348" i="2"/>
  <c r="U349" i="2"/>
  <c r="V349" i="2"/>
  <c r="U350" i="2"/>
  <c r="V350" i="2"/>
  <c r="U351" i="2"/>
  <c r="V351" i="2"/>
  <c r="U352" i="2"/>
  <c r="V352" i="2"/>
  <c r="U353" i="2"/>
  <c r="V353" i="2"/>
  <c r="U354" i="2"/>
  <c r="V354" i="2"/>
  <c r="U355" i="2"/>
  <c r="V355" i="2"/>
  <c r="U356" i="2"/>
  <c r="V356" i="2"/>
  <c r="U357" i="2"/>
  <c r="V357" i="2"/>
  <c r="U358" i="2"/>
  <c r="V358" i="2"/>
  <c r="U359" i="2"/>
  <c r="V359" i="2"/>
  <c r="U360" i="2"/>
  <c r="V360" i="2"/>
  <c r="U361" i="2"/>
  <c r="V361" i="2"/>
  <c r="U362" i="2"/>
  <c r="V362" i="2"/>
  <c r="U363" i="2"/>
  <c r="V363" i="2"/>
  <c r="U364" i="2"/>
  <c r="V364" i="2"/>
  <c r="U365" i="2"/>
  <c r="V365" i="2"/>
  <c r="U366" i="2"/>
  <c r="V366" i="2"/>
  <c r="U367" i="2"/>
  <c r="V367" i="2"/>
  <c r="U368" i="2"/>
  <c r="V368" i="2"/>
  <c r="U369" i="2"/>
  <c r="V369" i="2"/>
  <c r="U370" i="2"/>
  <c r="V370" i="2"/>
  <c r="U371" i="2"/>
  <c r="V371" i="2"/>
  <c r="U372" i="2"/>
  <c r="V372" i="2"/>
  <c r="U373" i="2"/>
  <c r="V373" i="2"/>
  <c r="U374" i="2"/>
  <c r="V374" i="2"/>
  <c r="U375" i="2"/>
  <c r="V375" i="2"/>
  <c r="U376" i="2"/>
  <c r="V376" i="2"/>
  <c r="U377" i="2"/>
  <c r="V377" i="2"/>
  <c r="U378" i="2"/>
  <c r="V378" i="2"/>
  <c r="U379" i="2"/>
  <c r="V379" i="2"/>
  <c r="U380" i="2"/>
  <c r="V380" i="2"/>
  <c r="U381" i="2"/>
  <c r="V381" i="2"/>
  <c r="U382" i="2"/>
  <c r="V382" i="2"/>
  <c r="U383" i="2"/>
  <c r="V383" i="2"/>
  <c r="U384" i="2"/>
  <c r="V384" i="2"/>
  <c r="U385" i="2"/>
  <c r="V385" i="2"/>
  <c r="U386" i="2"/>
  <c r="V386" i="2"/>
  <c r="U387" i="2"/>
  <c r="V387" i="2"/>
  <c r="U388" i="2"/>
  <c r="V388" i="2"/>
  <c r="U389" i="2"/>
  <c r="V389" i="2"/>
  <c r="U390" i="2"/>
  <c r="V390" i="2"/>
  <c r="U391" i="2"/>
  <c r="V391" i="2"/>
  <c r="U392" i="2"/>
  <c r="V392" i="2"/>
  <c r="U393" i="2"/>
  <c r="V393" i="2"/>
  <c r="U394" i="2"/>
  <c r="V394" i="2"/>
  <c r="U395" i="2"/>
  <c r="V395" i="2"/>
  <c r="U396" i="2"/>
  <c r="V396" i="2"/>
  <c r="U397" i="2"/>
  <c r="V397" i="2"/>
  <c r="U398" i="2"/>
  <c r="V398" i="2"/>
  <c r="U399" i="2"/>
  <c r="V399" i="2"/>
  <c r="U400" i="2"/>
  <c r="V400" i="2"/>
  <c r="U401" i="2"/>
  <c r="V401" i="2"/>
  <c r="U402" i="2"/>
  <c r="V402" i="2"/>
  <c r="U403" i="2"/>
  <c r="V403" i="2"/>
  <c r="U404" i="2"/>
  <c r="V404" i="2"/>
  <c r="U405" i="2"/>
  <c r="V405" i="2"/>
  <c r="U406" i="2"/>
  <c r="V406" i="2"/>
  <c r="U407" i="2"/>
  <c r="V407" i="2"/>
  <c r="U408" i="2"/>
  <c r="V408" i="2"/>
  <c r="U409" i="2"/>
  <c r="V409" i="2"/>
  <c r="U410" i="2"/>
  <c r="V410" i="2"/>
  <c r="U411" i="2"/>
  <c r="V411" i="2"/>
  <c r="U412" i="2"/>
  <c r="V412" i="2"/>
  <c r="U413" i="2"/>
  <c r="V413" i="2"/>
  <c r="U414" i="2"/>
  <c r="V414" i="2"/>
  <c r="U415" i="2"/>
  <c r="V415" i="2"/>
  <c r="U416" i="2"/>
  <c r="V416" i="2"/>
  <c r="U417" i="2"/>
  <c r="V417" i="2"/>
  <c r="U418" i="2"/>
  <c r="V418" i="2"/>
  <c r="U419" i="2"/>
  <c r="V419" i="2"/>
  <c r="U420" i="2"/>
  <c r="V420" i="2"/>
  <c r="U421" i="2"/>
  <c r="V421" i="2"/>
  <c r="U422" i="2"/>
  <c r="V422" i="2"/>
  <c r="U423" i="2"/>
  <c r="V423" i="2"/>
  <c r="U424" i="2"/>
  <c r="V424" i="2"/>
  <c r="U425" i="2"/>
  <c r="V425" i="2"/>
  <c r="U426" i="2"/>
  <c r="V426" i="2"/>
  <c r="U427" i="2"/>
  <c r="V427" i="2"/>
  <c r="U428" i="2"/>
  <c r="V428" i="2"/>
  <c r="U429" i="2"/>
  <c r="V429" i="2"/>
  <c r="U430" i="2"/>
  <c r="V430" i="2"/>
  <c r="U431" i="2"/>
  <c r="V431" i="2"/>
  <c r="U432" i="2"/>
  <c r="V432" i="2"/>
  <c r="U433" i="2"/>
  <c r="V433" i="2"/>
  <c r="U434" i="2"/>
  <c r="V434" i="2"/>
  <c r="U435" i="2"/>
  <c r="V435" i="2"/>
  <c r="U436" i="2"/>
  <c r="V436" i="2"/>
  <c r="U437" i="2"/>
  <c r="V437" i="2"/>
  <c r="U438" i="2"/>
  <c r="V438" i="2"/>
  <c r="U439" i="2"/>
  <c r="V439" i="2"/>
  <c r="U440" i="2"/>
  <c r="V440" i="2"/>
  <c r="U441" i="2"/>
  <c r="V441" i="2"/>
  <c r="U442" i="2"/>
  <c r="V442" i="2"/>
  <c r="U443" i="2"/>
  <c r="V443" i="2"/>
  <c r="U444" i="2"/>
  <c r="V444" i="2"/>
  <c r="U445" i="2"/>
  <c r="V445" i="2"/>
  <c r="U446" i="2"/>
  <c r="V446" i="2"/>
  <c r="U447" i="2"/>
  <c r="V447" i="2"/>
  <c r="U448" i="2"/>
  <c r="V448" i="2"/>
  <c r="U449" i="2"/>
  <c r="V449" i="2"/>
  <c r="U450" i="2"/>
  <c r="V450" i="2"/>
  <c r="U451" i="2"/>
  <c r="V451" i="2"/>
  <c r="U452" i="2"/>
  <c r="V452" i="2"/>
  <c r="U453" i="2"/>
  <c r="V453" i="2"/>
  <c r="U454" i="2"/>
  <c r="V454" i="2"/>
  <c r="U455" i="2"/>
  <c r="V455" i="2"/>
  <c r="U456" i="2"/>
  <c r="V456" i="2"/>
  <c r="U457" i="2"/>
  <c r="V457" i="2"/>
  <c r="U458" i="2"/>
  <c r="V458" i="2"/>
  <c r="U459" i="2"/>
  <c r="V459" i="2"/>
  <c r="U460" i="2"/>
  <c r="V460" i="2"/>
  <c r="U461" i="2"/>
  <c r="V461" i="2"/>
  <c r="U462" i="2"/>
  <c r="V462" i="2"/>
  <c r="U463" i="2"/>
  <c r="V463" i="2"/>
  <c r="U464" i="2"/>
  <c r="V464" i="2"/>
  <c r="U465" i="2"/>
  <c r="V465" i="2"/>
  <c r="U466" i="2"/>
  <c r="V466" i="2"/>
  <c r="U467" i="2"/>
  <c r="V467" i="2"/>
  <c r="U468" i="2"/>
  <c r="V468" i="2"/>
  <c r="U469" i="2"/>
  <c r="V469" i="2"/>
  <c r="U470" i="2"/>
  <c r="V470" i="2"/>
  <c r="U471" i="2"/>
  <c r="V471" i="2"/>
  <c r="U472" i="2"/>
  <c r="V472" i="2"/>
  <c r="U473" i="2"/>
  <c r="V473" i="2"/>
  <c r="U474" i="2"/>
  <c r="V474" i="2"/>
  <c r="U475" i="2"/>
  <c r="V475" i="2"/>
  <c r="U476" i="2"/>
  <c r="V476" i="2"/>
  <c r="U477" i="2"/>
  <c r="V477" i="2"/>
  <c r="U478" i="2"/>
  <c r="V478" i="2"/>
  <c r="U479" i="2"/>
  <c r="V479" i="2"/>
  <c r="U480" i="2"/>
  <c r="V480" i="2"/>
  <c r="U481" i="2"/>
  <c r="V481" i="2"/>
  <c r="U482" i="2"/>
  <c r="V482" i="2"/>
  <c r="U483" i="2"/>
  <c r="V483" i="2"/>
  <c r="U484" i="2"/>
  <c r="V484" i="2"/>
  <c r="U485" i="2"/>
  <c r="V485" i="2"/>
  <c r="U486" i="2"/>
  <c r="V486" i="2"/>
  <c r="U487" i="2"/>
  <c r="V487" i="2"/>
  <c r="U488" i="2"/>
  <c r="V488" i="2"/>
  <c r="U489" i="2"/>
  <c r="V489" i="2"/>
  <c r="U490" i="2"/>
  <c r="V490" i="2"/>
  <c r="U491" i="2"/>
  <c r="V491" i="2"/>
  <c r="U492" i="2"/>
  <c r="V492" i="2"/>
  <c r="U493" i="2"/>
  <c r="V493" i="2"/>
  <c r="U494" i="2"/>
  <c r="V494" i="2"/>
  <c r="U495" i="2"/>
  <c r="V495" i="2"/>
  <c r="U496" i="2"/>
  <c r="V496" i="2"/>
  <c r="U497" i="2"/>
  <c r="V497" i="2"/>
  <c r="U498" i="2"/>
  <c r="V498" i="2"/>
  <c r="U499" i="2"/>
  <c r="V499" i="2"/>
  <c r="U500" i="2"/>
  <c r="V500" i="2"/>
  <c r="U501" i="2"/>
  <c r="V501" i="2"/>
  <c r="U502" i="2"/>
  <c r="V502" i="2"/>
  <c r="U503" i="2"/>
  <c r="V503" i="2"/>
  <c r="U504" i="2"/>
  <c r="V504" i="2"/>
  <c r="U505" i="2"/>
  <c r="V505" i="2"/>
  <c r="U506" i="2"/>
  <c r="V506" i="2"/>
  <c r="U507" i="2"/>
  <c r="V507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U248" i="2"/>
  <c r="V248" i="2"/>
  <c r="U19" i="4" l="1"/>
  <c r="T19" i="4"/>
  <c r="O19" i="4"/>
  <c r="R19" i="4"/>
  <c r="S19" i="4"/>
  <c r="G19" i="4"/>
  <c r="I19" i="4" s="1"/>
  <c r="N19" i="4"/>
  <c r="P19" i="4"/>
  <c r="Q19" i="4"/>
  <c r="T18" i="4"/>
  <c r="U18" i="4"/>
  <c r="E18" i="4"/>
  <c r="I18" i="4" s="1"/>
  <c r="N18" i="4"/>
  <c r="Q18" i="4"/>
  <c r="O18" i="4"/>
  <c r="P18" i="4"/>
  <c r="S18" i="4"/>
  <c r="R18" i="4"/>
  <c r="U17" i="4"/>
  <c r="N10" i="21" s="1"/>
  <c r="O10" i="21" s="1"/>
  <c r="T17" i="4"/>
  <c r="O17" i="4"/>
  <c r="E10" i="21" s="1"/>
  <c r="S17" i="4"/>
  <c r="K10" i="21" s="1"/>
  <c r="L10" i="21" s="1"/>
  <c r="R17" i="4"/>
  <c r="Q17" i="4"/>
  <c r="H10" i="21" s="1"/>
  <c r="I10" i="21" s="1"/>
  <c r="N17" i="4"/>
  <c r="P17" i="4"/>
  <c r="T16" i="4"/>
  <c r="U16" i="4"/>
  <c r="N9" i="21" s="1"/>
  <c r="O9" i="21" s="1"/>
  <c r="O16" i="4"/>
  <c r="E9" i="21" s="1"/>
  <c r="N16" i="4"/>
  <c r="S16" i="4"/>
  <c r="K9" i="21" s="1"/>
  <c r="L9" i="21" s="1"/>
  <c r="R16" i="4"/>
  <c r="P16" i="4"/>
  <c r="Q16" i="4"/>
  <c r="H9" i="21" s="1"/>
  <c r="I9" i="21" s="1"/>
  <c r="S13" i="4"/>
  <c r="K6" i="21" s="1"/>
  <c r="L6" i="21" s="1"/>
  <c r="R14" i="4"/>
  <c r="R12" i="4"/>
  <c r="S4" i="4"/>
  <c r="R10" i="4"/>
  <c r="R6" i="4"/>
  <c r="S15" i="4"/>
  <c r="K8" i="21" s="1"/>
  <c r="L8" i="21" s="1"/>
  <c r="S7" i="4"/>
  <c r="R7" i="4"/>
  <c r="S2" i="4"/>
  <c r="R13" i="4"/>
  <c r="S9" i="4"/>
  <c r="R11" i="4"/>
  <c r="R3" i="4"/>
  <c r="S5" i="4"/>
  <c r="S6" i="4"/>
  <c r="S8" i="4"/>
  <c r="S11" i="4"/>
  <c r="K4" i="21" s="1"/>
  <c r="L4" i="21" s="1"/>
  <c r="R15" i="4"/>
  <c r="R9" i="4"/>
  <c r="R8" i="4"/>
  <c r="S3" i="4"/>
  <c r="S10" i="4"/>
  <c r="K3" i="21" s="1"/>
  <c r="K16" i="21" s="1"/>
  <c r="R5" i="4"/>
  <c r="S12" i="4"/>
  <c r="K5" i="21" s="1"/>
  <c r="S14" i="4"/>
  <c r="K7" i="21" s="1"/>
  <c r="L7" i="21" s="1"/>
  <c r="R2" i="4"/>
  <c r="R4" i="4"/>
  <c r="Q4" i="4"/>
  <c r="Q14" i="4"/>
  <c r="H7" i="21" s="1"/>
  <c r="I7" i="21" s="1"/>
  <c r="Q6" i="4"/>
  <c r="Q2" i="4"/>
  <c r="Q15" i="4"/>
  <c r="H8" i="21" s="1"/>
  <c r="I8" i="21" s="1"/>
  <c r="Q7" i="4"/>
  <c r="Q12" i="4"/>
  <c r="H5" i="21" s="1"/>
  <c r="Q11" i="4"/>
  <c r="H4" i="21" s="1"/>
  <c r="I4" i="21" s="1"/>
  <c r="Q5" i="4"/>
  <c r="Q10" i="4"/>
  <c r="H3" i="21" s="1"/>
  <c r="H16" i="21" s="1"/>
  <c r="Q13" i="4"/>
  <c r="H6" i="21" s="1"/>
  <c r="I6" i="21" s="1"/>
  <c r="Q3" i="4"/>
  <c r="Q9" i="4"/>
  <c r="Q8" i="4"/>
  <c r="U9" i="4"/>
  <c r="U12" i="4"/>
  <c r="N5" i="21" s="1"/>
  <c r="U4" i="4"/>
  <c r="U10" i="4"/>
  <c r="N3" i="21" s="1"/>
  <c r="N16" i="21" s="1"/>
  <c r="U3" i="4"/>
  <c r="U11" i="4"/>
  <c r="N4" i="21" s="1"/>
  <c r="O4" i="21" s="1"/>
  <c r="U15" i="4"/>
  <c r="N8" i="21" s="1"/>
  <c r="O8" i="21" s="1"/>
  <c r="U7" i="4"/>
  <c r="U14" i="4"/>
  <c r="N7" i="21" s="1"/>
  <c r="O7" i="21" s="1"/>
  <c r="U13" i="4"/>
  <c r="N6" i="21" s="1"/>
  <c r="O6" i="21" s="1"/>
  <c r="U5" i="4"/>
  <c r="U8" i="4"/>
  <c r="U2" i="4"/>
  <c r="U6" i="4"/>
  <c r="O7" i="4"/>
  <c r="O6" i="4"/>
  <c r="O8" i="4"/>
  <c r="O13" i="4"/>
  <c r="E6" i="21" s="1"/>
  <c r="O12" i="4"/>
  <c r="E5" i="21" s="1"/>
  <c r="O5" i="4"/>
  <c r="O3" i="4"/>
  <c r="O10" i="4"/>
  <c r="E3" i="21" s="1"/>
  <c r="E16" i="21" s="1"/>
  <c r="O4" i="4"/>
  <c r="O15" i="4"/>
  <c r="E8" i="21" s="1"/>
  <c r="O9" i="4"/>
  <c r="O11" i="4"/>
  <c r="E4" i="21" s="1"/>
  <c r="O14" i="4"/>
  <c r="E7" i="21" s="1"/>
  <c r="O2" i="4"/>
  <c r="N15" i="4"/>
  <c r="P15" i="4"/>
  <c r="P14" i="4"/>
  <c r="P4" i="4"/>
  <c r="P7" i="4"/>
  <c r="P6" i="4"/>
  <c r="P2" i="4"/>
  <c r="P10" i="4"/>
  <c r="P3" i="4"/>
  <c r="P13" i="4"/>
  <c r="P5" i="4"/>
  <c r="P12" i="4"/>
  <c r="P9" i="4"/>
  <c r="P11" i="4"/>
  <c r="P8" i="4"/>
  <c r="T13" i="4"/>
  <c r="T12" i="4"/>
  <c r="T3" i="4"/>
  <c r="T9" i="4"/>
  <c r="T2" i="4"/>
  <c r="T4" i="4"/>
  <c r="T8" i="4"/>
  <c r="T5" i="4"/>
  <c r="T10" i="4"/>
  <c r="T14" i="4"/>
  <c r="T11" i="4"/>
  <c r="T15" i="4"/>
  <c r="T7" i="4"/>
  <c r="T6" i="4"/>
  <c r="N5" i="4"/>
  <c r="N7" i="4"/>
  <c r="N10" i="4"/>
  <c r="N13" i="4"/>
  <c r="N4" i="4"/>
  <c r="N14" i="4"/>
  <c r="N3" i="4"/>
  <c r="N6" i="4"/>
  <c r="N11" i="4"/>
  <c r="N9" i="4"/>
  <c r="N2" i="4"/>
  <c r="N8" i="4"/>
  <c r="N12" i="4"/>
  <c r="W676" i="1"/>
  <c r="R223" i="1"/>
  <c r="S219" i="1"/>
  <c r="W542" i="1"/>
  <c r="S1167" i="1"/>
  <c r="R473" i="1"/>
  <c r="S985" i="1"/>
  <c r="W924" i="1"/>
  <c r="S72" i="1"/>
  <c r="W984" i="1"/>
  <c r="W72" i="1"/>
  <c r="R543" i="1"/>
  <c r="R1167" i="1"/>
  <c r="R924" i="1"/>
  <c r="S361" i="1"/>
  <c r="W1167" i="1"/>
  <c r="R474" i="1"/>
  <c r="R984" i="1"/>
  <c r="S471" i="1"/>
  <c r="S542" i="1"/>
  <c r="S676" i="1"/>
  <c r="S1044" i="1"/>
  <c r="W221" i="1"/>
  <c r="W474" i="1"/>
  <c r="W543" i="1"/>
  <c r="W985" i="1"/>
  <c r="S73" i="1"/>
  <c r="W1109" i="1"/>
  <c r="W1044" i="1"/>
  <c r="W219" i="1"/>
  <c r="R73" i="1"/>
  <c r="R72" i="1"/>
  <c r="S543" i="1"/>
  <c r="S984" i="1"/>
  <c r="R471" i="1"/>
  <c r="S1109" i="1"/>
  <c r="R1044" i="1"/>
  <c r="R221" i="1"/>
  <c r="S924" i="1"/>
  <c r="W471" i="1"/>
  <c r="R1109" i="1"/>
  <c r="W73" i="1"/>
  <c r="S223" i="1"/>
  <c r="S474" i="1"/>
  <c r="W361" i="1"/>
  <c r="R676" i="1"/>
  <c r="S221" i="1"/>
  <c r="R219" i="1"/>
  <c r="W223" i="1"/>
  <c r="S473" i="1"/>
  <c r="R542" i="1"/>
  <c r="W473" i="1"/>
  <c r="R361" i="1"/>
  <c r="R985" i="1"/>
  <c r="R920" i="1"/>
  <c r="S1162" i="1"/>
  <c r="W1136" i="1"/>
  <c r="S1210" i="1"/>
  <c r="W1229" i="1"/>
  <c r="R981" i="1"/>
  <c r="W1249" i="1"/>
  <c r="R1192" i="1"/>
  <c r="W920" i="1"/>
  <c r="W1192" i="1"/>
  <c r="S1249" i="1"/>
  <c r="W981" i="1"/>
  <c r="R1210" i="1"/>
  <c r="S1192" i="1"/>
  <c r="W1162" i="1"/>
  <c r="R1037" i="1"/>
  <c r="W1106" i="1"/>
  <c r="R1073" i="1"/>
  <c r="W746" i="1"/>
  <c r="R1249" i="1"/>
  <c r="S1073" i="1"/>
  <c r="R1229" i="1"/>
  <c r="S1037" i="1"/>
  <c r="R746" i="1"/>
  <c r="R1136" i="1"/>
  <c r="S920" i="1"/>
  <c r="R1106" i="1"/>
  <c r="W1073" i="1"/>
  <c r="S1229" i="1"/>
  <c r="W1037" i="1"/>
  <c r="S746" i="1"/>
  <c r="S1106" i="1"/>
  <c r="W1210" i="1"/>
  <c r="S1136" i="1"/>
  <c r="S981" i="1"/>
  <c r="R1162" i="1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2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6" i="18"/>
  <c r="B255" i="18"/>
  <c r="B254" i="18"/>
  <c r="B253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D4" i="17"/>
  <c r="D5" i="17"/>
  <c r="D6" i="17"/>
  <c r="D7" i="17"/>
  <c r="D8" i="17"/>
  <c r="D9" i="17"/>
  <c r="D10" i="17"/>
  <c r="D2" i="17"/>
  <c r="H90" i="7"/>
  <c r="I90" i="7"/>
  <c r="J90" i="7"/>
  <c r="K90" i="7"/>
  <c r="H95" i="7"/>
  <c r="I95" i="7"/>
  <c r="J95" i="7"/>
  <c r="K95" i="7"/>
  <c r="H99" i="7"/>
  <c r="I99" i="7"/>
  <c r="J99" i="7"/>
  <c r="K99" i="7"/>
  <c r="H101" i="7"/>
  <c r="I101" i="7"/>
  <c r="J101" i="7"/>
  <c r="K101" i="7"/>
  <c r="H111" i="7"/>
  <c r="I111" i="7"/>
  <c r="J111" i="7"/>
  <c r="K111" i="7"/>
  <c r="H113" i="7"/>
  <c r="I113" i="7"/>
  <c r="J113" i="7"/>
  <c r="K113" i="7"/>
  <c r="O268" i="15"/>
  <c r="Q268" i="15" s="1"/>
  <c r="O267" i="15"/>
  <c r="AL922" i="1"/>
  <c r="AL32" i="1"/>
  <c r="AL163" i="1"/>
  <c r="AL11" i="1"/>
  <c r="AL195" i="1"/>
  <c r="AL67" i="1"/>
  <c r="AL68" i="1"/>
  <c r="AL55" i="1"/>
  <c r="AL56" i="1"/>
  <c r="AL87" i="1"/>
  <c r="AL97" i="1"/>
  <c r="AL694" i="1"/>
  <c r="AL239" i="1"/>
  <c r="AL106" i="1"/>
  <c r="AL585" i="1"/>
  <c r="AL805" i="1"/>
  <c r="AL282" i="1"/>
  <c r="AL125" i="1"/>
  <c r="AL165" i="1"/>
  <c r="AL162" i="1"/>
  <c r="AL170" i="1"/>
  <c r="AL164" i="1"/>
  <c r="AL171" i="1"/>
  <c r="AL374" i="1"/>
  <c r="AL169" i="1"/>
  <c r="AL204" i="1"/>
  <c r="AL205" i="1"/>
  <c r="AL183" i="1"/>
  <c r="AL184" i="1"/>
  <c r="AL185" i="1"/>
  <c r="AL172" i="1"/>
  <c r="AL206" i="1"/>
  <c r="AL180" i="1"/>
  <c r="AL179" i="1"/>
  <c r="AL216" i="1"/>
  <c r="AL217" i="1"/>
  <c r="AL186" i="1"/>
  <c r="AL371" i="1"/>
  <c r="AL194" i="1"/>
  <c r="AL197" i="1"/>
  <c r="AL671" i="1"/>
  <c r="AL612" i="1"/>
  <c r="AL229" i="1"/>
  <c r="AL230" i="1"/>
  <c r="AL214" i="1"/>
  <c r="AL330" i="1"/>
  <c r="AL213" i="1"/>
  <c r="AL262" i="1"/>
  <c r="AL207" i="1"/>
  <c r="AL208" i="1"/>
  <c r="AL209" i="1"/>
  <c r="AL387" i="1"/>
  <c r="AL233" i="1"/>
  <c r="AL238" i="1"/>
  <c r="AL187" i="1"/>
  <c r="AL246" i="1"/>
  <c r="AL255" i="1"/>
  <c r="AL375" i="1"/>
  <c r="AL264" i="1"/>
  <c r="AL725" i="1"/>
  <c r="AL1008" i="1"/>
  <c r="AL394" i="1"/>
  <c r="AL265" i="1"/>
  <c r="AL736" i="1"/>
  <c r="AL743" i="1"/>
  <c r="AL291" i="1"/>
  <c r="AL298" i="1"/>
  <c r="AL627" i="1"/>
  <c r="AL302" i="1"/>
  <c r="AL299" i="1"/>
  <c r="AL322" i="1"/>
  <c r="AL328" i="1"/>
  <c r="AL329" i="1"/>
  <c r="AL304" i="1"/>
  <c r="AL305" i="1"/>
  <c r="AL430" i="1"/>
  <c r="AL412" i="1"/>
  <c r="AL312" i="1"/>
  <c r="AL311" i="1"/>
  <c r="AL355" i="1"/>
  <c r="AL356" i="1"/>
  <c r="AL319" i="1"/>
  <c r="AL549" i="1"/>
  <c r="AL320" i="1"/>
  <c r="AL323" i="1"/>
  <c r="AL359" i="1"/>
  <c r="AL350" i="1"/>
  <c r="AL351" i="1"/>
  <c r="AL352" i="1"/>
  <c r="AL210" i="1"/>
  <c r="AL331" i="1"/>
  <c r="AL332" i="1"/>
  <c r="AL357" i="1"/>
  <c r="AL390" i="1"/>
  <c r="AL367" i="1"/>
  <c r="AL575" i="1"/>
  <c r="AL370" i="1"/>
  <c r="AL368" i="1"/>
  <c r="AL391" i="1"/>
  <c r="AL418" i="1"/>
  <c r="AL379" i="1"/>
  <c r="AL376" i="1"/>
  <c r="AL499" i="1"/>
  <c r="AL382" i="1"/>
  <c r="AL483" i="1"/>
  <c r="AL715" i="1"/>
  <c r="AL662" i="1"/>
  <c r="AL393" i="1"/>
  <c r="AL649" i="1"/>
  <c r="AL392" i="1"/>
  <c r="AL400" i="1"/>
  <c r="AL396" i="1"/>
  <c r="AL402" i="1"/>
  <c r="AL407" i="1"/>
  <c r="AL409" i="1"/>
  <c r="AL408" i="1"/>
  <c r="AL431" i="1"/>
  <c r="AL526" i="1"/>
  <c r="AL410" i="1"/>
  <c r="AL604" i="1"/>
  <c r="AL415" i="1"/>
  <c r="AL414" i="1"/>
  <c r="AL306" i="1"/>
  <c r="AL468" i="1"/>
  <c r="AL425" i="1"/>
  <c r="AL682" i="1"/>
  <c r="AL426" i="1"/>
  <c r="AL417" i="1"/>
  <c r="AL923" i="1"/>
  <c r="AL427" i="1"/>
  <c r="AL440" i="1"/>
  <c r="AL441" i="1"/>
  <c r="AL442" i="1"/>
  <c r="AL333" i="1"/>
  <c r="AL334" i="1"/>
  <c r="AL432" i="1"/>
  <c r="AL470" i="1"/>
  <c r="AL437" i="1"/>
  <c r="AL498" i="1"/>
  <c r="AL711" i="1"/>
  <c r="AL477" i="1"/>
  <c r="AL478" i="1"/>
  <c r="AL486" i="1"/>
  <c r="AL419" i="1"/>
  <c r="AL562" i="1"/>
  <c r="AL491" i="1"/>
  <c r="AL484" i="1"/>
  <c r="AL488" i="1"/>
  <c r="AL654" i="1"/>
  <c r="AL640" i="1"/>
  <c r="AL500" i="1"/>
  <c r="AL781" i="1"/>
  <c r="AL497" i="1"/>
  <c r="AL502" i="1"/>
  <c r="AL660" i="1"/>
  <c r="AL730" i="1"/>
  <c r="AL577" i="1"/>
  <c r="AL503" i="1"/>
  <c r="AL511" i="1"/>
  <c r="AL538" i="1"/>
  <c r="AL520" i="1"/>
  <c r="AL519" i="1"/>
  <c r="AL535" i="1"/>
  <c r="AL536" i="1"/>
  <c r="AL537" i="1"/>
  <c r="AL433" i="1"/>
  <c r="AL434" i="1"/>
  <c r="AL527" i="1"/>
  <c r="AL539" i="1"/>
  <c r="AL533" i="1"/>
  <c r="AL750" i="1"/>
  <c r="AL540" i="1"/>
  <c r="AL582" i="1"/>
  <c r="AL787" i="1"/>
  <c r="AL944" i="1"/>
  <c r="AL557" i="1"/>
  <c r="AL554" i="1"/>
  <c r="AL555" i="1"/>
  <c r="AL583" i="1"/>
  <c r="AL959" i="1"/>
  <c r="AL565" i="1"/>
  <c r="AL564" i="1"/>
  <c r="AL771" i="1"/>
  <c r="AL696" i="1"/>
  <c r="AL724" i="1"/>
  <c r="AL570" i="1"/>
  <c r="AL552" i="1"/>
  <c r="AL553" i="1"/>
  <c r="AL563" i="1"/>
  <c r="AL858" i="1"/>
  <c r="AL569" i="1"/>
  <c r="AL705" i="1"/>
  <c r="AL568" i="1"/>
  <c r="AL968" i="1"/>
  <c r="AL580" i="1"/>
  <c r="AL587" i="1"/>
  <c r="AL579" i="1"/>
  <c r="AL789" i="1"/>
  <c r="AL871" i="1"/>
  <c r="AL791" i="1"/>
  <c r="AL584" i="1"/>
  <c r="AL638" i="1"/>
  <c r="AL581" i="1"/>
  <c r="AL589" i="1"/>
  <c r="AL875" i="1"/>
  <c r="AL590" i="1"/>
  <c r="AL876" i="1"/>
  <c r="AL505" i="1"/>
  <c r="AL591" i="1"/>
  <c r="AL592" i="1"/>
  <c r="AL1031" i="1"/>
  <c r="AL912" i="1"/>
  <c r="AL598" i="1"/>
  <c r="AL668" i="1"/>
  <c r="AL599" i="1"/>
  <c r="AL749" i="1"/>
  <c r="AL613" i="1"/>
  <c r="AL614" i="1"/>
  <c r="AL528" i="1"/>
  <c r="AL529" i="1"/>
  <c r="AL605" i="1"/>
  <c r="AL608" i="1"/>
  <c r="AL652" i="1"/>
  <c r="AL621" i="1"/>
  <c r="AL1054" i="1"/>
  <c r="AL1113" i="1"/>
  <c r="AL622" i="1"/>
  <c r="AL624" i="1"/>
  <c r="AL620" i="1"/>
  <c r="AL377" i="1"/>
  <c r="AL628" i="1"/>
  <c r="AL631" i="1"/>
  <c r="AL632" i="1"/>
  <c r="AL722" i="1"/>
  <c r="AL637" i="1"/>
  <c r="AL870" i="1"/>
  <c r="AL641" i="1"/>
  <c r="AL642" i="1"/>
  <c r="AL629" i="1"/>
  <c r="AL796" i="1"/>
  <c r="AL989" i="1"/>
  <c r="AL1060" i="1"/>
  <c r="AL655" i="1"/>
  <c r="AL731" i="1"/>
  <c r="AL659" i="1"/>
  <c r="AL661" i="1"/>
  <c r="AL664" i="1"/>
  <c r="AL806" i="1"/>
  <c r="AL973" i="1"/>
  <c r="AL666" i="1"/>
  <c r="AL513" i="1"/>
  <c r="AL812" i="1"/>
  <c r="AL1163" i="1"/>
  <c r="AL674" i="1"/>
  <c r="AL721" i="1"/>
  <c r="AL680" i="1"/>
  <c r="AL681" i="1"/>
  <c r="AL685" i="1"/>
  <c r="AL867" i="1"/>
  <c r="AL702" i="1"/>
  <c r="AL697" i="1"/>
  <c r="AL698" i="1"/>
  <c r="AL950" i="1"/>
  <c r="AL706" i="1"/>
  <c r="AL695" i="1"/>
  <c r="AL686" i="1"/>
  <c r="AL1002" i="1"/>
  <c r="AL839" i="1"/>
  <c r="AL1089" i="1"/>
  <c r="AL816" i="1"/>
  <c r="AL719" i="1"/>
  <c r="AL723" i="1"/>
  <c r="AL963" i="1"/>
  <c r="AL732" i="1"/>
  <c r="AL716" i="1"/>
  <c r="AL740" i="1"/>
  <c r="AL744" i="1"/>
  <c r="AL745" i="1"/>
  <c r="AL747" i="1"/>
  <c r="AL794" i="1"/>
  <c r="AL1055" i="1"/>
  <c r="AL758" i="1"/>
  <c r="AL757" i="1"/>
  <c r="AL1010" i="1"/>
  <c r="AL773" i="1"/>
  <c r="AL770" i="1"/>
  <c r="AL639" i="1"/>
  <c r="AL560" i="1"/>
  <c r="AL772" i="1"/>
  <c r="AL769" i="1"/>
  <c r="AL1013" i="1"/>
  <c r="AL777" i="1"/>
  <c r="AL754" i="1"/>
  <c r="AL768" i="1"/>
  <c r="AL1110" i="1"/>
  <c r="AL1119" i="1"/>
  <c r="AL798" i="1"/>
  <c r="AL793" i="1"/>
  <c r="AL945" i="1"/>
  <c r="AL767" i="1"/>
  <c r="AL866" i="1"/>
  <c r="AL1023" i="1"/>
  <c r="AL964" i="1"/>
  <c r="AL1040" i="1"/>
  <c r="AL815" i="1"/>
  <c r="AL820" i="1"/>
  <c r="AL834" i="1"/>
  <c r="AL831" i="1"/>
  <c r="AL830" i="1"/>
  <c r="AL832" i="1"/>
  <c r="AL829" i="1"/>
  <c r="AL819" i="1"/>
  <c r="AL840" i="1"/>
  <c r="AL927" i="1"/>
  <c r="AL952" i="1"/>
  <c r="AL567" i="1"/>
  <c r="AL838" i="1"/>
  <c r="AL1141" i="1"/>
  <c r="AL854" i="1"/>
  <c r="AL857" i="1"/>
  <c r="AL861" i="1"/>
  <c r="AL865" i="1"/>
  <c r="AL869" i="1"/>
  <c r="AL877" i="1"/>
  <c r="AL1024" i="1"/>
  <c r="AL880" i="1"/>
  <c r="AL1096" i="1"/>
  <c r="AL916" i="1"/>
  <c r="AL1101" i="1"/>
  <c r="AL919" i="1"/>
  <c r="AL933" i="1"/>
  <c r="AL990" i="1"/>
  <c r="AL1198" i="1"/>
  <c r="AL958" i="1"/>
  <c r="AL855" i="1"/>
  <c r="AL947" i="1"/>
  <c r="AL1199" i="1"/>
  <c r="AL1020" i="1"/>
  <c r="AL960" i="1"/>
  <c r="AL1025" i="1"/>
  <c r="AL962" i="1"/>
  <c r="AL966" i="1"/>
  <c r="AL860" i="1"/>
  <c r="AL905" i="1"/>
  <c r="AL971" i="1"/>
  <c r="AL972" i="1"/>
  <c r="AL974" i="1"/>
  <c r="AL1275" i="1"/>
  <c r="AL987" i="1"/>
  <c r="AL874" i="1"/>
  <c r="AL1007" i="1"/>
  <c r="AL1001" i="1"/>
  <c r="AL999" i="1"/>
  <c r="AL1169" i="1"/>
  <c r="AL1014" i="1"/>
  <c r="AL1012" i="1"/>
  <c r="AL928" i="1"/>
  <c r="AL1080" i="1"/>
  <c r="AL1019" i="1"/>
  <c r="AL1022" i="1"/>
  <c r="AL1021" i="1"/>
  <c r="AL1027" i="1"/>
  <c r="AL735" i="1"/>
  <c r="AL363" i="1"/>
  <c r="AL1099" i="1"/>
  <c r="AL1034" i="1"/>
  <c r="AL1035" i="1"/>
  <c r="AL1036" i="1"/>
  <c r="AL1130" i="1"/>
  <c r="AL1039" i="1"/>
  <c r="AL1038" i="1"/>
  <c r="AL1042" i="1"/>
  <c r="AL1041" i="1"/>
  <c r="AL1056" i="1"/>
  <c r="AL1083" i="1"/>
  <c r="AL1003" i="1"/>
  <c r="AL1265" i="1"/>
  <c r="AL1196" i="1"/>
  <c r="AL1085" i="1"/>
  <c r="AL1086" i="1"/>
  <c r="AL1084" i="1"/>
  <c r="AL1082" i="1"/>
  <c r="AL1088" i="1"/>
  <c r="AL1149" i="1"/>
  <c r="AL1153" i="1"/>
  <c r="AL1105" i="1"/>
  <c r="AL1117" i="1"/>
  <c r="AL1079" i="1"/>
  <c r="AL1116" i="1"/>
  <c r="AL1128" i="1"/>
  <c r="AL1291" i="1"/>
  <c r="AL1135" i="1"/>
  <c r="AL1137" i="1"/>
  <c r="AL1138" i="1"/>
  <c r="AL1147" i="1"/>
  <c r="AL1148" i="1"/>
  <c r="AL1154" i="1"/>
  <c r="AL1155" i="1"/>
  <c r="AL1158" i="1"/>
  <c r="AL1157" i="1"/>
  <c r="AL1161" i="1"/>
  <c r="AL1170" i="1"/>
  <c r="AL1181" i="1"/>
  <c r="AL1184" i="1"/>
  <c r="AL1189" i="1"/>
  <c r="AL1221" i="1"/>
  <c r="AL1194" i="1"/>
  <c r="AL1195" i="1"/>
  <c r="AL1204" i="1"/>
  <c r="AL1292" i="1"/>
  <c r="AL1211" i="1"/>
  <c r="AL1271" i="1"/>
  <c r="AL1213" i="1"/>
  <c r="AL1241" i="1"/>
  <c r="AL1247" i="1"/>
  <c r="AL1251" i="1"/>
  <c r="AL1266" i="1"/>
  <c r="AL1268" i="1"/>
  <c r="AL1272" i="1"/>
  <c r="AL1276" i="1"/>
  <c r="AL1285" i="1"/>
  <c r="AL1303" i="1"/>
  <c r="AL1288" i="1"/>
  <c r="AL1295" i="1"/>
  <c r="AL1304" i="1"/>
  <c r="AL1308" i="1"/>
  <c r="AL1309" i="1"/>
  <c r="AL1314" i="1"/>
  <c r="AL1316" i="1"/>
  <c r="AL1317" i="1"/>
  <c r="M106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B34" i="7"/>
  <c r="D34" i="7" s="1"/>
  <c r="B35" i="7"/>
  <c r="D35" i="7" s="1"/>
  <c r="B36" i="7"/>
  <c r="D36" i="7" s="1"/>
  <c r="B37" i="7"/>
  <c r="D37" i="7" s="1"/>
  <c r="AI1082" i="1"/>
  <c r="AF1082" i="1" s="1"/>
  <c r="A1082" i="1"/>
  <c r="AI962" i="1"/>
  <c r="AF962" i="1" s="1"/>
  <c r="A962" i="1"/>
  <c r="A659" i="1"/>
  <c r="AI659" i="1"/>
  <c r="AE659" i="1" s="1"/>
  <c r="H11" i="4"/>
  <c r="H10" i="4"/>
  <c r="V19" i="4" l="1"/>
  <c r="V18" i="4"/>
  <c r="Q10" i="21"/>
  <c r="F10" i="21"/>
  <c r="R10" i="21" s="1"/>
  <c r="V17" i="4"/>
  <c r="V16" i="4"/>
  <c r="Q9" i="21"/>
  <c r="F9" i="21"/>
  <c r="R9" i="21" s="1"/>
  <c r="V10" i="4"/>
  <c r="V8" i="4"/>
  <c r="V11" i="4"/>
  <c r="V13" i="4"/>
  <c r="V15" i="4"/>
  <c r="V12" i="4"/>
  <c r="V6" i="4"/>
  <c r="V3" i="4"/>
  <c r="V4" i="4"/>
  <c r="V9" i="4"/>
  <c r="V2" i="4"/>
  <c r="V7" i="4"/>
  <c r="V5" i="4"/>
  <c r="V14" i="4"/>
  <c r="Q5" i="21"/>
  <c r="Q3" i="21"/>
  <c r="Q16" i="21" s="1"/>
  <c r="Q7" i="21"/>
  <c r="F7" i="21"/>
  <c r="R7" i="21" s="1"/>
  <c r="Q4" i="21"/>
  <c r="F4" i="21"/>
  <c r="R4" i="21" s="1"/>
  <c r="Q6" i="21"/>
  <c r="F6" i="21"/>
  <c r="R6" i="21" s="1"/>
  <c r="R27" i="4"/>
  <c r="Q8" i="21"/>
  <c r="F8" i="21"/>
  <c r="R8" i="21" s="1"/>
  <c r="R28" i="4"/>
  <c r="T28" i="4"/>
  <c r="N27" i="4"/>
  <c r="N28" i="4"/>
  <c r="P27" i="4"/>
  <c r="P28" i="4"/>
  <c r="T27" i="4"/>
  <c r="AK962" i="1"/>
  <c r="AK659" i="1"/>
  <c r="AK1082" i="1"/>
  <c r="AE962" i="1"/>
  <c r="AE1082" i="1"/>
  <c r="AF659" i="1"/>
  <c r="V28" i="4" l="1"/>
  <c r="V27" i="4"/>
  <c r="K28" i="7"/>
  <c r="H28" i="7"/>
  <c r="I28" i="7"/>
  <c r="J28" i="7"/>
  <c r="A262" i="2" l="1"/>
  <c r="A263" i="2"/>
  <c r="A264" i="2"/>
  <c r="A265" i="2"/>
  <c r="A266" i="2"/>
  <c r="A267" i="2"/>
  <c r="A268" i="2"/>
  <c r="A269" i="2"/>
  <c r="A270" i="2"/>
  <c r="A271" i="2"/>
  <c r="A272" i="2"/>
  <c r="AI1241" i="1"/>
  <c r="AF1241" i="1" s="1"/>
  <c r="A1241" i="1"/>
  <c r="AI1135" i="1"/>
  <c r="AF1135" i="1" s="1"/>
  <c r="A1135" i="1"/>
  <c r="AI919" i="1"/>
  <c r="AF919" i="1" s="1"/>
  <c r="A919" i="1"/>
  <c r="A511" i="1"/>
  <c r="AI511" i="1"/>
  <c r="AF511" i="1" s="1"/>
  <c r="AI1314" i="1"/>
  <c r="AF1314" i="1" s="1"/>
  <c r="A1314" i="1"/>
  <c r="AI1272" i="1"/>
  <c r="AF1272" i="1" s="1"/>
  <c r="A1272" i="1"/>
  <c r="A1266" i="1"/>
  <c r="AI1266" i="1"/>
  <c r="AF1266" i="1" s="1"/>
  <c r="AI1105" i="1"/>
  <c r="AF1105" i="1" s="1"/>
  <c r="A1105" i="1"/>
  <c r="AI1002" i="1"/>
  <c r="AE1002" i="1" s="1"/>
  <c r="A1002" i="1"/>
  <c r="AI858" i="1"/>
  <c r="AF858" i="1" s="1"/>
  <c r="A858" i="1"/>
  <c r="AI715" i="1"/>
  <c r="AE715" i="1" s="1"/>
  <c r="A715" i="1"/>
  <c r="AI1268" i="1"/>
  <c r="AF1268" i="1" s="1"/>
  <c r="A1268" i="1"/>
  <c r="AI1137" i="1"/>
  <c r="AF1137" i="1" s="1"/>
  <c r="A1137" i="1"/>
  <c r="AI1221" i="1"/>
  <c r="AF1221" i="1" s="1"/>
  <c r="A1221" i="1"/>
  <c r="AI1130" i="1"/>
  <c r="AF1130" i="1" s="1"/>
  <c r="A1130" i="1"/>
  <c r="AI812" i="1"/>
  <c r="AF812" i="1" s="1"/>
  <c r="A812" i="1"/>
  <c r="AI1161" i="1"/>
  <c r="AE1161" i="1" s="1"/>
  <c r="A1161" i="1"/>
  <c r="AI1035" i="1"/>
  <c r="AF1035" i="1" s="1"/>
  <c r="A1035" i="1"/>
  <c r="AI744" i="1"/>
  <c r="AE744" i="1" s="1"/>
  <c r="A744" i="1"/>
  <c r="AI306" i="1"/>
  <c r="AF306" i="1" s="1"/>
  <c r="A306" i="1"/>
  <c r="AI1149" i="1"/>
  <c r="AF1149" i="1" s="1"/>
  <c r="A1149" i="1"/>
  <c r="AI1096" i="1"/>
  <c r="AF1096" i="1" s="1"/>
  <c r="A1096" i="1"/>
  <c r="AI1031" i="1"/>
  <c r="AF1031" i="1" s="1"/>
  <c r="A1031" i="1"/>
  <c r="AI1080" i="1"/>
  <c r="AF1080" i="1" s="1"/>
  <c r="A1080" i="1"/>
  <c r="AI866" i="1"/>
  <c r="AE866" i="1" s="1"/>
  <c r="A866" i="1"/>
  <c r="AI581" i="1"/>
  <c r="AF581" i="1" s="1"/>
  <c r="A581" i="1"/>
  <c r="AI1291" i="1"/>
  <c r="AF1291" i="1" s="1"/>
  <c r="A1291" i="1"/>
  <c r="AI1275" i="1"/>
  <c r="AF1275" i="1" s="1"/>
  <c r="A1275" i="1"/>
  <c r="AI513" i="1"/>
  <c r="AF513" i="1" s="1"/>
  <c r="A513" i="1"/>
  <c r="A1008" i="1"/>
  <c r="A402" i="1"/>
  <c r="A1036" i="1"/>
  <c r="A747" i="1"/>
  <c r="A745" i="1"/>
  <c r="A1042" i="1"/>
  <c r="AI1008" i="1"/>
  <c r="AE1008" i="1" s="1"/>
  <c r="AI402" i="1"/>
  <c r="AE402" i="1" s="1"/>
  <c r="AI1036" i="1"/>
  <c r="AF1036" i="1" s="1"/>
  <c r="AI747" i="1"/>
  <c r="AE747" i="1" s="1"/>
  <c r="AI745" i="1"/>
  <c r="AE745" i="1" s="1"/>
  <c r="AI1042" i="1"/>
  <c r="AE1042" i="1" s="1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B33" i="7"/>
  <c r="D33" i="7" s="1"/>
  <c r="A273" i="2"/>
  <c r="A274" i="2"/>
  <c r="A275" i="2"/>
  <c r="A276" i="2"/>
  <c r="A277" i="2"/>
  <c r="A278" i="2"/>
  <c r="A279" i="2"/>
  <c r="A280" i="2"/>
  <c r="A281" i="2"/>
  <c r="A282" i="2"/>
  <c r="A283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3" i="2"/>
  <c r="A504" i="2"/>
  <c r="A505" i="2"/>
  <c r="A506" i="2"/>
  <c r="A507" i="2"/>
  <c r="A1163" i="1"/>
  <c r="AI1163" i="1"/>
  <c r="AE1163" i="1" s="1"/>
  <c r="S5" i="2" l="1"/>
  <c r="L156" i="1"/>
  <c r="L271" i="1"/>
  <c r="Y271" i="1" s="1"/>
  <c r="L338" i="1"/>
  <c r="Y338" i="1" s="1"/>
  <c r="S4" i="2"/>
  <c r="L245" i="1"/>
  <c r="L244" i="1"/>
  <c r="L250" i="1"/>
  <c r="L158" i="1"/>
  <c r="L343" i="1"/>
  <c r="Y343" i="1" s="1"/>
  <c r="L340" i="1"/>
  <c r="Y340" i="1" s="1"/>
  <c r="L146" i="1"/>
  <c r="L155" i="1"/>
  <c r="L276" i="1"/>
  <c r="Y276" i="1" s="1"/>
  <c r="L152" i="1"/>
  <c r="L277" i="1"/>
  <c r="Y277" i="1" s="1"/>
  <c r="L153" i="1"/>
  <c r="L144" i="1"/>
  <c r="L242" i="1"/>
  <c r="L157" i="1"/>
  <c r="L344" i="1"/>
  <c r="Y344" i="1" s="1"/>
  <c r="L341" i="1"/>
  <c r="Y341" i="1" s="1"/>
  <c r="L149" i="1"/>
  <c r="L346" i="1"/>
  <c r="Y346" i="1" s="1"/>
  <c r="L241" i="1"/>
  <c r="Y241" i="1" s="1"/>
  <c r="L339" i="1"/>
  <c r="Y339" i="1" s="1"/>
  <c r="L342" i="1"/>
  <c r="Y342" i="1" s="1"/>
  <c r="L347" i="1"/>
  <c r="Y347" i="1" s="1"/>
  <c r="L161" i="1"/>
  <c r="L267" i="1"/>
  <c r="Y267" i="1" s="1"/>
  <c r="L457" i="1"/>
  <c r="L252" i="1"/>
  <c r="L145" i="1"/>
  <c r="L274" i="1"/>
  <c r="Y274" i="1" s="1"/>
  <c r="L148" i="1"/>
  <c r="L273" i="1"/>
  <c r="Y273" i="1" s="1"/>
  <c r="L249" i="1"/>
  <c r="L275" i="1"/>
  <c r="Y275" i="1" s="1"/>
  <c r="L154" i="1"/>
  <c r="S3" i="2"/>
  <c r="L278" i="1"/>
  <c r="Y278" i="1" s="1"/>
  <c r="L160" i="1"/>
  <c r="L269" i="1"/>
  <c r="Y269" i="1" s="1"/>
  <c r="L251" i="1"/>
  <c r="L337" i="1"/>
  <c r="Y337" i="1" s="1"/>
  <c r="L345" i="1"/>
  <c r="Y345" i="1" s="1"/>
  <c r="L240" i="1"/>
  <c r="Y240" i="1" s="1"/>
  <c r="L151" i="1"/>
  <c r="L159" i="1"/>
  <c r="L270" i="1"/>
  <c r="Y270" i="1" s="1"/>
  <c r="L272" i="1"/>
  <c r="Y272" i="1" s="1"/>
  <c r="L243" i="1"/>
  <c r="L150" i="1"/>
  <c r="L348" i="1"/>
  <c r="Y348" i="1" s="1"/>
  <c r="L268" i="1"/>
  <c r="Y268" i="1" s="1"/>
  <c r="L147" i="1"/>
  <c r="L889" i="1"/>
  <c r="L904" i="1"/>
  <c r="L700" i="1"/>
  <c r="Y700" i="1" s="1"/>
  <c r="L886" i="1"/>
  <c r="L900" i="1"/>
  <c r="L465" i="1"/>
  <c r="L901" i="1"/>
  <c r="L888" i="1"/>
  <c r="S6" i="2"/>
  <c r="L466" i="1"/>
  <c r="L458" i="1"/>
  <c r="L955" i="1"/>
  <c r="L462" i="1"/>
  <c r="Y462" i="1" s="1"/>
  <c r="L459" i="1"/>
  <c r="L956" i="1"/>
  <c r="L884" i="1"/>
  <c r="Y884" i="1" s="1"/>
  <c r="L885" i="1"/>
  <c r="Y885" i="1" s="1"/>
  <c r="L701" i="1"/>
  <c r="Y701" i="1" s="1"/>
  <c r="L896" i="1"/>
  <c r="L464" i="1"/>
  <c r="L461" i="1"/>
  <c r="Y461" i="1" s="1"/>
  <c r="L897" i="1"/>
  <c r="L892" i="1"/>
  <c r="L902" i="1"/>
  <c r="L883" i="1"/>
  <c r="Y883" i="1" s="1"/>
  <c r="L882" i="1"/>
  <c r="Y882" i="1" s="1"/>
  <c r="L460" i="1"/>
  <c r="Y460" i="1" s="1"/>
  <c r="S8" i="2"/>
  <c r="L899" i="1"/>
  <c r="Y899" i="1" s="1"/>
  <c r="L895" i="1"/>
  <c r="L954" i="1"/>
  <c r="L887" i="1"/>
  <c r="L467" i="1"/>
  <c r="L463" i="1"/>
  <c r="Y463" i="1" s="1"/>
  <c r="L894" i="1"/>
  <c r="L953" i="1"/>
  <c r="L699" i="1"/>
  <c r="Y699" i="1" s="1"/>
  <c r="S9" i="2"/>
  <c r="L898" i="1"/>
  <c r="S7" i="2"/>
  <c r="S10" i="2"/>
  <c r="L903" i="1"/>
  <c r="L893" i="1"/>
  <c r="L891" i="1"/>
  <c r="L890" i="1"/>
  <c r="L456" i="1"/>
  <c r="W890" i="1"/>
  <c r="V464" i="1"/>
  <c r="Z464" i="1" s="1"/>
  <c r="W462" i="1"/>
  <c r="R457" i="1"/>
  <c r="R903" i="1"/>
  <c r="R890" i="1"/>
  <c r="S11" i="2"/>
  <c r="S12" i="2"/>
  <c r="S13" i="2"/>
  <c r="V1142" i="1" s="1"/>
  <c r="Z1142" i="1" s="1"/>
  <c r="S14" i="2"/>
  <c r="L449" i="1"/>
  <c r="L448" i="1"/>
  <c r="L451" i="1"/>
  <c r="L450" i="1"/>
  <c r="R451" i="1"/>
  <c r="S451" i="1"/>
  <c r="V451" i="1"/>
  <c r="Z451" i="1" s="1"/>
  <c r="V449" i="1"/>
  <c r="Z449" i="1" s="1"/>
  <c r="S448" i="1"/>
  <c r="V448" i="1"/>
  <c r="Z448" i="1" s="1"/>
  <c r="W450" i="1"/>
  <c r="S450" i="1"/>
  <c r="S17" i="2"/>
  <c r="S16" i="2"/>
  <c r="L452" i="1"/>
  <c r="Y452" i="1" s="1"/>
  <c r="S15" i="2"/>
  <c r="L443" i="1"/>
  <c r="L446" i="1"/>
  <c r="L454" i="1"/>
  <c r="Y454" i="1" s="1"/>
  <c r="L445" i="1"/>
  <c r="L447" i="1"/>
  <c r="L444" i="1"/>
  <c r="L453" i="1"/>
  <c r="Y453" i="1" s="1"/>
  <c r="L455" i="1"/>
  <c r="Y455" i="1" s="1"/>
  <c r="R443" i="1"/>
  <c r="V447" i="1"/>
  <c r="Z447" i="1" s="1"/>
  <c r="W445" i="1"/>
  <c r="W444" i="1"/>
  <c r="S13" i="1"/>
  <c r="V130" i="1"/>
  <c r="Z130" i="1" s="1"/>
  <c r="V129" i="1"/>
  <c r="Z129" i="1" s="1"/>
  <c r="W129" i="1"/>
  <c r="S18" i="2"/>
  <c r="L934" i="1"/>
  <c r="Y934" i="1" s="1"/>
  <c r="L501" i="1"/>
  <c r="Y501" i="1" s="1"/>
  <c r="L658" i="1"/>
  <c r="Y658" i="1" s="1"/>
  <c r="R130" i="1"/>
  <c r="S19" i="2"/>
  <c r="L13" i="1"/>
  <c r="Y13" i="1" s="1"/>
  <c r="V13" i="1"/>
  <c r="Z13" i="1" s="1"/>
  <c r="L841" i="1"/>
  <c r="Y841" i="1" s="1"/>
  <c r="R13" i="1"/>
  <c r="S130" i="1"/>
  <c r="W130" i="1"/>
  <c r="L200" i="1"/>
  <c r="Y200" i="1" s="1"/>
  <c r="L728" i="1"/>
  <c r="Y728" i="1" s="1"/>
  <c r="L129" i="1"/>
  <c r="Y129" i="1" s="1"/>
  <c r="L131" i="1"/>
  <c r="Y131" i="1" s="1"/>
  <c r="R129" i="1"/>
  <c r="L130" i="1"/>
  <c r="Y130" i="1" s="1"/>
  <c r="S131" i="1"/>
  <c r="W13" i="1"/>
  <c r="S129" i="1"/>
  <c r="L199" i="1"/>
  <c r="Y199" i="1" s="1"/>
  <c r="L1047" i="1"/>
  <c r="Y1047" i="1" s="1"/>
  <c r="R131" i="1"/>
  <c r="V131" i="1"/>
  <c r="Z131" i="1" s="1"/>
  <c r="W131" i="1"/>
  <c r="S20" i="2"/>
  <c r="S23" i="2"/>
  <c r="S21" i="2"/>
  <c r="S24" i="2"/>
  <c r="S26" i="2"/>
  <c r="S25" i="2"/>
  <c r="L102" i="1"/>
  <c r="Y102" i="1" s="1"/>
  <c r="L423" i="1"/>
  <c r="Y423" i="1" s="1"/>
  <c r="L517" i="1"/>
  <c r="Y517" i="1" s="1"/>
  <c r="S22" i="2"/>
  <c r="L1289" i="1"/>
  <c r="L132" i="1"/>
  <c r="Y132" i="1" s="1"/>
  <c r="L191" i="1"/>
  <c r="Y191" i="1" s="1"/>
  <c r="L810" i="1"/>
  <c r="L1107" i="1"/>
  <c r="L316" i="1"/>
  <c r="Y316" i="1" s="1"/>
  <c r="L703" i="1"/>
  <c r="Y703" i="1" s="1"/>
  <c r="L566" i="1"/>
  <c r="Y566" i="1" s="1"/>
  <c r="L293" i="1"/>
  <c r="L422" i="1"/>
  <c r="Y422" i="1" s="1"/>
  <c r="L835" i="1"/>
  <c r="Y835" i="1" s="1"/>
  <c r="L381" i="1"/>
  <c r="Y381" i="1" s="1"/>
  <c r="L1302" i="1"/>
  <c r="W422" i="1"/>
  <c r="W1302" i="1"/>
  <c r="R422" i="1"/>
  <c r="V566" i="1"/>
  <c r="Z566" i="1" s="1"/>
  <c r="S835" i="1"/>
  <c r="W423" i="1"/>
  <c r="V1302" i="1"/>
  <c r="Z1302" i="1" s="1"/>
  <c r="V1289" i="1"/>
  <c r="Z1289" i="1" s="1"/>
  <c r="R703" i="1"/>
  <c r="W703" i="1"/>
  <c r="V422" i="1"/>
  <c r="Z422" i="1" s="1"/>
  <c r="R810" i="1"/>
  <c r="R566" i="1"/>
  <c r="R517" i="1"/>
  <c r="S1302" i="1"/>
  <c r="V381" i="1"/>
  <c r="Z381" i="1" s="1"/>
  <c r="S27" i="2"/>
  <c r="S28" i="2"/>
  <c r="L120" i="1"/>
  <c r="L644" i="1"/>
  <c r="Y644" i="1" s="1"/>
  <c r="L1298" i="1"/>
  <c r="L645" i="1"/>
  <c r="Y645" i="1" s="1"/>
  <c r="L512" i="1"/>
  <c r="L235" i="1"/>
  <c r="Y235" i="1" s="1"/>
  <c r="L383" i="1"/>
  <c r="Y383" i="1" s="1"/>
  <c r="L1240" i="1"/>
  <c r="Y1240" i="1" s="1"/>
  <c r="L1238" i="1"/>
  <c r="L480" i="1"/>
  <c r="Y480" i="1" s="1"/>
  <c r="L121" i="1"/>
  <c r="L991" i="1"/>
  <c r="Y991" i="1" s="1"/>
  <c r="L378" i="1"/>
  <c r="L907" i="1"/>
  <c r="Y907" i="1" s="1"/>
  <c r="L573" i="1"/>
  <c r="Y573" i="1" s="1"/>
  <c r="L741" i="1"/>
  <c r="L28" i="1"/>
  <c r="Y28" i="1" s="1"/>
  <c r="L481" i="1"/>
  <c r="Y481" i="1" s="1"/>
  <c r="L1282" i="1"/>
  <c r="L509" i="1"/>
  <c r="L1171" i="1"/>
  <c r="Y1171" i="1" s="1"/>
  <c r="L1260" i="1"/>
  <c r="L52" i="1"/>
  <c r="L708" i="1"/>
  <c r="Y708" i="1" s="1"/>
  <c r="L1074" i="1"/>
  <c r="L514" i="1"/>
  <c r="L1139" i="1"/>
  <c r="Y1139" i="1" s="1"/>
  <c r="L1144" i="1"/>
  <c r="Y1144" i="1" s="1"/>
  <c r="L1236" i="1"/>
  <c r="Y1236" i="1" s="1"/>
  <c r="L1226" i="1"/>
  <c r="L1072" i="1"/>
  <c r="L625" i="1"/>
  <c r="Y625" i="1" s="1"/>
  <c r="L1224" i="1"/>
  <c r="L842" i="1"/>
  <c r="Y842" i="1" s="1"/>
  <c r="L1123" i="1"/>
  <c r="L689" i="1"/>
  <c r="Y689" i="1" s="1"/>
  <c r="L1310" i="1"/>
  <c r="Y1310" i="1" s="1"/>
  <c r="L1174" i="1"/>
  <c r="L1248" i="1"/>
  <c r="L114" i="1"/>
  <c r="Y114" i="1" s="1"/>
  <c r="L385" i="1"/>
  <c r="Y385" i="1" s="1"/>
  <c r="L1062" i="1"/>
  <c r="Y1062" i="1" s="1"/>
  <c r="L1253" i="1"/>
  <c r="L643" i="1"/>
  <c r="Y643" i="1" s="1"/>
  <c r="L917" i="1"/>
  <c r="L279" i="1"/>
  <c r="L707" i="1"/>
  <c r="Y707" i="1" s="1"/>
  <c r="L373" i="1"/>
  <c r="Y373" i="1" s="1"/>
  <c r="L1239" i="1"/>
  <c r="L1065" i="1"/>
  <c r="Y1065" i="1" s="1"/>
  <c r="L257" i="1"/>
  <c r="Y257" i="1" s="1"/>
  <c r="L1143" i="1"/>
  <c r="Y1143" i="1" s="1"/>
  <c r="L1278" i="1"/>
  <c r="L1232" i="1"/>
  <c r="L1216" i="1"/>
  <c r="Y1216" i="1" s="1"/>
  <c r="L1245" i="1"/>
  <c r="Y1245" i="1" s="1"/>
  <c r="L1048" i="1"/>
  <c r="Y1048" i="1" s="1"/>
  <c r="L814" i="1"/>
  <c r="L936" i="1"/>
  <c r="Y936" i="1" s="1"/>
  <c r="L256" i="1"/>
  <c r="Y256" i="1" s="1"/>
  <c r="L1182" i="1"/>
  <c r="Y1182" i="1" s="1"/>
  <c r="L1246" i="1"/>
  <c r="Y1246" i="1" s="1"/>
  <c r="L9" i="1"/>
  <c r="Y9" i="1" s="1"/>
  <c r="L137" i="1"/>
  <c r="Y137" i="1" s="1"/>
  <c r="L140" i="1"/>
  <c r="Y140" i="1" s="1"/>
  <c r="L1215" i="1"/>
  <c r="Y1215" i="1" s="1"/>
  <c r="L881" i="1"/>
  <c r="Y881" i="1" s="1"/>
  <c r="L778" i="1"/>
  <c r="Y778" i="1" s="1"/>
  <c r="L1200" i="1"/>
  <c r="Y1200" i="1" s="1"/>
  <c r="L1223" i="1"/>
  <c r="L914" i="1"/>
  <c r="L1252" i="1"/>
  <c r="Y1252" i="1" s="1"/>
  <c r="L1297" i="1"/>
  <c r="L1090" i="1"/>
  <c r="Y1090" i="1" s="1"/>
  <c r="L258" i="1"/>
  <c r="Y258" i="1" s="1"/>
  <c r="L1217" i="1"/>
  <c r="Y1217" i="1" s="1"/>
  <c r="L372" i="1"/>
  <c r="Y372" i="1" s="1"/>
  <c r="L572" i="1"/>
  <c r="Y572" i="1" s="1"/>
  <c r="L1029" i="1"/>
  <c r="Y1029" i="1" s="1"/>
  <c r="L136" i="1"/>
  <c r="Y136" i="1" s="1"/>
  <c r="L493" i="1"/>
  <c r="Y493" i="1" s="1"/>
  <c r="L234" i="1"/>
  <c r="Y234" i="1" s="1"/>
  <c r="L1111" i="1"/>
  <c r="Y1111" i="1" s="1"/>
  <c r="L918" i="1"/>
  <c r="L1237" i="1"/>
  <c r="L979" i="1"/>
  <c r="L1076" i="1"/>
  <c r="Y1076" i="1" s="1"/>
  <c r="L288" i="1"/>
  <c r="L1028" i="1"/>
  <c r="Y1028" i="1" s="1"/>
  <c r="L1064" i="1"/>
  <c r="Y1064" i="1" s="1"/>
  <c r="L405" i="1"/>
  <c r="Y405" i="1" s="1"/>
  <c r="L1159" i="1"/>
  <c r="L1231" i="1"/>
  <c r="Y1231" i="1" s="1"/>
  <c r="L1122" i="1"/>
  <c r="Y1122" i="1" s="1"/>
  <c r="L1172" i="1"/>
  <c r="Y1172" i="1" s="1"/>
  <c r="L970" i="1"/>
  <c r="L1261" i="1"/>
  <c r="L843" i="1"/>
  <c r="Y843" i="1" s="1"/>
  <c r="L1145" i="1"/>
  <c r="L1133" i="1"/>
  <c r="L296" i="1"/>
  <c r="Y296" i="1" s="1"/>
  <c r="L1121" i="1"/>
  <c r="Y1121" i="1" s="1"/>
  <c r="L133" i="1"/>
  <c r="Y133" i="1" s="1"/>
  <c r="L280" i="1"/>
  <c r="Y280" i="1" s="1"/>
  <c r="L969" i="1"/>
  <c r="Y969" i="1" s="1"/>
  <c r="L1049" i="1"/>
  <c r="Y1049" i="1" s="1"/>
  <c r="L980" i="1"/>
  <c r="L1193" i="1"/>
  <c r="L384" i="1"/>
  <c r="Y384" i="1" s="1"/>
  <c r="L665" i="1"/>
  <c r="Y665" i="1" s="1"/>
  <c r="L506" i="1"/>
  <c r="Y506" i="1" s="1"/>
  <c r="L550" i="1"/>
  <c r="Y550" i="1" s="1"/>
  <c r="L571" i="1"/>
  <c r="Y571" i="1" s="1"/>
  <c r="L1091" i="1"/>
  <c r="Y1091" i="1" s="1"/>
  <c r="L551" i="1"/>
  <c r="Y551" i="1" s="1"/>
  <c r="L779" i="1"/>
  <c r="Y779" i="1" s="1"/>
  <c r="L139" i="1"/>
  <c r="Y139" i="1" s="1"/>
  <c r="L1190" i="1"/>
  <c r="L492" i="1"/>
  <c r="Y492" i="1" s="1"/>
  <c r="L1191" i="1"/>
  <c r="L1283" i="1"/>
  <c r="L1063" i="1"/>
  <c r="Y1063" i="1" s="1"/>
  <c r="L236" i="1"/>
  <c r="Y236" i="1" s="1"/>
  <c r="L134" i="1"/>
  <c r="Y134" i="1" s="1"/>
  <c r="L138" i="1"/>
  <c r="Y138" i="1" s="1"/>
  <c r="L1112" i="1"/>
  <c r="Y1112" i="1" s="1"/>
  <c r="L281" i="1"/>
  <c r="L634" i="1"/>
  <c r="L135" i="1"/>
  <c r="Y135" i="1" s="1"/>
  <c r="L1173" i="1"/>
  <c r="Y1173" i="1" s="1"/>
  <c r="L1142" i="1"/>
  <c r="Y1142" i="1" s="1"/>
  <c r="L1092" i="1"/>
  <c r="L395" i="1"/>
  <c r="Y395" i="1" s="1"/>
  <c r="L1070" i="1"/>
  <c r="L1066" i="1"/>
  <c r="L1218" i="1"/>
  <c r="L752" i="1"/>
  <c r="Y752" i="1" s="1"/>
  <c r="L1219" i="1"/>
  <c r="Y1219" i="1" s="1"/>
  <c r="L935" i="1"/>
  <c r="Y935" i="1" s="1"/>
  <c r="L822" i="1"/>
  <c r="Y822" i="1" s="1"/>
  <c r="L761" i="1"/>
  <c r="L326" i="1"/>
  <c r="Y326" i="1" s="1"/>
  <c r="L523" i="1"/>
  <c r="Y523" i="1" s="1"/>
  <c r="L428" i="1"/>
  <c r="Y428" i="1" s="1"/>
  <c r="L524" i="1"/>
  <c r="Y524" i="1" s="1"/>
  <c r="L603" i="1"/>
  <c r="Y603" i="1" s="1"/>
  <c r="L429" i="1"/>
  <c r="Y429" i="1" s="1"/>
  <c r="W1070" i="1"/>
  <c r="R1159" i="1"/>
  <c r="S1219" i="1"/>
  <c r="V980" i="1"/>
  <c r="Z980" i="1" s="1"/>
  <c r="V1248" i="1"/>
  <c r="Z1248" i="1" s="1"/>
  <c r="V918" i="1"/>
  <c r="Z918" i="1" s="1"/>
  <c r="W881" i="1"/>
  <c r="W1074" i="1"/>
  <c r="W1238" i="1"/>
  <c r="S1174" i="1"/>
  <c r="V1226" i="1"/>
  <c r="Z1226" i="1" s="1"/>
  <c r="S514" i="1"/>
  <c r="S1069" i="1"/>
  <c r="V1182" i="1"/>
  <c r="Z1182" i="1" s="1"/>
  <c r="W822" i="1"/>
  <c r="R52" i="1"/>
  <c r="S809" i="1"/>
  <c r="W1240" i="1"/>
  <c r="W1282" i="1"/>
  <c r="W1063" i="1"/>
  <c r="R914" i="1"/>
  <c r="R1298" i="1"/>
  <c r="V52" i="1"/>
  <c r="Z52" i="1" s="1"/>
  <c r="R814" i="1"/>
  <c r="W1145" i="1"/>
  <c r="V1253" i="1"/>
  <c r="Z1253" i="1" s="1"/>
  <c r="W918" i="1"/>
  <c r="V1237" i="1"/>
  <c r="Z1237" i="1" s="1"/>
  <c r="R1223" i="1"/>
  <c r="S1133" i="1"/>
  <c r="S914" i="1"/>
  <c r="V1298" i="1"/>
  <c r="Z1298" i="1" s="1"/>
  <c r="R281" i="1"/>
  <c r="V1224" i="1"/>
  <c r="Z1224" i="1" s="1"/>
  <c r="R917" i="1"/>
  <c r="W9" i="1"/>
  <c r="R279" i="1"/>
  <c r="V1283" i="1"/>
  <c r="Z1283" i="1" s="1"/>
  <c r="W1310" i="1"/>
  <c r="V1219" i="1"/>
  <c r="Z1219" i="1" s="1"/>
  <c r="S9" i="1"/>
  <c r="W1191" i="1"/>
  <c r="R918" i="1"/>
  <c r="W1223" i="1"/>
  <c r="W1218" i="1"/>
  <c r="V1278" i="1"/>
  <c r="Z1278" i="1" s="1"/>
  <c r="R1182" i="1"/>
  <c r="W1123" i="1"/>
  <c r="V1232" i="1"/>
  <c r="Z1232" i="1" s="1"/>
  <c r="R1278" i="1"/>
  <c r="W1239" i="1"/>
  <c r="S1191" i="1"/>
  <c r="W509" i="1"/>
  <c r="S917" i="1"/>
  <c r="R634" i="1"/>
  <c r="W288" i="1"/>
  <c r="S1223" i="1"/>
  <c r="V120" i="1"/>
  <c r="Z120" i="1" s="1"/>
  <c r="R979" i="1"/>
  <c r="W761" i="1"/>
  <c r="W1129" i="1"/>
  <c r="W917" i="1"/>
  <c r="W979" i="1"/>
  <c r="V288" i="1"/>
  <c r="Z288" i="1" s="1"/>
  <c r="S1074" i="1"/>
  <c r="W814" i="1"/>
  <c r="W378" i="1"/>
  <c r="V761" i="1"/>
  <c r="Z761" i="1" s="1"/>
  <c r="S29" i="2"/>
  <c r="S31" i="2"/>
  <c r="V684" i="1" s="1"/>
  <c r="Z684" i="1" s="1"/>
  <c r="L1305" i="1"/>
  <c r="L285" i="1"/>
  <c r="Y285" i="1" s="1"/>
  <c r="L225" i="1"/>
  <c r="Y225" i="1" s="1"/>
  <c r="L57" i="1"/>
  <c r="Y57" i="1" s="1"/>
  <c r="L75" i="1"/>
  <c r="Y75" i="1" s="1"/>
  <c r="L677" i="1"/>
  <c r="L982" i="1"/>
  <c r="L317" i="1"/>
  <c r="Y317" i="1" s="1"/>
  <c r="L91" i="1"/>
  <c r="Y91" i="1" s="1"/>
  <c r="L1165" i="1"/>
  <c r="L41" i="1"/>
  <c r="Y41" i="1" s="1"/>
  <c r="L1212" i="1"/>
  <c r="L751" i="1"/>
  <c r="L188" i="1"/>
  <c r="Y188" i="1" s="1"/>
  <c r="L1306" i="1"/>
  <c r="L1286" i="1"/>
  <c r="L827" i="1"/>
  <c r="Y827" i="1" s="1"/>
  <c r="L76" i="1"/>
  <c r="Y76" i="1" s="1"/>
  <c r="L1243" i="1"/>
  <c r="L1311" i="1"/>
  <c r="L247" i="1"/>
  <c r="Y247" i="1" s="1"/>
  <c r="L616" i="1"/>
  <c r="L693" i="1"/>
  <c r="Y693" i="1" s="1"/>
  <c r="L12" i="1"/>
  <c r="Y12" i="1" s="1"/>
  <c r="S33" i="2"/>
  <c r="L226" i="1"/>
  <c r="Y226" i="1" s="1"/>
  <c r="L1307" i="1"/>
  <c r="L189" i="1"/>
  <c r="Y189" i="1" s="1"/>
  <c r="L518" i="1"/>
  <c r="Y518" i="1" s="1"/>
  <c r="L81" i="1"/>
  <c r="L818" i="1"/>
  <c r="L109" i="1"/>
  <c r="Y109" i="1" s="1"/>
  <c r="S32" i="2"/>
  <c r="L74" i="1"/>
  <c r="Y74" i="1" s="1"/>
  <c r="L1242" i="1"/>
  <c r="L40" i="1"/>
  <c r="Y40" i="1" s="1"/>
  <c r="L26" i="1"/>
  <c r="Y26" i="1" s="1"/>
  <c r="L1315" i="1"/>
  <c r="L636" i="1"/>
  <c r="Y636" i="1" s="1"/>
  <c r="L983" i="1"/>
  <c r="L766" i="1"/>
  <c r="Y766" i="1" s="1"/>
  <c r="L490" i="1"/>
  <c r="Y490" i="1" s="1"/>
  <c r="L25" i="1"/>
  <c r="Y25" i="1" s="1"/>
  <c r="S30" i="2"/>
  <c r="L192" i="1"/>
  <c r="Y192" i="1" s="1"/>
  <c r="L1164" i="1"/>
  <c r="L198" i="1"/>
  <c r="Y198" i="1" s="1"/>
  <c r="L1287" i="1"/>
  <c r="L290" i="1"/>
  <c r="L1312" i="1"/>
  <c r="L224" i="1"/>
  <c r="L1262" i="1"/>
  <c r="L1186" i="1"/>
  <c r="L1075" i="1"/>
  <c r="L1277" i="1"/>
  <c r="L253" i="1"/>
  <c r="Y253" i="1" s="1"/>
  <c r="R40" i="1"/>
  <c r="V1306" i="1"/>
  <c r="Z1306" i="1" s="1"/>
  <c r="R192" i="1"/>
  <c r="V983" i="1"/>
  <c r="Z983" i="1" s="1"/>
  <c r="V751" i="1"/>
  <c r="Z751" i="1" s="1"/>
  <c r="W224" i="1"/>
  <c r="R818" i="1"/>
  <c r="S1262" i="1"/>
  <c r="R1186" i="1"/>
  <c r="S1286" i="1"/>
  <c r="W518" i="1"/>
  <c r="V26" i="1"/>
  <c r="Z26" i="1" s="1"/>
  <c r="W109" i="1"/>
  <c r="W247" i="1"/>
  <c r="W1164" i="1"/>
  <c r="R290" i="1"/>
  <c r="L53" i="1"/>
  <c r="Y53" i="1" s="1"/>
  <c r="S34" i="2"/>
  <c r="L1244" i="1"/>
  <c r="Y1244" i="1" s="1"/>
  <c r="L1043" i="1"/>
  <c r="Y1043" i="1" s="1"/>
  <c r="L82" i="1"/>
  <c r="Y82" i="1" s="1"/>
  <c r="L314" i="1"/>
  <c r="L113" i="1"/>
  <c r="L115" i="1"/>
  <c r="L921" i="1"/>
  <c r="Y921" i="1" s="1"/>
  <c r="L1207" i="1"/>
  <c r="L60" i="1"/>
  <c r="Y60" i="1" s="1"/>
  <c r="L254" i="1"/>
  <c r="Y254" i="1" s="1"/>
  <c r="L1179" i="1"/>
  <c r="L30" i="1"/>
  <c r="Y30" i="1" s="1"/>
  <c r="L29" i="1"/>
  <c r="Y29" i="1" s="1"/>
  <c r="L1156" i="1"/>
  <c r="L31" i="1"/>
  <c r="Y31" i="1" s="1"/>
  <c r="L315" i="1"/>
  <c r="L83" i="1"/>
  <c r="Y83" i="1" s="1"/>
  <c r="L294" i="1"/>
  <c r="Y294" i="1" s="1"/>
  <c r="L404" i="1"/>
  <c r="Y404" i="1" s="1"/>
  <c r="L1120" i="1"/>
  <c r="L669" i="1"/>
  <c r="L774" i="1"/>
  <c r="Y774" i="1" s="1"/>
  <c r="L190" i="1"/>
  <c r="L978" i="1"/>
  <c r="L516" i="1"/>
  <c r="Y516" i="1" s="1"/>
  <c r="L292" i="1"/>
  <c r="L128" i="1"/>
  <c r="Y128" i="1" s="1"/>
  <c r="L670" i="1"/>
  <c r="Y670" i="1" s="1"/>
  <c r="L295" i="1"/>
  <c r="Y295" i="1" s="1"/>
  <c r="L177" i="1"/>
  <c r="L309" i="1"/>
  <c r="L5" i="1"/>
  <c r="Y5" i="1" s="1"/>
  <c r="L1187" i="1"/>
  <c r="L1290" i="1"/>
  <c r="Y1290" i="1" s="1"/>
  <c r="L85" i="1"/>
  <c r="Y85" i="1" s="1"/>
  <c r="L817" i="1"/>
  <c r="Y817" i="1" s="1"/>
  <c r="L421" i="1"/>
  <c r="L1273" i="1"/>
  <c r="Y1273" i="1" s="1"/>
  <c r="L51" i="1"/>
  <c r="L307" i="1"/>
  <c r="L1228" i="1"/>
  <c r="L8" i="1"/>
  <c r="Y8" i="1" s="1"/>
  <c r="L1214" i="1"/>
  <c r="Y1214" i="1" s="1"/>
  <c r="L61" i="1"/>
  <c r="Y61" i="1" s="1"/>
  <c r="L1018" i="1"/>
  <c r="L43" i="1"/>
  <c r="L7" i="1"/>
  <c r="Y7" i="1" s="1"/>
  <c r="L176" i="1"/>
  <c r="L126" i="1"/>
  <c r="Y126" i="1" s="1"/>
  <c r="L42" i="1"/>
  <c r="L84" i="1"/>
  <c r="Y84" i="1" s="1"/>
  <c r="L1108" i="1"/>
  <c r="Y1108" i="1" s="1"/>
  <c r="L127" i="1"/>
  <c r="Y127" i="1" s="1"/>
  <c r="L420" i="1"/>
  <c r="L1102" i="1"/>
  <c r="L403" i="1"/>
  <c r="Y403" i="1" s="1"/>
  <c r="L1263" i="1"/>
  <c r="L6" i="1"/>
  <c r="Y6" i="1" s="1"/>
  <c r="L4" i="1"/>
  <c r="Y4" i="1" s="1"/>
  <c r="L1061" i="1"/>
  <c r="L515" i="1"/>
  <c r="Y515" i="1" s="1"/>
  <c r="L308" i="1"/>
  <c r="L1071" i="1"/>
  <c r="L600" i="1"/>
  <c r="Y600" i="1" s="1"/>
  <c r="L748" i="1"/>
  <c r="Y748" i="1" s="1"/>
  <c r="L1166" i="1"/>
  <c r="Y1166" i="1" s="1"/>
  <c r="L601" i="1"/>
  <c r="Y601" i="1" s="1"/>
  <c r="L175" i="1"/>
  <c r="L596" i="1"/>
  <c r="L913" i="1"/>
  <c r="L1294" i="1"/>
  <c r="Y1294" i="1" s="1"/>
  <c r="L1299" i="1"/>
  <c r="R84" i="1"/>
  <c r="W292" i="1"/>
  <c r="R1179" i="1"/>
  <c r="V254" i="1"/>
  <c r="Z254" i="1" s="1"/>
  <c r="V1102" i="1"/>
  <c r="Z1102" i="1" s="1"/>
  <c r="S1043" i="1"/>
  <c r="R128" i="1"/>
  <c r="R113" i="1"/>
  <c r="R29" i="1"/>
  <c r="V115" i="1"/>
  <c r="Z115" i="1" s="1"/>
  <c r="V774" i="1"/>
  <c r="Z774" i="1" s="1"/>
  <c r="V42" i="1"/>
  <c r="Z42" i="1" s="1"/>
  <c r="V670" i="1"/>
  <c r="Z670" i="1" s="1"/>
  <c r="S1120" i="1"/>
  <c r="V421" i="1"/>
  <c r="Z421" i="1" s="1"/>
  <c r="R175" i="1"/>
  <c r="V60" i="1"/>
  <c r="Z60" i="1" s="1"/>
  <c r="S1108" i="1"/>
  <c r="W85" i="1"/>
  <c r="R403" i="1"/>
  <c r="W254" i="1"/>
  <c r="W1187" i="1"/>
  <c r="S596" i="1"/>
  <c r="V1166" i="1"/>
  <c r="Z1166" i="1" s="1"/>
  <c r="S404" i="1"/>
  <c r="S1207" i="1"/>
  <c r="W30" i="1"/>
  <c r="R1166" i="1"/>
  <c r="R515" i="1"/>
  <c r="R4" i="1"/>
  <c r="V1061" i="1"/>
  <c r="Z1061" i="1" s="1"/>
  <c r="R6" i="1"/>
  <c r="S669" i="1"/>
  <c r="S307" i="1"/>
  <c r="V1294" i="1"/>
  <c r="Z1294" i="1" s="1"/>
  <c r="V601" i="1"/>
  <c r="Z601" i="1" s="1"/>
  <c r="R600" i="1"/>
  <c r="W60" i="1"/>
  <c r="V913" i="1"/>
  <c r="Z913" i="1" s="1"/>
  <c r="S6" i="1"/>
  <c r="W1263" i="1"/>
  <c r="S1244" i="1"/>
  <c r="S1263" i="1"/>
  <c r="R596" i="1"/>
  <c r="W748" i="1"/>
  <c r="S42" i="1"/>
  <c r="R53" i="1"/>
  <c r="V1043" i="1"/>
  <c r="Z1043" i="1" s="1"/>
  <c r="V84" i="1"/>
  <c r="Z84" i="1" s="1"/>
  <c r="R292" i="1"/>
  <c r="V1071" i="1"/>
  <c r="Z1071" i="1" s="1"/>
  <c r="V190" i="1"/>
  <c r="Z190" i="1" s="1"/>
  <c r="S817" i="1"/>
  <c r="W82" i="1"/>
  <c r="S1179" i="1"/>
  <c r="S84" i="1"/>
  <c r="S1061" i="1"/>
  <c r="S8" i="1"/>
  <c r="V1018" i="1"/>
  <c r="Z1018" i="1" s="1"/>
  <c r="S913" i="1"/>
  <c r="S53" i="1"/>
  <c r="R60" i="1"/>
  <c r="R404" i="1"/>
  <c r="W4" i="1"/>
  <c r="R1187" i="1"/>
  <c r="V43" i="1"/>
  <c r="Z43" i="1" s="1"/>
  <c r="S61" i="1"/>
  <c r="L104" i="1"/>
  <c r="L62" i="1"/>
  <c r="L1125" i="1"/>
  <c r="L201" i="1"/>
  <c r="L203" i="1"/>
  <c r="L202" i="1"/>
  <c r="L86" i="1"/>
  <c r="L103" i="1"/>
  <c r="Y103" i="1" s="1"/>
  <c r="L1057" i="1"/>
  <c r="L906" i="1"/>
  <c r="L325" i="1"/>
  <c r="L117" i="1"/>
  <c r="Y117" i="1" s="1"/>
  <c r="L803" i="1"/>
  <c r="L1270" i="1"/>
  <c r="L98" i="1"/>
  <c r="L123" i="1"/>
  <c r="L1124" i="1"/>
  <c r="L124" i="1"/>
  <c r="L63" i="1"/>
  <c r="V803" i="1"/>
  <c r="Z803" i="1" s="1"/>
  <c r="W63" i="1"/>
  <c r="R86" i="1"/>
  <c r="V1057" i="1"/>
  <c r="Z1057" i="1" s="1"/>
  <c r="W104" i="1"/>
  <c r="S104" i="1"/>
  <c r="R906" i="1"/>
  <c r="V104" i="1"/>
  <c r="Z104" i="1" s="1"/>
  <c r="S1057" i="1"/>
  <c r="S203" i="1"/>
  <c r="W1125" i="1"/>
  <c r="S803" i="1"/>
  <c r="W98" i="1"/>
  <c r="S62" i="1"/>
  <c r="W62" i="1"/>
  <c r="V123" i="1"/>
  <c r="Z123" i="1" s="1"/>
  <c r="R63" i="1"/>
  <c r="R103" i="1"/>
  <c r="S36" i="2"/>
  <c r="S35" i="2"/>
  <c r="L79" i="1"/>
  <c r="Y79" i="1" s="1"/>
  <c r="L3" i="1"/>
  <c r="Y3" i="1" s="1"/>
  <c r="L597" i="1"/>
  <c r="L850" i="1"/>
  <c r="S850" i="1"/>
  <c r="W597" i="1"/>
  <c r="S597" i="1"/>
  <c r="R79" i="1"/>
  <c r="V597" i="1"/>
  <c r="Z597" i="1" s="1"/>
  <c r="S38" i="2"/>
  <c r="S37" i="2"/>
  <c r="L401" i="1"/>
  <c r="L1126" i="1"/>
  <c r="L1068" i="1"/>
  <c r="L1175" i="1"/>
  <c r="L1093" i="1"/>
  <c r="L522" i="1"/>
  <c r="L284" i="1"/>
  <c r="L78" i="1"/>
  <c r="Y78" i="1" s="1"/>
  <c r="L1127" i="1"/>
  <c r="L1067" i="1"/>
  <c r="L1146" i="1"/>
  <c r="L80" i="1"/>
  <c r="Y80" i="1" s="1"/>
  <c r="L1176" i="1"/>
  <c r="L1185" i="1"/>
  <c r="L615" i="1"/>
  <c r="Y615" i="1" s="1"/>
  <c r="R1067" i="1"/>
  <c r="S1068" i="1"/>
  <c r="R78" i="1"/>
  <c r="S1126" i="1"/>
  <c r="R1126" i="1"/>
  <c r="R80" i="1"/>
  <c r="S284" i="1"/>
  <c r="R1185" i="1"/>
  <c r="S1146" i="1"/>
  <c r="R615" i="1"/>
  <c r="W522" i="1"/>
  <c r="W1175" i="1"/>
  <c r="W1146" i="1"/>
  <c r="W1176" i="1"/>
  <c r="V401" i="1"/>
  <c r="Z401" i="1" s="1"/>
  <c r="W1127" i="1"/>
  <c r="V615" i="1"/>
  <c r="Z615" i="1" s="1"/>
  <c r="V80" i="1"/>
  <c r="Z80" i="1" s="1"/>
  <c r="S1093" i="1"/>
  <c r="V78" i="1"/>
  <c r="Z78" i="1" s="1"/>
  <c r="S80" i="1"/>
  <c r="S522" i="1"/>
  <c r="V1127" i="1"/>
  <c r="Z1127" i="1" s="1"/>
  <c r="S39" i="2"/>
  <c r="L1255" i="1"/>
  <c r="Y1255" i="1" s="1"/>
  <c r="L77" i="1"/>
  <c r="Y77" i="1" s="1"/>
  <c r="L1183" i="1"/>
  <c r="S40" i="2"/>
  <c r="L845" i="1"/>
  <c r="L1279" i="1"/>
  <c r="Y1279" i="1" s="1"/>
  <c r="L58" i="1"/>
  <c r="Y58" i="1" s="1"/>
  <c r="L99" i="1"/>
  <c r="S41" i="2"/>
  <c r="L110" i="1"/>
  <c r="L122" i="1"/>
  <c r="L92" i="1"/>
  <c r="L2" i="1"/>
  <c r="Y2" i="1" s="1"/>
  <c r="L1254" i="1"/>
  <c r="Y1254" i="1" s="1"/>
  <c r="L1201" i="1"/>
  <c r="Y1201" i="1" s="1"/>
  <c r="L1296" i="1"/>
  <c r="Y1296" i="1" s="1"/>
  <c r="L691" i="1"/>
  <c r="L993" i="1"/>
  <c r="L846" i="1"/>
  <c r="L764" i="1"/>
  <c r="L938" i="1"/>
  <c r="L825" i="1"/>
  <c r="L287" i="1"/>
  <c r="L59" i="1"/>
  <c r="L27" i="1"/>
  <c r="Y27" i="1" s="1"/>
  <c r="L939" i="1"/>
  <c r="L1233" i="1"/>
  <c r="Y1233" i="1" s="1"/>
  <c r="L112" i="1"/>
  <c r="L1205" i="1"/>
  <c r="L1132" i="1"/>
  <c r="L780" i="1"/>
  <c r="L118" i="1"/>
  <c r="L1259" i="1"/>
  <c r="L992" i="1"/>
  <c r="R58" i="1"/>
  <c r="R99" i="1"/>
  <c r="W59" i="1"/>
  <c r="R122" i="1"/>
  <c r="W99" i="1"/>
  <c r="W122" i="1"/>
  <c r="R3" i="1"/>
  <c r="R780" i="1"/>
  <c r="R764" i="1"/>
  <c r="S1205" i="1"/>
  <c r="S992" i="1"/>
  <c r="R845" i="1"/>
  <c r="R691" i="1"/>
  <c r="W287" i="1"/>
  <c r="W110" i="1"/>
  <c r="V118" i="1"/>
  <c r="Z118" i="1" s="1"/>
  <c r="S1183" i="1"/>
  <c r="V58" i="1"/>
  <c r="Z58" i="1" s="1"/>
  <c r="R110" i="1"/>
  <c r="S938" i="1"/>
  <c r="S691" i="1"/>
  <c r="W118" i="1"/>
  <c r="V92" i="1"/>
  <c r="Z92" i="1" s="1"/>
  <c r="S118" i="1"/>
  <c r="S59" i="1"/>
  <c r="R1132" i="1"/>
  <c r="R825" i="1"/>
  <c r="R992" i="1"/>
  <c r="V112" i="1"/>
  <c r="Z112" i="1" s="1"/>
  <c r="V287" i="1"/>
  <c r="Z287" i="1" s="1"/>
  <c r="W77" i="1"/>
  <c r="S287" i="1"/>
  <c r="W845" i="1"/>
  <c r="W691" i="1"/>
  <c r="V122" i="1"/>
  <c r="Z122" i="1" s="1"/>
  <c r="W764" i="1"/>
  <c r="V939" i="1"/>
  <c r="Z939" i="1" s="1"/>
  <c r="R112" i="1"/>
  <c r="W27" i="1"/>
  <c r="S1132" i="1"/>
  <c r="S42" i="2"/>
  <c r="S44" i="2"/>
  <c r="S43" i="2"/>
  <c r="S45" i="2"/>
  <c r="S47" i="2"/>
  <c r="L709" i="1"/>
  <c r="S46" i="2"/>
  <c r="L89" i="1"/>
  <c r="L683" i="1"/>
  <c r="L940" i="1"/>
  <c r="L1051" i="1"/>
  <c r="L847" i="1"/>
  <c r="L782" i="1"/>
  <c r="L975" i="1"/>
  <c r="L809" i="1"/>
  <c r="L1069" i="1"/>
  <c r="L111" i="1"/>
  <c r="L1129" i="1"/>
  <c r="S847" i="1"/>
  <c r="V89" i="1"/>
  <c r="Z89" i="1" s="1"/>
  <c r="W709" i="1"/>
  <c r="R847" i="1"/>
  <c r="R89" i="1"/>
  <c r="S940" i="1"/>
  <c r="R1051" i="1"/>
  <c r="V709" i="1"/>
  <c r="Z709" i="1" s="1"/>
  <c r="S89" i="1"/>
  <c r="W683" i="1"/>
  <c r="S782" i="1"/>
  <c r="S709" i="1"/>
  <c r="S683" i="1"/>
  <c r="W847" i="1"/>
  <c r="S49" i="2"/>
  <c r="S48" i="2"/>
  <c r="S52" i="2"/>
  <c r="S50" i="2"/>
  <c r="S51" i="2"/>
  <c r="L94" i="1"/>
  <c r="S54" i="2"/>
  <c r="S53" i="2"/>
  <c r="L824" i="1"/>
  <c r="L237" i="1"/>
  <c r="Y237" i="1" s="1"/>
  <c r="L690" i="1"/>
  <c r="L763" i="1"/>
  <c r="L626" i="1"/>
  <c r="Y626" i="1" s="1"/>
  <c r="L753" i="1"/>
  <c r="Y753" i="1" s="1"/>
  <c r="L482" i="1"/>
  <c r="Y482" i="1" s="1"/>
  <c r="W626" i="1"/>
  <c r="S237" i="1"/>
  <c r="R482" i="1"/>
  <c r="S94" i="1"/>
  <c r="S824" i="1"/>
  <c r="W237" i="1"/>
  <c r="S55" i="2"/>
  <c r="S58" i="2"/>
  <c r="V1062" i="1" s="1"/>
  <c r="Z1062" i="1" s="1"/>
  <c r="L635" i="1"/>
  <c r="S57" i="2"/>
  <c r="L986" i="1"/>
  <c r="L826" i="1"/>
  <c r="L765" i="1"/>
  <c r="S56" i="2"/>
  <c r="L1045" i="1"/>
  <c r="L926" i="1"/>
  <c r="L380" i="1"/>
  <c r="L248" i="1"/>
  <c r="L692" i="1"/>
  <c r="L489" i="1"/>
  <c r="L100" i="1"/>
  <c r="L559" i="1"/>
  <c r="W489" i="1"/>
  <c r="R248" i="1"/>
  <c r="V986" i="1"/>
  <c r="Z986" i="1" s="1"/>
  <c r="V100" i="1"/>
  <c r="Z100" i="1" s="1"/>
  <c r="W692" i="1"/>
  <c r="R692" i="1"/>
  <c r="R765" i="1"/>
  <c r="W559" i="1"/>
  <c r="V248" i="1"/>
  <c r="Z248" i="1" s="1"/>
  <c r="R489" i="1"/>
  <c r="W986" i="1"/>
  <c r="W765" i="1"/>
  <c r="R986" i="1"/>
  <c r="S100" i="1"/>
  <c r="S926" i="1"/>
  <c r="V559" i="1"/>
  <c r="Z559" i="1" s="1"/>
  <c r="S1045" i="1"/>
  <c r="S60" i="2"/>
  <c r="S61" i="2"/>
  <c r="S59" i="2"/>
  <c r="L879" i="1"/>
  <c r="Y879" i="1" s="1"/>
  <c r="L663" i="1"/>
  <c r="Y663" i="1" s="1"/>
  <c r="L504" i="1"/>
  <c r="Y504" i="1" s="1"/>
  <c r="L804" i="1"/>
  <c r="Y804" i="1" s="1"/>
  <c r="L1059" i="1"/>
  <c r="Y1059" i="1" s="1"/>
  <c r="L266" i="1"/>
  <c r="Y266" i="1" s="1"/>
  <c r="S62" i="2"/>
  <c r="L88" i="1"/>
  <c r="L544" i="1"/>
  <c r="L617" i="1"/>
  <c r="L678" i="1"/>
  <c r="V88" i="1"/>
  <c r="Z88" i="1" s="1"/>
  <c r="V617" i="1"/>
  <c r="Z617" i="1" s="1"/>
  <c r="R617" i="1"/>
  <c r="S617" i="1"/>
  <c r="S544" i="1"/>
  <c r="W678" i="1"/>
  <c r="R678" i="1"/>
  <c r="W617" i="1"/>
  <c r="R88" i="1"/>
  <c r="R544" i="1"/>
  <c r="W544" i="1"/>
  <c r="L558" i="1"/>
  <c r="L823" i="1"/>
  <c r="L672" i="1"/>
  <c r="L93" i="1"/>
  <c r="L525" i="1"/>
  <c r="L828" i="1"/>
  <c r="Y828" i="1" s="1"/>
  <c r="L762" i="1"/>
  <c r="L327" i="1"/>
  <c r="L101" i="1"/>
  <c r="Y101" i="1" s="1"/>
  <c r="L1046" i="1"/>
  <c r="Y1046" i="1" s="1"/>
  <c r="L64" i="1"/>
  <c r="V327" i="1"/>
  <c r="Z327" i="1" s="1"/>
  <c r="S93" i="1"/>
  <c r="W327" i="1"/>
  <c r="V525" i="1"/>
  <c r="Z525" i="1" s="1"/>
  <c r="S63" i="2"/>
  <c r="S64" i="2"/>
  <c r="S66" i="2"/>
  <c r="S65" i="2"/>
  <c r="S67" i="2"/>
  <c r="L925" i="1"/>
  <c r="L821" i="1"/>
  <c r="L760" i="1"/>
  <c r="L633" i="1"/>
  <c r="L688" i="1"/>
  <c r="L684" i="1"/>
  <c r="W925" i="1"/>
  <c r="S925" i="1"/>
  <c r="W684" i="1"/>
  <c r="W633" i="1"/>
  <c r="S633" i="1"/>
  <c r="R760" i="1"/>
  <c r="S821" i="1"/>
  <c r="L802" i="1"/>
  <c r="L941" i="1"/>
  <c r="Y941" i="1" s="1"/>
  <c r="L848" i="1"/>
  <c r="Y848" i="1" s="1"/>
  <c r="L24" i="1"/>
  <c r="Y24" i="1" s="1"/>
  <c r="L90" i="1"/>
  <c r="Y90" i="1" s="1"/>
  <c r="L849" i="1"/>
  <c r="Y849" i="1" s="1"/>
  <c r="L119" i="1"/>
  <c r="L657" i="1"/>
  <c r="Y657" i="1" s="1"/>
  <c r="L23" i="1"/>
  <c r="Y23" i="1" s="1"/>
  <c r="L784" i="1"/>
  <c r="Y784" i="1" s="1"/>
  <c r="L22" i="1"/>
  <c r="Y22" i="1" s="1"/>
  <c r="L783" i="1"/>
  <c r="Y783" i="1" s="1"/>
  <c r="R119" i="1"/>
  <c r="R802" i="1"/>
  <c r="V90" i="1"/>
  <c r="Z90" i="1" s="1"/>
  <c r="L354" i="1"/>
  <c r="Y354" i="1" s="1"/>
  <c r="L353" i="1"/>
  <c r="Y353" i="1" s="1"/>
  <c r="S68" i="2"/>
  <c r="L994" i="1"/>
  <c r="Y994" i="1" s="1"/>
  <c r="S70" i="2"/>
  <c r="S69" i="2"/>
  <c r="S72" i="2"/>
  <c r="L364" i="1"/>
  <c r="Y364" i="1" s="1"/>
  <c r="S71" i="2"/>
  <c r="S73" i="2"/>
  <c r="L1134" i="1"/>
  <c r="L286" i="1"/>
  <c r="L289" i="1"/>
  <c r="L811" i="1"/>
  <c r="L1225" i="1"/>
  <c r="L801" i="1"/>
  <c r="L1052" i="1"/>
  <c r="L943" i="1"/>
  <c r="L727" i="1"/>
  <c r="L508" i="1"/>
  <c r="L1220" i="1"/>
  <c r="L813" i="1"/>
  <c r="L859" i="1"/>
  <c r="W859" i="1"/>
  <c r="R943" i="1"/>
  <c r="S859" i="1"/>
  <c r="S801" i="1"/>
  <c r="R1220" i="1"/>
  <c r="R727" i="1"/>
  <c r="R801" i="1"/>
  <c r="R859" i="1"/>
  <c r="W1225" i="1"/>
  <c r="W508" i="1"/>
  <c r="R1225" i="1"/>
  <c r="W289" i="1"/>
  <c r="V286" i="1"/>
  <c r="Z286" i="1" s="1"/>
  <c r="S1220" i="1"/>
  <c r="S74" i="2"/>
  <c r="S75" i="2"/>
  <c r="S76" i="2"/>
  <c r="L54" i="1"/>
  <c r="Y54" i="1" s="1"/>
  <c r="L259" i="1"/>
  <c r="Y259" i="1" s="1"/>
  <c r="L1050" i="1"/>
  <c r="Y1050" i="1" s="1"/>
  <c r="L844" i="1"/>
  <c r="Y844" i="1" s="1"/>
  <c r="L937" i="1"/>
  <c r="Y937" i="1" s="1"/>
  <c r="W844" i="1"/>
  <c r="V937" i="1"/>
  <c r="Z937" i="1" s="1"/>
  <c r="S259" i="1"/>
  <c r="V259" i="1"/>
  <c r="Z259" i="1" s="1"/>
  <c r="W1050" i="1"/>
  <c r="S937" i="1"/>
  <c r="W259" i="1"/>
  <c r="L1227" i="1"/>
  <c r="L174" i="1"/>
  <c r="Y174" i="1" s="1"/>
  <c r="L1267" i="1"/>
  <c r="L1301" i="1"/>
  <c r="W1267" i="1"/>
  <c r="S1267" i="1"/>
  <c r="V1227" i="1"/>
  <c r="Z1227" i="1" s="1"/>
  <c r="S78" i="2"/>
  <c r="S77" i="2"/>
  <c r="L775" i="1"/>
  <c r="Y775" i="1" s="1"/>
  <c r="L836" i="1"/>
  <c r="Y836" i="1" s="1"/>
  <c r="S79" i="2"/>
  <c r="L929" i="1"/>
  <c r="Y929" i="1" s="1"/>
  <c r="S929" i="1"/>
  <c r="S836" i="1"/>
  <c r="R775" i="1"/>
  <c r="R929" i="1"/>
  <c r="W775" i="1"/>
  <c r="W836" i="1"/>
  <c r="L1188" i="1"/>
  <c r="L1264" i="1"/>
  <c r="L545" i="1"/>
  <c r="L1103" i="1"/>
  <c r="L1177" i="1"/>
  <c r="L260" i="1"/>
  <c r="L1030" i="1"/>
  <c r="L173" i="1"/>
  <c r="L1209" i="1"/>
  <c r="L1300" i="1"/>
  <c r="L997" i="1"/>
  <c r="W1209" i="1"/>
  <c r="W1103" i="1"/>
  <c r="W997" i="1"/>
  <c r="W1300" i="1"/>
  <c r="V1177" i="1"/>
  <c r="Z1177" i="1" s="1"/>
  <c r="W545" i="1"/>
  <c r="S997" i="1"/>
  <c r="V1103" i="1"/>
  <c r="Z1103" i="1" s="1"/>
  <c r="R1264" i="1"/>
  <c r="W260" i="1"/>
  <c r="R260" i="1"/>
  <c r="R1030" i="1"/>
  <c r="V545" i="1"/>
  <c r="Z545" i="1" s="1"/>
  <c r="V1209" i="1"/>
  <c r="Z1209" i="1" s="1"/>
  <c r="V1264" i="1"/>
  <c r="Z1264" i="1" s="1"/>
  <c r="W173" i="1"/>
  <c r="W1030" i="1"/>
  <c r="R545" i="1"/>
  <c r="R1103" i="1"/>
  <c r="S84" i="2"/>
  <c r="V37" i="1" s="1"/>
  <c r="Z37" i="1" s="1"/>
  <c r="S81" i="2"/>
  <c r="S80" i="2"/>
  <c r="S83" i="2"/>
  <c r="S82" i="2"/>
  <c r="L167" i="1"/>
  <c r="L166" i="1"/>
  <c r="S86" i="2"/>
  <c r="L168" i="1"/>
  <c r="S85" i="2"/>
  <c r="L301" i="1"/>
  <c r="L37" i="1"/>
  <c r="L39" i="1"/>
  <c r="L38" i="1"/>
  <c r="R168" i="1"/>
  <c r="R38" i="1"/>
  <c r="S167" i="1"/>
  <c r="R301" i="1"/>
  <c r="W168" i="1"/>
  <c r="W166" i="1"/>
  <c r="S301" i="1"/>
  <c r="W37" i="1"/>
  <c r="R37" i="1"/>
  <c r="R39" i="1"/>
  <c r="W39" i="1"/>
  <c r="S88" i="2"/>
  <c r="S87" i="2"/>
  <c r="S89" i="2"/>
  <c r="L300" i="1"/>
  <c r="Y300" i="1" s="1"/>
  <c r="S90" i="2"/>
  <c r="V1011" i="1" s="1"/>
  <c r="Z1011" i="1" s="1"/>
  <c r="S92" i="2"/>
  <c r="S91" i="2"/>
  <c r="S95" i="2"/>
  <c r="V364" i="1" s="1"/>
  <c r="Z364" i="1" s="1"/>
  <c r="S96" i="2"/>
  <c r="S93" i="2"/>
  <c r="S99" i="2"/>
  <c r="S97" i="2"/>
  <c r="S94" i="2"/>
  <c r="S98" i="2"/>
  <c r="S103" i="2"/>
  <c r="L18" i="1"/>
  <c r="S101" i="2"/>
  <c r="L16" i="1"/>
  <c r="L142" i="1"/>
  <c r="S102" i="2"/>
  <c r="L646" i="1"/>
  <c r="L15" i="1"/>
  <c r="L17" i="1"/>
  <c r="L141" i="1"/>
  <c r="L785" i="1"/>
  <c r="L297" i="1"/>
  <c r="L143" i="1"/>
  <c r="S100" i="2"/>
  <c r="L996" i="1"/>
  <c r="L406" i="1"/>
  <c r="S104" i="2"/>
  <c r="L435" i="1"/>
  <c r="L436" i="1"/>
  <c r="L211" i="1"/>
  <c r="L222" i="1"/>
  <c r="L531" i="1"/>
  <c r="L530" i="1"/>
  <c r="L336" i="1"/>
  <c r="L212" i="1"/>
  <c r="L335" i="1"/>
  <c r="S105" i="2"/>
  <c r="V36" i="1" s="1"/>
  <c r="Z36" i="1" s="1"/>
  <c r="S110" i="2"/>
  <c r="L476" i="1"/>
  <c r="L619" i="1"/>
  <c r="L618" i="1"/>
  <c r="L547" i="1"/>
  <c r="L475" i="1"/>
  <c r="L546" i="1"/>
  <c r="L366" i="1"/>
  <c r="L231" i="1"/>
  <c r="L365" i="1"/>
  <c r="L232" i="1"/>
  <c r="S106" i="2"/>
  <c r="S107" i="2"/>
  <c r="S108" i="2"/>
  <c r="S109" i="2"/>
  <c r="L71" i="1"/>
  <c r="L218" i="1"/>
  <c r="L607" i="1"/>
  <c r="L70" i="1"/>
  <c r="L532" i="1"/>
  <c r="L69" i="1"/>
  <c r="S111" i="2"/>
  <c r="L472" i="1"/>
  <c r="L606" i="1"/>
  <c r="L362" i="1"/>
  <c r="L220" i="1"/>
  <c r="L1168" i="1"/>
  <c r="L1118" i="1"/>
  <c r="L976" i="1"/>
  <c r="L1274" i="1"/>
  <c r="L1131" i="1"/>
  <c r="L1222" i="1"/>
  <c r="L1087" i="1"/>
  <c r="L667" i="1"/>
  <c r="L734" i="1"/>
  <c r="L967" i="1"/>
  <c r="S113" i="2"/>
  <c r="S112" i="2"/>
  <c r="S117" i="2"/>
  <c r="V105" i="1" s="1"/>
  <c r="Z105" i="1" s="1"/>
  <c r="S114" i="2"/>
  <c r="S116" i="2"/>
  <c r="S115" i="2"/>
  <c r="L105" i="1"/>
  <c r="Y105" i="1" s="1"/>
  <c r="S118" i="2"/>
  <c r="S119" i="2"/>
  <c r="S121" i="2"/>
  <c r="S120" i="2"/>
  <c r="S123" i="2"/>
  <c r="S122" i="2"/>
  <c r="S124" i="2"/>
  <c r="S126" i="2"/>
  <c r="L324" i="1"/>
  <c r="Y324" i="1" s="1"/>
  <c r="L95" i="1"/>
  <c r="S125" i="2"/>
  <c r="L369" i="1"/>
  <c r="L321" i="1"/>
  <c r="L14" i="1"/>
  <c r="L196" i="1"/>
  <c r="Y196" i="1" s="1"/>
  <c r="S128" i="2"/>
  <c r="S127" i="2"/>
  <c r="S129" i="2"/>
  <c r="L283" i="1"/>
  <c r="Y283" i="1" s="1"/>
  <c r="L45" i="1"/>
  <c r="Y45" i="1" s="1"/>
  <c r="L47" i="1"/>
  <c r="Y47" i="1" s="1"/>
  <c r="L416" i="1"/>
  <c r="Y416" i="1" s="1"/>
  <c r="L720" i="1"/>
  <c r="Y720" i="1" s="1"/>
  <c r="L595" i="1"/>
  <c r="Y595" i="1" s="1"/>
  <c r="L602" i="1"/>
  <c r="Y602" i="1" s="1"/>
  <c r="S133" i="2"/>
  <c r="S130" i="2"/>
  <c r="L808" i="1"/>
  <c r="Y808" i="1" s="1"/>
  <c r="L647" i="1"/>
  <c r="S135" i="2"/>
  <c r="L19" i="1"/>
  <c r="Y19" i="1" s="1"/>
  <c r="L995" i="1"/>
  <c r="Y995" i="1" s="1"/>
  <c r="L1114" i="1"/>
  <c r="Y1114" i="1" s="1"/>
  <c r="L998" i="1"/>
  <c r="L507" i="1"/>
  <c r="Y507" i="1" s="1"/>
  <c r="L50" i="1"/>
  <c r="Y50" i="1" s="1"/>
  <c r="L1115" i="1"/>
  <c r="Y1115" i="1" s="1"/>
  <c r="L46" i="1"/>
  <c r="Y46" i="1" s="1"/>
  <c r="L1058" i="1"/>
  <c r="Y1058" i="1" s="1"/>
  <c r="L609" i="1"/>
  <c r="Y609" i="1" s="1"/>
  <c r="S131" i="2"/>
  <c r="L712" i="1"/>
  <c r="L786" i="1"/>
  <c r="L399" i="1"/>
  <c r="Y399" i="1" s="1"/>
  <c r="L574" i="1"/>
  <c r="Y574" i="1" s="1"/>
  <c r="L411" i="1"/>
  <c r="Y411" i="1" s="1"/>
  <c r="L44" i="1"/>
  <c r="Y44" i="1" s="1"/>
  <c r="L438" i="1"/>
  <c r="Y438" i="1" s="1"/>
  <c r="L942" i="1"/>
  <c r="Y942" i="1" s="1"/>
  <c r="L739" i="1"/>
  <c r="Y739" i="1" s="1"/>
  <c r="L1053" i="1"/>
  <c r="Y1053" i="1" s="1"/>
  <c r="L65" i="1"/>
  <c r="Y65" i="1" s="1"/>
  <c r="L851" i="1"/>
  <c r="S134" i="2"/>
  <c r="L20" i="1"/>
  <c r="Y20" i="1" s="1"/>
  <c r="S132" i="2"/>
  <c r="L965" i="1"/>
  <c r="Y965" i="1" s="1"/>
  <c r="L862" i="1"/>
  <c r="Y862" i="1" s="1"/>
  <c r="L948" i="1"/>
  <c r="Y948" i="1" s="1"/>
  <c r="L1004" i="1"/>
  <c r="Y1004" i="1" s="1"/>
  <c r="S136" i="2"/>
  <c r="S139" i="2"/>
  <c r="S137" i="2"/>
  <c r="S138" i="2"/>
  <c r="S140" i="2"/>
  <c r="L116" i="1"/>
  <c r="Y116" i="1" s="1"/>
  <c r="S503" i="2"/>
  <c r="S494" i="2"/>
  <c r="S486" i="2"/>
  <c r="S478" i="2"/>
  <c r="S454" i="2"/>
  <c r="S462" i="2"/>
  <c r="S438" i="2"/>
  <c r="S470" i="2"/>
  <c r="S141" i="2"/>
  <c r="S145" i="2"/>
  <c r="S147" i="2"/>
  <c r="S142" i="2"/>
  <c r="S144" i="2"/>
  <c r="S143" i="2"/>
  <c r="S146" i="2"/>
  <c r="S484" i="2"/>
  <c r="S468" i="2"/>
  <c r="S452" i="2"/>
  <c r="S436" i="2"/>
  <c r="S420" i="2"/>
  <c r="S404" i="2"/>
  <c r="S396" i="2"/>
  <c r="S388" i="2"/>
  <c r="S380" i="2"/>
  <c r="S372" i="2"/>
  <c r="S364" i="2"/>
  <c r="S356" i="2"/>
  <c r="S348" i="2"/>
  <c r="S340" i="2"/>
  <c r="S332" i="2"/>
  <c r="S324" i="2"/>
  <c r="S316" i="2"/>
  <c r="S308" i="2"/>
  <c r="S300" i="2"/>
  <c r="S292" i="2"/>
  <c r="S284" i="2"/>
  <c r="S276" i="2"/>
  <c r="S269" i="2"/>
  <c r="S492" i="2"/>
  <c r="S476" i="2"/>
  <c r="S460" i="2"/>
  <c r="S444" i="2"/>
  <c r="S428" i="2"/>
  <c r="S412" i="2"/>
  <c r="S499" i="2"/>
  <c r="S491" i="2"/>
  <c r="S483" i="2"/>
  <c r="S475" i="2"/>
  <c r="S467" i="2"/>
  <c r="S459" i="2"/>
  <c r="S451" i="2"/>
  <c r="S443" i="2"/>
  <c r="S435" i="2"/>
  <c r="S427" i="2"/>
  <c r="S419" i="2"/>
  <c r="S411" i="2"/>
  <c r="S403" i="2"/>
  <c r="S395" i="2"/>
  <c r="S387" i="2"/>
  <c r="S379" i="2"/>
  <c r="S371" i="2"/>
  <c r="S363" i="2"/>
  <c r="S355" i="2"/>
  <c r="S347" i="2"/>
  <c r="S339" i="2"/>
  <c r="S331" i="2"/>
  <c r="S323" i="2"/>
  <c r="S315" i="2"/>
  <c r="S307" i="2"/>
  <c r="S299" i="2"/>
  <c r="S291" i="2"/>
  <c r="S283" i="2"/>
  <c r="S275" i="2"/>
  <c r="S268" i="2"/>
  <c r="S500" i="2"/>
  <c r="S507" i="2"/>
  <c r="S264" i="2"/>
  <c r="S153" i="2"/>
  <c r="S154" i="2"/>
  <c r="S151" i="2"/>
  <c r="S152" i="2"/>
  <c r="S150" i="2"/>
  <c r="S262" i="2"/>
  <c r="S263" i="2"/>
  <c r="S502" i="2"/>
  <c r="S148" i="2"/>
  <c r="S157" i="2"/>
  <c r="V541" i="1" s="1"/>
  <c r="Z541" i="1" s="1"/>
  <c r="S158" i="2"/>
  <c r="S159" i="2"/>
  <c r="S155" i="2"/>
  <c r="S160" i="2"/>
  <c r="S163" i="2"/>
  <c r="S162" i="2"/>
  <c r="S164" i="2"/>
  <c r="S156" i="2"/>
  <c r="S165" i="2"/>
  <c r="S161" i="2"/>
  <c r="S169" i="2"/>
  <c r="S166" i="2"/>
  <c r="S167" i="2"/>
  <c r="S171" i="2"/>
  <c r="S170" i="2"/>
  <c r="S178" i="2"/>
  <c r="S168" i="2"/>
  <c r="S181" i="2"/>
  <c r="V34" i="1" s="1"/>
  <c r="Z34" i="1" s="1"/>
  <c r="S179" i="2"/>
  <c r="S174" i="2"/>
  <c r="S177" i="2"/>
  <c r="S176" i="2"/>
  <c r="S173" i="2"/>
  <c r="S172" i="2"/>
  <c r="S180" i="2"/>
  <c r="S175" i="2"/>
  <c r="S182" i="2"/>
  <c r="S185" i="2"/>
  <c r="S183" i="2"/>
  <c r="S184" i="2"/>
  <c r="S189" i="2"/>
  <c r="S188" i="2"/>
  <c r="S190" i="2"/>
  <c r="S186" i="2"/>
  <c r="V398" i="1" s="1"/>
  <c r="Z398" i="1" s="1"/>
  <c r="S187" i="2"/>
  <c r="S192" i="2"/>
  <c r="V1221" i="1" s="1"/>
  <c r="S191" i="2"/>
  <c r="S203" i="2"/>
  <c r="S201" i="2"/>
  <c r="V413" i="1" s="1"/>
  <c r="Z413" i="1" s="1"/>
  <c r="S206" i="2"/>
  <c r="S205" i="2"/>
  <c r="S197" i="2"/>
  <c r="S198" i="2"/>
  <c r="S204" i="2"/>
  <c r="S194" i="2"/>
  <c r="S207" i="2"/>
  <c r="S202" i="2"/>
  <c r="S196" i="2"/>
  <c r="S200" i="2"/>
  <c r="S199" i="2"/>
  <c r="S195" i="2"/>
  <c r="S212" i="2"/>
  <c r="S215" i="2"/>
  <c r="S213" i="2"/>
  <c r="S193" i="2"/>
  <c r="S209" i="2"/>
  <c r="S210" i="2"/>
  <c r="S211" i="2"/>
  <c r="S216" i="2"/>
  <c r="S217" i="2"/>
  <c r="S232" i="2"/>
  <c r="S221" i="2"/>
  <c r="V1031" i="1" s="1"/>
  <c r="S224" i="2"/>
  <c r="S228" i="2"/>
  <c r="S223" i="2"/>
  <c r="S226" i="2"/>
  <c r="S218" i="2"/>
  <c r="V521" i="1" s="1"/>
  <c r="Z521" i="1" s="1"/>
  <c r="S233" i="2"/>
  <c r="S227" i="2"/>
  <c r="S208" i="2"/>
  <c r="S231" i="2"/>
  <c r="S220" i="2"/>
  <c r="S219" i="2"/>
  <c r="S230" i="2"/>
  <c r="S229" i="2"/>
  <c r="S222" i="2"/>
  <c r="S225" i="2"/>
  <c r="S214" i="2"/>
  <c r="S234" i="2"/>
  <c r="V715" i="1" s="1"/>
  <c r="S236" i="2"/>
  <c r="S498" i="2"/>
  <c r="S490" i="2"/>
  <c r="S482" i="2"/>
  <c r="S474" i="2"/>
  <c r="S466" i="2"/>
  <c r="S458" i="2"/>
  <c r="S450" i="2"/>
  <c r="S442" i="2"/>
  <c r="S434" i="2"/>
  <c r="S426" i="2"/>
  <c r="S418" i="2"/>
  <c r="S410" i="2"/>
  <c r="S402" i="2"/>
  <c r="S394" i="2"/>
  <c r="S386" i="2"/>
  <c r="S378" i="2"/>
  <c r="S370" i="2"/>
  <c r="S362" i="2"/>
  <c r="S354" i="2"/>
  <c r="S346" i="2"/>
  <c r="S338" i="2"/>
  <c r="S330" i="2"/>
  <c r="S322" i="2"/>
  <c r="S314" i="2"/>
  <c r="S306" i="2"/>
  <c r="S298" i="2"/>
  <c r="S290" i="2"/>
  <c r="S282" i="2"/>
  <c r="S274" i="2"/>
  <c r="S267" i="2"/>
  <c r="S506" i="2"/>
  <c r="S497" i="2"/>
  <c r="S489" i="2"/>
  <c r="S481" i="2"/>
  <c r="S473" i="2"/>
  <c r="S465" i="2"/>
  <c r="S457" i="2"/>
  <c r="S449" i="2"/>
  <c r="S441" i="2"/>
  <c r="S433" i="2"/>
  <c r="S425" i="2"/>
  <c r="S417" i="2"/>
  <c r="S409" i="2"/>
  <c r="S401" i="2"/>
  <c r="S393" i="2"/>
  <c r="S385" i="2"/>
  <c r="S377" i="2"/>
  <c r="S369" i="2"/>
  <c r="S361" i="2"/>
  <c r="S353" i="2"/>
  <c r="S345" i="2"/>
  <c r="S337" i="2"/>
  <c r="S329" i="2"/>
  <c r="S321" i="2"/>
  <c r="S313" i="2"/>
  <c r="S305" i="2"/>
  <c r="S297" i="2"/>
  <c r="S289" i="2"/>
  <c r="S281" i="2"/>
  <c r="S273" i="2"/>
  <c r="S266" i="2"/>
  <c r="S488" i="2"/>
  <c r="S464" i="2"/>
  <c r="S448" i="2"/>
  <c r="S424" i="2"/>
  <c r="S408" i="2"/>
  <c r="S400" i="2"/>
  <c r="S392" i="2"/>
  <c r="S384" i="2"/>
  <c r="S376" i="2"/>
  <c r="S368" i="2"/>
  <c r="S360" i="2"/>
  <c r="S352" i="2"/>
  <c r="S344" i="2"/>
  <c r="S336" i="2"/>
  <c r="S328" i="2"/>
  <c r="S320" i="2"/>
  <c r="S312" i="2"/>
  <c r="S304" i="2"/>
  <c r="V878" i="1" s="1"/>
  <c r="Z878" i="1" s="1"/>
  <c r="S296" i="2"/>
  <c r="S288" i="2"/>
  <c r="S280" i="2"/>
  <c r="S265" i="2"/>
  <c r="S254" i="2"/>
  <c r="S248" i="2"/>
  <c r="S260" i="2"/>
  <c r="S241" i="2"/>
  <c r="S252" i="2"/>
  <c r="S256" i="2"/>
  <c r="S244" i="2"/>
  <c r="S238" i="2"/>
  <c r="S259" i="2"/>
  <c r="S255" i="2"/>
  <c r="S242" i="2"/>
  <c r="S251" i="2"/>
  <c r="S247" i="2"/>
  <c r="V513" i="1" s="1"/>
  <c r="S258" i="2"/>
  <c r="S246" i="2"/>
  <c r="S237" i="2"/>
  <c r="S250" i="2"/>
  <c r="S261" i="2"/>
  <c r="S239" i="2"/>
  <c r="S257" i="2"/>
  <c r="S253" i="2"/>
  <c r="S243" i="2"/>
  <c r="S235" i="2"/>
  <c r="S249" i="2"/>
  <c r="S245" i="2"/>
  <c r="S240" i="2"/>
  <c r="S505" i="2"/>
  <c r="S496" i="2"/>
  <c r="S480" i="2"/>
  <c r="S472" i="2"/>
  <c r="S456" i="2"/>
  <c r="S440" i="2"/>
  <c r="S432" i="2"/>
  <c r="S416" i="2"/>
  <c r="S504" i="2"/>
  <c r="S495" i="2"/>
  <c r="S487" i="2"/>
  <c r="S479" i="2"/>
  <c r="S471" i="2"/>
  <c r="S463" i="2"/>
  <c r="S455" i="2"/>
  <c r="S447" i="2"/>
  <c r="S439" i="2"/>
  <c r="S431" i="2"/>
  <c r="S423" i="2"/>
  <c r="S415" i="2"/>
  <c r="S407" i="2"/>
  <c r="S399" i="2"/>
  <c r="S391" i="2"/>
  <c r="S383" i="2"/>
  <c r="S375" i="2"/>
  <c r="S367" i="2"/>
  <c r="S359" i="2"/>
  <c r="S351" i="2"/>
  <c r="S343" i="2"/>
  <c r="S335" i="2"/>
  <c r="S327" i="2"/>
  <c r="S319" i="2"/>
  <c r="S311" i="2"/>
  <c r="S303" i="2"/>
  <c r="S295" i="2"/>
  <c r="S287" i="2"/>
  <c r="S279" i="2"/>
  <c r="S272" i="2"/>
  <c r="S430" i="2"/>
  <c r="S422" i="2"/>
  <c r="S414" i="2"/>
  <c r="S406" i="2"/>
  <c r="S398" i="2"/>
  <c r="S390" i="2"/>
  <c r="S382" i="2"/>
  <c r="S374" i="2"/>
  <c r="V1240" i="1" s="1"/>
  <c r="Z1240" i="1" s="1"/>
  <c r="S366" i="2"/>
  <c r="S358" i="2"/>
  <c r="S350" i="2"/>
  <c r="S342" i="2"/>
  <c r="S334" i="2"/>
  <c r="S326" i="2"/>
  <c r="S318" i="2"/>
  <c r="S310" i="2"/>
  <c r="S302" i="2"/>
  <c r="S294" i="2"/>
  <c r="S286" i="2"/>
  <c r="S278" i="2"/>
  <c r="S271" i="2"/>
  <c r="S446" i="2"/>
  <c r="S501" i="2"/>
  <c r="S493" i="2"/>
  <c r="S485" i="2"/>
  <c r="S477" i="2"/>
  <c r="S469" i="2"/>
  <c r="S461" i="2"/>
  <c r="S453" i="2"/>
  <c r="S445" i="2"/>
  <c r="S437" i="2"/>
  <c r="S429" i="2"/>
  <c r="S421" i="2"/>
  <c r="S413" i="2"/>
  <c r="S405" i="2"/>
  <c r="S397" i="2"/>
  <c r="S389" i="2"/>
  <c r="S381" i="2"/>
  <c r="S373" i="2"/>
  <c r="S365" i="2"/>
  <c r="S357" i="2"/>
  <c r="S349" i="2"/>
  <c r="S341" i="2"/>
  <c r="S333" i="2"/>
  <c r="S325" i="2"/>
  <c r="S317" i="2"/>
  <c r="S309" i="2"/>
  <c r="S301" i="2"/>
  <c r="S293" i="2"/>
  <c r="S285" i="2"/>
  <c r="S277" i="2"/>
  <c r="S270" i="2"/>
  <c r="L578" i="1"/>
  <c r="S149" i="2"/>
  <c r="L1005" i="1"/>
  <c r="L717" i="1"/>
  <c r="L863" i="1"/>
  <c r="L389" i="1"/>
  <c r="L949" i="1"/>
  <c r="L792" i="1"/>
  <c r="L961" i="1"/>
  <c r="L729" i="1"/>
  <c r="L1081" i="1"/>
  <c r="L759" i="1"/>
  <c r="L487" i="1"/>
  <c r="L687" i="1"/>
  <c r="L908" i="1"/>
  <c r="Y908" i="1" s="1"/>
  <c r="L1094" i="1"/>
  <c r="Y1094" i="1" s="1"/>
  <c r="L1178" i="1"/>
  <c r="Y1178" i="1" s="1"/>
  <c r="L586" i="1"/>
  <c r="L1017" i="1"/>
  <c r="L797" i="1"/>
  <c r="L227" i="1"/>
  <c r="Y227" i="1" s="1"/>
  <c r="L679" i="1"/>
  <c r="L873" i="1"/>
  <c r="L49" i="1"/>
  <c r="Y49" i="1" s="1"/>
  <c r="L957" i="1"/>
  <c r="L310" i="1"/>
  <c r="L178" i="1"/>
  <c r="L1011" i="1"/>
  <c r="L799" i="1"/>
  <c r="L588" i="1"/>
  <c r="R1011" i="1"/>
  <c r="S1011" i="1"/>
  <c r="W1011" i="1"/>
  <c r="L1180" i="1"/>
  <c r="L360" i="1"/>
  <c r="L107" i="1"/>
  <c r="Y107" i="1" s="1"/>
  <c r="L263" i="1"/>
  <c r="L648" i="1"/>
  <c r="Y648" i="1" s="1"/>
  <c r="L386" i="1"/>
  <c r="Y386" i="1" s="1"/>
  <c r="L807" i="1"/>
  <c r="L485" i="1"/>
  <c r="Y485" i="1" s="1"/>
  <c r="L675" i="1"/>
  <c r="L35" i="1"/>
  <c r="L303" i="1"/>
  <c r="L788" i="1"/>
  <c r="Y788" i="1" s="1"/>
  <c r="L852" i="1"/>
  <c r="Y852" i="1" s="1"/>
  <c r="L388" i="1"/>
  <c r="Y388" i="1" s="1"/>
  <c r="L915" i="1"/>
  <c r="L868" i="1"/>
  <c r="L755" i="1"/>
  <c r="Y755" i="1" s="1"/>
  <c r="L494" i="1"/>
  <c r="Y494" i="1" s="1"/>
  <c r="L576" i="1"/>
  <c r="Y576" i="1" s="1"/>
  <c r="L713" i="1"/>
  <c r="Y713" i="1" s="1"/>
  <c r="L36" i="1"/>
  <c r="L630" i="1"/>
  <c r="Y630" i="1" s="1"/>
  <c r="L1095" i="1"/>
  <c r="R713" i="1"/>
  <c r="R755" i="1"/>
  <c r="W303" i="1"/>
  <c r="R494" i="1"/>
  <c r="S807" i="1"/>
  <c r="V263" i="1"/>
  <c r="Z263" i="1" s="1"/>
  <c r="R868" i="1"/>
  <c r="W852" i="1"/>
  <c r="S303" i="1"/>
  <c r="S755" i="1"/>
  <c r="W788" i="1"/>
  <c r="W485" i="1"/>
  <c r="S360" i="1"/>
  <c r="R485" i="1"/>
  <c r="L10" i="1"/>
  <c r="L96" i="1"/>
  <c r="L228" i="1"/>
  <c r="Y228" i="1" s="1"/>
  <c r="L561" i="1"/>
  <c r="L66" i="1"/>
  <c r="Y66" i="1" s="1"/>
  <c r="J255" i="13"/>
  <c r="I256" i="13"/>
  <c r="I260" i="13"/>
  <c r="I264" i="13"/>
  <c r="J256" i="13"/>
  <c r="J260" i="13"/>
  <c r="J264" i="13"/>
  <c r="K264" i="13" s="1"/>
  <c r="I257" i="13"/>
  <c r="I261" i="13"/>
  <c r="I265" i="13"/>
  <c r="J248" i="13"/>
  <c r="J257" i="13"/>
  <c r="J261" i="13"/>
  <c r="J265" i="13"/>
  <c r="K265" i="13" s="1"/>
  <c r="J258" i="13"/>
  <c r="J266" i="13"/>
  <c r="J263" i="13"/>
  <c r="K263" i="13" s="1"/>
  <c r="I254" i="13"/>
  <c r="I258" i="13"/>
  <c r="I262" i="13"/>
  <c r="I266" i="13"/>
  <c r="J262" i="13"/>
  <c r="J254" i="13"/>
  <c r="I255" i="13"/>
  <c r="I259" i="13"/>
  <c r="I263" i="13"/>
  <c r="J259" i="13"/>
  <c r="S742" i="1"/>
  <c r="L656" i="1"/>
  <c r="L33" i="1"/>
  <c r="Y33" i="1" s="1"/>
  <c r="S1077" i="1"/>
  <c r="L1206" i="1"/>
  <c r="V742" i="1"/>
  <c r="Z742" i="1" s="1"/>
  <c r="W34" i="1"/>
  <c r="L911" i="1"/>
  <c r="Y911" i="1" s="1"/>
  <c r="R656" i="1"/>
  <c r="R33" i="1"/>
  <c r="V1026" i="1"/>
  <c r="Z1026" i="1" s="1"/>
  <c r="W1077" i="1"/>
  <c r="R878" i="1"/>
  <c r="S33" i="1"/>
  <c r="W1026" i="1"/>
  <c r="L1258" i="1"/>
  <c r="S1206" i="1"/>
  <c r="W742" i="1"/>
  <c r="S34" i="1"/>
  <c r="R911" i="1"/>
  <c r="R1206" i="1"/>
  <c r="V1206" i="1"/>
  <c r="Z1206" i="1" s="1"/>
  <c r="R1152" i="1"/>
  <c r="L800" i="1"/>
  <c r="S656" i="1"/>
  <c r="L21" i="1"/>
  <c r="Y21" i="1" s="1"/>
  <c r="L733" i="1"/>
  <c r="L313" i="1"/>
  <c r="Y313" i="1" s="1"/>
  <c r="S878" i="1"/>
  <c r="R1258" i="1"/>
  <c r="L1152" i="1"/>
  <c r="Y1152" i="1" s="1"/>
  <c r="S733" i="1"/>
  <c r="S313" i="1"/>
  <c r="W1206" i="1"/>
  <c r="S1152" i="1"/>
  <c r="S911" i="1"/>
  <c r="R800" i="1"/>
  <c r="W33" i="1"/>
  <c r="R733" i="1"/>
  <c r="S1258" i="1"/>
  <c r="L742" i="1"/>
  <c r="W911" i="1"/>
  <c r="R1026" i="1"/>
  <c r="R742" i="1"/>
  <c r="L34" i="1"/>
  <c r="Y34" i="1" s="1"/>
  <c r="R34" i="1"/>
  <c r="V1152" i="1"/>
  <c r="Z1152" i="1" s="1"/>
  <c r="V911" i="1"/>
  <c r="Z911" i="1" s="1"/>
  <c r="S800" i="1"/>
  <c r="W656" i="1"/>
  <c r="L1026" i="1"/>
  <c r="W313" i="1"/>
  <c r="L1077" i="1"/>
  <c r="W878" i="1"/>
  <c r="W1258" i="1"/>
  <c r="R1077" i="1"/>
  <c r="W1152" i="1"/>
  <c r="W800" i="1"/>
  <c r="L48" i="1"/>
  <c r="Y48" i="1" s="1"/>
  <c r="V733" i="1"/>
  <c r="Z733" i="1" s="1"/>
  <c r="R313" i="1"/>
  <c r="S1026" i="1"/>
  <c r="W733" i="1"/>
  <c r="L878" i="1"/>
  <c r="Y878" i="1" s="1"/>
  <c r="J256" i="15"/>
  <c r="J264" i="15"/>
  <c r="J257" i="15"/>
  <c r="J265" i="15"/>
  <c r="J258" i="15"/>
  <c r="J266" i="15"/>
  <c r="J262" i="15"/>
  <c r="J259" i="15"/>
  <c r="J254" i="15"/>
  <c r="J252" i="15"/>
  <c r="J260" i="15"/>
  <c r="J253" i="15"/>
  <c r="J261" i="15"/>
  <c r="J255" i="15"/>
  <c r="J263" i="15"/>
  <c r="R1313" i="1"/>
  <c r="L610" i="1"/>
  <c r="L215" i="1"/>
  <c r="L439" i="1"/>
  <c r="L611" i="1"/>
  <c r="L673" i="1"/>
  <c r="L534" i="1"/>
  <c r="L349" i="1"/>
  <c r="L1241" i="1"/>
  <c r="V1197" i="1"/>
  <c r="Z1197" i="1" s="1"/>
  <c r="V556" i="1"/>
  <c r="Z556" i="1" s="1"/>
  <c r="V1293" i="1"/>
  <c r="Z1293" i="1" s="1"/>
  <c r="V1230" i="1"/>
  <c r="Z1230" i="1" s="1"/>
  <c r="V1284" i="1"/>
  <c r="Z1284" i="1" s="1"/>
  <c r="V1100" i="1"/>
  <c r="Z1100" i="1" s="1"/>
  <c r="V1313" i="1"/>
  <c r="Z1313" i="1" s="1"/>
  <c r="V651" i="1"/>
  <c r="Z651" i="1" s="1"/>
  <c r="V650" i="1"/>
  <c r="Z650" i="1" s="1"/>
  <c r="V856" i="1"/>
  <c r="Z856" i="1" s="1"/>
  <c r="V756" i="1"/>
  <c r="Z756" i="1" s="1"/>
  <c r="V1269" i="1"/>
  <c r="Z1269" i="1" s="1"/>
  <c r="V1250" i="1"/>
  <c r="Z1250" i="1" s="1"/>
  <c r="V1082" i="1"/>
  <c r="Z1082" i="1" s="1"/>
  <c r="V962" i="1"/>
  <c r="Z962" i="1" s="1"/>
  <c r="V659" i="1"/>
  <c r="Z659" i="1" s="1"/>
  <c r="AK1163" i="1"/>
  <c r="V1163" i="1"/>
  <c r="AK747" i="1"/>
  <c r="V747" i="1"/>
  <c r="AK1031" i="1"/>
  <c r="AK1130" i="1"/>
  <c r="AK1275" i="1"/>
  <c r="AK306" i="1"/>
  <c r="AK1268" i="1"/>
  <c r="V1268" i="1"/>
  <c r="AK1036" i="1"/>
  <c r="V1036" i="1"/>
  <c r="AK866" i="1"/>
  <c r="V866" i="1"/>
  <c r="AK1161" i="1"/>
  <c r="V1161" i="1"/>
  <c r="AK1002" i="1"/>
  <c r="AK1266" i="1"/>
  <c r="V1266" i="1"/>
  <c r="AK1241" i="1"/>
  <c r="V1241" i="1"/>
  <c r="AK402" i="1"/>
  <c r="V402" i="1"/>
  <c r="AK1096" i="1"/>
  <c r="AK1221" i="1"/>
  <c r="AK1272" i="1"/>
  <c r="V1272" i="1"/>
  <c r="AK511" i="1"/>
  <c r="V511" i="1"/>
  <c r="AK1291" i="1"/>
  <c r="AK744" i="1"/>
  <c r="V744" i="1"/>
  <c r="AK715" i="1"/>
  <c r="AK919" i="1"/>
  <c r="V919" i="1"/>
  <c r="AK1008" i="1"/>
  <c r="V1008" i="1"/>
  <c r="AK1080" i="1"/>
  <c r="V1080" i="1"/>
  <c r="AK812" i="1"/>
  <c r="AK1105" i="1"/>
  <c r="V1105" i="1"/>
  <c r="AK1042" i="1"/>
  <c r="V1042" i="1"/>
  <c r="AK513" i="1"/>
  <c r="AK1149" i="1"/>
  <c r="AK1137" i="1"/>
  <c r="V1137" i="1"/>
  <c r="AK1314" i="1"/>
  <c r="V1314" i="1"/>
  <c r="AK745" i="1"/>
  <c r="V745" i="1"/>
  <c r="AK581" i="1"/>
  <c r="V581" i="1"/>
  <c r="AK1035" i="1"/>
  <c r="V1035" i="1"/>
  <c r="AK858" i="1"/>
  <c r="AK1135" i="1"/>
  <c r="V1135" i="1"/>
  <c r="L182" i="1"/>
  <c r="L181" i="1"/>
  <c r="L988" i="1"/>
  <c r="Y988" i="1" s="1"/>
  <c r="L930" i="1"/>
  <c r="Y930" i="1" s="1"/>
  <c r="L776" i="1"/>
  <c r="Y776" i="1" s="1"/>
  <c r="L837" i="1"/>
  <c r="Y837" i="1" s="1"/>
  <c r="L931" i="1"/>
  <c r="Y931" i="1" s="1"/>
  <c r="L932" i="1"/>
  <c r="Y932" i="1" s="1"/>
  <c r="L795" i="1"/>
  <c r="Y795" i="1" s="1"/>
  <c r="L951" i="1"/>
  <c r="Y951" i="1" s="1"/>
  <c r="L1015" i="1"/>
  <c r="Y1015" i="1" s="1"/>
  <c r="L872" i="1"/>
  <c r="Y872" i="1" s="1"/>
  <c r="L726" i="1"/>
  <c r="Y726" i="1" s="1"/>
  <c r="L653" i="1"/>
  <c r="Y653" i="1" s="1"/>
  <c r="L193" i="1"/>
  <c r="L318" i="1"/>
  <c r="L424" i="1"/>
  <c r="W318" i="1"/>
  <c r="R318" i="1"/>
  <c r="S318" i="1"/>
  <c r="L358" i="1"/>
  <c r="Y358" i="1" s="1"/>
  <c r="L469" i="1"/>
  <c r="Y469" i="1" s="1"/>
  <c r="R469" i="1"/>
  <c r="S469" i="1"/>
  <c r="W358" i="1"/>
  <c r="S358" i="1"/>
  <c r="S1009" i="1"/>
  <c r="R1009" i="1"/>
  <c r="L833" i="1"/>
  <c r="R704" i="1"/>
  <c r="L651" i="1"/>
  <c r="R1140" i="1"/>
  <c r="S1078" i="1"/>
  <c r="S853" i="1"/>
  <c r="R496" i="1"/>
  <c r="R714" i="1"/>
  <c r="R833" i="1"/>
  <c r="W1016" i="1"/>
  <c r="R651" i="1"/>
  <c r="S1140" i="1"/>
  <c r="W1000" i="1"/>
  <c r="L946" i="1"/>
  <c r="L856" i="1"/>
  <c r="L496" i="1"/>
  <c r="W1009" i="1"/>
  <c r="L714" i="1"/>
  <c r="S704" i="1"/>
  <c r="W1078" i="1"/>
  <c r="W853" i="1"/>
  <c r="L495" i="1"/>
  <c r="R790" i="1"/>
  <c r="W714" i="1"/>
  <c r="L108" i="1"/>
  <c r="S714" i="1"/>
  <c r="W946" i="1"/>
  <c r="S833" i="1"/>
  <c r="S651" i="1"/>
  <c r="W1140" i="1"/>
  <c r="R946" i="1"/>
  <c r="L790" i="1"/>
  <c r="R495" i="1"/>
  <c r="R856" i="1"/>
  <c r="R1078" i="1"/>
  <c r="S790" i="1"/>
  <c r="R710" i="1"/>
  <c r="W108" i="1"/>
  <c r="R853" i="1"/>
  <c r="R108" i="1"/>
  <c r="W704" i="1"/>
  <c r="L1000" i="1"/>
  <c r="S108" i="1"/>
  <c r="L1009" i="1"/>
  <c r="W833" i="1"/>
  <c r="W651" i="1"/>
  <c r="L1078" i="1"/>
  <c r="R1000" i="1"/>
  <c r="S946" i="1"/>
  <c r="S495" i="1"/>
  <c r="S856" i="1"/>
  <c r="W710" i="1"/>
  <c r="S710" i="1"/>
  <c r="L1016" i="1"/>
  <c r="R1016" i="1"/>
  <c r="L710" i="1"/>
  <c r="S496" i="1"/>
  <c r="W496" i="1"/>
  <c r="L704" i="1"/>
  <c r="S1016" i="1"/>
  <c r="L1140" i="1"/>
  <c r="S1000" i="1"/>
  <c r="L853" i="1"/>
  <c r="W495" i="1"/>
  <c r="W856" i="1"/>
  <c r="W790" i="1"/>
  <c r="L1203" i="1"/>
  <c r="L1150" i="1"/>
  <c r="L737" i="1"/>
  <c r="L909" i="1"/>
  <c r="L1281" i="1"/>
  <c r="L594" i="1"/>
  <c r="L738" i="1"/>
  <c r="L1202" i="1"/>
  <c r="W910" i="1"/>
  <c r="S1257" i="1"/>
  <c r="S594" i="1"/>
  <c r="R1234" i="1"/>
  <c r="R1257" i="1"/>
  <c r="L1032" i="1"/>
  <c r="R1098" i="1"/>
  <c r="W1150" i="1"/>
  <c r="W397" i="1"/>
  <c r="S910" i="1"/>
  <c r="R1150" i="1"/>
  <c r="W1032" i="1"/>
  <c r="W1098" i="1"/>
  <c r="R593" i="1"/>
  <c r="S1203" i="1"/>
  <c r="S1281" i="1"/>
  <c r="R1281" i="1"/>
  <c r="W738" i="1"/>
  <c r="S397" i="1"/>
  <c r="R1203" i="1"/>
  <c r="W1202" i="1"/>
  <c r="W1256" i="1"/>
  <c r="R398" i="1"/>
  <c r="L1033" i="1"/>
  <c r="W1280" i="1"/>
  <c r="S1280" i="1"/>
  <c r="S1151" i="1"/>
  <c r="R909" i="1"/>
  <c r="S1202" i="1"/>
  <c r="W737" i="1"/>
  <c r="L910" i="1"/>
  <c r="R1151" i="1"/>
  <c r="W1203" i="1"/>
  <c r="W398" i="1"/>
  <c r="L1097" i="1"/>
  <c r="W1281" i="1"/>
  <c r="R1280" i="1"/>
  <c r="S1033" i="1"/>
  <c r="R1032" i="1"/>
  <c r="S737" i="1"/>
  <c r="R738" i="1"/>
  <c r="L593" i="1"/>
  <c r="W1151" i="1"/>
  <c r="L1151" i="1"/>
  <c r="W1234" i="1"/>
  <c r="S909" i="1"/>
  <c r="W1033" i="1"/>
  <c r="W1235" i="1"/>
  <c r="S1098" i="1"/>
  <c r="W594" i="1"/>
  <c r="R1097" i="1"/>
  <c r="L1256" i="1"/>
  <c r="W909" i="1"/>
  <c r="S398" i="1"/>
  <c r="W593" i="1"/>
  <c r="L1257" i="1"/>
  <c r="L397" i="1"/>
  <c r="S1256" i="1"/>
  <c r="R594" i="1"/>
  <c r="S1235" i="1"/>
  <c r="L1234" i="1"/>
  <c r="R737" i="1"/>
  <c r="R1202" i="1"/>
  <c r="S1097" i="1"/>
  <c r="R1256" i="1"/>
  <c r="S593" i="1"/>
  <c r="R1235" i="1"/>
  <c r="R397" i="1"/>
  <c r="L1235" i="1"/>
  <c r="S1150" i="1"/>
  <c r="L398" i="1"/>
  <c r="L1280" i="1"/>
  <c r="L1098" i="1"/>
  <c r="W1257" i="1"/>
  <c r="I246" i="13"/>
  <c r="J246" i="13"/>
  <c r="J245" i="13"/>
  <c r="J253" i="13"/>
  <c r="J248" i="15"/>
  <c r="I248" i="13"/>
  <c r="I249" i="13"/>
  <c r="I245" i="13"/>
  <c r="I252" i="13"/>
  <c r="J252" i="13"/>
  <c r="J249" i="15"/>
  <c r="J250" i="13"/>
  <c r="J242" i="15"/>
  <c r="J244" i="15"/>
  <c r="J251" i="15"/>
  <c r="J242" i="13"/>
  <c r="I251" i="13"/>
  <c r="R261" i="1"/>
  <c r="I247" i="13"/>
  <c r="I250" i="13"/>
  <c r="J243" i="13"/>
  <c r="J251" i="13"/>
  <c r="S479" i="1"/>
  <c r="W261" i="1"/>
  <c r="J247" i="13"/>
  <c r="W864" i="1"/>
  <c r="I253" i="13"/>
  <c r="S548" i="1"/>
  <c r="J245" i="15"/>
  <c r="J249" i="13"/>
  <c r="L548" i="1"/>
  <c r="W718" i="1"/>
  <c r="S864" i="1"/>
  <c r="W623" i="1"/>
  <c r="J247" i="15"/>
  <c r="R479" i="1"/>
  <c r="S718" i="1"/>
  <c r="L1006" i="1"/>
  <c r="I242" i="13"/>
  <c r="R864" i="1"/>
  <c r="L718" i="1"/>
  <c r="W548" i="1"/>
  <c r="L261" i="1"/>
  <c r="S623" i="1"/>
  <c r="R548" i="1"/>
  <c r="W479" i="1"/>
  <c r="J244" i="13"/>
  <c r="L479" i="1"/>
  <c r="I244" i="13"/>
  <c r="R623" i="1"/>
  <c r="R1006" i="1"/>
  <c r="S261" i="1"/>
  <c r="S1006" i="1"/>
  <c r="I243" i="13"/>
  <c r="L623" i="1"/>
  <c r="J246" i="15"/>
  <c r="W1006" i="1"/>
  <c r="J250" i="15"/>
  <c r="J243" i="15"/>
  <c r="L864" i="1"/>
  <c r="L1104" i="1"/>
  <c r="Y1104" i="1" s="1"/>
  <c r="L543" i="1"/>
  <c r="Y543" i="1" s="1"/>
  <c r="L1160" i="1"/>
  <c r="Y1160" i="1" s="1"/>
  <c r="R977" i="1"/>
  <c r="R1104" i="1"/>
  <c r="S1208" i="1"/>
  <c r="L1167" i="1"/>
  <c r="Y1167" i="1" s="1"/>
  <c r="L977" i="1"/>
  <c r="Y977" i="1" s="1"/>
  <c r="L985" i="1"/>
  <c r="Y985" i="1" s="1"/>
  <c r="R510" i="1"/>
  <c r="L471" i="1"/>
  <c r="Y471" i="1" s="1"/>
  <c r="R1160" i="1"/>
  <c r="L676" i="1"/>
  <c r="Y676" i="1" s="1"/>
  <c r="W510" i="1"/>
  <c r="W1104" i="1"/>
  <c r="L1044" i="1"/>
  <c r="Y1044" i="1" s="1"/>
  <c r="L219" i="1"/>
  <c r="Y219" i="1" s="1"/>
  <c r="S510" i="1"/>
  <c r="L1109" i="1"/>
  <c r="Y1109" i="1" s="1"/>
  <c r="L924" i="1"/>
  <c r="Y924" i="1" s="1"/>
  <c r="R1208" i="1"/>
  <c r="W1208" i="1"/>
  <c r="L1208" i="1"/>
  <c r="Y1208" i="1" s="1"/>
  <c r="L361" i="1"/>
  <c r="Y361" i="1" s="1"/>
  <c r="L510" i="1"/>
  <c r="Y510" i="1" s="1"/>
  <c r="S1160" i="1"/>
  <c r="L73" i="1"/>
  <c r="Y73" i="1" s="1"/>
  <c r="W1160" i="1"/>
  <c r="L473" i="1"/>
  <c r="Y473" i="1" s="1"/>
  <c r="S1104" i="1"/>
  <c r="L542" i="1"/>
  <c r="Y542" i="1" s="1"/>
  <c r="L984" i="1"/>
  <c r="Y984" i="1" s="1"/>
  <c r="L223" i="1"/>
  <c r="Y223" i="1" s="1"/>
  <c r="L221" i="1"/>
  <c r="Y221" i="1" s="1"/>
  <c r="S977" i="1"/>
  <c r="L72" i="1"/>
  <c r="Y72" i="1" s="1"/>
  <c r="L474" i="1"/>
  <c r="Y474" i="1" s="1"/>
  <c r="L541" i="1"/>
  <c r="S556" i="1"/>
  <c r="R521" i="1"/>
  <c r="S1100" i="1"/>
  <c r="L1293" i="1"/>
  <c r="L746" i="1"/>
  <c r="Y746" i="1" s="1"/>
  <c r="S1293" i="1"/>
  <c r="W1100" i="1"/>
  <c r="W1269" i="1"/>
  <c r="L1269" i="1"/>
  <c r="L1250" i="1"/>
  <c r="S1230" i="1"/>
  <c r="L1192" i="1"/>
  <c r="Y1192" i="1" s="1"/>
  <c r="S413" i="1"/>
  <c r="R756" i="1"/>
  <c r="L413" i="1"/>
  <c r="L1210" i="1"/>
  <c r="Y1210" i="1" s="1"/>
  <c r="L1106" i="1"/>
  <c r="Y1106" i="1" s="1"/>
  <c r="S650" i="1"/>
  <c r="W413" i="1"/>
  <c r="L981" i="1"/>
  <c r="Y981" i="1" s="1"/>
  <c r="L650" i="1"/>
  <c r="L1162" i="1"/>
  <c r="Y1162" i="1" s="1"/>
  <c r="W556" i="1"/>
  <c r="S521" i="1"/>
  <c r="L1136" i="1"/>
  <c r="Y1136" i="1" s="1"/>
  <c r="W756" i="1"/>
  <c r="W521" i="1"/>
  <c r="W1313" i="1"/>
  <c r="R541" i="1"/>
  <c r="W541" i="1"/>
  <c r="L1100" i="1"/>
  <c r="R1269" i="1"/>
  <c r="L1229" i="1"/>
  <c r="Y1229" i="1" s="1"/>
  <c r="S541" i="1"/>
  <c r="S756" i="1"/>
  <c r="W1293" i="1"/>
  <c r="L1249" i="1"/>
  <c r="Y1249" i="1" s="1"/>
  <c r="S1313" i="1"/>
  <c r="L1230" i="1"/>
  <c r="R1197" i="1"/>
  <c r="R650" i="1"/>
  <c r="S1197" i="1"/>
  <c r="W1197" i="1"/>
  <c r="L556" i="1"/>
  <c r="L1197" i="1"/>
  <c r="L1313" i="1"/>
  <c r="R413" i="1"/>
  <c r="S1284" i="1"/>
  <c r="R1230" i="1"/>
  <c r="L1037" i="1"/>
  <c r="Y1037" i="1" s="1"/>
  <c r="R1250" i="1"/>
  <c r="L1073" i="1"/>
  <c r="Y1073" i="1" s="1"/>
  <c r="L521" i="1"/>
  <c r="W650" i="1"/>
  <c r="R556" i="1"/>
  <c r="S1250" i="1"/>
  <c r="R1100" i="1"/>
  <c r="R1293" i="1"/>
  <c r="L1284" i="1"/>
  <c r="L920" i="1"/>
  <c r="Y920" i="1" s="1"/>
  <c r="L756" i="1"/>
  <c r="W1250" i="1"/>
  <c r="S1269" i="1"/>
  <c r="W1284" i="1"/>
  <c r="W1230" i="1"/>
  <c r="R1284" i="1"/>
  <c r="J238" i="13"/>
  <c r="J98" i="15"/>
  <c r="J162" i="15"/>
  <c r="J226" i="15"/>
  <c r="I239" i="13"/>
  <c r="I238" i="13"/>
  <c r="J58" i="15"/>
  <c r="J130" i="15"/>
  <c r="J186" i="15"/>
  <c r="I224" i="13"/>
  <c r="J50" i="15"/>
  <c r="J122" i="15"/>
  <c r="J154" i="15"/>
  <c r="J234" i="15"/>
  <c r="J106" i="15"/>
  <c r="J178" i="15"/>
  <c r="J218" i="15"/>
  <c r="I228" i="13"/>
  <c r="I234" i="13"/>
  <c r="J74" i="15"/>
  <c r="J146" i="15"/>
  <c r="J202" i="15"/>
  <c r="J235" i="13"/>
  <c r="J230" i="13"/>
  <c r="J234" i="13"/>
  <c r="J82" i="15"/>
  <c r="J170" i="15"/>
  <c r="J267" i="15"/>
  <c r="J10" i="15"/>
  <c r="J18" i="15"/>
  <c r="J26" i="15"/>
  <c r="J34" i="15"/>
  <c r="J42" i="15"/>
  <c r="J66" i="15"/>
  <c r="J90" i="15"/>
  <c r="J114" i="15"/>
  <c r="J138" i="15"/>
  <c r="J194" i="15"/>
  <c r="J210" i="15"/>
  <c r="J231" i="13"/>
  <c r="J3" i="15"/>
  <c r="J225" i="15"/>
  <c r="J161" i="15"/>
  <c r="J97" i="15"/>
  <c r="J33" i="15"/>
  <c r="J224" i="15"/>
  <c r="J160" i="15"/>
  <c r="J96" i="15"/>
  <c r="J32" i="15"/>
  <c r="J223" i="15"/>
  <c r="J159" i="15"/>
  <c r="J95" i="15"/>
  <c r="J31" i="15"/>
  <c r="J229" i="13"/>
  <c r="J198" i="15"/>
  <c r="J134" i="15"/>
  <c r="J70" i="15"/>
  <c r="J6" i="15"/>
  <c r="J181" i="15"/>
  <c r="J117" i="15"/>
  <c r="J53" i="15"/>
  <c r="J232" i="13"/>
  <c r="J204" i="15"/>
  <c r="J140" i="15"/>
  <c r="J76" i="15"/>
  <c r="J12" i="15"/>
  <c r="J227" i="15"/>
  <c r="J163" i="15"/>
  <c r="J99" i="15"/>
  <c r="J35" i="15"/>
  <c r="J27" i="15"/>
  <c r="J180" i="15"/>
  <c r="I232" i="13"/>
  <c r="J11" i="15"/>
  <c r="J150" i="15"/>
  <c r="J133" i="15"/>
  <c r="J28" i="15"/>
  <c r="J179" i="15"/>
  <c r="J233" i="15"/>
  <c r="J232" i="15"/>
  <c r="J40" i="15"/>
  <c r="J103" i="15"/>
  <c r="J142" i="15"/>
  <c r="J14" i="15"/>
  <c r="J236" i="13"/>
  <c r="J235" i="15"/>
  <c r="J239" i="13"/>
  <c r="J217" i="15"/>
  <c r="J153" i="15"/>
  <c r="J89" i="15"/>
  <c r="J25" i="15"/>
  <c r="J216" i="15"/>
  <c r="J152" i="15"/>
  <c r="J88" i="15"/>
  <c r="J24" i="15"/>
  <c r="J215" i="15"/>
  <c r="J151" i="15"/>
  <c r="J87" i="15"/>
  <c r="J23" i="15"/>
  <c r="I226" i="13"/>
  <c r="J190" i="15"/>
  <c r="J126" i="15"/>
  <c r="J62" i="15"/>
  <c r="J237" i="15"/>
  <c r="J173" i="15"/>
  <c r="J109" i="15"/>
  <c r="J45" i="15"/>
  <c r="J196" i="15"/>
  <c r="J132" i="15"/>
  <c r="J68" i="15"/>
  <c r="J4" i="15"/>
  <c r="J219" i="15"/>
  <c r="J155" i="15"/>
  <c r="J91" i="15"/>
  <c r="J61" i="15"/>
  <c r="I235" i="13"/>
  <c r="J209" i="15"/>
  <c r="J145" i="15"/>
  <c r="J81" i="15"/>
  <c r="J17" i="15"/>
  <c r="J208" i="15"/>
  <c r="J144" i="15"/>
  <c r="J80" i="15"/>
  <c r="J16" i="15"/>
  <c r="J207" i="15"/>
  <c r="J143" i="15"/>
  <c r="J79" i="15"/>
  <c r="J15" i="15"/>
  <c r="I222" i="13"/>
  <c r="J182" i="15"/>
  <c r="J118" i="15"/>
  <c r="J54" i="15"/>
  <c r="I240" i="13"/>
  <c r="J229" i="15"/>
  <c r="J165" i="15"/>
  <c r="J101" i="15"/>
  <c r="J37" i="15"/>
  <c r="I241" i="13"/>
  <c r="J188" i="15"/>
  <c r="J124" i="15"/>
  <c r="J60" i="15"/>
  <c r="I236" i="13"/>
  <c r="J211" i="15"/>
  <c r="J147" i="15"/>
  <c r="J83" i="15"/>
  <c r="J19" i="15"/>
  <c r="J71" i="15"/>
  <c r="J110" i="15"/>
  <c r="J46" i="15"/>
  <c r="J221" i="15"/>
  <c r="J157" i="15"/>
  <c r="J29" i="15"/>
  <c r="J2" i="15"/>
  <c r="J52" i="15"/>
  <c r="J203" i="15"/>
  <c r="J75" i="15"/>
  <c r="J86" i="15"/>
  <c r="J69" i="15"/>
  <c r="J92" i="15"/>
  <c r="J115" i="15"/>
  <c r="J169" i="15"/>
  <c r="J168" i="15"/>
  <c r="J231" i="15"/>
  <c r="J167" i="15"/>
  <c r="J206" i="15"/>
  <c r="J241" i="13"/>
  <c r="J212" i="15"/>
  <c r="J20" i="15"/>
  <c r="J43" i="15"/>
  <c r="I231" i="13"/>
  <c r="J201" i="15"/>
  <c r="J137" i="15"/>
  <c r="J73" i="15"/>
  <c r="J9" i="15"/>
  <c r="J200" i="15"/>
  <c r="J136" i="15"/>
  <c r="J72" i="15"/>
  <c r="J8" i="15"/>
  <c r="J199" i="15"/>
  <c r="J135" i="15"/>
  <c r="J7" i="15"/>
  <c r="J238" i="15"/>
  <c r="J174" i="15"/>
  <c r="I237" i="13"/>
  <c r="J93" i="15"/>
  <c r="J116" i="15"/>
  <c r="J139" i="15"/>
  <c r="J220" i="15"/>
  <c r="J41" i="15"/>
  <c r="J189" i="15"/>
  <c r="J84" i="15"/>
  <c r="J227" i="13"/>
  <c r="J193" i="15"/>
  <c r="J129" i="15"/>
  <c r="J65" i="15"/>
  <c r="I227" i="13"/>
  <c r="J192" i="15"/>
  <c r="J128" i="15"/>
  <c r="J64" i="15"/>
  <c r="J226" i="13"/>
  <c r="J191" i="15"/>
  <c r="J127" i="15"/>
  <c r="J63" i="15"/>
  <c r="I230" i="13"/>
  <c r="J230" i="15"/>
  <c r="J166" i="15"/>
  <c r="J102" i="15"/>
  <c r="J38" i="15"/>
  <c r="I233" i="13"/>
  <c r="J213" i="15"/>
  <c r="J149" i="15"/>
  <c r="J85" i="15"/>
  <c r="J21" i="15"/>
  <c r="J236" i="15"/>
  <c r="J172" i="15"/>
  <c r="J108" i="15"/>
  <c r="J44" i="15"/>
  <c r="J228" i="13"/>
  <c r="K228" i="13" s="1"/>
  <c r="J195" i="15"/>
  <c r="J131" i="15"/>
  <c r="J67" i="15"/>
  <c r="J113" i="15"/>
  <c r="J239" i="15"/>
  <c r="J111" i="15"/>
  <c r="J237" i="13"/>
  <c r="J5" i="15"/>
  <c r="J268" i="15"/>
  <c r="J233" i="13"/>
  <c r="J107" i="15"/>
  <c r="J223" i="13"/>
  <c r="J185" i="15"/>
  <c r="J121" i="15"/>
  <c r="J57" i="15"/>
  <c r="I223" i="13"/>
  <c r="J184" i="15"/>
  <c r="J120" i="15"/>
  <c r="J56" i="15"/>
  <c r="J222" i="13"/>
  <c r="J183" i="15"/>
  <c r="J119" i="15"/>
  <c r="J55" i="15"/>
  <c r="J240" i="13"/>
  <c r="J222" i="15"/>
  <c r="J158" i="15"/>
  <c r="J94" i="15"/>
  <c r="J30" i="15"/>
  <c r="I229" i="13"/>
  <c r="J205" i="15"/>
  <c r="J141" i="15"/>
  <c r="J77" i="15"/>
  <c r="J13" i="15"/>
  <c r="J228" i="15"/>
  <c r="J164" i="15"/>
  <c r="J100" i="15"/>
  <c r="J36" i="15"/>
  <c r="J224" i="13"/>
  <c r="J187" i="15"/>
  <c r="J123" i="15"/>
  <c r="J59" i="15"/>
  <c r="J241" i="15"/>
  <c r="J177" i="15"/>
  <c r="J49" i="15"/>
  <c r="J240" i="15"/>
  <c r="J176" i="15"/>
  <c r="J112" i="15"/>
  <c r="J48" i="15"/>
  <c r="J175" i="15"/>
  <c r="J47" i="15"/>
  <c r="J214" i="15"/>
  <c r="J22" i="15"/>
  <c r="J197" i="15"/>
  <c r="J156" i="15"/>
  <c r="J51" i="15"/>
  <c r="J105" i="15"/>
  <c r="J104" i="15"/>
  <c r="J39" i="15"/>
  <c r="J78" i="15"/>
  <c r="J125" i="15"/>
  <c r="J148" i="15"/>
  <c r="J171" i="15"/>
  <c r="K36" i="7"/>
  <c r="H36" i="7"/>
  <c r="I36" i="7"/>
  <c r="J36" i="7"/>
  <c r="S1082" i="1"/>
  <c r="L659" i="1"/>
  <c r="W1082" i="1"/>
  <c r="S659" i="1"/>
  <c r="W962" i="1"/>
  <c r="R1082" i="1"/>
  <c r="W659" i="1"/>
  <c r="R962" i="1"/>
  <c r="R659" i="1"/>
  <c r="L962" i="1"/>
  <c r="L1082" i="1"/>
  <c r="S962" i="1"/>
  <c r="W1314" i="1"/>
  <c r="W1135" i="1"/>
  <c r="W747" i="1"/>
  <c r="W1163" i="1"/>
  <c r="W1036" i="1"/>
  <c r="W1241" i="1"/>
  <c r="W511" i="1"/>
  <c r="W1008" i="1"/>
  <c r="W1096" i="1"/>
  <c r="W1272" i="1"/>
  <c r="W919" i="1"/>
  <c r="W1161" i="1"/>
  <c r="W866" i="1"/>
  <c r="W1031" i="1"/>
  <c r="W1035" i="1"/>
  <c r="W745" i="1"/>
  <c r="W581" i="1"/>
  <c r="W402" i="1"/>
  <c r="W1291" i="1"/>
  <c r="W1080" i="1"/>
  <c r="W744" i="1"/>
  <c r="W858" i="1"/>
  <c r="W715" i="1"/>
  <c r="W1105" i="1"/>
  <c r="W1275" i="1"/>
  <c r="W1002" i="1"/>
  <c r="W306" i="1"/>
  <c r="W1268" i="1"/>
  <c r="W1149" i="1"/>
  <c r="W812" i="1"/>
  <c r="W1266" i="1"/>
  <c r="W1042" i="1"/>
  <c r="W513" i="1"/>
  <c r="W1137" i="1"/>
  <c r="W1221" i="1"/>
  <c r="W1130" i="1"/>
  <c r="AE919" i="1"/>
  <c r="AE1135" i="1"/>
  <c r="AE1241" i="1"/>
  <c r="AE511" i="1"/>
  <c r="AE1272" i="1"/>
  <c r="AF1002" i="1"/>
  <c r="AE306" i="1"/>
  <c r="AE1137" i="1"/>
  <c r="AE1314" i="1"/>
  <c r="AF744" i="1"/>
  <c r="AE1130" i="1"/>
  <c r="AE812" i="1"/>
  <c r="AF715" i="1"/>
  <c r="AF1161" i="1"/>
  <c r="AE1266" i="1"/>
  <c r="AE1105" i="1"/>
  <c r="AE858" i="1"/>
  <c r="AE1268" i="1"/>
  <c r="AE1221" i="1"/>
  <c r="AE1035" i="1"/>
  <c r="AE1096" i="1"/>
  <c r="AE1149" i="1"/>
  <c r="AF866" i="1"/>
  <c r="AE1031" i="1"/>
  <c r="AE1080" i="1"/>
  <c r="AE581" i="1"/>
  <c r="AE1291" i="1"/>
  <c r="AE1275" i="1"/>
  <c r="AE513" i="1"/>
  <c r="AF747" i="1"/>
  <c r="AE1036" i="1"/>
  <c r="AF745" i="1"/>
  <c r="AF1008" i="1"/>
  <c r="AF402" i="1"/>
  <c r="AF1042" i="1"/>
  <c r="AF1163" i="1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L31" i="7"/>
  <c r="B32" i="7"/>
  <c r="D32" i="7" s="1"/>
  <c r="A169" i="1"/>
  <c r="A302" i="1"/>
  <c r="A409" i="1"/>
  <c r="AI169" i="1"/>
  <c r="AE169" i="1" s="1"/>
  <c r="AI302" i="1"/>
  <c r="AE302" i="1" s="1"/>
  <c r="AI409" i="1"/>
  <c r="AE409" i="1" s="1"/>
  <c r="D46" i="9"/>
  <c r="B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B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B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20" i="3"/>
  <c r="A952" i="1"/>
  <c r="AI952" i="1"/>
  <c r="AE952" i="1" s="1"/>
  <c r="A796" i="1"/>
  <c r="AI796" i="1"/>
  <c r="AE796" i="1" s="1"/>
  <c r="A654" i="1"/>
  <c r="AI654" i="1"/>
  <c r="AF654" i="1" s="1"/>
  <c r="H12" i="4"/>
  <c r="H13" i="4"/>
  <c r="H14" i="4"/>
  <c r="H15" i="4"/>
  <c r="H16" i="4"/>
  <c r="H17" i="4"/>
  <c r="A1020" i="1"/>
  <c r="AI1020" i="1"/>
  <c r="AE1020" i="1" s="1"/>
  <c r="A731" i="1"/>
  <c r="AI731" i="1"/>
  <c r="AE731" i="1" s="1"/>
  <c r="N30" i="11"/>
  <c r="N35" i="11"/>
  <c r="N36" i="11"/>
  <c r="N38" i="11"/>
  <c r="N39" i="11"/>
  <c r="N40" i="11"/>
  <c r="N41" i="11"/>
  <c r="N42" i="11"/>
  <c r="N43" i="11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L113" i="7"/>
  <c r="B113" i="7"/>
  <c r="D113" i="7" s="1"/>
  <c r="A374" i="1"/>
  <c r="A627" i="1"/>
  <c r="A67" i="1"/>
  <c r="A68" i="1"/>
  <c r="A216" i="1"/>
  <c r="A217" i="1"/>
  <c r="A355" i="1"/>
  <c r="A356" i="1"/>
  <c r="A468" i="1"/>
  <c r="A538" i="1"/>
  <c r="AI374" i="1"/>
  <c r="AE374" i="1" s="1"/>
  <c r="AI627" i="1"/>
  <c r="AE627" i="1" s="1"/>
  <c r="AI67" i="1"/>
  <c r="AE67" i="1" s="1"/>
  <c r="AI68" i="1"/>
  <c r="AE68" i="1" s="1"/>
  <c r="AI216" i="1"/>
  <c r="AE216" i="1" s="1"/>
  <c r="AI217" i="1"/>
  <c r="AE217" i="1" s="1"/>
  <c r="AI355" i="1"/>
  <c r="AE355" i="1" s="1"/>
  <c r="AI356" i="1"/>
  <c r="AF356" i="1" s="1"/>
  <c r="AI468" i="1"/>
  <c r="AF468" i="1" s="1"/>
  <c r="AI538" i="1"/>
  <c r="AF538" i="1" s="1"/>
  <c r="AI526" i="1"/>
  <c r="AF526" i="1" s="1"/>
  <c r="A526" i="1"/>
  <c r="AI431" i="1"/>
  <c r="AF431" i="1" s="1"/>
  <c r="A431" i="1"/>
  <c r="AI329" i="1"/>
  <c r="AF329" i="1" s="1"/>
  <c r="A329" i="1"/>
  <c r="AI328" i="1"/>
  <c r="AF328" i="1" s="1"/>
  <c r="A328" i="1"/>
  <c r="AI205" i="1"/>
  <c r="AF205" i="1" s="1"/>
  <c r="A205" i="1"/>
  <c r="AI204" i="1"/>
  <c r="AF204" i="1" s="1"/>
  <c r="A204" i="1"/>
  <c r="A1" i="11"/>
  <c r="K3" i="11" s="1"/>
  <c r="U43" i="11"/>
  <c r="U42" i="11"/>
  <c r="U41" i="11"/>
  <c r="U40" i="11"/>
  <c r="U39" i="11"/>
  <c r="U38" i="11"/>
  <c r="U36" i="11"/>
  <c r="U35" i="11"/>
  <c r="U33" i="11"/>
  <c r="U30" i="11"/>
  <c r="U29" i="11"/>
  <c r="U26" i="11"/>
  <c r="S43" i="11"/>
  <c r="S42" i="11"/>
  <c r="S41" i="11"/>
  <c r="S40" i="11"/>
  <c r="S39" i="11"/>
  <c r="S38" i="11"/>
  <c r="S36" i="11"/>
  <c r="S35" i="11"/>
  <c r="S33" i="11"/>
  <c r="S30" i="11"/>
  <c r="S29" i="11"/>
  <c r="S26" i="11"/>
  <c r="Q43" i="11"/>
  <c r="Q42" i="11"/>
  <c r="Q41" i="11"/>
  <c r="Q40" i="11"/>
  <c r="Q39" i="11"/>
  <c r="Q38" i="11"/>
  <c r="Q36" i="11"/>
  <c r="Q35" i="11"/>
  <c r="Q33" i="11"/>
  <c r="Q30" i="11"/>
  <c r="Q29" i="11"/>
  <c r="Q26" i="11"/>
  <c r="O26" i="11"/>
  <c r="O29" i="11"/>
  <c r="O30" i="11"/>
  <c r="O33" i="11"/>
  <c r="O35" i="11"/>
  <c r="O36" i="11"/>
  <c r="O38" i="11"/>
  <c r="O39" i="11"/>
  <c r="O40" i="11"/>
  <c r="O41" i="11"/>
  <c r="O42" i="11"/>
  <c r="O43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V901" i="1" l="1"/>
  <c r="Z901" i="1" s="1"/>
  <c r="S160" i="1"/>
  <c r="S467" i="1"/>
  <c r="V700" i="1"/>
  <c r="Z700" i="1" s="1"/>
  <c r="R899" i="1"/>
  <c r="W152" i="1"/>
  <c r="V892" i="1"/>
  <c r="Z892" i="1" s="1"/>
  <c r="R463" i="1"/>
  <c r="V466" i="1"/>
  <c r="Z466" i="1" s="1"/>
  <c r="V893" i="1"/>
  <c r="Z893" i="1" s="1"/>
  <c r="W249" i="1"/>
  <c r="R243" i="1"/>
  <c r="S464" i="1"/>
  <c r="R152" i="1"/>
  <c r="S904" i="1"/>
  <c r="V252" i="1"/>
  <c r="Z252" i="1" s="1"/>
  <c r="V460" i="1"/>
  <c r="Z460" i="1" s="1"/>
  <c r="V897" i="1"/>
  <c r="Z897" i="1" s="1"/>
  <c r="W955" i="1"/>
  <c r="W151" i="1"/>
  <c r="R901" i="1"/>
  <c r="R160" i="1"/>
  <c r="S894" i="1"/>
  <c r="V955" i="1"/>
  <c r="Z955" i="1" s="1"/>
  <c r="V244" i="1"/>
  <c r="Z244" i="1" s="1"/>
  <c r="R161" i="1"/>
  <c r="R461" i="1"/>
  <c r="R467" i="1"/>
  <c r="R159" i="1"/>
  <c r="V146" i="1"/>
  <c r="Z146" i="1" s="1"/>
  <c r="W700" i="1"/>
  <c r="S251" i="1"/>
  <c r="W701" i="1"/>
  <c r="V699" i="1"/>
  <c r="Z699" i="1" s="1"/>
  <c r="W900" i="1"/>
  <c r="W157" i="1"/>
  <c r="V896" i="1"/>
  <c r="Z896" i="1" s="1"/>
  <c r="R154" i="1"/>
  <c r="S153" i="1"/>
  <c r="W458" i="1"/>
  <c r="R245" i="1"/>
  <c r="S895" i="1"/>
  <c r="V890" i="1"/>
  <c r="Z890" i="1" s="1"/>
  <c r="R700" i="1"/>
  <c r="S902" i="1"/>
  <c r="R886" i="1"/>
  <c r="W901" i="1"/>
  <c r="R153" i="1"/>
  <c r="S465" i="1"/>
  <c r="R893" i="1"/>
  <c r="V151" i="1"/>
  <c r="Z151" i="1" s="1"/>
  <c r="S244" i="1"/>
  <c r="W148" i="1"/>
  <c r="S891" i="1"/>
  <c r="V953" i="1"/>
  <c r="Z953" i="1" s="1"/>
  <c r="S242" i="1"/>
  <c r="S151" i="1"/>
  <c r="R151" i="1"/>
  <c r="W156" i="1"/>
  <c r="R465" i="1"/>
  <c r="R249" i="1"/>
  <c r="V891" i="1"/>
  <c r="Z891" i="1" s="1"/>
  <c r="W145" i="1"/>
  <c r="R158" i="1"/>
  <c r="V886" i="1"/>
  <c r="Z886" i="1" s="1"/>
  <c r="S903" i="1"/>
  <c r="R250" i="1"/>
  <c r="W899" i="1"/>
  <c r="R464" i="1"/>
  <c r="S152" i="1"/>
  <c r="V156" i="1"/>
  <c r="Z156" i="1" s="1"/>
  <c r="R244" i="1"/>
  <c r="V461" i="1"/>
  <c r="Z461" i="1" s="1"/>
  <c r="S149" i="1"/>
  <c r="S252" i="1"/>
  <c r="R955" i="1"/>
  <c r="R460" i="1"/>
  <c r="W461" i="1"/>
  <c r="V906" i="1"/>
  <c r="Z906" i="1" s="1"/>
  <c r="V900" i="1"/>
  <c r="Z900" i="1" s="1"/>
  <c r="S147" i="1"/>
  <c r="S701" i="1"/>
  <c r="R954" i="1"/>
  <c r="R701" i="1"/>
  <c r="V954" i="1"/>
  <c r="Z954" i="1" s="1"/>
  <c r="W158" i="1"/>
  <c r="W459" i="1"/>
  <c r="W149" i="1"/>
  <c r="W891" i="1"/>
  <c r="V147" i="1"/>
  <c r="Z147" i="1" s="1"/>
  <c r="W467" i="1"/>
  <c r="V888" i="1"/>
  <c r="Z888" i="1" s="1"/>
  <c r="S955" i="1"/>
  <c r="W699" i="1"/>
  <c r="V145" i="1"/>
  <c r="Z145" i="1" s="1"/>
  <c r="S887" i="1"/>
  <c r="W888" i="1"/>
  <c r="V467" i="1"/>
  <c r="Z467" i="1" s="1"/>
  <c r="S250" i="1"/>
  <c r="R156" i="1"/>
  <c r="V157" i="1"/>
  <c r="Z157" i="1" s="1"/>
  <c r="S699" i="1"/>
  <c r="W154" i="1"/>
  <c r="W886" i="1"/>
  <c r="W150" i="1"/>
  <c r="R466" i="1"/>
  <c r="R157" i="1"/>
  <c r="W457" i="1"/>
  <c r="S157" i="1"/>
  <c r="S893" i="1"/>
  <c r="R900" i="1"/>
  <c r="W146" i="1"/>
  <c r="V895" i="1"/>
  <c r="Z895" i="1" s="1"/>
  <c r="R145" i="1"/>
  <c r="V149" i="1"/>
  <c r="Z149" i="1" s="1"/>
  <c r="S155" i="1"/>
  <c r="R898" i="1"/>
  <c r="S161" i="1"/>
  <c r="R144" i="1"/>
  <c r="V245" i="1"/>
  <c r="Z245" i="1" s="1"/>
  <c r="V159" i="1"/>
  <c r="Z159" i="1" s="1"/>
  <c r="S460" i="1"/>
  <c r="V889" i="1"/>
  <c r="Z889" i="1" s="1"/>
  <c r="S956" i="1"/>
  <c r="W456" i="1"/>
  <c r="R956" i="1"/>
  <c r="W887" i="1"/>
  <c r="W153" i="1"/>
  <c r="R699" i="1"/>
  <c r="W144" i="1"/>
  <c r="V894" i="1"/>
  <c r="Z894" i="1" s="1"/>
  <c r="V161" i="1"/>
  <c r="Z161" i="1" s="1"/>
  <c r="R459" i="1"/>
  <c r="S144" i="1"/>
  <c r="V462" i="1"/>
  <c r="Z462" i="1" s="1"/>
  <c r="S243" i="1"/>
  <c r="V144" i="1"/>
  <c r="Z144" i="1" s="1"/>
  <c r="R902" i="1"/>
  <c r="W904" i="1"/>
  <c r="W893" i="1"/>
  <c r="S466" i="1"/>
  <c r="R458" i="1"/>
  <c r="W889" i="1"/>
  <c r="S145" i="1"/>
  <c r="V904" i="1"/>
  <c r="Z904" i="1" s="1"/>
  <c r="W460" i="1"/>
  <c r="R252" i="1"/>
  <c r="W161" i="1"/>
  <c r="S462" i="1"/>
  <c r="R149" i="1"/>
  <c r="R888" i="1"/>
  <c r="W897" i="1"/>
  <c r="V160" i="1"/>
  <c r="Z160" i="1" s="1"/>
  <c r="S898" i="1"/>
  <c r="S897" i="1"/>
  <c r="R146" i="1"/>
  <c r="V152" i="1"/>
  <c r="Z152" i="1" s="1"/>
  <c r="W159" i="1"/>
  <c r="S461" i="1"/>
  <c r="V465" i="1"/>
  <c r="Z465" i="1" s="1"/>
  <c r="V903" i="1"/>
  <c r="Z903" i="1" s="1"/>
  <c r="V898" i="1"/>
  <c r="Z898" i="1" s="1"/>
  <c r="W245" i="1"/>
  <c r="S459" i="1"/>
  <c r="S900" i="1"/>
  <c r="W953" i="1"/>
  <c r="W243" i="1"/>
  <c r="S154" i="1"/>
  <c r="W896" i="1"/>
  <c r="R953" i="1"/>
  <c r="W147" i="1"/>
  <c r="R895" i="1"/>
  <c r="W465" i="1"/>
  <c r="R462" i="1"/>
  <c r="V899" i="1"/>
  <c r="Z899" i="1" s="1"/>
  <c r="R892" i="1"/>
  <c r="R891" i="1"/>
  <c r="R251" i="1"/>
  <c r="V250" i="1"/>
  <c r="Z250" i="1" s="1"/>
  <c r="V148" i="1"/>
  <c r="Z148" i="1" s="1"/>
  <c r="W155" i="1"/>
  <c r="W894" i="1"/>
  <c r="S457" i="1"/>
  <c r="V456" i="1"/>
  <c r="Z456" i="1" s="1"/>
  <c r="W252" i="1"/>
  <c r="R242" i="1"/>
  <c r="V243" i="1"/>
  <c r="Z243" i="1" s="1"/>
  <c r="W250" i="1"/>
  <c r="W244" i="1"/>
  <c r="V249" i="1"/>
  <c r="Z249" i="1" s="1"/>
  <c r="S899" i="1"/>
  <c r="W251" i="1"/>
  <c r="V887" i="1"/>
  <c r="Z887" i="1" s="1"/>
  <c r="V251" i="1"/>
  <c r="Z251" i="1" s="1"/>
  <c r="V457" i="1"/>
  <c r="Z457" i="1" s="1"/>
  <c r="W895" i="1"/>
  <c r="S456" i="1"/>
  <c r="S886" i="1"/>
  <c r="S892" i="1"/>
  <c r="S896" i="1"/>
  <c r="V458" i="1"/>
  <c r="Z458" i="1" s="1"/>
  <c r="S700" i="1"/>
  <c r="V701" i="1"/>
  <c r="Z701" i="1" s="1"/>
  <c r="R887" i="1"/>
  <c r="S159" i="1"/>
  <c r="S146" i="1"/>
  <c r="V153" i="1"/>
  <c r="Z153" i="1" s="1"/>
  <c r="S245" i="1"/>
  <c r="S158" i="1"/>
  <c r="R147" i="1"/>
  <c r="R897" i="1"/>
  <c r="V459" i="1"/>
  <c r="Z459" i="1" s="1"/>
  <c r="W463" i="1"/>
  <c r="V158" i="1"/>
  <c r="Z158" i="1" s="1"/>
  <c r="S888" i="1"/>
  <c r="S148" i="1"/>
  <c r="R894" i="1"/>
  <c r="S150" i="1"/>
  <c r="W954" i="1"/>
  <c r="R148" i="1"/>
  <c r="R456" i="1"/>
  <c r="S889" i="1"/>
  <c r="W464" i="1"/>
  <c r="S156" i="1"/>
  <c r="W903" i="1"/>
  <c r="S463" i="1"/>
  <c r="W898" i="1"/>
  <c r="W902" i="1"/>
  <c r="V155" i="1"/>
  <c r="Z155" i="1" s="1"/>
  <c r="R889" i="1"/>
  <c r="R896" i="1"/>
  <c r="W956" i="1"/>
  <c r="S901" i="1"/>
  <c r="V956" i="1"/>
  <c r="Z956" i="1" s="1"/>
  <c r="W466" i="1"/>
  <c r="S953" i="1"/>
  <c r="W242" i="1"/>
  <c r="R904" i="1"/>
  <c r="S954" i="1"/>
  <c r="S249" i="1"/>
  <c r="W160" i="1"/>
  <c r="S890" i="1"/>
  <c r="S458" i="1"/>
  <c r="R150" i="1"/>
  <c r="V150" i="1"/>
  <c r="Z150" i="1" s="1"/>
  <c r="R155" i="1"/>
  <c r="V154" i="1"/>
  <c r="Z154" i="1" s="1"/>
  <c r="V463" i="1"/>
  <c r="Z463" i="1" s="1"/>
  <c r="V242" i="1"/>
  <c r="Z242" i="1" s="1"/>
  <c r="V902" i="1"/>
  <c r="Z902" i="1" s="1"/>
  <c r="W892" i="1"/>
  <c r="V277" i="1"/>
  <c r="Z277" i="1" s="1"/>
  <c r="V268" i="1"/>
  <c r="Z268" i="1" s="1"/>
  <c r="V267" i="1"/>
  <c r="Z267" i="1" s="1"/>
  <c r="V273" i="1"/>
  <c r="Z273" i="1" s="1"/>
  <c r="V275" i="1"/>
  <c r="Z275" i="1" s="1"/>
  <c r="V271" i="1"/>
  <c r="Z271" i="1" s="1"/>
  <c r="V272" i="1"/>
  <c r="Z272" i="1" s="1"/>
  <c r="V269" i="1"/>
  <c r="Z269" i="1" s="1"/>
  <c r="V274" i="1"/>
  <c r="Z274" i="1" s="1"/>
  <c r="V278" i="1"/>
  <c r="Z278" i="1" s="1"/>
  <c r="V276" i="1"/>
  <c r="Z276" i="1" s="1"/>
  <c r="V270" i="1"/>
  <c r="Z270" i="1" s="1"/>
  <c r="V344" i="1"/>
  <c r="Z344" i="1" s="1"/>
  <c r="V346" i="1"/>
  <c r="Z346" i="1" s="1"/>
  <c r="V341" i="1"/>
  <c r="Z341" i="1" s="1"/>
  <c r="V348" i="1"/>
  <c r="Z348" i="1" s="1"/>
  <c r="V340" i="1"/>
  <c r="Z340" i="1" s="1"/>
  <c r="V343" i="1"/>
  <c r="Z343" i="1" s="1"/>
  <c r="V345" i="1"/>
  <c r="Z345" i="1" s="1"/>
  <c r="V347" i="1"/>
  <c r="Z347" i="1" s="1"/>
  <c r="V339" i="1"/>
  <c r="Z339" i="1" s="1"/>
  <c r="V337" i="1"/>
  <c r="Z337" i="1" s="1"/>
  <c r="V338" i="1"/>
  <c r="Z338" i="1" s="1"/>
  <c r="V342" i="1"/>
  <c r="Z342" i="1" s="1"/>
  <c r="V240" i="1"/>
  <c r="Z240" i="1" s="1"/>
  <c r="V241" i="1"/>
  <c r="Z241" i="1" s="1"/>
  <c r="V884" i="1"/>
  <c r="Z884" i="1" s="1"/>
  <c r="V885" i="1"/>
  <c r="Z885" i="1" s="1"/>
  <c r="V883" i="1"/>
  <c r="Z883" i="1" s="1"/>
  <c r="V882" i="1"/>
  <c r="Z882" i="1" s="1"/>
  <c r="S449" i="1"/>
  <c r="R449" i="1"/>
  <c r="W451" i="1"/>
  <c r="V450" i="1"/>
  <c r="Z450" i="1" s="1"/>
  <c r="R448" i="1"/>
  <c r="R450" i="1"/>
  <c r="W448" i="1"/>
  <c r="W449" i="1"/>
  <c r="S453" i="1"/>
  <c r="R453" i="1"/>
  <c r="R446" i="1"/>
  <c r="W455" i="1"/>
  <c r="V444" i="1"/>
  <c r="Z444" i="1" s="1"/>
  <c r="R454" i="1"/>
  <c r="W453" i="1"/>
  <c r="V445" i="1"/>
  <c r="Z445" i="1" s="1"/>
  <c r="S443" i="1"/>
  <c r="V453" i="1"/>
  <c r="Z453" i="1" s="1"/>
  <c r="V443" i="1"/>
  <c r="Z443" i="1" s="1"/>
  <c r="R445" i="1"/>
  <c r="W454" i="1"/>
  <c r="V446" i="1"/>
  <c r="Z446" i="1" s="1"/>
  <c r="W452" i="1"/>
  <c r="R444" i="1"/>
  <c r="S445" i="1"/>
  <c r="R447" i="1"/>
  <c r="V455" i="1"/>
  <c r="Z455" i="1" s="1"/>
  <c r="S455" i="1"/>
  <c r="W443" i="1"/>
  <c r="W446" i="1"/>
  <c r="S452" i="1"/>
  <c r="R455" i="1"/>
  <c r="S454" i="1"/>
  <c r="V452" i="1"/>
  <c r="Z452" i="1" s="1"/>
  <c r="W447" i="1"/>
  <c r="V454" i="1"/>
  <c r="Z454" i="1" s="1"/>
  <c r="R452" i="1"/>
  <c r="S446" i="1"/>
  <c r="S444" i="1"/>
  <c r="S447" i="1"/>
  <c r="V199" i="1"/>
  <c r="Z199" i="1" s="1"/>
  <c r="V200" i="1"/>
  <c r="Z200" i="1" s="1"/>
  <c r="V658" i="1"/>
  <c r="Z658" i="1" s="1"/>
  <c r="V728" i="1"/>
  <c r="Z728" i="1" s="1"/>
  <c r="V841" i="1"/>
  <c r="Z841" i="1" s="1"/>
  <c r="V1047" i="1"/>
  <c r="Z1047" i="1" s="1"/>
  <c r="V501" i="1"/>
  <c r="Z501" i="1" s="1"/>
  <c r="V934" i="1"/>
  <c r="Z934" i="1" s="1"/>
  <c r="W517" i="1"/>
  <c r="R132" i="1"/>
  <c r="R191" i="1"/>
  <c r="V102" i="1"/>
  <c r="Z102" i="1" s="1"/>
  <c r="R1289" i="1"/>
  <c r="S381" i="1"/>
  <c r="W1289" i="1"/>
  <c r="W191" i="1"/>
  <c r="W316" i="1"/>
  <c r="V191" i="1"/>
  <c r="Z191" i="1" s="1"/>
  <c r="S293" i="1"/>
  <c r="S191" i="1"/>
  <c r="W381" i="1"/>
  <c r="S703" i="1"/>
  <c r="V1107" i="1"/>
  <c r="Z1107" i="1" s="1"/>
  <c r="V423" i="1"/>
  <c r="Z423" i="1" s="1"/>
  <c r="W132" i="1"/>
  <c r="R1107" i="1"/>
  <c r="S422" i="1"/>
  <c r="S566" i="1"/>
  <c r="R102" i="1"/>
  <c r="R381" i="1"/>
  <c r="V132" i="1"/>
  <c r="Z132" i="1" s="1"/>
  <c r="S810" i="1"/>
  <c r="W1107" i="1"/>
  <c r="S1107" i="1"/>
  <c r="V517" i="1"/>
  <c r="Z517" i="1" s="1"/>
  <c r="R1302" i="1"/>
  <c r="V293" i="1"/>
  <c r="Z293" i="1" s="1"/>
  <c r="S316" i="1"/>
  <c r="S102" i="1"/>
  <c r="W810" i="1"/>
  <c r="S423" i="1"/>
  <c r="V835" i="1"/>
  <c r="Z835" i="1" s="1"/>
  <c r="V703" i="1"/>
  <c r="Z703" i="1" s="1"/>
  <c r="R835" i="1"/>
  <c r="R316" i="1"/>
  <c r="R293" i="1"/>
  <c r="S517" i="1"/>
  <c r="W835" i="1"/>
  <c r="W293" i="1"/>
  <c r="S132" i="1"/>
  <c r="R423" i="1"/>
  <c r="W566" i="1"/>
  <c r="W102" i="1"/>
  <c r="V316" i="1"/>
  <c r="Z316" i="1" s="1"/>
  <c r="S1289" i="1"/>
  <c r="V810" i="1"/>
  <c r="Z810" i="1" s="1"/>
  <c r="V633" i="1"/>
  <c r="Z633" i="1" s="1"/>
  <c r="V821" i="1"/>
  <c r="Z821" i="1" s="1"/>
  <c r="R1310" i="1"/>
  <c r="W1298" i="1"/>
  <c r="S120" i="1"/>
  <c r="R980" i="1"/>
  <c r="R1261" i="1"/>
  <c r="R1219" i="1"/>
  <c r="V121" i="1"/>
  <c r="Z121" i="1" s="1"/>
  <c r="V1072" i="1"/>
  <c r="Z1072" i="1" s="1"/>
  <c r="R121" i="1"/>
  <c r="R1239" i="1"/>
  <c r="W1219" i="1"/>
  <c r="V1193" i="1"/>
  <c r="Z1193" i="1" s="1"/>
  <c r="V1066" i="1"/>
  <c r="Z1066" i="1" s="1"/>
  <c r="S1238" i="1"/>
  <c r="V1174" i="1"/>
  <c r="Z1174" i="1" s="1"/>
  <c r="S1232" i="1"/>
  <c r="V1261" i="1"/>
  <c r="Z1261" i="1" s="1"/>
  <c r="S1092" i="1"/>
  <c r="S52" i="1"/>
  <c r="V378" i="1"/>
  <c r="Z378" i="1" s="1"/>
  <c r="S1278" i="1"/>
  <c r="S1066" i="1"/>
  <c r="W1159" i="1"/>
  <c r="V1218" i="1"/>
  <c r="Z1218" i="1" s="1"/>
  <c r="V1191" i="1"/>
  <c r="Z1191" i="1" s="1"/>
  <c r="S1297" i="1"/>
  <c r="S378" i="1"/>
  <c r="S1240" i="1"/>
  <c r="W914" i="1"/>
  <c r="S814" i="1"/>
  <c r="S279" i="1"/>
  <c r="R741" i="1"/>
  <c r="S1283" i="1"/>
  <c r="W975" i="1"/>
  <c r="V917" i="1"/>
  <c r="Z917" i="1" s="1"/>
  <c r="V1297" i="1"/>
  <c r="Z1297" i="1" s="1"/>
  <c r="W1283" i="1"/>
  <c r="S1248" i="1"/>
  <c r="W970" i="1"/>
  <c r="W1072" i="1"/>
  <c r="V634" i="1"/>
  <c r="Z634" i="1" s="1"/>
  <c r="R1074" i="1"/>
  <c r="W279" i="1"/>
  <c r="R1123" i="1"/>
  <c r="W514" i="1"/>
  <c r="S1159" i="1"/>
  <c r="W1297" i="1"/>
  <c r="R1191" i="1"/>
  <c r="R1232" i="1"/>
  <c r="W1278" i="1"/>
  <c r="R1240" i="1"/>
  <c r="S689" i="1"/>
  <c r="R1226" i="1"/>
  <c r="V1070" i="1"/>
  <c r="Z1070" i="1" s="1"/>
  <c r="W1190" i="1"/>
  <c r="R689" i="1"/>
  <c r="S1310" i="1"/>
  <c r="W634" i="1"/>
  <c r="S822" i="1"/>
  <c r="R1142" i="1"/>
  <c r="R1072" i="1"/>
  <c r="S1237" i="1"/>
  <c r="W281" i="1"/>
  <c r="S1129" i="1"/>
  <c r="R1297" i="1"/>
  <c r="V1239" i="1"/>
  <c r="Z1239" i="1" s="1"/>
  <c r="R970" i="1"/>
  <c r="R1193" i="1"/>
  <c r="R9" i="1"/>
  <c r="W1193" i="1"/>
  <c r="R1190" i="1"/>
  <c r="S1224" i="1"/>
  <c r="V1260" i="1"/>
  <c r="Z1260" i="1" s="1"/>
  <c r="S1253" i="1"/>
  <c r="S979" i="1"/>
  <c r="R1066" i="1"/>
  <c r="R1174" i="1"/>
  <c r="V970" i="1"/>
  <c r="Z970" i="1" s="1"/>
  <c r="R1145" i="1"/>
  <c r="W1182" i="1"/>
  <c r="W1133" i="1"/>
  <c r="R1224" i="1"/>
  <c r="V509" i="1"/>
  <c r="Z509" i="1" s="1"/>
  <c r="W1226" i="1"/>
  <c r="S1145" i="1"/>
  <c r="R1253" i="1"/>
  <c r="R1069" i="1"/>
  <c r="V1223" i="1"/>
  <c r="Z1223" i="1" s="1"/>
  <c r="W1261" i="1"/>
  <c r="R509" i="1"/>
  <c r="S1182" i="1"/>
  <c r="R1248" i="1"/>
  <c r="W1253" i="1"/>
  <c r="W1142" i="1"/>
  <c r="V822" i="1"/>
  <c r="Z822" i="1" s="1"/>
  <c r="W52" i="1"/>
  <c r="V1063" i="1"/>
  <c r="Z1063" i="1" s="1"/>
  <c r="W1232" i="1"/>
  <c r="V1282" i="1"/>
  <c r="Z1282" i="1" s="1"/>
  <c r="S1193" i="1"/>
  <c r="W1092" i="1"/>
  <c r="S634" i="1"/>
  <c r="V9" i="1"/>
  <c r="Z9" i="1" s="1"/>
  <c r="S741" i="1"/>
  <c r="S1190" i="1"/>
  <c r="W980" i="1"/>
  <c r="V1238" i="1"/>
  <c r="Z1238" i="1" s="1"/>
  <c r="R1283" i="1"/>
  <c r="V1190" i="1"/>
  <c r="Z1190" i="1" s="1"/>
  <c r="S1218" i="1"/>
  <c r="R809" i="1"/>
  <c r="W1237" i="1"/>
  <c r="R1063" i="1"/>
  <c r="R822" i="1"/>
  <c r="S121" i="1"/>
  <c r="R1238" i="1"/>
  <c r="W1224" i="1"/>
  <c r="W1260" i="1"/>
  <c r="W741" i="1"/>
  <c r="R1129" i="1"/>
  <c r="S1261" i="1"/>
  <c r="W121" i="1"/>
  <c r="S1298" i="1"/>
  <c r="R120" i="1"/>
  <c r="W1066" i="1"/>
  <c r="W1248" i="1"/>
  <c r="V512" i="1"/>
  <c r="Z512" i="1" s="1"/>
  <c r="S975" i="1"/>
  <c r="S1226" i="1"/>
  <c r="V1159" i="1"/>
  <c r="Z1159" i="1" s="1"/>
  <c r="W689" i="1"/>
  <c r="R1218" i="1"/>
  <c r="S281" i="1"/>
  <c r="V881" i="1"/>
  <c r="Z881" i="1" s="1"/>
  <c r="V1123" i="1"/>
  <c r="Z1123" i="1" s="1"/>
  <c r="V689" i="1"/>
  <c r="Z689" i="1" s="1"/>
  <c r="V1310" i="1"/>
  <c r="Z1310" i="1" s="1"/>
  <c r="R761" i="1"/>
  <c r="S509" i="1"/>
  <c r="V1074" i="1"/>
  <c r="Z1074" i="1" s="1"/>
  <c r="S1142" i="1"/>
  <c r="S512" i="1"/>
  <c r="R1282" i="1"/>
  <c r="R288" i="1"/>
  <c r="V814" i="1"/>
  <c r="Z814" i="1" s="1"/>
  <c r="S1123" i="1"/>
  <c r="S1070" i="1"/>
  <c r="S288" i="1"/>
  <c r="S980" i="1"/>
  <c r="R1133" i="1"/>
  <c r="R881" i="1"/>
  <c r="S1063" i="1"/>
  <c r="R514" i="1"/>
  <c r="V279" i="1"/>
  <c r="Z279" i="1" s="1"/>
  <c r="V514" i="1"/>
  <c r="Z514" i="1" s="1"/>
  <c r="R1070" i="1"/>
  <c r="S918" i="1"/>
  <c r="R512" i="1"/>
  <c r="W809" i="1"/>
  <c r="S1282" i="1"/>
  <c r="V979" i="1"/>
  <c r="Z979" i="1" s="1"/>
  <c r="V1133" i="1"/>
  <c r="Z1133" i="1" s="1"/>
  <c r="R1260" i="1"/>
  <c r="S1072" i="1"/>
  <c r="R378" i="1"/>
  <c r="R1237" i="1"/>
  <c r="S970" i="1"/>
  <c r="S761" i="1"/>
  <c r="S1260" i="1"/>
  <c r="S1239" i="1"/>
  <c r="W512" i="1"/>
  <c r="W1069" i="1"/>
  <c r="W120" i="1"/>
  <c r="R1092" i="1"/>
  <c r="S881" i="1"/>
  <c r="R975" i="1"/>
  <c r="V281" i="1"/>
  <c r="Z281" i="1" s="1"/>
  <c r="W1174" i="1"/>
  <c r="V235" i="1"/>
  <c r="Z235" i="1" s="1"/>
  <c r="V752" i="1"/>
  <c r="Z752" i="1" s="1"/>
  <c r="V625" i="1"/>
  <c r="Z625" i="1" s="1"/>
  <c r="V550" i="1"/>
  <c r="Z550" i="1" s="1"/>
  <c r="V551" i="1"/>
  <c r="Z551" i="1" s="1"/>
  <c r="V373" i="1"/>
  <c r="Z373" i="1" s="1"/>
  <c r="V372" i="1"/>
  <c r="Z372" i="1" s="1"/>
  <c r="V234" i="1"/>
  <c r="Z234" i="1" s="1"/>
  <c r="V236" i="1"/>
  <c r="Z236" i="1" s="1"/>
  <c r="V481" i="1"/>
  <c r="Z481" i="1" s="1"/>
  <c r="V480" i="1"/>
  <c r="Z480" i="1" s="1"/>
  <c r="V429" i="1"/>
  <c r="Z429" i="1" s="1"/>
  <c r="V326" i="1"/>
  <c r="Z326" i="1" s="1"/>
  <c r="V524" i="1"/>
  <c r="Z524" i="1" s="1"/>
  <c r="V428" i="1"/>
  <c r="Z428" i="1" s="1"/>
  <c r="V523" i="1"/>
  <c r="Z523" i="1" s="1"/>
  <c r="V603" i="1"/>
  <c r="Z603" i="1" s="1"/>
  <c r="V1091" i="1"/>
  <c r="Z1091" i="1" s="1"/>
  <c r="V1144" i="1"/>
  <c r="Z1144" i="1" s="1"/>
  <c r="V907" i="1"/>
  <c r="Z907" i="1" s="1"/>
  <c r="V1173" i="1"/>
  <c r="Z1173" i="1" s="1"/>
  <c r="V946" i="1"/>
  <c r="Z946" i="1" s="1"/>
  <c r="V258" i="1"/>
  <c r="Z258" i="1" s="1"/>
  <c r="V935" i="1"/>
  <c r="Z935" i="1" s="1"/>
  <c r="V708" i="1"/>
  <c r="Z708" i="1" s="1"/>
  <c r="V643" i="1"/>
  <c r="Z643" i="1" s="1"/>
  <c r="V256" i="1"/>
  <c r="Z256" i="1" s="1"/>
  <c r="V573" i="1"/>
  <c r="Z573" i="1" s="1"/>
  <c r="V779" i="1"/>
  <c r="Z779" i="1" s="1"/>
  <c r="V1049" i="1"/>
  <c r="Z1049" i="1" s="1"/>
  <c r="V571" i="1"/>
  <c r="Z571" i="1" s="1"/>
  <c r="V385" i="1"/>
  <c r="Z385" i="1" s="1"/>
  <c r="V1139" i="1"/>
  <c r="Z1139" i="1" s="1"/>
  <c r="V936" i="1"/>
  <c r="Z936" i="1" s="1"/>
  <c r="V991" i="1"/>
  <c r="Z991" i="1" s="1"/>
  <c r="V572" i="1"/>
  <c r="Z572" i="1" s="1"/>
  <c r="V1111" i="1"/>
  <c r="Z1111" i="1" s="1"/>
  <c r="V114" i="1"/>
  <c r="Z114" i="1" s="1"/>
  <c r="V1112" i="1"/>
  <c r="Z1112" i="1" s="1"/>
  <c r="V1076" i="1"/>
  <c r="Z1076" i="1" s="1"/>
  <c r="V645" i="1"/>
  <c r="Z645" i="1" s="1"/>
  <c r="V1048" i="1"/>
  <c r="Z1048" i="1" s="1"/>
  <c r="V493" i="1"/>
  <c r="Z493" i="1" s="1"/>
  <c r="V384" i="1"/>
  <c r="Z384" i="1" s="1"/>
  <c r="V842" i="1"/>
  <c r="Z842" i="1" s="1"/>
  <c r="V843" i="1"/>
  <c r="Z843" i="1" s="1"/>
  <c r="V644" i="1"/>
  <c r="Z644" i="1" s="1"/>
  <c r="V383" i="1"/>
  <c r="Z383" i="1" s="1"/>
  <c r="V257" i="1"/>
  <c r="Z257" i="1" s="1"/>
  <c r="V778" i="1"/>
  <c r="Z778" i="1" s="1"/>
  <c r="V492" i="1"/>
  <c r="Z492" i="1" s="1"/>
  <c r="V707" i="1"/>
  <c r="Z707" i="1" s="1"/>
  <c r="V1145" i="1"/>
  <c r="Z1145" i="1" s="1"/>
  <c r="V914" i="1"/>
  <c r="Z914" i="1" s="1"/>
  <c r="V741" i="1"/>
  <c r="Z741" i="1" s="1"/>
  <c r="V1092" i="1"/>
  <c r="Z1092" i="1" s="1"/>
  <c r="V136" i="1"/>
  <c r="Z136" i="1" s="1"/>
  <c r="V28" i="1"/>
  <c r="Z28" i="1" s="1"/>
  <c r="V137" i="1"/>
  <c r="Z137" i="1" s="1"/>
  <c r="V140" i="1"/>
  <c r="Z140" i="1" s="1"/>
  <c r="V133" i="1"/>
  <c r="Z133" i="1" s="1"/>
  <c r="V296" i="1"/>
  <c r="Z296" i="1" s="1"/>
  <c r="V134" i="1"/>
  <c r="Z134" i="1" s="1"/>
  <c r="V405" i="1"/>
  <c r="Z405" i="1" s="1"/>
  <c r="V135" i="1"/>
  <c r="Z135" i="1" s="1"/>
  <c r="V138" i="1"/>
  <c r="Z138" i="1" s="1"/>
  <c r="V139" i="1"/>
  <c r="Z139" i="1" s="1"/>
  <c r="V1064" i="1"/>
  <c r="Z1064" i="1" s="1"/>
  <c r="V1028" i="1"/>
  <c r="Z1028" i="1" s="1"/>
  <c r="V665" i="1"/>
  <c r="Z665" i="1" s="1"/>
  <c r="V1236" i="1"/>
  <c r="Z1236" i="1" s="1"/>
  <c r="V1122" i="1"/>
  <c r="Z1122" i="1" s="1"/>
  <c r="V1217" i="1"/>
  <c r="Z1217" i="1" s="1"/>
  <c r="V1171" i="1"/>
  <c r="Z1171" i="1" s="1"/>
  <c r="V1029" i="1"/>
  <c r="Z1029" i="1" s="1"/>
  <c r="V506" i="1"/>
  <c r="Z506" i="1" s="1"/>
  <c r="V1090" i="1"/>
  <c r="Z1090" i="1" s="1"/>
  <c r="V280" i="1"/>
  <c r="Z280" i="1" s="1"/>
  <c r="V1231" i="1"/>
  <c r="Z1231" i="1" s="1"/>
  <c r="V1172" i="1"/>
  <c r="Z1172" i="1" s="1"/>
  <c r="V395" i="1"/>
  <c r="Z395" i="1" s="1"/>
  <c r="V1121" i="1"/>
  <c r="Z1121" i="1" s="1"/>
  <c r="V1065" i="1"/>
  <c r="Z1065" i="1" s="1"/>
  <c r="V1143" i="1"/>
  <c r="Z1143" i="1" s="1"/>
  <c r="V1252" i="1"/>
  <c r="Z1252" i="1" s="1"/>
  <c r="V1216" i="1"/>
  <c r="Z1216" i="1" s="1"/>
  <c r="V1245" i="1"/>
  <c r="Z1245" i="1" s="1"/>
  <c r="V1246" i="1"/>
  <c r="Z1246" i="1" s="1"/>
  <c r="V1215" i="1"/>
  <c r="Z1215" i="1" s="1"/>
  <c r="V969" i="1"/>
  <c r="Z969" i="1" s="1"/>
  <c r="V1200" i="1"/>
  <c r="Z1200" i="1" s="1"/>
  <c r="W982" i="1"/>
  <c r="R91" i="1"/>
  <c r="R57" i="1"/>
  <c r="V1186" i="1"/>
  <c r="Z1186" i="1" s="1"/>
  <c r="W616" i="1"/>
  <c r="V1305" i="1"/>
  <c r="Z1305" i="1" s="1"/>
  <c r="R1075" i="1"/>
  <c r="V41" i="1"/>
  <c r="Z41" i="1" s="1"/>
  <c r="W26" i="1"/>
  <c r="R224" i="1"/>
  <c r="V40" i="1"/>
  <c r="Z40" i="1" s="1"/>
  <c r="V677" i="1"/>
  <c r="Z677" i="1" s="1"/>
  <c r="R518" i="1"/>
  <c r="R1307" i="1"/>
  <c r="R1277" i="1"/>
  <c r="W189" i="1"/>
  <c r="S751" i="1"/>
  <c r="S983" i="1"/>
  <c r="W1306" i="1"/>
  <c r="W1286" i="1"/>
  <c r="S74" i="1"/>
  <c r="R677" i="1"/>
  <c r="S317" i="1"/>
  <c r="S677" i="1"/>
  <c r="W285" i="1"/>
  <c r="V81" i="1"/>
  <c r="Z81" i="1" s="1"/>
  <c r="V1165" i="1"/>
  <c r="Z1165" i="1" s="1"/>
  <c r="R1312" i="1"/>
  <c r="R1286" i="1"/>
  <c r="S1287" i="1"/>
  <c r="S1307" i="1"/>
  <c r="R1243" i="1"/>
  <c r="S247" i="1"/>
  <c r="W1165" i="1"/>
  <c r="V74" i="1"/>
  <c r="Z74" i="1" s="1"/>
  <c r="W1186" i="1"/>
  <c r="V109" i="1"/>
  <c r="Z109" i="1" s="1"/>
  <c r="S26" i="1"/>
  <c r="R1242" i="1"/>
  <c r="W677" i="1"/>
  <c r="S109" i="1"/>
  <c r="S982" i="1"/>
  <c r="R1311" i="1"/>
  <c r="S1312" i="1"/>
  <c r="W76" i="1"/>
  <c r="V76" i="1"/>
  <c r="Z76" i="1" s="1"/>
  <c r="W198" i="1"/>
  <c r="W1305" i="1"/>
  <c r="R189" i="1"/>
  <c r="R285" i="1"/>
  <c r="W983" i="1"/>
  <c r="V317" i="1"/>
  <c r="Z317" i="1" s="1"/>
  <c r="V198" i="1"/>
  <c r="Z198" i="1" s="1"/>
  <c r="W1277" i="1"/>
  <c r="W1307" i="1"/>
  <c r="W81" i="1"/>
  <c r="V188" i="1"/>
  <c r="Z188" i="1" s="1"/>
  <c r="R12" i="1"/>
  <c r="V518" i="1"/>
  <c r="Z518" i="1" s="1"/>
  <c r="R26" i="1"/>
  <c r="V247" i="1"/>
  <c r="Z247" i="1" s="1"/>
  <c r="S91" i="1"/>
  <c r="W751" i="1"/>
  <c r="W1262" i="1"/>
  <c r="W1212" i="1"/>
  <c r="S1305" i="1"/>
  <c r="S75" i="1"/>
  <c r="R81" i="1"/>
  <c r="R247" i="1"/>
  <c r="R74" i="1"/>
  <c r="R1315" i="1"/>
  <c r="V192" i="1"/>
  <c r="Z192" i="1" s="1"/>
  <c r="W188" i="1"/>
  <c r="V616" i="1"/>
  <c r="Z616" i="1" s="1"/>
  <c r="S1165" i="1"/>
  <c r="S518" i="1"/>
  <c r="V285" i="1"/>
  <c r="Z285" i="1" s="1"/>
  <c r="R1165" i="1"/>
  <c r="S41" i="1"/>
  <c r="V818" i="1"/>
  <c r="Z818" i="1" s="1"/>
  <c r="S225" i="1"/>
  <c r="W192" i="1"/>
  <c r="V290" i="1"/>
  <c r="Z290" i="1" s="1"/>
  <c r="V1287" i="1"/>
  <c r="Z1287" i="1" s="1"/>
  <c r="R1305" i="1"/>
  <c r="V12" i="1"/>
  <c r="Z12" i="1" s="1"/>
  <c r="S12" i="1"/>
  <c r="V982" i="1"/>
  <c r="Z982" i="1" s="1"/>
  <c r="S616" i="1"/>
  <c r="W1242" i="1"/>
  <c r="S188" i="1"/>
  <c r="S1242" i="1"/>
  <c r="W1315" i="1"/>
  <c r="R983" i="1"/>
  <c r="S25" i="1"/>
  <c r="R41" i="1"/>
  <c r="S1311" i="1"/>
  <c r="S1164" i="1"/>
  <c r="S40" i="1"/>
  <c r="R226" i="1"/>
  <c r="V1315" i="1"/>
  <c r="Z1315" i="1" s="1"/>
  <c r="S1306" i="1"/>
  <c r="W25" i="1"/>
  <c r="W225" i="1"/>
  <c r="S57" i="1"/>
  <c r="R751" i="1"/>
  <c r="V1164" i="1"/>
  <c r="Z1164" i="1" s="1"/>
  <c r="W41" i="1"/>
  <c r="V57" i="1"/>
  <c r="Z57" i="1" s="1"/>
  <c r="V1075" i="1"/>
  <c r="Z1075" i="1" s="1"/>
  <c r="V225" i="1"/>
  <c r="Z225" i="1" s="1"/>
  <c r="S1186" i="1"/>
  <c r="V1212" i="1"/>
  <c r="Z1212" i="1" s="1"/>
  <c r="W1287" i="1"/>
  <c r="R25" i="1"/>
  <c r="W1075" i="1"/>
  <c r="R188" i="1"/>
  <c r="V25" i="1"/>
  <c r="Z25" i="1" s="1"/>
  <c r="V75" i="1"/>
  <c r="Z75" i="1" s="1"/>
  <c r="V1311" i="1"/>
  <c r="Z1311" i="1" s="1"/>
  <c r="W1311" i="1"/>
  <c r="W290" i="1"/>
  <c r="S192" i="1"/>
  <c r="V1243" i="1"/>
  <c r="Z1243" i="1" s="1"/>
  <c r="V1307" i="1"/>
  <c r="Z1307" i="1" s="1"/>
  <c r="S1243" i="1"/>
  <c r="W57" i="1"/>
  <c r="R1164" i="1"/>
  <c r="W1243" i="1"/>
  <c r="W317" i="1"/>
  <c r="R1287" i="1"/>
  <c r="R225" i="1"/>
  <c r="S1212" i="1"/>
  <c r="R198" i="1"/>
  <c r="V189" i="1"/>
  <c r="Z189" i="1" s="1"/>
  <c r="S290" i="1"/>
  <c r="V1277" i="1"/>
  <c r="Z1277" i="1" s="1"/>
  <c r="R109" i="1"/>
  <c r="S189" i="1"/>
  <c r="W91" i="1"/>
  <c r="W12" i="1"/>
  <c r="V224" i="1"/>
  <c r="Z224" i="1" s="1"/>
  <c r="R75" i="1"/>
  <c r="R982" i="1"/>
  <c r="S818" i="1"/>
  <c r="R76" i="1"/>
  <c r="V1312" i="1"/>
  <c r="Z1312" i="1" s="1"/>
  <c r="W74" i="1"/>
  <c r="W818" i="1"/>
  <c r="S226" i="1"/>
  <c r="S198" i="1"/>
  <c r="S1277" i="1"/>
  <c r="S81" i="1"/>
  <c r="W1312" i="1"/>
  <c r="S1075" i="1"/>
  <c r="V1262" i="1"/>
  <c r="Z1262" i="1" s="1"/>
  <c r="V1242" i="1"/>
  <c r="Z1242" i="1" s="1"/>
  <c r="S285" i="1"/>
  <c r="V1286" i="1"/>
  <c r="Z1286" i="1" s="1"/>
  <c r="W75" i="1"/>
  <c r="W226" i="1"/>
  <c r="V226" i="1"/>
  <c r="Z226" i="1" s="1"/>
  <c r="S224" i="1"/>
  <c r="V91" i="1"/>
  <c r="Z91" i="1" s="1"/>
  <c r="R1262" i="1"/>
  <c r="S76" i="1"/>
  <c r="R1306" i="1"/>
  <c r="S1315" i="1"/>
  <c r="R1212" i="1"/>
  <c r="W40" i="1"/>
  <c r="R616" i="1"/>
  <c r="R317" i="1"/>
  <c r="V490" i="1"/>
  <c r="Z490" i="1" s="1"/>
  <c r="V827" i="1"/>
  <c r="Z827" i="1" s="1"/>
  <c r="V636" i="1"/>
  <c r="Z636" i="1" s="1"/>
  <c r="V693" i="1"/>
  <c r="Z693" i="1" s="1"/>
  <c r="V253" i="1"/>
  <c r="Z253" i="1" s="1"/>
  <c r="V766" i="1"/>
  <c r="Z766" i="1" s="1"/>
  <c r="R51" i="1"/>
  <c r="W817" i="1"/>
  <c r="R817" i="1"/>
  <c r="S748" i="1"/>
  <c r="R748" i="1"/>
  <c r="S115" i="1"/>
  <c r="W176" i="1"/>
  <c r="W126" i="1"/>
  <c r="V309" i="1"/>
  <c r="Z309" i="1" s="1"/>
  <c r="V817" i="1"/>
  <c r="Z817" i="1" s="1"/>
  <c r="S85" i="1"/>
  <c r="S601" i="1"/>
  <c r="W774" i="1"/>
  <c r="R516" i="1"/>
  <c r="R670" i="1"/>
  <c r="V126" i="1"/>
  <c r="Z126" i="1" s="1"/>
  <c r="W314" i="1"/>
  <c r="R61" i="1"/>
  <c r="S127" i="1"/>
  <c r="S128" i="1"/>
  <c r="S295" i="1"/>
  <c r="V404" i="1"/>
  <c r="Z404" i="1" s="1"/>
  <c r="R669" i="1"/>
  <c r="S1214" i="1"/>
  <c r="W1244" i="1"/>
  <c r="V420" i="1"/>
  <c r="Z420" i="1" s="1"/>
  <c r="V83" i="1"/>
  <c r="Z83" i="1" s="1"/>
  <c r="R1043" i="1"/>
  <c r="W127" i="1"/>
  <c r="V8" i="1"/>
  <c r="Z8" i="1" s="1"/>
  <c r="S175" i="1"/>
  <c r="S1018" i="1"/>
  <c r="S5" i="1"/>
  <c r="S1299" i="1"/>
  <c r="W315" i="1"/>
  <c r="V5" i="1"/>
  <c r="Z5" i="1" s="1"/>
  <c r="S421" i="1"/>
  <c r="W913" i="1"/>
  <c r="S113" i="1"/>
  <c r="W420" i="1"/>
  <c r="S1187" i="1"/>
  <c r="V748" i="1"/>
  <c r="Z748" i="1" s="1"/>
  <c r="R309" i="1"/>
  <c r="V596" i="1"/>
  <c r="Z596" i="1" s="1"/>
  <c r="S43" i="1"/>
  <c r="W601" i="1"/>
  <c r="R1071" i="1"/>
  <c r="W670" i="1"/>
  <c r="R43" i="1"/>
  <c r="S978" i="1"/>
  <c r="V292" i="1"/>
  <c r="Z292" i="1" s="1"/>
  <c r="W307" i="1"/>
  <c r="V4" i="1"/>
  <c r="Z4" i="1" s="1"/>
  <c r="W113" i="1"/>
  <c r="S190" i="1"/>
  <c r="R1108" i="1"/>
  <c r="W43" i="1"/>
  <c r="R1299" i="1"/>
  <c r="V1108" i="1"/>
  <c r="Z1108" i="1" s="1"/>
  <c r="W84" i="1"/>
  <c r="V921" i="1"/>
  <c r="Z921" i="1" s="1"/>
  <c r="S1102" i="1"/>
  <c r="W1018" i="1"/>
  <c r="R294" i="1"/>
  <c r="V30" i="1"/>
  <c r="Z30" i="1" s="1"/>
  <c r="S600" i="1"/>
  <c r="W1290" i="1"/>
  <c r="S176" i="1"/>
  <c r="W1120" i="1"/>
  <c r="R978" i="1"/>
  <c r="V1290" i="1"/>
  <c r="Z1290" i="1" s="1"/>
  <c r="V176" i="1"/>
  <c r="Z176" i="1" s="1"/>
  <c r="R30" i="1"/>
  <c r="W978" i="1"/>
  <c r="V6" i="1"/>
  <c r="Z6" i="1" s="1"/>
  <c r="W921" i="1"/>
  <c r="W1273" i="1"/>
  <c r="W51" i="1"/>
  <c r="S515" i="1"/>
  <c r="S30" i="1"/>
  <c r="W515" i="1"/>
  <c r="S1273" i="1"/>
  <c r="R913" i="1"/>
  <c r="W404" i="1"/>
  <c r="V177" i="1"/>
  <c r="Z177" i="1" s="1"/>
  <c r="R1290" i="1"/>
  <c r="R7" i="1"/>
  <c r="R31" i="1"/>
  <c r="S29" i="1"/>
  <c r="S516" i="1"/>
  <c r="W1294" i="1"/>
  <c r="S1294" i="1"/>
  <c r="V403" i="1"/>
  <c r="Z403" i="1" s="1"/>
  <c r="W1061" i="1"/>
  <c r="W175" i="1"/>
  <c r="W53" i="1"/>
  <c r="V113" i="1"/>
  <c r="Z113" i="1" s="1"/>
  <c r="W1214" i="1"/>
  <c r="V669" i="1"/>
  <c r="Z669" i="1" s="1"/>
  <c r="R420" i="1"/>
  <c r="W1299" i="1"/>
  <c r="W42" i="1"/>
  <c r="R295" i="1"/>
  <c r="W308" i="1"/>
  <c r="W1102" i="1"/>
  <c r="R421" i="1"/>
  <c r="R126" i="1"/>
  <c r="V85" i="1"/>
  <c r="Z85" i="1" s="1"/>
  <c r="R115" i="1"/>
  <c r="W1043" i="1"/>
  <c r="R190" i="1"/>
  <c r="S4" i="1"/>
  <c r="S1228" i="1"/>
  <c r="V1207" i="1"/>
  <c r="Z1207" i="1" s="1"/>
  <c r="V51" i="1"/>
  <c r="Z51" i="1" s="1"/>
  <c r="V1214" i="1"/>
  <c r="Z1214" i="1" s="1"/>
  <c r="R1214" i="1"/>
  <c r="V1120" i="1"/>
  <c r="Z1120" i="1" s="1"/>
  <c r="W1207" i="1"/>
  <c r="S315" i="1"/>
  <c r="W6" i="1"/>
  <c r="V1187" i="1"/>
  <c r="Z1187" i="1" s="1"/>
  <c r="R83" i="1"/>
  <c r="R315" i="1"/>
  <c r="W190" i="1"/>
  <c r="S308" i="1"/>
  <c r="R85" i="1"/>
  <c r="W596" i="1"/>
  <c r="W309" i="1"/>
  <c r="W1228" i="1"/>
  <c r="W1071" i="1"/>
  <c r="R308" i="1"/>
  <c r="W669" i="1"/>
  <c r="R601" i="1"/>
  <c r="V1179" i="1"/>
  <c r="Z1179" i="1" s="1"/>
  <c r="V516" i="1"/>
  <c r="Z516" i="1" s="1"/>
  <c r="S1156" i="1"/>
  <c r="W421" i="1"/>
  <c r="S177" i="1"/>
  <c r="V1263" i="1"/>
  <c r="Z1263" i="1" s="1"/>
  <c r="S83" i="1"/>
  <c r="V128" i="1"/>
  <c r="Z128" i="1" s="1"/>
  <c r="W1108" i="1"/>
  <c r="V29" i="1"/>
  <c r="Z29" i="1" s="1"/>
  <c r="S292" i="1"/>
  <c r="R314" i="1"/>
  <c r="S1166" i="1"/>
  <c r="R127" i="1"/>
  <c r="R176" i="1"/>
  <c r="R254" i="1"/>
  <c r="S1071" i="1"/>
  <c r="W5" i="1"/>
  <c r="R1207" i="1"/>
  <c r="R1273" i="1"/>
  <c r="R5" i="1"/>
  <c r="W1166" i="1"/>
  <c r="R1061" i="1"/>
  <c r="W115" i="1"/>
  <c r="R1120" i="1"/>
  <c r="W83" i="1"/>
  <c r="W403" i="1"/>
  <c r="V315" i="1"/>
  <c r="Z315" i="1" s="1"/>
  <c r="S31" i="1"/>
  <c r="W516" i="1"/>
  <c r="V294" i="1"/>
  <c r="Z294" i="1" s="1"/>
  <c r="W600" i="1"/>
  <c r="S294" i="1"/>
  <c r="V1299" i="1"/>
  <c r="Z1299" i="1" s="1"/>
  <c r="S670" i="1"/>
  <c r="R1244" i="1"/>
  <c r="V1156" i="1"/>
  <c r="Z1156" i="1" s="1"/>
  <c r="W31" i="1"/>
  <c r="W295" i="1"/>
  <c r="S774" i="1"/>
  <c r="V600" i="1"/>
  <c r="Z600" i="1" s="1"/>
  <c r="V53" i="1"/>
  <c r="Z53" i="1" s="1"/>
  <c r="S1290" i="1"/>
  <c r="V1244" i="1"/>
  <c r="Z1244" i="1" s="1"/>
  <c r="R1018" i="1"/>
  <c r="V314" i="1"/>
  <c r="Z314" i="1" s="1"/>
  <c r="R8" i="1"/>
  <c r="W128" i="1"/>
  <c r="V127" i="1"/>
  <c r="Z127" i="1" s="1"/>
  <c r="W294" i="1"/>
  <c r="R1294" i="1"/>
  <c r="S126" i="1"/>
  <c r="S921" i="1"/>
  <c r="R177" i="1"/>
  <c r="V307" i="1"/>
  <c r="Z307" i="1" s="1"/>
  <c r="R42" i="1"/>
  <c r="W7" i="1"/>
  <c r="S7" i="1"/>
  <c r="S403" i="1"/>
  <c r="W8" i="1"/>
  <c r="V175" i="1"/>
  <c r="Z175" i="1" s="1"/>
  <c r="R1263" i="1"/>
  <c r="V308" i="1"/>
  <c r="Z308" i="1" s="1"/>
  <c r="R82" i="1"/>
  <c r="W61" i="1"/>
  <c r="V31" i="1"/>
  <c r="Z31" i="1" s="1"/>
  <c r="V295" i="1"/>
  <c r="Z295" i="1" s="1"/>
  <c r="R921" i="1"/>
  <c r="V1273" i="1"/>
  <c r="Z1273" i="1" s="1"/>
  <c r="S51" i="1"/>
  <c r="S254" i="1"/>
  <c r="S309" i="1"/>
  <c r="V978" i="1"/>
  <c r="Z978" i="1" s="1"/>
  <c r="R307" i="1"/>
  <c r="R774" i="1"/>
  <c r="W1179" i="1"/>
  <c r="S82" i="1"/>
  <c r="W177" i="1"/>
  <c r="V7" i="1"/>
  <c r="Z7" i="1" s="1"/>
  <c r="V1228" i="1"/>
  <c r="Z1228" i="1" s="1"/>
  <c r="S420" i="1"/>
  <c r="R1156" i="1"/>
  <c r="W29" i="1"/>
  <c r="S60" i="1"/>
  <c r="S314" i="1"/>
  <c r="R1228" i="1"/>
  <c r="V61" i="1"/>
  <c r="Z61" i="1" s="1"/>
  <c r="V515" i="1"/>
  <c r="Z515" i="1" s="1"/>
  <c r="V82" i="1"/>
  <c r="Z82" i="1" s="1"/>
  <c r="R1102" i="1"/>
  <c r="W1156" i="1"/>
  <c r="W1270" i="1"/>
  <c r="V325" i="1"/>
  <c r="Z325" i="1" s="1"/>
  <c r="S86" i="1"/>
  <c r="S117" i="1"/>
  <c r="R1057" i="1"/>
  <c r="W117" i="1"/>
  <c r="V98" i="1"/>
  <c r="Z98" i="1" s="1"/>
  <c r="V202" i="1"/>
  <c r="Z202" i="1" s="1"/>
  <c r="S1125" i="1"/>
  <c r="S201" i="1"/>
  <c r="S325" i="1"/>
  <c r="S1124" i="1"/>
  <c r="V62" i="1"/>
  <c r="Z62" i="1" s="1"/>
  <c r="R201" i="1"/>
  <c r="V203" i="1"/>
  <c r="Z203" i="1" s="1"/>
  <c r="V86" i="1"/>
  <c r="Z86" i="1" s="1"/>
  <c r="R1125" i="1"/>
  <c r="W1124" i="1"/>
  <c r="V1125" i="1"/>
  <c r="Z1125" i="1" s="1"/>
  <c r="W1057" i="1"/>
  <c r="R202" i="1"/>
  <c r="S98" i="1"/>
  <c r="R203" i="1"/>
  <c r="W906" i="1"/>
  <c r="R104" i="1"/>
  <c r="S123" i="1"/>
  <c r="S906" i="1"/>
  <c r="S103" i="1"/>
  <c r="S63" i="1"/>
  <c r="R117" i="1"/>
  <c r="W325" i="1"/>
  <c r="V63" i="1"/>
  <c r="Z63" i="1" s="1"/>
  <c r="S1270" i="1"/>
  <c r="V201" i="1"/>
  <c r="Z201" i="1" s="1"/>
  <c r="R1270" i="1"/>
  <c r="W803" i="1"/>
  <c r="R62" i="1"/>
  <c r="R325" i="1"/>
  <c r="W124" i="1"/>
  <c r="R124" i="1"/>
  <c r="V1124" i="1"/>
  <c r="Z1124" i="1" s="1"/>
  <c r="W103" i="1"/>
  <c r="V124" i="1"/>
  <c r="Z124" i="1" s="1"/>
  <c r="V103" i="1"/>
  <c r="Z103" i="1" s="1"/>
  <c r="R803" i="1"/>
  <c r="R1124" i="1"/>
  <c r="W86" i="1"/>
  <c r="R98" i="1"/>
  <c r="V117" i="1"/>
  <c r="Z117" i="1" s="1"/>
  <c r="S202" i="1"/>
  <c r="R123" i="1"/>
  <c r="W123" i="1"/>
  <c r="S124" i="1"/>
  <c r="W201" i="1"/>
  <c r="V1270" i="1"/>
  <c r="Z1270" i="1" s="1"/>
  <c r="W202" i="1"/>
  <c r="W203" i="1"/>
  <c r="V374" i="1"/>
  <c r="Z374" i="1" s="1"/>
  <c r="V627" i="1"/>
  <c r="V79" i="1"/>
  <c r="Z79" i="1" s="1"/>
  <c r="R597" i="1"/>
  <c r="R850" i="1"/>
  <c r="W850" i="1"/>
  <c r="V850" i="1"/>
  <c r="Z850" i="1" s="1"/>
  <c r="W79" i="1"/>
  <c r="S79" i="1"/>
  <c r="V800" i="1"/>
  <c r="Z800" i="1" s="1"/>
  <c r="V1185" i="1"/>
  <c r="Z1185" i="1" s="1"/>
  <c r="S615" i="1"/>
  <c r="S1176" i="1"/>
  <c r="S1127" i="1"/>
  <c r="V1175" i="1"/>
  <c r="Z1175" i="1" s="1"/>
  <c r="S1175" i="1"/>
  <c r="V1068" i="1"/>
  <c r="Z1068" i="1" s="1"/>
  <c r="S78" i="1"/>
  <c r="W284" i="1"/>
  <c r="W615" i="1"/>
  <c r="R1127" i="1"/>
  <c r="W80" i="1"/>
  <c r="V1067" i="1"/>
  <c r="Z1067" i="1" s="1"/>
  <c r="R1175" i="1"/>
  <c r="W1068" i="1"/>
  <c r="R1146" i="1"/>
  <c r="R284" i="1"/>
  <c r="R522" i="1"/>
  <c r="W78" i="1"/>
  <c r="S401" i="1"/>
  <c r="S1067" i="1"/>
  <c r="R1176" i="1"/>
  <c r="V1176" i="1"/>
  <c r="Z1176" i="1" s="1"/>
  <c r="S1185" i="1"/>
  <c r="V284" i="1"/>
  <c r="Z284" i="1" s="1"/>
  <c r="W1126" i="1"/>
  <c r="W401" i="1"/>
  <c r="R1068" i="1"/>
  <c r="V1126" i="1"/>
  <c r="Z1126" i="1" s="1"/>
  <c r="V1146" i="1"/>
  <c r="Z1146" i="1" s="1"/>
  <c r="W1185" i="1"/>
  <c r="V522" i="1"/>
  <c r="Z522" i="1" s="1"/>
  <c r="W1093" i="1"/>
  <c r="R401" i="1"/>
  <c r="R1093" i="1"/>
  <c r="W1067" i="1"/>
  <c r="V1093" i="1"/>
  <c r="Z1093" i="1" s="1"/>
  <c r="V1259" i="1"/>
  <c r="Z1259" i="1" s="1"/>
  <c r="V1258" i="1"/>
  <c r="Z1258" i="1" s="1"/>
  <c r="V1296" i="1"/>
  <c r="Z1296" i="1" s="1"/>
  <c r="V1233" i="1"/>
  <c r="Z1233" i="1" s="1"/>
  <c r="V1201" i="1"/>
  <c r="Z1201" i="1" s="1"/>
  <c r="V1254" i="1"/>
  <c r="Z1254" i="1" s="1"/>
  <c r="V1255" i="1"/>
  <c r="Z1255" i="1" s="1"/>
  <c r="V1279" i="1"/>
  <c r="Z1279" i="1" s="1"/>
  <c r="V1132" i="1"/>
  <c r="Z1132" i="1" s="1"/>
  <c r="W993" i="1"/>
  <c r="V99" i="1"/>
  <c r="Z99" i="1" s="1"/>
  <c r="W938" i="1"/>
  <c r="R1259" i="1"/>
  <c r="W780" i="1"/>
  <c r="S939" i="1"/>
  <c r="S1259" i="1"/>
  <c r="V938" i="1"/>
  <c r="Z938" i="1" s="1"/>
  <c r="V2" i="1"/>
  <c r="Z2" i="1" s="1"/>
  <c r="S825" i="1"/>
  <c r="R2" i="1"/>
  <c r="W3" i="1"/>
  <c r="R92" i="1"/>
  <c r="S112" i="1"/>
  <c r="R59" i="1"/>
  <c r="S2" i="1"/>
  <c r="W1183" i="1"/>
  <c r="S99" i="1"/>
  <c r="W58" i="1"/>
  <c r="R1183" i="1"/>
  <c r="R118" i="1"/>
  <c r="S3" i="1"/>
  <c r="W1132" i="1"/>
  <c r="V825" i="1"/>
  <c r="Z825" i="1" s="1"/>
  <c r="W825" i="1"/>
  <c r="V27" i="1"/>
  <c r="Z27" i="1" s="1"/>
  <c r="R939" i="1"/>
  <c r="S27" i="1"/>
  <c r="V993" i="1"/>
  <c r="Z993" i="1" s="1"/>
  <c r="R846" i="1"/>
  <c r="W939" i="1"/>
  <c r="S780" i="1"/>
  <c r="V691" i="1"/>
  <c r="Z691" i="1" s="1"/>
  <c r="R938" i="1"/>
  <c r="S110" i="1"/>
  <c r="S92" i="1"/>
  <c r="V110" i="1"/>
  <c r="Z110" i="1" s="1"/>
  <c r="W2" i="1"/>
  <c r="S846" i="1"/>
  <c r="W992" i="1"/>
  <c r="W112" i="1"/>
  <c r="R993" i="1"/>
  <c r="V1205" i="1"/>
  <c r="Z1205" i="1" s="1"/>
  <c r="S845" i="1"/>
  <c r="W1259" i="1"/>
  <c r="V3" i="1"/>
  <c r="Z3" i="1" s="1"/>
  <c r="S58" i="1"/>
  <c r="V992" i="1"/>
  <c r="Z992" i="1" s="1"/>
  <c r="R287" i="1"/>
  <c r="R27" i="1"/>
  <c r="V1183" i="1"/>
  <c r="Z1183" i="1" s="1"/>
  <c r="V77" i="1"/>
  <c r="Z77" i="1" s="1"/>
  <c r="V59" i="1"/>
  <c r="Z59" i="1" s="1"/>
  <c r="V764" i="1"/>
  <c r="Z764" i="1" s="1"/>
  <c r="W1205" i="1"/>
  <c r="S122" i="1"/>
  <c r="S764" i="1"/>
  <c r="R1205" i="1"/>
  <c r="S993" i="1"/>
  <c r="W92" i="1"/>
  <c r="V846" i="1"/>
  <c r="Z846" i="1" s="1"/>
  <c r="W846" i="1"/>
  <c r="V845" i="1"/>
  <c r="Z845" i="1" s="1"/>
  <c r="V780" i="1"/>
  <c r="Z780" i="1" s="1"/>
  <c r="V313" i="1"/>
  <c r="Z313" i="1" s="1"/>
  <c r="V1180" i="1"/>
  <c r="Z1180" i="1" s="1"/>
  <c r="V975" i="1"/>
  <c r="Z975" i="1" s="1"/>
  <c r="V1069" i="1"/>
  <c r="Z1069" i="1" s="1"/>
  <c r="V809" i="1"/>
  <c r="Z809" i="1" s="1"/>
  <c r="V1129" i="1"/>
  <c r="Z1129" i="1" s="1"/>
  <c r="W89" i="1"/>
  <c r="S1051" i="1"/>
  <c r="R111" i="1"/>
  <c r="R940" i="1"/>
  <c r="R782" i="1"/>
  <c r="W1051" i="1"/>
  <c r="R709" i="1"/>
  <c r="V1051" i="1"/>
  <c r="Z1051" i="1" s="1"/>
  <c r="R683" i="1"/>
  <c r="V111" i="1"/>
  <c r="Z111" i="1" s="1"/>
  <c r="V940" i="1"/>
  <c r="Z940" i="1" s="1"/>
  <c r="W111" i="1"/>
  <c r="V683" i="1"/>
  <c r="Z683" i="1" s="1"/>
  <c r="W940" i="1"/>
  <c r="W782" i="1"/>
  <c r="S111" i="1"/>
  <c r="V847" i="1"/>
  <c r="Z847" i="1" s="1"/>
  <c r="V782" i="1"/>
  <c r="Z782" i="1" s="1"/>
  <c r="R763" i="1"/>
  <c r="V824" i="1"/>
  <c r="Z824" i="1" s="1"/>
  <c r="S763" i="1"/>
  <c r="S690" i="1"/>
  <c r="W824" i="1"/>
  <c r="R753" i="1"/>
  <c r="V94" i="1"/>
  <c r="Z94" i="1" s="1"/>
  <c r="V763" i="1"/>
  <c r="Z763" i="1" s="1"/>
  <c r="R237" i="1"/>
  <c r="V626" i="1"/>
  <c r="Z626" i="1" s="1"/>
  <c r="W763" i="1"/>
  <c r="S482" i="1"/>
  <c r="R824" i="1"/>
  <c r="W690" i="1"/>
  <c r="S753" i="1"/>
  <c r="V237" i="1"/>
  <c r="Z237" i="1" s="1"/>
  <c r="R94" i="1"/>
  <c r="W94" i="1"/>
  <c r="R690" i="1"/>
  <c r="V482" i="1"/>
  <c r="Z482" i="1" s="1"/>
  <c r="V690" i="1"/>
  <c r="Z690" i="1" s="1"/>
  <c r="W482" i="1"/>
  <c r="V753" i="1"/>
  <c r="Z753" i="1" s="1"/>
  <c r="S626" i="1"/>
  <c r="W753" i="1"/>
  <c r="R626" i="1"/>
  <c r="S986" i="1"/>
  <c r="V826" i="1"/>
  <c r="Z826" i="1" s="1"/>
  <c r="S692" i="1"/>
  <c r="S489" i="1"/>
  <c r="S826" i="1"/>
  <c r="V765" i="1"/>
  <c r="Z765" i="1" s="1"/>
  <c r="W248" i="1"/>
  <c r="W926" i="1"/>
  <c r="R559" i="1"/>
  <c r="W1045" i="1"/>
  <c r="W635" i="1"/>
  <c r="S380" i="1"/>
  <c r="R926" i="1"/>
  <c r="R380" i="1"/>
  <c r="V1045" i="1"/>
  <c r="Z1045" i="1" s="1"/>
  <c r="S765" i="1"/>
  <c r="V635" i="1"/>
  <c r="Z635" i="1" s="1"/>
  <c r="W380" i="1"/>
  <c r="R100" i="1"/>
  <c r="R1045" i="1"/>
  <c r="W826" i="1"/>
  <c r="V380" i="1"/>
  <c r="Z380" i="1" s="1"/>
  <c r="S635" i="1"/>
  <c r="R826" i="1"/>
  <c r="R635" i="1"/>
  <c r="V489" i="1"/>
  <c r="Z489" i="1" s="1"/>
  <c r="S559" i="1"/>
  <c r="V926" i="1"/>
  <c r="Z926" i="1" s="1"/>
  <c r="V692" i="1"/>
  <c r="Z692" i="1" s="1"/>
  <c r="W100" i="1"/>
  <c r="S248" i="1"/>
  <c r="V266" i="1"/>
  <c r="Z266" i="1" s="1"/>
  <c r="V879" i="1"/>
  <c r="Z879" i="1" s="1"/>
  <c r="V1059" i="1"/>
  <c r="Z1059" i="1" s="1"/>
  <c r="V663" i="1"/>
  <c r="Z663" i="1" s="1"/>
  <c r="V504" i="1"/>
  <c r="Z504" i="1" s="1"/>
  <c r="V804" i="1"/>
  <c r="Z804" i="1" s="1"/>
  <c r="V46" i="1"/>
  <c r="Z46" i="1" s="1"/>
  <c r="W88" i="1"/>
  <c r="S678" i="1"/>
  <c r="V544" i="1"/>
  <c r="Z544" i="1" s="1"/>
  <c r="S88" i="1"/>
  <c r="V678" i="1"/>
  <c r="Z678" i="1" s="1"/>
  <c r="S672" i="1"/>
  <c r="W64" i="1"/>
  <c r="S327" i="1"/>
  <c r="V672" i="1"/>
  <c r="Z672" i="1" s="1"/>
  <c r="R762" i="1"/>
  <c r="R672" i="1"/>
  <c r="V64" i="1"/>
  <c r="Z64" i="1" s="1"/>
  <c r="S525" i="1"/>
  <c r="W93" i="1"/>
  <c r="W525" i="1"/>
  <c r="S828" i="1"/>
  <c r="V823" i="1"/>
  <c r="Z823" i="1" s="1"/>
  <c r="S558" i="1"/>
  <c r="R64" i="1"/>
  <c r="V828" i="1"/>
  <c r="Z828" i="1" s="1"/>
  <c r="R558" i="1"/>
  <c r="V101" i="1"/>
  <c r="Z101" i="1" s="1"/>
  <c r="V93" i="1"/>
  <c r="Z93" i="1" s="1"/>
  <c r="R93" i="1"/>
  <c r="W558" i="1"/>
  <c r="R525" i="1"/>
  <c r="W762" i="1"/>
  <c r="S101" i="1"/>
  <c r="V558" i="1"/>
  <c r="Z558" i="1" s="1"/>
  <c r="S64" i="1"/>
  <c r="S823" i="1"/>
  <c r="R828" i="1"/>
  <c r="R101" i="1"/>
  <c r="R1046" i="1"/>
  <c r="W672" i="1"/>
  <c r="W828" i="1"/>
  <c r="V1046" i="1"/>
  <c r="Z1046" i="1" s="1"/>
  <c r="S762" i="1"/>
  <c r="W823" i="1"/>
  <c r="S1046" i="1"/>
  <c r="W1046" i="1"/>
  <c r="V762" i="1"/>
  <c r="Z762" i="1" s="1"/>
  <c r="W101" i="1"/>
  <c r="R327" i="1"/>
  <c r="R823" i="1"/>
  <c r="W688" i="1"/>
  <c r="R633" i="1"/>
  <c r="S684" i="1"/>
  <c r="R688" i="1"/>
  <c r="R821" i="1"/>
  <c r="R684" i="1"/>
  <c r="V760" i="1"/>
  <c r="Z760" i="1" s="1"/>
  <c r="V925" i="1"/>
  <c r="Z925" i="1" s="1"/>
  <c r="W821" i="1"/>
  <c r="S760" i="1"/>
  <c r="V688" i="1"/>
  <c r="Z688" i="1" s="1"/>
  <c r="W760" i="1"/>
  <c r="R925" i="1"/>
  <c r="S688" i="1"/>
  <c r="V23" i="1"/>
  <c r="Z23" i="1" s="1"/>
  <c r="V22" i="1"/>
  <c r="Z22" i="1" s="1"/>
  <c r="V24" i="1"/>
  <c r="Z24" i="1" s="1"/>
  <c r="V802" i="1"/>
  <c r="Z802" i="1" s="1"/>
  <c r="S90" i="1"/>
  <c r="S119" i="1"/>
  <c r="R90" i="1"/>
  <c r="W119" i="1"/>
  <c r="V119" i="1"/>
  <c r="Z119" i="1" s="1"/>
  <c r="W802" i="1"/>
  <c r="S802" i="1"/>
  <c r="W90" i="1"/>
  <c r="V1077" i="1"/>
  <c r="Z1077" i="1" s="1"/>
  <c r="V783" i="1"/>
  <c r="Z783" i="1" s="1"/>
  <c r="V848" i="1"/>
  <c r="Z848" i="1" s="1"/>
  <c r="V849" i="1"/>
  <c r="Z849" i="1" s="1"/>
  <c r="V941" i="1"/>
  <c r="Z941" i="1" s="1"/>
  <c r="V657" i="1"/>
  <c r="Z657" i="1" s="1"/>
  <c r="V784" i="1"/>
  <c r="Z784" i="1" s="1"/>
  <c r="V354" i="1"/>
  <c r="Z354" i="1" s="1"/>
  <c r="V353" i="1"/>
  <c r="Z353" i="1" s="1"/>
  <c r="V994" i="1"/>
  <c r="Z994" i="1" s="1"/>
  <c r="W811" i="1"/>
  <c r="V289" i="1"/>
  <c r="Z289" i="1" s="1"/>
  <c r="V811" i="1"/>
  <c r="Z811" i="1" s="1"/>
  <c r="S811" i="1"/>
  <c r="W1134" i="1"/>
  <c r="W1220" i="1"/>
  <c r="S943" i="1"/>
  <c r="V1134" i="1"/>
  <c r="Z1134" i="1" s="1"/>
  <c r="V813" i="1"/>
  <c r="Z813" i="1" s="1"/>
  <c r="S813" i="1"/>
  <c r="S1134" i="1"/>
  <c r="S289" i="1"/>
  <c r="V801" i="1"/>
  <c r="Z801" i="1" s="1"/>
  <c r="W727" i="1"/>
  <c r="S508" i="1"/>
  <c r="S286" i="1"/>
  <c r="W801" i="1"/>
  <c r="R289" i="1"/>
  <c r="R508" i="1"/>
  <c r="V943" i="1"/>
  <c r="Z943" i="1" s="1"/>
  <c r="W943" i="1"/>
  <c r="V727" i="1"/>
  <c r="Z727" i="1" s="1"/>
  <c r="V508" i="1"/>
  <c r="Z508" i="1" s="1"/>
  <c r="V1220" i="1"/>
  <c r="Z1220" i="1" s="1"/>
  <c r="R811" i="1"/>
  <c r="S1225" i="1"/>
  <c r="W1052" i="1"/>
  <c r="R1052" i="1"/>
  <c r="W286" i="1"/>
  <c r="S727" i="1"/>
  <c r="W813" i="1"/>
  <c r="R286" i="1"/>
  <c r="V1225" i="1"/>
  <c r="Z1225" i="1" s="1"/>
  <c r="V1052" i="1"/>
  <c r="Z1052" i="1" s="1"/>
  <c r="V859" i="1"/>
  <c r="Z859" i="1" s="1"/>
  <c r="S1052" i="1"/>
  <c r="R813" i="1"/>
  <c r="R1134" i="1"/>
  <c r="S1050" i="1"/>
  <c r="V844" i="1"/>
  <c r="Z844" i="1" s="1"/>
  <c r="R937" i="1"/>
  <c r="R844" i="1"/>
  <c r="S844" i="1"/>
  <c r="R259" i="1"/>
  <c r="R1050" i="1"/>
  <c r="V1050" i="1"/>
  <c r="Z1050" i="1" s="1"/>
  <c r="W937" i="1"/>
  <c r="V318" i="1"/>
  <c r="Z318" i="1" s="1"/>
  <c r="V54" i="1"/>
  <c r="Z54" i="1" s="1"/>
  <c r="V306" i="1"/>
  <c r="V174" i="1"/>
  <c r="Z174" i="1" s="1"/>
  <c r="R1267" i="1"/>
  <c r="R1227" i="1"/>
  <c r="S1301" i="1"/>
  <c r="V1301" i="1"/>
  <c r="Z1301" i="1" s="1"/>
  <c r="S1227" i="1"/>
  <c r="V1267" i="1"/>
  <c r="Z1267" i="1" s="1"/>
  <c r="W1301" i="1"/>
  <c r="R1301" i="1"/>
  <c r="W1227" i="1"/>
  <c r="V929" i="1"/>
  <c r="Z929" i="1" s="1"/>
  <c r="S775" i="1"/>
  <c r="W929" i="1"/>
  <c r="V836" i="1"/>
  <c r="Z836" i="1" s="1"/>
  <c r="R836" i="1"/>
  <c r="V775" i="1"/>
  <c r="Z775" i="1" s="1"/>
  <c r="V301" i="1"/>
  <c r="Z301" i="1" s="1"/>
  <c r="S260" i="1"/>
  <c r="S1030" i="1"/>
  <c r="W1177" i="1"/>
  <c r="S1209" i="1"/>
  <c r="S173" i="1"/>
  <c r="S1264" i="1"/>
  <c r="S1300" i="1"/>
  <c r="V997" i="1"/>
  <c r="Z997" i="1" s="1"/>
  <c r="S1188" i="1"/>
  <c r="R997" i="1"/>
  <c r="S1177" i="1"/>
  <c r="V1300" i="1"/>
  <c r="Z1300" i="1" s="1"/>
  <c r="W1264" i="1"/>
  <c r="V1030" i="1"/>
  <c r="Z1030" i="1" s="1"/>
  <c r="S545" i="1"/>
  <c r="V173" i="1"/>
  <c r="Z173" i="1" s="1"/>
  <c r="V260" i="1"/>
  <c r="Z260" i="1" s="1"/>
  <c r="R1188" i="1"/>
  <c r="R1209" i="1"/>
  <c r="V1188" i="1"/>
  <c r="Z1188" i="1" s="1"/>
  <c r="R173" i="1"/>
  <c r="R1300" i="1"/>
  <c r="W1188" i="1"/>
  <c r="S1103" i="1"/>
  <c r="R1177" i="1"/>
  <c r="V167" i="1"/>
  <c r="Z167" i="1" s="1"/>
  <c r="V1000" i="1"/>
  <c r="Z1000" i="1" s="1"/>
  <c r="R166" i="1"/>
  <c r="S39" i="1"/>
  <c r="S37" i="1"/>
  <c r="W38" i="1"/>
  <c r="V168" i="1"/>
  <c r="Z168" i="1" s="1"/>
  <c r="R167" i="1"/>
  <c r="W301" i="1"/>
  <c r="V39" i="1"/>
  <c r="Z39" i="1" s="1"/>
  <c r="V38" i="1"/>
  <c r="Z38" i="1" s="1"/>
  <c r="W167" i="1"/>
  <c r="S168" i="1"/>
  <c r="V166" i="1"/>
  <c r="Z166" i="1" s="1"/>
  <c r="S38" i="1"/>
  <c r="S166" i="1"/>
  <c r="R300" i="1"/>
  <c r="V300" i="1"/>
  <c r="Z300" i="1" s="1"/>
  <c r="W300" i="1"/>
  <c r="S300" i="1"/>
  <c r="V853" i="1"/>
  <c r="Z853" i="1" s="1"/>
  <c r="R17" i="1"/>
  <c r="R646" i="1"/>
  <c r="S406" i="1"/>
  <c r="W16" i="1"/>
  <c r="W15" i="1"/>
  <c r="V142" i="1"/>
  <c r="Z142" i="1" s="1"/>
  <c r="V297" i="1"/>
  <c r="Z297" i="1" s="1"/>
  <c r="W646" i="1"/>
  <c r="W297" i="1"/>
  <c r="R18" i="1"/>
  <c r="V18" i="1"/>
  <c r="Z18" i="1" s="1"/>
  <c r="V16" i="1"/>
  <c r="Z16" i="1" s="1"/>
  <c r="S143" i="1"/>
  <c r="V406" i="1"/>
  <c r="Z406" i="1" s="1"/>
  <c r="V143" i="1"/>
  <c r="Z143" i="1" s="1"/>
  <c r="R297" i="1"/>
  <c r="S297" i="1"/>
  <c r="R16" i="1"/>
  <c r="W406" i="1"/>
  <c r="W18" i="1"/>
  <c r="R996" i="1"/>
  <c r="W785" i="1"/>
  <c r="R141" i="1"/>
  <c r="S17" i="1"/>
  <c r="W143" i="1"/>
  <c r="R15" i="1"/>
  <c r="S785" i="1"/>
  <c r="W996" i="1"/>
  <c r="W141" i="1"/>
  <c r="S16" i="1"/>
  <c r="S15" i="1"/>
  <c r="V141" i="1"/>
  <c r="Z141" i="1" s="1"/>
  <c r="R785" i="1"/>
  <c r="S996" i="1"/>
  <c r="W142" i="1"/>
  <c r="S141" i="1"/>
  <c r="S142" i="1"/>
  <c r="S18" i="1"/>
  <c r="R142" i="1"/>
  <c r="V17" i="1"/>
  <c r="Z17" i="1" s="1"/>
  <c r="V785" i="1"/>
  <c r="Z785" i="1" s="1"/>
  <c r="W17" i="1"/>
  <c r="S646" i="1"/>
  <c r="R406" i="1"/>
  <c r="R143" i="1"/>
  <c r="V15" i="1"/>
  <c r="Z15" i="1" s="1"/>
  <c r="V646" i="1"/>
  <c r="Z646" i="1" s="1"/>
  <c r="V996" i="1"/>
  <c r="Z996" i="1" s="1"/>
  <c r="V656" i="1"/>
  <c r="Z656" i="1" s="1"/>
  <c r="R436" i="1"/>
  <c r="V222" i="1"/>
  <c r="Z222" i="1" s="1"/>
  <c r="R211" i="1"/>
  <c r="W531" i="1"/>
  <c r="W530" i="1"/>
  <c r="S530" i="1"/>
  <c r="S531" i="1"/>
  <c r="W336" i="1"/>
  <c r="S222" i="1"/>
  <c r="W335" i="1"/>
  <c r="R212" i="1"/>
  <c r="V436" i="1"/>
  <c r="Z436" i="1" s="1"/>
  <c r="V212" i="1"/>
  <c r="Z212" i="1" s="1"/>
  <c r="V336" i="1"/>
  <c r="Z336" i="1" s="1"/>
  <c r="W211" i="1"/>
  <c r="R531" i="1"/>
  <c r="R336" i="1"/>
  <c r="S435" i="1"/>
  <c r="W212" i="1"/>
  <c r="S336" i="1"/>
  <c r="V211" i="1"/>
  <c r="Z211" i="1" s="1"/>
  <c r="V435" i="1"/>
  <c r="Z435" i="1" s="1"/>
  <c r="S335" i="1"/>
  <c r="R530" i="1"/>
  <c r="R222" i="1"/>
  <c r="S211" i="1"/>
  <c r="S436" i="1"/>
  <c r="R435" i="1"/>
  <c r="V530" i="1"/>
  <c r="Z530" i="1" s="1"/>
  <c r="V335" i="1"/>
  <c r="Z335" i="1" s="1"/>
  <c r="S212" i="1"/>
  <c r="V531" i="1"/>
  <c r="Z531" i="1" s="1"/>
  <c r="W436" i="1"/>
  <c r="R335" i="1"/>
  <c r="W222" i="1"/>
  <c r="W435" i="1"/>
  <c r="R476" i="1"/>
  <c r="R475" i="1"/>
  <c r="S547" i="1"/>
  <c r="V546" i="1"/>
  <c r="Z546" i="1" s="1"/>
  <c r="S365" i="1"/>
  <c r="R547" i="1"/>
  <c r="V547" i="1"/>
  <c r="Z547" i="1" s="1"/>
  <c r="R618" i="1"/>
  <c r="W231" i="1"/>
  <c r="V476" i="1"/>
  <c r="Z476" i="1" s="1"/>
  <c r="W365" i="1"/>
  <c r="S546" i="1"/>
  <c r="W232" i="1"/>
  <c r="W476" i="1"/>
  <c r="R231" i="1"/>
  <c r="V618" i="1"/>
  <c r="Z618" i="1" s="1"/>
  <c r="W618" i="1"/>
  <c r="W546" i="1"/>
  <c r="S231" i="1"/>
  <c r="S476" i="1"/>
  <c r="V619" i="1"/>
  <c r="Z619" i="1" s="1"/>
  <c r="V231" i="1"/>
  <c r="Z231" i="1" s="1"/>
  <c r="W475" i="1"/>
  <c r="S618" i="1"/>
  <c r="R546" i="1"/>
  <c r="V365" i="1"/>
  <c r="Z365" i="1" s="1"/>
  <c r="R619" i="1"/>
  <c r="S475" i="1"/>
  <c r="V475" i="1"/>
  <c r="Z475" i="1" s="1"/>
  <c r="S366" i="1"/>
  <c r="V366" i="1"/>
  <c r="Z366" i="1" s="1"/>
  <c r="R366" i="1"/>
  <c r="W619" i="1"/>
  <c r="S232" i="1"/>
  <c r="W547" i="1"/>
  <c r="S619" i="1"/>
  <c r="R232" i="1"/>
  <c r="V232" i="1"/>
  <c r="Z232" i="1" s="1"/>
  <c r="R365" i="1"/>
  <c r="W366" i="1"/>
  <c r="R220" i="1"/>
  <c r="W218" i="1"/>
  <c r="W532" i="1"/>
  <c r="S362" i="1"/>
  <c r="S69" i="1"/>
  <c r="R70" i="1"/>
  <c r="R472" i="1"/>
  <c r="W472" i="1"/>
  <c r="R69" i="1"/>
  <c r="V607" i="1"/>
  <c r="Z607" i="1" s="1"/>
  <c r="V606" i="1"/>
  <c r="Z606" i="1" s="1"/>
  <c r="V71" i="1"/>
  <c r="Z71" i="1" s="1"/>
  <c r="V220" i="1"/>
  <c r="Z220" i="1" s="1"/>
  <c r="V69" i="1"/>
  <c r="Z69" i="1" s="1"/>
  <c r="W71" i="1"/>
  <c r="W362" i="1"/>
  <c r="S220" i="1"/>
  <c r="R532" i="1"/>
  <c r="W70" i="1"/>
  <c r="S532" i="1"/>
  <c r="W607" i="1"/>
  <c r="V532" i="1"/>
  <c r="Z532" i="1" s="1"/>
  <c r="W220" i="1"/>
  <c r="W606" i="1"/>
  <c r="R607" i="1"/>
  <c r="S71" i="1"/>
  <c r="S607" i="1"/>
  <c r="V472" i="1"/>
  <c r="Z472" i="1" s="1"/>
  <c r="W69" i="1"/>
  <c r="S606" i="1"/>
  <c r="S218" i="1"/>
  <c r="V70" i="1"/>
  <c r="Z70" i="1" s="1"/>
  <c r="R71" i="1"/>
  <c r="S70" i="1"/>
  <c r="S472" i="1"/>
  <c r="V218" i="1"/>
  <c r="Z218" i="1" s="1"/>
  <c r="R362" i="1"/>
  <c r="R606" i="1"/>
  <c r="V362" i="1"/>
  <c r="Z362" i="1" s="1"/>
  <c r="R218" i="1"/>
  <c r="R1222" i="1"/>
  <c r="V1168" i="1"/>
  <c r="Z1168" i="1" s="1"/>
  <c r="W976" i="1"/>
  <c r="R1131" i="1"/>
  <c r="R734" i="1"/>
  <c r="R1274" i="1"/>
  <c r="V967" i="1"/>
  <c r="Z967" i="1" s="1"/>
  <c r="V1131" i="1"/>
  <c r="Z1131" i="1" s="1"/>
  <c r="S1168" i="1"/>
  <c r="S667" i="1"/>
  <c r="R976" i="1"/>
  <c r="W1168" i="1"/>
  <c r="W1118" i="1"/>
  <c r="W1131" i="1"/>
  <c r="W1274" i="1"/>
  <c r="R967" i="1"/>
  <c r="W967" i="1"/>
  <c r="W667" i="1"/>
  <c r="S1118" i="1"/>
  <c r="R1168" i="1"/>
  <c r="V1222" i="1"/>
  <c r="Z1222" i="1" s="1"/>
  <c r="R1118" i="1"/>
  <c r="V667" i="1"/>
  <c r="Z667" i="1" s="1"/>
  <c r="W1087" i="1"/>
  <c r="S967" i="1"/>
  <c r="S1222" i="1"/>
  <c r="W734" i="1"/>
  <c r="V1087" i="1"/>
  <c r="Z1087" i="1" s="1"/>
  <c r="V734" i="1"/>
  <c r="Z734" i="1" s="1"/>
  <c r="S1087" i="1"/>
  <c r="S1274" i="1"/>
  <c r="S976" i="1"/>
  <c r="W1222" i="1"/>
  <c r="R1087" i="1"/>
  <c r="S1131" i="1"/>
  <c r="R667" i="1"/>
  <c r="V1274" i="1"/>
  <c r="Z1274" i="1" s="1"/>
  <c r="V1118" i="1"/>
  <c r="Z1118" i="1" s="1"/>
  <c r="V976" i="1"/>
  <c r="Z976" i="1" s="1"/>
  <c r="S734" i="1"/>
  <c r="R95" i="1"/>
  <c r="R321" i="1"/>
  <c r="S14" i="1"/>
  <c r="W369" i="1"/>
  <c r="W196" i="1"/>
  <c r="S324" i="1"/>
  <c r="W95" i="1"/>
  <c r="S369" i="1"/>
  <c r="W14" i="1"/>
  <c r="W324" i="1"/>
  <c r="R14" i="1"/>
  <c r="V196" i="1"/>
  <c r="Z196" i="1" s="1"/>
  <c r="V95" i="1"/>
  <c r="Z95" i="1" s="1"/>
  <c r="V14" i="1"/>
  <c r="Z14" i="1" s="1"/>
  <c r="R369" i="1"/>
  <c r="S95" i="1"/>
  <c r="S321" i="1"/>
  <c r="S196" i="1"/>
  <c r="W321" i="1"/>
  <c r="V321" i="1"/>
  <c r="Z321" i="1" s="1"/>
  <c r="R196" i="1"/>
  <c r="V324" i="1"/>
  <c r="Z324" i="1" s="1"/>
  <c r="V369" i="1"/>
  <c r="Z369" i="1" s="1"/>
  <c r="R324" i="1"/>
  <c r="R739" i="1"/>
  <c r="W1115" i="1"/>
  <c r="S995" i="1"/>
  <c r="R1058" i="1"/>
  <c r="R808" i="1"/>
  <c r="S50" i="1"/>
  <c r="R647" i="1"/>
  <c r="W1114" i="1"/>
  <c r="V942" i="1"/>
  <c r="Z942" i="1" s="1"/>
  <c r="R507" i="1"/>
  <c r="R399" i="1"/>
  <c r="R411" i="1"/>
  <c r="V609" i="1"/>
  <c r="Z609" i="1" s="1"/>
  <c r="V1053" i="1"/>
  <c r="Z1053" i="1" s="1"/>
  <c r="V45" i="1"/>
  <c r="Z45" i="1" s="1"/>
  <c r="R851" i="1"/>
  <c r="R44" i="1"/>
  <c r="S998" i="1"/>
  <c r="V720" i="1"/>
  <c r="Z720" i="1" s="1"/>
  <c r="W438" i="1"/>
  <c r="W942" i="1"/>
  <c r="V283" i="1"/>
  <c r="Z283" i="1" s="1"/>
  <c r="W851" i="1"/>
  <c r="R720" i="1"/>
  <c r="W283" i="1"/>
  <c r="S851" i="1"/>
  <c r="S1058" i="1"/>
  <c r="R65" i="1"/>
  <c r="V739" i="1"/>
  <c r="Z739" i="1" s="1"/>
  <c r="W712" i="1"/>
  <c r="V50" i="1"/>
  <c r="Z50" i="1" s="1"/>
  <c r="W647" i="1"/>
  <c r="W45" i="1"/>
  <c r="R1115" i="1"/>
  <c r="S399" i="1"/>
  <c r="V851" i="1"/>
  <c r="Z851" i="1" s="1"/>
  <c r="V1058" i="1"/>
  <c r="Z1058" i="1" s="1"/>
  <c r="R998" i="1"/>
  <c r="S739" i="1"/>
  <c r="V399" i="1"/>
  <c r="Z399" i="1" s="1"/>
  <c r="V786" i="1"/>
  <c r="Z786" i="1" s="1"/>
  <c r="S595" i="1"/>
  <c r="W609" i="1"/>
  <c r="R602" i="1"/>
  <c r="S411" i="1"/>
  <c r="R50" i="1"/>
  <c r="V65" i="1"/>
  <c r="Z65" i="1" s="1"/>
  <c r="W995" i="1"/>
  <c r="V965" i="1"/>
  <c r="Z965" i="1" s="1"/>
  <c r="R609" i="1"/>
  <c r="R283" i="1"/>
  <c r="W786" i="1"/>
  <c r="R438" i="1"/>
  <c r="V995" i="1"/>
  <c r="Z995" i="1" s="1"/>
  <c r="W720" i="1"/>
  <c r="W808" i="1"/>
  <c r="S283" i="1"/>
  <c r="V595" i="1"/>
  <c r="Z595" i="1" s="1"/>
  <c r="V411" i="1"/>
  <c r="Z411" i="1" s="1"/>
  <c r="S712" i="1"/>
  <c r="S45" i="1"/>
  <c r="W739" i="1"/>
  <c r="V1114" i="1"/>
  <c r="Z1114" i="1" s="1"/>
  <c r="S942" i="1"/>
  <c r="R965" i="1"/>
  <c r="W1053" i="1"/>
  <c r="S720" i="1"/>
  <c r="V602" i="1"/>
  <c r="Z602" i="1" s="1"/>
  <c r="V998" i="1"/>
  <c r="Z998" i="1" s="1"/>
  <c r="R786" i="1"/>
  <c r="S602" i="1"/>
  <c r="S44" i="1"/>
  <c r="W50" i="1"/>
  <c r="S1053" i="1"/>
  <c r="W1058" i="1"/>
  <c r="R712" i="1"/>
  <c r="S574" i="1"/>
  <c r="V574" i="1"/>
  <c r="Z574" i="1" s="1"/>
  <c r="V647" i="1"/>
  <c r="Z647" i="1" s="1"/>
  <c r="R595" i="1"/>
  <c r="S609" i="1"/>
  <c r="W965" i="1"/>
  <c r="S647" i="1"/>
  <c r="R1114" i="1"/>
  <c r="V438" i="1"/>
  <c r="Z438" i="1" s="1"/>
  <c r="S786" i="1"/>
  <c r="S438" i="1"/>
  <c r="W602" i="1"/>
  <c r="W574" i="1"/>
  <c r="R995" i="1"/>
  <c r="W998" i="1"/>
  <c r="W44" i="1"/>
  <c r="W65" i="1"/>
  <c r="W595" i="1"/>
  <c r="S507" i="1"/>
  <c r="V712" i="1"/>
  <c r="Z712" i="1" s="1"/>
  <c r="W399" i="1"/>
  <c r="R942" i="1"/>
  <c r="R1053" i="1"/>
  <c r="W411" i="1"/>
  <c r="V507" i="1"/>
  <c r="Z507" i="1" s="1"/>
  <c r="R574" i="1"/>
  <c r="S1114" i="1"/>
  <c r="S65" i="1"/>
  <c r="S1115" i="1"/>
  <c r="V1115" i="1"/>
  <c r="Z1115" i="1" s="1"/>
  <c r="R45" i="1"/>
  <c r="W507" i="1"/>
  <c r="V44" i="1"/>
  <c r="Z44" i="1" s="1"/>
  <c r="S808" i="1"/>
  <c r="S965" i="1"/>
  <c r="V808" i="1"/>
  <c r="Z808" i="1" s="1"/>
  <c r="V20" i="1"/>
  <c r="Z20" i="1" s="1"/>
  <c r="V19" i="1"/>
  <c r="Z19" i="1" s="1"/>
  <c r="V416" i="1"/>
  <c r="Z416" i="1" s="1"/>
  <c r="V47" i="1"/>
  <c r="Z47" i="1" s="1"/>
  <c r="V862" i="1"/>
  <c r="Z862" i="1" s="1"/>
  <c r="V948" i="1"/>
  <c r="Z948" i="1" s="1"/>
  <c r="V1004" i="1"/>
  <c r="Z1004" i="1" s="1"/>
  <c r="V1020" i="1"/>
  <c r="V731" i="1"/>
  <c r="V863" i="1"/>
  <c r="Z863" i="1" s="1"/>
  <c r="W949" i="1"/>
  <c r="W717" i="1"/>
  <c r="R863" i="1"/>
  <c r="R792" i="1"/>
  <c r="V1005" i="1"/>
  <c r="Z1005" i="1" s="1"/>
  <c r="S717" i="1"/>
  <c r="S1005" i="1"/>
  <c r="W792" i="1"/>
  <c r="V949" i="1"/>
  <c r="Z949" i="1" s="1"/>
  <c r="S389" i="1"/>
  <c r="W863" i="1"/>
  <c r="R949" i="1"/>
  <c r="W578" i="1"/>
  <c r="S949" i="1"/>
  <c r="S792" i="1"/>
  <c r="V717" i="1"/>
  <c r="Z717" i="1" s="1"/>
  <c r="S578" i="1"/>
  <c r="V389" i="1"/>
  <c r="Z389" i="1" s="1"/>
  <c r="V792" i="1"/>
  <c r="Z792" i="1" s="1"/>
  <c r="R1005" i="1"/>
  <c r="R578" i="1"/>
  <c r="W389" i="1"/>
  <c r="R717" i="1"/>
  <c r="V578" i="1"/>
  <c r="Z578" i="1" s="1"/>
  <c r="R389" i="1"/>
  <c r="W1005" i="1"/>
  <c r="S863" i="1"/>
  <c r="V961" i="1"/>
  <c r="Z961" i="1" s="1"/>
  <c r="W729" i="1"/>
  <c r="S961" i="1"/>
  <c r="S1081" i="1"/>
  <c r="V729" i="1"/>
  <c r="Z729" i="1" s="1"/>
  <c r="W961" i="1"/>
  <c r="R1081" i="1"/>
  <c r="R729" i="1"/>
  <c r="S729" i="1"/>
  <c r="R961" i="1"/>
  <c r="W1081" i="1"/>
  <c r="V1081" i="1"/>
  <c r="Z1081" i="1" s="1"/>
  <c r="R487" i="1"/>
  <c r="W759" i="1"/>
  <c r="V759" i="1"/>
  <c r="Z759" i="1" s="1"/>
  <c r="V487" i="1"/>
  <c r="Z487" i="1" s="1"/>
  <c r="R687" i="1"/>
  <c r="R759" i="1"/>
  <c r="S759" i="1"/>
  <c r="W687" i="1"/>
  <c r="S687" i="1"/>
  <c r="S487" i="1"/>
  <c r="V687" i="1"/>
  <c r="Z687" i="1" s="1"/>
  <c r="W487" i="1"/>
  <c r="V227" i="1"/>
  <c r="Z227" i="1" s="1"/>
  <c r="R116" i="1"/>
  <c r="R908" i="1"/>
  <c r="W908" i="1"/>
  <c r="R1094" i="1"/>
  <c r="V908" i="1"/>
  <c r="Z908" i="1" s="1"/>
  <c r="V1178" i="1"/>
  <c r="Z1178" i="1" s="1"/>
  <c r="S908" i="1"/>
  <c r="W1094" i="1"/>
  <c r="R1178" i="1"/>
  <c r="S1094" i="1"/>
  <c r="W1178" i="1"/>
  <c r="S1178" i="1"/>
  <c r="S116" i="1"/>
  <c r="V1094" i="1"/>
  <c r="Z1094" i="1" s="1"/>
  <c r="V116" i="1"/>
  <c r="Z116" i="1" s="1"/>
  <c r="W116" i="1"/>
  <c r="W797" i="1"/>
  <c r="R873" i="1"/>
  <c r="W957" i="1"/>
  <c r="W679" i="1"/>
  <c r="R49" i="1"/>
  <c r="R679" i="1"/>
  <c r="S957" i="1"/>
  <c r="S1017" i="1"/>
  <c r="S797" i="1"/>
  <c r="R957" i="1"/>
  <c r="S49" i="1"/>
  <c r="V49" i="1"/>
  <c r="Z49" i="1" s="1"/>
  <c r="V1017" i="1"/>
  <c r="Z1017" i="1" s="1"/>
  <c r="V873" i="1"/>
  <c r="Z873" i="1" s="1"/>
  <c r="W873" i="1"/>
  <c r="S873" i="1"/>
  <c r="R797" i="1"/>
  <c r="W49" i="1"/>
  <c r="V679" i="1"/>
  <c r="Z679" i="1" s="1"/>
  <c r="V586" i="1"/>
  <c r="Z586" i="1" s="1"/>
  <c r="V957" i="1"/>
  <c r="Z957" i="1" s="1"/>
  <c r="R586" i="1"/>
  <c r="W586" i="1"/>
  <c r="W1017" i="1"/>
  <c r="V797" i="1"/>
  <c r="Z797" i="1" s="1"/>
  <c r="R1017" i="1"/>
  <c r="S586" i="1"/>
  <c r="S679" i="1"/>
  <c r="W178" i="1"/>
  <c r="S178" i="1"/>
  <c r="W310" i="1"/>
  <c r="S310" i="1"/>
  <c r="R310" i="1"/>
  <c r="V310" i="1"/>
  <c r="Z310" i="1" s="1"/>
  <c r="R178" i="1"/>
  <c r="V178" i="1"/>
  <c r="Z178" i="1" s="1"/>
  <c r="V952" i="1"/>
  <c r="V33" i="1"/>
  <c r="Z33" i="1" s="1"/>
  <c r="V654" i="1"/>
  <c r="V193" i="1"/>
  <c r="Z193" i="1" s="1"/>
  <c r="V424" i="1"/>
  <c r="Z424" i="1" s="1"/>
  <c r="V1130" i="1"/>
  <c r="V812" i="1"/>
  <c r="V796" i="1"/>
  <c r="S799" i="1"/>
  <c r="S588" i="1"/>
  <c r="R799" i="1"/>
  <c r="V588" i="1"/>
  <c r="Z588" i="1" s="1"/>
  <c r="W588" i="1"/>
  <c r="V799" i="1"/>
  <c r="Z799" i="1" s="1"/>
  <c r="R588" i="1"/>
  <c r="W799" i="1"/>
  <c r="V675" i="1"/>
  <c r="Z675" i="1" s="1"/>
  <c r="S36" i="1"/>
  <c r="W915" i="1"/>
  <c r="V630" i="1"/>
  <c r="Z630" i="1" s="1"/>
  <c r="S630" i="1"/>
  <c r="W388" i="1"/>
  <c r="R263" i="1"/>
  <c r="V852" i="1"/>
  <c r="Z852" i="1" s="1"/>
  <c r="W35" i="1"/>
  <c r="R788" i="1"/>
  <c r="S388" i="1"/>
  <c r="R675" i="1"/>
  <c r="W1180" i="1"/>
  <c r="R648" i="1"/>
  <c r="S868" i="1"/>
  <c r="W755" i="1"/>
  <c r="S713" i="1"/>
  <c r="V788" i="1"/>
  <c r="Z788" i="1" s="1"/>
  <c r="R107" i="1"/>
  <c r="W807" i="1"/>
  <c r="S788" i="1"/>
  <c r="S35" i="1"/>
  <c r="S1180" i="1"/>
  <c r="W36" i="1"/>
  <c r="R1180" i="1"/>
  <c r="V1095" i="1"/>
  <c r="Z1095" i="1" s="1"/>
  <c r="V388" i="1"/>
  <c r="Z388" i="1" s="1"/>
  <c r="W576" i="1"/>
  <c r="V713" i="1"/>
  <c r="Z713" i="1" s="1"/>
  <c r="S915" i="1"/>
  <c r="S263" i="1"/>
  <c r="W868" i="1"/>
  <c r="R1095" i="1"/>
  <c r="S485" i="1"/>
  <c r="V386" i="1"/>
  <c r="Z386" i="1" s="1"/>
  <c r="V360" i="1"/>
  <c r="Z360" i="1" s="1"/>
  <c r="V303" i="1"/>
  <c r="Z303" i="1" s="1"/>
  <c r="V648" i="1"/>
  <c r="Z648" i="1" s="1"/>
  <c r="V107" i="1"/>
  <c r="Z107" i="1" s="1"/>
  <c r="W386" i="1"/>
  <c r="R388" i="1"/>
  <c r="S494" i="1"/>
  <c r="W1095" i="1"/>
  <c r="R35" i="1"/>
  <c r="W360" i="1"/>
  <c r="S576" i="1"/>
  <c r="S107" i="1"/>
  <c r="R576" i="1"/>
  <c r="V485" i="1"/>
  <c r="Z485" i="1" s="1"/>
  <c r="R386" i="1"/>
  <c r="V807" i="1"/>
  <c r="Z807" i="1" s="1"/>
  <c r="W494" i="1"/>
  <c r="R915" i="1"/>
  <c r="V755" i="1"/>
  <c r="Z755" i="1" s="1"/>
  <c r="W630" i="1"/>
  <c r="V915" i="1"/>
  <c r="Z915" i="1" s="1"/>
  <c r="W648" i="1"/>
  <c r="S852" i="1"/>
  <c r="R630" i="1"/>
  <c r="R36" i="1"/>
  <c r="W713" i="1"/>
  <c r="W675" i="1"/>
  <c r="R807" i="1"/>
  <c r="R303" i="1"/>
  <c r="R852" i="1"/>
  <c r="V576" i="1"/>
  <c r="Z576" i="1" s="1"/>
  <c r="S675" i="1"/>
  <c r="V35" i="1"/>
  <c r="Z35" i="1" s="1"/>
  <c r="S1095" i="1"/>
  <c r="W263" i="1"/>
  <c r="V494" i="1"/>
  <c r="Z494" i="1" s="1"/>
  <c r="W107" i="1"/>
  <c r="V868" i="1"/>
  <c r="Z868" i="1" s="1"/>
  <c r="R360" i="1"/>
  <c r="S386" i="1"/>
  <c r="S648" i="1"/>
  <c r="V397" i="1"/>
  <c r="Z397" i="1" s="1"/>
  <c r="V1098" i="1"/>
  <c r="Z1098" i="1" s="1"/>
  <c r="V1257" i="1"/>
  <c r="Z1257" i="1" s="1"/>
  <c r="V48" i="1"/>
  <c r="Z48" i="1" s="1"/>
  <c r="R10" i="1"/>
  <c r="V10" i="1"/>
  <c r="Z10" i="1" s="1"/>
  <c r="W10" i="1"/>
  <c r="S10" i="1"/>
  <c r="W96" i="1"/>
  <c r="W561" i="1"/>
  <c r="S96" i="1"/>
  <c r="R561" i="1"/>
  <c r="S561" i="1"/>
  <c r="R96" i="1"/>
  <c r="V561" i="1"/>
  <c r="Z561" i="1" s="1"/>
  <c r="V96" i="1"/>
  <c r="Z96" i="1" s="1"/>
  <c r="V228" i="1"/>
  <c r="Z228" i="1" s="1"/>
  <c r="V66" i="1"/>
  <c r="Z66" i="1" s="1"/>
  <c r="V21" i="1"/>
  <c r="Z21" i="1" s="1"/>
  <c r="V355" i="1"/>
  <c r="V328" i="1"/>
  <c r="V329" i="1"/>
  <c r="V538" i="1"/>
  <c r="V67" i="1"/>
  <c r="V205" i="1"/>
  <c r="V431" i="1"/>
  <c r="V204" i="1"/>
  <c r="V356" i="1"/>
  <c r="V217" i="1"/>
  <c r="V216" i="1"/>
  <c r="V526" i="1"/>
  <c r="V468" i="1"/>
  <c r="R215" i="1"/>
  <c r="R534" i="1"/>
  <c r="V291" i="1"/>
  <c r="V673" i="1"/>
  <c r="Z673" i="1" s="1"/>
  <c r="V182" i="1"/>
  <c r="Z182" i="1" s="1"/>
  <c r="R611" i="1"/>
  <c r="S439" i="1"/>
  <c r="W610" i="1"/>
  <c r="V181" i="1"/>
  <c r="Z181" i="1" s="1"/>
  <c r="R610" i="1"/>
  <c r="R439" i="1"/>
  <c r="V611" i="1"/>
  <c r="Z611" i="1" s="1"/>
  <c r="V215" i="1"/>
  <c r="Z215" i="1" s="1"/>
  <c r="V534" i="1"/>
  <c r="Z534" i="1" s="1"/>
  <c r="W439" i="1"/>
  <c r="S215" i="1"/>
  <c r="W611" i="1"/>
  <c r="S673" i="1"/>
  <c r="S611" i="1"/>
  <c r="V349" i="1"/>
  <c r="Z349" i="1" s="1"/>
  <c r="V439" i="1"/>
  <c r="Z439" i="1" s="1"/>
  <c r="W349" i="1"/>
  <c r="S610" i="1"/>
  <c r="V1006" i="1"/>
  <c r="Z1006" i="1" s="1"/>
  <c r="W673" i="1"/>
  <c r="V610" i="1"/>
  <c r="Z610" i="1" s="1"/>
  <c r="W534" i="1"/>
  <c r="S349" i="1"/>
  <c r="S534" i="1"/>
  <c r="R673" i="1"/>
  <c r="W215" i="1"/>
  <c r="R349" i="1"/>
  <c r="V1202" i="1"/>
  <c r="Z1202" i="1" s="1"/>
  <c r="V909" i="1"/>
  <c r="Z909" i="1" s="1"/>
  <c r="V358" i="1"/>
  <c r="Z358" i="1" s="1"/>
  <c r="V738" i="1"/>
  <c r="Z738" i="1" s="1"/>
  <c r="V1151" i="1"/>
  <c r="Z1151" i="1" s="1"/>
  <c r="V1235" i="1"/>
  <c r="Z1235" i="1" s="1"/>
  <c r="V1281" i="1"/>
  <c r="Z1281" i="1" s="1"/>
  <c r="V1140" i="1"/>
  <c r="Z1140" i="1" s="1"/>
  <c r="V108" i="1"/>
  <c r="Z108" i="1" s="1"/>
  <c r="V593" i="1"/>
  <c r="Z593" i="1" s="1"/>
  <c r="V833" i="1"/>
  <c r="Z833" i="1" s="1"/>
  <c r="V1150" i="1"/>
  <c r="Z1150" i="1" s="1"/>
  <c r="V714" i="1"/>
  <c r="Z714" i="1" s="1"/>
  <c r="V1203" i="1"/>
  <c r="Z1203" i="1" s="1"/>
  <c r="V910" i="1"/>
  <c r="Z910" i="1" s="1"/>
  <c r="V495" i="1"/>
  <c r="Z495" i="1" s="1"/>
  <c r="V1032" i="1"/>
  <c r="Z1032" i="1" s="1"/>
  <c r="V710" i="1"/>
  <c r="Z710" i="1" s="1"/>
  <c r="V1033" i="1"/>
  <c r="Z1033" i="1" s="1"/>
  <c r="V1256" i="1"/>
  <c r="Z1256" i="1" s="1"/>
  <c r="V496" i="1"/>
  <c r="Z496" i="1" s="1"/>
  <c r="V1009" i="1"/>
  <c r="Z1009" i="1" s="1"/>
  <c r="V1016" i="1"/>
  <c r="Z1016" i="1" s="1"/>
  <c r="V261" i="1"/>
  <c r="Z261" i="1" s="1"/>
  <c r="V469" i="1"/>
  <c r="Z469" i="1" s="1"/>
  <c r="V864" i="1"/>
  <c r="Z864" i="1" s="1"/>
  <c r="V1097" i="1"/>
  <c r="Z1097" i="1" s="1"/>
  <c r="V718" i="1"/>
  <c r="Z718" i="1" s="1"/>
  <c r="V594" i="1"/>
  <c r="Z594" i="1" s="1"/>
  <c r="V1078" i="1"/>
  <c r="Z1078" i="1" s="1"/>
  <c r="V737" i="1"/>
  <c r="Z737" i="1" s="1"/>
  <c r="V1234" i="1"/>
  <c r="Z1234" i="1" s="1"/>
  <c r="V790" i="1"/>
  <c r="Z790" i="1" s="1"/>
  <c r="V1280" i="1"/>
  <c r="Z1280" i="1" s="1"/>
  <c r="V68" i="1"/>
  <c r="V409" i="1"/>
  <c r="V302" i="1"/>
  <c r="V169" i="1"/>
  <c r="V858" i="1"/>
  <c r="V1275" i="1"/>
  <c r="V1291" i="1"/>
  <c r="V1149" i="1"/>
  <c r="V1096" i="1"/>
  <c r="V1002" i="1"/>
  <c r="V1208" i="1"/>
  <c r="Z1208" i="1" s="1"/>
  <c r="V1160" i="1"/>
  <c r="Z1160" i="1" s="1"/>
  <c r="V1104" i="1"/>
  <c r="Z1104" i="1" s="1"/>
  <c r="V977" i="1"/>
  <c r="Z977" i="1" s="1"/>
  <c r="V510" i="1"/>
  <c r="Z510" i="1" s="1"/>
  <c r="V1037" i="1"/>
  <c r="Z1037" i="1" s="1"/>
  <c r="V1249" i="1"/>
  <c r="Z1249" i="1" s="1"/>
  <c r="V1073" i="1"/>
  <c r="Z1073" i="1" s="1"/>
  <c r="V1106" i="1"/>
  <c r="Z1106" i="1" s="1"/>
  <c r="V1136" i="1"/>
  <c r="Z1136" i="1" s="1"/>
  <c r="V1162" i="1"/>
  <c r="Z1162" i="1" s="1"/>
  <c r="V746" i="1"/>
  <c r="Z746" i="1" s="1"/>
  <c r="V1192" i="1"/>
  <c r="Z1192" i="1" s="1"/>
  <c r="V920" i="1"/>
  <c r="Z920" i="1" s="1"/>
  <c r="V1210" i="1"/>
  <c r="Z1210" i="1" s="1"/>
  <c r="V981" i="1"/>
  <c r="Z981" i="1" s="1"/>
  <c r="V1229" i="1"/>
  <c r="Z1229" i="1" s="1"/>
  <c r="V223" i="1"/>
  <c r="Z223" i="1" s="1"/>
  <c r="V543" i="1"/>
  <c r="Z543" i="1" s="1"/>
  <c r="V361" i="1"/>
  <c r="Z361" i="1" s="1"/>
  <c r="V676" i="1"/>
  <c r="Z676" i="1" s="1"/>
  <c r="V984" i="1"/>
  <c r="Z984" i="1" s="1"/>
  <c r="V924" i="1"/>
  <c r="Z924" i="1" s="1"/>
  <c r="V985" i="1"/>
  <c r="Z985" i="1" s="1"/>
  <c r="V1044" i="1"/>
  <c r="Z1044" i="1" s="1"/>
  <c r="V72" i="1"/>
  <c r="Z72" i="1" s="1"/>
  <c r="V471" i="1"/>
  <c r="Z471" i="1" s="1"/>
  <c r="V1109" i="1"/>
  <c r="Z1109" i="1" s="1"/>
  <c r="V73" i="1"/>
  <c r="Z73" i="1" s="1"/>
  <c r="V473" i="1"/>
  <c r="Z473" i="1" s="1"/>
  <c r="V1167" i="1"/>
  <c r="Z1167" i="1" s="1"/>
  <c r="V219" i="1"/>
  <c r="Z219" i="1" s="1"/>
  <c r="V542" i="1"/>
  <c r="Z542" i="1" s="1"/>
  <c r="V474" i="1"/>
  <c r="Z474" i="1" s="1"/>
  <c r="V221" i="1"/>
  <c r="Z221" i="1" s="1"/>
  <c r="V1015" i="1"/>
  <c r="Z1015" i="1" s="1"/>
  <c r="V726" i="1"/>
  <c r="Z726" i="1" s="1"/>
  <c r="V795" i="1"/>
  <c r="Z795" i="1" s="1"/>
  <c r="V951" i="1"/>
  <c r="Z951" i="1" s="1"/>
  <c r="V653" i="1"/>
  <c r="Z653" i="1" s="1"/>
  <c r="V872" i="1"/>
  <c r="Z872" i="1" s="1"/>
  <c r="V548" i="1"/>
  <c r="Z548" i="1" s="1"/>
  <c r="V479" i="1"/>
  <c r="Z479" i="1" s="1"/>
  <c r="V623" i="1"/>
  <c r="Z623" i="1" s="1"/>
  <c r="V988" i="1"/>
  <c r="Z988" i="1" s="1"/>
  <c r="V932" i="1"/>
  <c r="Z932" i="1" s="1"/>
  <c r="V931" i="1"/>
  <c r="Z931" i="1" s="1"/>
  <c r="V776" i="1"/>
  <c r="Z776" i="1" s="1"/>
  <c r="V930" i="1"/>
  <c r="Z930" i="1" s="1"/>
  <c r="V837" i="1"/>
  <c r="Z837" i="1" s="1"/>
  <c r="V704" i="1"/>
  <c r="Z704" i="1" s="1"/>
  <c r="S182" i="1"/>
  <c r="S181" i="1"/>
  <c r="W182" i="1"/>
  <c r="W181" i="1"/>
  <c r="R181" i="1"/>
  <c r="R182" i="1"/>
  <c r="W193" i="1"/>
  <c r="S193" i="1"/>
  <c r="S424" i="1"/>
  <c r="R193" i="1"/>
  <c r="R424" i="1"/>
  <c r="W424" i="1"/>
  <c r="W469" i="1"/>
  <c r="R358" i="1"/>
  <c r="A2" i="11"/>
  <c r="R718" i="1"/>
  <c r="S738" i="1"/>
  <c r="R1033" i="1"/>
  <c r="R910" i="1"/>
  <c r="W1097" i="1"/>
  <c r="S1032" i="1"/>
  <c r="S1234" i="1"/>
  <c r="H39" i="7"/>
  <c r="K39" i="7"/>
  <c r="J39" i="7"/>
  <c r="I39" i="7"/>
  <c r="W431" i="1"/>
  <c r="AK431" i="1"/>
  <c r="W217" i="1"/>
  <c r="AK217" i="1"/>
  <c r="W374" i="1"/>
  <c r="AK374" i="1"/>
  <c r="W216" i="1"/>
  <c r="AK216" i="1"/>
  <c r="W328" i="1"/>
  <c r="AK328" i="1"/>
  <c r="W1020" i="1"/>
  <c r="AK1020" i="1"/>
  <c r="W796" i="1"/>
  <c r="AK796" i="1"/>
  <c r="W526" i="1"/>
  <c r="AK526" i="1"/>
  <c r="W68" i="1"/>
  <c r="AK68" i="1"/>
  <c r="W204" i="1"/>
  <c r="AK204" i="1"/>
  <c r="W538" i="1"/>
  <c r="AK538" i="1"/>
  <c r="W67" i="1"/>
  <c r="AK67" i="1"/>
  <c r="W329" i="1"/>
  <c r="AK329" i="1"/>
  <c r="W468" i="1"/>
  <c r="AK468" i="1"/>
  <c r="W952" i="1"/>
  <c r="AK952" i="1"/>
  <c r="W409" i="1"/>
  <c r="AK409" i="1"/>
  <c r="W356" i="1"/>
  <c r="AK356" i="1"/>
  <c r="W302" i="1"/>
  <c r="AK302" i="1"/>
  <c r="W205" i="1"/>
  <c r="AK205" i="1"/>
  <c r="W355" i="1"/>
  <c r="AK355" i="1"/>
  <c r="W627" i="1"/>
  <c r="AK627" i="1"/>
  <c r="W731" i="1"/>
  <c r="AK731" i="1"/>
  <c r="W654" i="1"/>
  <c r="AK654" i="1"/>
  <c r="W169" i="1"/>
  <c r="AK169" i="1"/>
  <c r="W977" i="1"/>
  <c r="H112" i="7"/>
  <c r="I112" i="7"/>
  <c r="J112" i="7"/>
  <c r="K112" i="7"/>
  <c r="H35" i="7"/>
  <c r="I35" i="7"/>
  <c r="J35" i="7"/>
  <c r="K35" i="7"/>
  <c r="G13" i="4"/>
  <c r="G8" i="4"/>
  <c r="E14" i="4"/>
  <c r="G5" i="4"/>
  <c r="G2" i="4"/>
  <c r="G11" i="4"/>
  <c r="G7" i="4"/>
  <c r="G17" i="4"/>
  <c r="G6" i="4"/>
  <c r="G14" i="4"/>
  <c r="G4" i="4"/>
  <c r="G3" i="4"/>
  <c r="AF302" i="1"/>
  <c r="AF952" i="1"/>
  <c r="AF409" i="1"/>
  <c r="AF169" i="1"/>
  <c r="AE654" i="1"/>
  <c r="AF796" i="1"/>
  <c r="E13" i="4"/>
  <c r="G12" i="4"/>
  <c r="G10" i="4"/>
  <c r="E12" i="4"/>
  <c r="G9" i="4"/>
  <c r="E11" i="4"/>
  <c r="E17" i="4"/>
  <c r="G16" i="4"/>
  <c r="E16" i="4"/>
  <c r="G15" i="4"/>
  <c r="E15" i="4"/>
  <c r="AF731" i="1"/>
  <c r="AF1020" i="1"/>
  <c r="AF68" i="1"/>
  <c r="AF67" i="1"/>
  <c r="AF355" i="1"/>
  <c r="AF217" i="1"/>
  <c r="AF627" i="1"/>
  <c r="AF216" i="1"/>
  <c r="AF374" i="1"/>
  <c r="AE538" i="1"/>
  <c r="AE356" i="1"/>
  <c r="AE468" i="1"/>
  <c r="AE329" i="1"/>
  <c r="AE328" i="1"/>
  <c r="AE526" i="1"/>
  <c r="AE431" i="1"/>
  <c r="AE205" i="1"/>
  <c r="AE204" i="1"/>
  <c r="N29" i="11" l="1"/>
  <c r="B17" i="11"/>
  <c r="B5" i="11"/>
  <c r="B30" i="11"/>
  <c r="B8" i="11"/>
  <c r="B25" i="11"/>
  <c r="B42" i="11"/>
  <c r="B13" i="11"/>
  <c r="B38" i="11"/>
  <c r="B16" i="11"/>
  <c r="B33" i="11"/>
  <c r="B7" i="11"/>
  <c r="B3" i="11"/>
  <c r="B12" i="11"/>
  <c r="B29" i="11"/>
  <c r="B15" i="11"/>
  <c r="B32" i="11"/>
  <c r="B10" i="11"/>
  <c r="B43" i="11"/>
  <c r="B4" i="11"/>
  <c r="B21" i="11"/>
  <c r="B41" i="11"/>
  <c r="B11" i="11"/>
  <c r="B20" i="11"/>
  <c r="B37" i="11"/>
  <c r="B23" i="11"/>
  <c r="B40" i="11"/>
  <c r="B24" i="11"/>
  <c r="B19" i="11"/>
  <c r="B28" i="11"/>
  <c r="B6" i="11"/>
  <c r="B31" i="11"/>
  <c r="B18" i="11"/>
  <c r="B27" i="11"/>
  <c r="B36" i="11"/>
  <c r="B14" i="11"/>
  <c r="B39" i="11"/>
  <c r="B9" i="11"/>
  <c r="B35" i="11"/>
  <c r="B34" i="11"/>
  <c r="B22" i="11"/>
  <c r="B26" i="11"/>
  <c r="H106" i="7"/>
  <c r="I106" i="7"/>
  <c r="J106" i="7"/>
  <c r="K106" i="7"/>
  <c r="I13" i="4"/>
  <c r="I11" i="4"/>
  <c r="I17" i="4"/>
  <c r="I14" i="4"/>
  <c r="I16" i="4"/>
  <c r="I15" i="4"/>
  <c r="I12" i="4"/>
  <c r="L3" i="11"/>
  <c r="K4" i="11" l="1"/>
  <c r="L4" i="11" s="1"/>
  <c r="K5" i="11" l="1"/>
  <c r="L5" i="11" s="1"/>
  <c r="K6" i="11" l="1"/>
  <c r="L6" i="11" s="1"/>
  <c r="K7" i="11" l="1"/>
  <c r="L7" i="11" s="1"/>
  <c r="K8" i="11" l="1"/>
  <c r="L8" i="11" s="1"/>
  <c r="K9" i="11" l="1"/>
  <c r="L9" i="11" s="1"/>
  <c r="K10" i="11" l="1"/>
  <c r="L10" i="11" s="1"/>
  <c r="K11" i="11" l="1"/>
  <c r="L11" i="11" s="1"/>
  <c r="K12" i="11" l="1"/>
  <c r="L12" i="11" s="1"/>
  <c r="K13" i="11" l="1"/>
  <c r="L13" i="11" s="1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B31" i="7"/>
  <c r="D31" i="7" s="1"/>
  <c r="A425" i="1"/>
  <c r="V425" i="1" s="1"/>
  <c r="AI425" i="1"/>
  <c r="A319" i="1"/>
  <c r="V319" i="1" s="1"/>
  <c r="AI319" i="1"/>
  <c r="A55" i="1"/>
  <c r="V55" i="1" s="1"/>
  <c r="AI55" i="1"/>
  <c r="AF55" i="1" s="1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B87" i="7"/>
  <c r="D87" i="7" s="1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B30" i="7"/>
  <c r="D30" i="7" s="1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B29" i="7"/>
  <c r="D29" i="7" s="1"/>
  <c r="B85" i="7"/>
  <c r="D85" i="7" s="1"/>
  <c r="B86" i="7"/>
  <c r="D86" i="7" s="1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B28" i="7"/>
  <c r="D28" i="7" s="1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B27" i="7"/>
  <c r="D27" i="7" s="1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B26" i="7"/>
  <c r="D26" i="7" s="1"/>
  <c r="F47" i="4"/>
  <c r="G47" i="4"/>
  <c r="F48" i="4"/>
  <c r="H46" i="4"/>
  <c r="H45" i="4"/>
  <c r="G46" i="4"/>
  <c r="G45" i="4"/>
  <c r="B2" i="7"/>
  <c r="M9" i="7"/>
  <c r="I2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E23" i="9"/>
  <c r="F23" i="9"/>
  <c r="G23" i="9"/>
  <c r="H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7" i="9"/>
  <c r="D48" i="9"/>
  <c r="D49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2" i="9"/>
  <c r="A805" i="1"/>
  <c r="V805" i="1" s="1"/>
  <c r="A1116" i="1"/>
  <c r="V1116" i="1" s="1"/>
  <c r="AI805" i="1"/>
  <c r="AI1116" i="1"/>
  <c r="AI791" i="1"/>
  <c r="AI1055" i="1"/>
  <c r="AI959" i="1"/>
  <c r="A959" i="1"/>
  <c r="V959" i="1" s="1"/>
  <c r="A1055" i="1"/>
  <c r="V1055" i="1" s="1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B25" i="7"/>
  <c r="D25" i="7" s="1"/>
  <c r="A162" i="1"/>
  <c r="V162" i="1" s="1"/>
  <c r="AI162" i="1"/>
  <c r="L3" i="20" l="1"/>
  <c r="M3" i="20" s="1"/>
  <c r="M45" i="4"/>
  <c r="L4" i="20"/>
  <c r="M4" i="20" s="1"/>
  <c r="M46" i="4"/>
  <c r="W162" i="1"/>
  <c r="AK162" i="1"/>
  <c r="W1055" i="1"/>
  <c r="AK1055" i="1"/>
  <c r="W959" i="1"/>
  <c r="AK959" i="1"/>
  <c r="W1116" i="1"/>
  <c r="AK1116" i="1"/>
  <c r="W805" i="1"/>
  <c r="AK805" i="1"/>
  <c r="W55" i="1"/>
  <c r="AK55" i="1"/>
  <c r="W319" i="1"/>
  <c r="AK319" i="1"/>
  <c r="W425" i="1"/>
  <c r="AK425" i="1"/>
  <c r="Z1241" i="1"/>
  <c r="L511" i="1"/>
  <c r="L1135" i="1"/>
  <c r="R1135" i="1"/>
  <c r="Z511" i="1"/>
  <c r="S1135" i="1"/>
  <c r="S511" i="1"/>
  <c r="Z919" i="1"/>
  <c r="Z1135" i="1"/>
  <c r="R511" i="1"/>
  <c r="R919" i="1"/>
  <c r="S1042" i="1"/>
  <c r="L919" i="1"/>
  <c r="S919" i="1"/>
  <c r="R1241" i="1"/>
  <c r="S1241" i="1"/>
  <c r="J2" i="13"/>
  <c r="L1130" i="1"/>
  <c r="L1042" i="1"/>
  <c r="Y1042" i="1" s="1"/>
  <c r="R1008" i="1"/>
  <c r="Z1272" i="1"/>
  <c r="S745" i="1"/>
  <c r="S1008" i="1"/>
  <c r="S812" i="1"/>
  <c r="Z1008" i="1"/>
  <c r="S581" i="1"/>
  <c r="Z581" i="1"/>
  <c r="R1314" i="1"/>
  <c r="R1002" i="1"/>
  <c r="Z858" i="1"/>
  <c r="R1268" i="1"/>
  <c r="Z1137" i="1"/>
  <c r="L812" i="1"/>
  <c r="L1035" i="1"/>
  <c r="S744" i="1"/>
  <c r="R1031" i="1"/>
  <c r="S1080" i="1"/>
  <c r="L581" i="1"/>
  <c r="Z1291" i="1"/>
  <c r="N26" i="11" s="1"/>
  <c r="L513" i="1"/>
  <c r="Z1163" i="1"/>
  <c r="Z1314" i="1"/>
  <c r="N33" i="11" s="1"/>
  <c r="Z747" i="1"/>
  <c r="Z1042" i="1"/>
  <c r="Z1036" i="1"/>
  <c r="R402" i="1"/>
  <c r="S1096" i="1"/>
  <c r="S1314" i="1"/>
  <c r="L1105" i="1"/>
  <c r="S1002" i="1"/>
  <c r="R812" i="1"/>
  <c r="R1035" i="1"/>
  <c r="Z744" i="1"/>
  <c r="Z1080" i="1"/>
  <c r="R581" i="1"/>
  <c r="R513" i="1"/>
  <c r="S1163" i="1"/>
  <c r="R1042" i="1"/>
  <c r="L1008" i="1"/>
  <c r="S747" i="1"/>
  <c r="L402" i="1"/>
  <c r="S1161" i="1"/>
  <c r="R1272" i="1"/>
  <c r="R1105" i="1"/>
  <c r="Z1002" i="1"/>
  <c r="L715" i="1"/>
  <c r="S1268" i="1"/>
  <c r="L1221" i="1"/>
  <c r="Z812" i="1"/>
  <c r="S1031" i="1"/>
  <c r="L1275" i="1"/>
  <c r="Z1096" i="1"/>
  <c r="Z1130" i="1"/>
  <c r="L1314" i="1"/>
  <c r="Y1314" i="1" s="1"/>
  <c r="R745" i="1"/>
  <c r="R1096" i="1"/>
  <c r="L1272" i="1"/>
  <c r="Y1272" i="1" s="1"/>
  <c r="S1272" i="1"/>
  <c r="R715" i="1"/>
  <c r="Z1268" i="1"/>
  <c r="R1221" i="1"/>
  <c r="S1035" i="1"/>
  <c r="L306" i="1"/>
  <c r="L1149" i="1"/>
  <c r="Z1031" i="1"/>
  <c r="L866" i="1"/>
  <c r="R1275" i="1"/>
  <c r="S513" i="1"/>
  <c r="R1130" i="1"/>
  <c r="S1036" i="1"/>
  <c r="R747" i="1"/>
  <c r="S1130" i="1"/>
  <c r="S402" i="1"/>
  <c r="L1266" i="1"/>
  <c r="S1105" i="1"/>
  <c r="L858" i="1"/>
  <c r="S715" i="1"/>
  <c r="L1161" i="1"/>
  <c r="Z1035" i="1"/>
  <c r="R306" i="1"/>
  <c r="S1149" i="1"/>
  <c r="R866" i="1"/>
  <c r="L1291" i="1"/>
  <c r="Z513" i="1"/>
  <c r="L747" i="1"/>
  <c r="R1036" i="1"/>
  <c r="L745" i="1"/>
  <c r="Z402" i="1"/>
  <c r="R1266" i="1"/>
  <c r="Z1105" i="1"/>
  <c r="R858" i="1"/>
  <c r="Z715" i="1"/>
  <c r="L1137" i="1"/>
  <c r="S1221" i="1"/>
  <c r="R1161" i="1"/>
  <c r="S306" i="1"/>
  <c r="Z1149" i="1"/>
  <c r="L1080" i="1"/>
  <c r="S866" i="1"/>
  <c r="R1291" i="1"/>
  <c r="S1275" i="1"/>
  <c r="R1149" i="1"/>
  <c r="L1096" i="1"/>
  <c r="S1266" i="1"/>
  <c r="R1137" i="1"/>
  <c r="Z1221" i="1"/>
  <c r="Z1161" i="1"/>
  <c r="L744" i="1"/>
  <c r="Z306" i="1"/>
  <c r="R1080" i="1"/>
  <c r="Z866" i="1"/>
  <c r="Z1275" i="1"/>
  <c r="L1036" i="1"/>
  <c r="Z745" i="1"/>
  <c r="Z1266" i="1"/>
  <c r="L1002" i="1"/>
  <c r="S858" i="1"/>
  <c r="L1268" i="1"/>
  <c r="S1137" i="1"/>
  <c r="R744" i="1"/>
  <c r="L1031" i="1"/>
  <c r="S1291" i="1"/>
  <c r="R1163" i="1"/>
  <c r="S205" i="1"/>
  <c r="R329" i="1"/>
  <c r="R526" i="1"/>
  <c r="R468" i="1"/>
  <c r="R355" i="1"/>
  <c r="R216" i="1"/>
  <c r="R68" i="1"/>
  <c r="R1020" i="1"/>
  <c r="S654" i="1"/>
  <c r="R205" i="1"/>
  <c r="S329" i="1"/>
  <c r="S216" i="1"/>
  <c r="S68" i="1"/>
  <c r="R627" i="1"/>
  <c r="R796" i="1"/>
  <c r="S409" i="1"/>
  <c r="S526" i="1"/>
  <c r="S468" i="1"/>
  <c r="S355" i="1"/>
  <c r="S627" i="1"/>
  <c r="S1020" i="1"/>
  <c r="S796" i="1"/>
  <c r="R302" i="1"/>
  <c r="S302" i="1"/>
  <c r="R204" i="1"/>
  <c r="R328" i="1"/>
  <c r="R431" i="1"/>
  <c r="R538" i="1"/>
  <c r="R356" i="1"/>
  <c r="R67" i="1"/>
  <c r="R374" i="1"/>
  <c r="R731" i="1"/>
  <c r="R952" i="1"/>
  <c r="R409" i="1"/>
  <c r="S328" i="1"/>
  <c r="S356" i="1"/>
  <c r="R217" i="1"/>
  <c r="S374" i="1"/>
  <c r="R169" i="1"/>
  <c r="S204" i="1"/>
  <c r="S431" i="1"/>
  <c r="S538" i="1"/>
  <c r="S217" i="1"/>
  <c r="S67" i="1"/>
  <c r="S731" i="1"/>
  <c r="R654" i="1"/>
  <c r="S952" i="1"/>
  <c r="S169" i="1"/>
  <c r="R162" i="1"/>
  <c r="S162" i="1"/>
  <c r="R1055" i="1"/>
  <c r="S1055" i="1"/>
  <c r="R959" i="1"/>
  <c r="S959" i="1"/>
  <c r="R1116" i="1"/>
  <c r="S1116" i="1"/>
  <c r="R805" i="1"/>
  <c r="S805" i="1"/>
  <c r="R55" i="1"/>
  <c r="S55" i="1"/>
  <c r="R319" i="1"/>
  <c r="S319" i="1"/>
  <c r="R425" i="1"/>
  <c r="S425" i="1"/>
  <c r="E4" i="4"/>
  <c r="E3" i="4"/>
  <c r="E2" i="4"/>
  <c r="L1163" i="1"/>
  <c r="E6" i="4"/>
  <c r="E5" i="4"/>
  <c r="E8" i="4"/>
  <c r="E7" i="4"/>
  <c r="E9" i="4"/>
  <c r="E10" i="4"/>
  <c r="I10" i="4" s="1"/>
  <c r="B53" i="9"/>
  <c r="H49" i="4"/>
  <c r="AE162" i="1"/>
  <c r="AF162" i="1"/>
  <c r="AE959" i="1"/>
  <c r="AF959" i="1"/>
  <c r="AE1055" i="1"/>
  <c r="AF1055" i="1"/>
  <c r="AE791" i="1"/>
  <c r="AF791" i="1"/>
  <c r="AE1116" i="1"/>
  <c r="AF1116" i="1"/>
  <c r="AE805" i="1"/>
  <c r="AF805" i="1"/>
  <c r="AE319" i="1"/>
  <c r="AF319" i="1"/>
  <c r="AE425" i="1"/>
  <c r="AF425" i="1"/>
  <c r="AE55" i="1"/>
  <c r="K14" i="11"/>
  <c r="L14" i="11" s="1"/>
  <c r="T53" i="9"/>
  <c r="L53" i="9"/>
  <c r="R53" i="9"/>
  <c r="J53" i="9"/>
  <c r="V53" i="9"/>
  <c r="N53" i="9"/>
  <c r="F53" i="9"/>
  <c r="G49" i="4"/>
  <c r="F49" i="4"/>
  <c r="AH53" i="9"/>
  <c r="Z53" i="9"/>
  <c r="P53" i="9"/>
  <c r="H53" i="9"/>
  <c r="AJ53" i="9"/>
  <c r="AB53" i="9"/>
  <c r="U53" i="9"/>
  <c r="M53" i="9"/>
  <c r="E53" i="9"/>
  <c r="Q53" i="9"/>
  <c r="I53" i="9"/>
  <c r="AG53" i="9"/>
  <c r="Y53" i="9"/>
  <c r="AF53" i="9"/>
  <c r="X53" i="9"/>
  <c r="AC53" i="9"/>
  <c r="W53" i="9"/>
  <c r="O53" i="9"/>
  <c r="G53" i="9"/>
  <c r="S53" i="9"/>
  <c r="K53" i="9"/>
  <c r="AI53" i="9"/>
  <c r="AA53" i="9"/>
  <c r="AE53" i="9"/>
  <c r="AD53" i="9"/>
  <c r="D53" i="9"/>
  <c r="M49" i="4" l="1"/>
  <c r="K32" i="7"/>
  <c r="H32" i="7"/>
  <c r="I32" i="7"/>
  <c r="J32" i="7"/>
  <c r="K15" i="11"/>
  <c r="L15" i="11" s="1"/>
  <c r="H38" i="4"/>
  <c r="H41" i="4" s="1"/>
  <c r="G39" i="4"/>
  <c r="G38" i="4"/>
  <c r="F40" i="4"/>
  <c r="F41" i="4" s="1"/>
  <c r="G40" i="4"/>
  <c r="A56" i="1"/>
  <c r="A11" i="1"/>
  <c r="AI56" i="1"/>
  <c r="AF56" i="1" s="1"/>
  <c r="AI11" i="1"/>
  <c r="AF11" i="1" s="1"/>
  <c r="A414" i="1"/>
  <c r="V414" i="1" s="1"/>
  <c r="AI414" i="1"/>
  <c r="AF414" i="1" s="1"/>
  <c r="A311" i="1"/>
  <c r="V311" i="1" s="1"/>
  <c r="AI311" i="1"/>
  <c r="AF311" i="1" s="1"/>
  <c r="A179" i="1"/>
  <c r="V179" i="1" s="1"/>
  <c r="AI179" i="1"/>
  <c r="AF179" i="1" s="1"/>
  <c r="A322" i="1"/>
  <c r="V322" i="1" s="1"/>
  <c r="AI322" i="1"/>
  <c r="AF322" i="1" s="1"/>
  <c r="A195" i="1"/>
  <c r="V195" i="1" s="1"/>
  <c r="AI195" i="1"/>
  <c r="AF195" i="1" s="1"/>
  <c r="V11" i="1" l="1"/>
  <c r="AK56" i="1"/>
  <c r="V56" i="1"/>
  <c r="W195" i="1"/>
  <c r="AK195" i="1"/>
  <c r="W322" i="1"/>
  <c r="AK322" i="1"/>
  <c r="W179" i="1"/>
  <c r="AK179" i="1"/>
  <c r="W311" i="1"/>
  <c r="AK311" i="1"/>
  <c r="W414" i="1"/>
  <c r="AK414" i="1"/>
  <c r="W11" i="1"/>
  <c r="AK11" i="1"/>
  <c r="W56" i="1"/>
  <c r="G41" i="4"/>
  <c r="R195" i="1"/>
  <c r="S195" i="1"/>
  <c r="R322" i="1"/>
  <c r="S322" i="1"/>
  <c r="R179" i="1"/>
  <c r="S179" i="1"/>
  <c r="R311" i="1"/>
  <c r="S311" i="1"/>
  <c r="R414" i="1"/>
  <c r="S414" i="1"/>
  <c r="R11" i="1"/>
  <c r="S11" i="1"/>
  <c r="R56" i="1"/>
  <c r="S56" i="1"/>
  <c r="K16" i="11"/>
  <c r="L16" i="11" s="1"/>
  <c r="AE311" i="1"/>
  <c r="AE11" i="1"/>
  <c r="AE414" i="1"/>
  <c r="AE56" i="1"/>
  <c r="AE179" i="1"/>
  <c r="AE195" i="1"/>
  <c r="AE322" i="1"/>
  <c r="C26" i="9"/>
  <c r="AI613" i="1"/>
  <c r="AF613" i="1" s="1"/>
  <c r="A613" i="1"/>
  <c r="V613" i="1" s="1"/>
  <c r="AI537" i="1"/>
  <c r="AF537" i="1" s="1"/>
  <c r="A537" i="1"/>
  <c r="V537" i="1" s="1"/>
  <c r="AI442" i="1"/>
  <c r="AF442" i="1" s="1"/>
  <c r="A442" i="1"/>
  <c r="V442" i="1" s="1"/>
  <c r="AI352" i="1"/>
  <c r="AF352" i="1" s="1"/>
  <c r="A352" i="1"/>
  <c r="V352" i="1" s="1"/>
  <c r="AI230" i="1"/>
  <c r="AF230" i="1" s="1"/>
  <c r="A230" i="1"/>
  <c r="V230" i="1" s="1"/>
  <c r="AI441" i="1"/>
  <c r="AF441" i="1" s="1"/>
  <c r="A441" i="1"/>
  <c r="V441" i="1" s="1"/>
  <c r="AI351" i="1"/>
  <c r="AF351" i="1" s="1"/>
  <c r="A351" i="1"/>
  <c r="V351" i="1" s="1"/>
  <c r="AI229" i="1"/>
  <c r="AF229" i="1" s="1"/>
  <c r="V229" i="1"/>
  <c r="AI536" i="1"/>
  <c r="AF536" i="1" s="1"/>
  <c r="A536" i="1"/>
  <c r="V536" i="1" s="1"/>
  <c r="AI1119" i="1"/>
  <c r="AF1119" i="1" s="1"/>
  <c r="A1119" i="1"/>
  <c r="V1119" i="1" s="1"/>
  <c r="AI1089" i="1"/>
  <c r="AF1089" i="1" s="1"/>
  <c r="A1089" i="1"/>
  <c r="V1089" i="1" s="1"/>
  <c r="AI968" i="1"/>
  <c r="AF968" i="1" s="1"/>
  <c r="A968" i="1"/>
  <c r="V968" i="1" s="1"/>
  <c r="AI662" i="1"/>
  <c r="AF662" i="1" s="1"/>
  <c r="A662" i="1"/>
  <c r="V662" i="1" s="1"/>
  <c r="B90" i="7"/>
  <c r="D90" i="7" s="1"/>
  <c r="B24" i="7"/>
  <c r="D24" i="7" s="1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I9" i="4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L24" i="7"/>
  <c r="L96" i="7"/>
  <c r="AI359" i="1"/>
  <c r="AF359" i="1" s="1"/>
  <c r="AI922" i="1"/>
  <c r="AF922" i="1" s="1"/>
  <c r="AI32" i="1"/>
  <c r="AF32" i="1" s="1"/>
  <c r="AI87" i="1"/>
  <c r="AF87" i="1" s="1"/>
  <c r="AI163" i="1"/>
  <c r="AF163" i="1" s="1"/>
  <c r="AI97" i="1"/>
  <c r="AF97" i="1" s="1"/>
  <c r="AI694" i="1"/>
  <c r="AF694" i="1" s="1"/>
  <c r="AI239" i="1"/>
  <c r="AF239" i="1" s="1"/>
  <c r="AI106" i="1"/>
  <c r="AF106" i="1" s="1"/>
  <c r="AI264" i="1"/>
  <c r="AF264" i="1" s="1"/>
  <c r="AI585" i="1"/>
  <c r="AF585" i="1" s="1"/>
  <c r="AI282" i="1"/>
  <c r="AF282" i="1" s="1"/>
  <c r="AI125" i="1"/>
  <c r="AF125" i="1" s="1"/>
  <c r="AI165" i="1"/>
  <c r="AF165" i="1" s="1"/>
  <c r="AI170" i="1"/>
  <c r="AF170" i="1" s="1"/>
  <c r="AI164" i="1"/>
  <c r="AF164" i="1" s="1"/>
  <c r="AI171" i="1"/>
  <c r="AF171" i="1" s="1"/>
  <c r="AI183" i="1"/>
  <c r="AF183" i="1" s="1"/>
  <c r="AI184" i="1"/>
  <c r="AF184" i="1" s="1"/>
  <c r="AI185" i="1"/>
  <c r="AF185" i="1" s="1"/>
  <c r="AI298" i="1"/>
  <c r="AF298" i="1" s="1"/>
  <c r="AI299" i="1"/>
  <c r="AF299" i="1" s="1"/>
  <c r="AI407" i="1"/>
  <c r="AF407" i="1" s="1"/>
  <c r="AI408" i="1"/>
  <c r="AF408" i="1" s="1"/>
  <c r="AI172" i="1"/>
  <c r="AF172" i="1" s="1"/>
  <c r="AI206" i="1"/>
  <c r="AF206" i="1" s="1"/>
  <c r="AI180" i="1"/>
  <c r="AF180" i="1" s="1"/>
  <c r="AI186" i="1"/>
  <c r="AF186" i="1" s="1"/>
  <c r="H33" i="7" s="1"/>
  <c r="AI371" i="1"/>
  <c r="AF371" i="1" s="1"/>
  <c r="AI194" i="1"/>
  <c r="AF194" i="1" s="1"/>
  <c r="AI197" i="1"/>
  <c r="AF197" i="1" s="1"/>
  <c r="AI671" i="1"/>
  <c r="AF671" i="1" s="1"/>
  <c r="AI612" i="1"/>
  <c r="AF612" i="1" s="1"/>
  <c r="AI214" i="1"/>
  <c r="AF214" i="1" s="1"/>
  <c r="AI330" i="1"/>
  <c r="AF330" i="1" s="1"/>
  <c r="AI213" i="1"/>
  <c r="AF213" i="1" s="1"/>
  <c r="AI262" i="1"/>
  <c r="AF262" i="1" s="1"/>
  <c r="AI207" i="1"/>
  <c r="AF207" i="1" s="1"/>
  <c r="AI208" i="1"/>
  <c r="AF208" i="1" s="1"/>
  <c r="AI209" i="1"/>
  <c r="AF209" i="1" s="1"/>
  <c r="AI387" i="1"/>
  <c r="AF387" i="1" s="1"/>
  <c r="AI233" i="1"/>
  <c r="AF233" i="1" s="1"/>
  <c r="AI238" i="1"/>
  <c r="AF238" i="1" s="1"/>
  <c r="AI187" i="1"/>
  <c r="AF187" i="1" s="1"/>
  <c r="AI246" i="1"/>
  <c r="AF246" i="1" s="1"/>
  <c r="AI255" i="1"/>
  <c r="AF255" i="1" s="1"/>
  <c r="AI375" i="1"/>
  <c r="AF375" i="1" s="1"/>
  <c r="AI725" i="1"/>
  <c r="AF725" i="1" s="1"/>
  <c r="AI394" i="1"/>
  <c r="AF394" i="1" s="1"/>
  <c r="AI660" i="1"/>
  <c r="AF660" i="1" s="1"/>
  <c r="AI265" i="1"/>
  <c r="AF265" i="1" s="1"/>
  <c r="AI736" i="1"/>
  <c r="AF736" i="1" s="1"/>
  <c r="AI743" i="1"/>
  <c r="AF743" i="1" s="1"/>
  <c r="AI291" i="1"/>
  <c r="AF291" i="1" s="1"/>
  <c r="AI304" i="1"/>
  <c r="AF304" i="1" s="1"/>
  <c r="AI305" i="1"/>
  <c r="AF305" i="1" s="1"/>
  <c r="AI430" i="1"/>
  <c r="AF430" i="1" s="1"/>
  <c r="AI412" i="1"/>
  <c r="AF412" i="1" s="1"/>
  <c r="AI312" i="1"/>
  <c r="AF312" i="1" s="1"/>
  <c r="AI549" i="1"/>
  <c r="AF549" i="1" s="1"/>
  <c r="AI320" i="1"/>
  <c r="AF320" i="1" s="1"/>
  <c r="AI323" i="1"/>
  <c r="AF323" i="1" s="1"/>
  <c r="AI350" i="1"/>
  <c r="AF350" i="1" s="1"/>
  <c r="AI210" i="1"/>
  <c r="AF210" i="1" s="1"/>
  <c r="AI331" i="1"/>
  <c r="AF331" i="1" s="1"/>
  <c r="AI332" i="1"/>
  <c r="AF332" i="1" s="1"/>
  <c r="AI357" i="1"/>
  <c r="AF357" i="1" s="1"/>
  <c r="AI390" i="1"/>
  <c r="AF390" i="1" s="1"/>
  <c r="AI367" i="1"/>
  <c r="AF367" i="1" s="1"/>
  <c r="AI575" i="1"/>
  <c r="AF575" i="1" s="1"/>
  <c r="AI370" i="1"/>
  <c r="AF370" i="1" s="1"/>
  <c r="AI368" i="1"/>
  <c r="AF368" i="1" s="1"/>
  <c r="AI391" i="1"/>
  <c r="AF391" i="1" s="1"/>
  <c r="AI418" i="1"/>
  <c r="AF418" i="1" s="1"/>
  <c r="AI379" i="1"/>
  <c r="AF379" i="1" s="1"/>
  <c r="AI376" i="1"/>
  <c r="AF376" i="1" s="1"/>
  <c r="AI499" i="1"/>
  <c r="AF499" i="1" s="1"/>
  <c r="AI382" i="1"/>
  <c r="AF382" i="1" s="1"/>
  <c r="AI483" i="1"/>
  <c r="AF483" i="1" s="1"/>
  <c r="AI393" i="1"/>
  <c r="AF393" i="1" s="1"/>
  <c r="AI649" i="1"/>
  <c r="AF649" i="1" s="1"/>
  <c r="AI392" i="1"/>
  <c r="AF392" i="1" s="1"/>
  <c r="AI363" i="1"/>
  <c r="AF363" i="1" s="1"/>
  <c r="AI400" i="1"/>
  <c r="AF400" i="1" s="1"/>
  <c r="AI396" i="1"/>
  <c r="AF396" i="1" s="1"/>
  <c r="AI410" i="1"/>
  <c r="AF410" i="1" s="1"/>
  <c r="AI604" i="1"/>
  <c r="AF604" i="1" s="1"/>
  <c r="AI415" i="1"/>
  <c r="AF415" i="1" s="1"/>
  <c r="AI682" i="1"/>
  <c r="AF682" i="1" s="1"/>
  <c r="AI426" i="1"/>
  <c r="AF426" i="1" s="1"/>
  <c r="AI417" i="1"/>
  <c r="AF417" i="1" s="1"/>
  <c r="AI923" i="1"/>
  <c r="AF923" i="1" s="1"/>
  <c r="AI440" i="1"/>
  <c r="AF440" i="1" s="1"/>
  <c r="AI427" i="1"/>
  <c r="AF427" i="1" s="1"/>
  <c r="AI333" i="1"/>
  <c r="AF333" i="1" s="1"/>
  <c r="AI334" i="1"/>
  <c r="AF334" i="1" s="1"/>
  <c r="AI432" i="1"/>
  <c r="AF432" i="1" s="1"/>
  <c r="AI470" i="1"/>
  <c r="AF470" i="1" s="1"/>
  <c r="AI437" i="1"/>
  <c r="AF437" i="1" s="1"/>
  <c r="AI498" i="1"/>
  <c r="AF498" i="1" s="1"/>
  <c r="AI711" i="1"/>
  <c r="AF711" i="1" s="1"/>
  <c r="AI477" i="1"/>
  <c r="AF477" i="1" s="1"/>
  <c r="AI478" i="1"/>
  <c r="AF478" i="1" s="1"/>
  <c r="AI486" i="1"/>
  <c r="AF486" i="1" s="1"/>
  <c r="AI419" i="1"/>
  <c r="AF419" i="1" s="1"/>
  <c r="AI562" i="1"/>
  <c r="AF562" i="1" s="1"/>
  <c r="AI491" i="1"/>
  <c r="AF491" i="1" s="1"/>
  <c r="AI484" i="1"/>
  <c r="AF484" i="1" s="1"/>
  <c r="AI488" i="1"/>
  <c r="AF488" i="1" s="1"/>
  <c r="AI640" i="1"/>
  <c r="AF640" i="1" s="1"/>
  <c r="AI500" i="1"/>
  <c r="AF500" i="1" s="1"/>
  <c r="AI781" i="1"/>
  <c r="AF781" i="1" s="1"/>
  <c r="AI1060" i="1"/>
  <c r="AF1060" i="1" s="1"/>
  <c r="AI497" i="1"/>
  <c r="AF497" i="1" s="1"/>
  <c r="AI502" i="1"/>
  <c r="AF502" i="1" s="1"/>
  <c r="AI730" i="1"/>
  <c r="AF730" i="1" s="1"/>
  <c r="AI577" i="1"/>
  <c r="AF577" i="1" s="1"/>
  <c r="AI503" i="1"/>
  <c r="AI520" i="1"/>
  <c r="AF520" i="1" s="1"/>
  <c r="AI535" i="1"/>
  <c r="AF535" i="1" s="1"/>
  <c r="AI519" i="1"/>
  <c r="AF519" i="1" s="1"/>
  <c r="AI433" i="1"/>
  <c r="AF433" i="1" s="1"/>
  <c r="AI434" i="1"/>
  <c r="AF434" i="1" s="1"/>
  <c r="AI527" i="1"/>
  <c r="AF527" i="1" s="1"/>
  <c r="AI539" i="1"/>
  <c r="AF539" i="1" s="1"/>
  <c r="AI533" i="1"/>
  <c r="AF533" i="1" s="1"/>
  <c r="AI750" i="1"/>
  <c r="AF750" i="1" s="1"/>
  <c r="AI540" i="1"/>
  <c r="AF540" i="1" s="1"/>
  <c r="AI582" i="1"/>
  <c r="AF582" i="1" s="1"/>
  <c r="AI787" i="1"/>
  <c r="AF787" i="1" s="1"/>
  <c r="AI944" i="1"/>
  <c r="AF944" i="1" s="1"/>
  <c r="AI557" i="1"/>
  <c r="AF557" i="1" s="1"/>
  <c r="AI554" i="1"/>
  <c r="AF554" i="1" s="1"/>
  <c r="AI555" i="1"/>
  <c r="AF555" i="1" s="1"/>
  <c r="AI583" i="1"/>
  <c r="AF583" i="1" s="1"/>
  <c r="AI877" i="1"/>
  <c r="AF877" i="1" s="1"/>
  <c r="AI565" i="1"/>
  <c r="AF565" i="1" s="1"/>
  <c r="AI564" i="1"/>
  <c r="AF564" i="1" s="1"/>
  <c r="AI771" i="1"/>
  <c r="AF771" i="1" s="1"/>
  <c r="AI696" i="1"/>
  <c r="AF696" i="1" s="1"/>
  <c r="AI724" i="1"/>
  <c r="AF724" i="1" s="1"/>
  <c r="AI570" i="1"/>
  <c r="AF570" i="1" s="1"/>
  <c r="AI552" i="1"/>
  <c r="AF552" i="1" s="1"/>
  <c r="AI553" i="1"/>
  <c r="AF553" i="1" s="1"/>
  <c r="AI563" i="1"/>
  <c r="AF563" i="1" s="1"/>
  <c r="AI569" i="1"/>
  <c r="AF569" i="1" s="1"/>
  <c r="AI705" i="1"/>
  <c r="AF705" i="1" s="1"/>
  <c r="AI568" i="1"/>
  <c r="AF568" i="1" s="1"/>
  <c r="AI580" i="1"/>
  <c r="AF580" i="1" s="1"/>
  <c r="AI587" i="1"/>
  <c r="AF587" i="1" s="1"/>
  <c r="AI579" i="1"/>
  <c r="AF579" i="1" s="1"/>
  <c r="AI789" i="1"/>
  <c r="AF789" i="1" s="1"/>
  <c r="AI871" i="1"/>
  <c r="AF871" i="1" s="1"/>
  <c r="AI584" i="1"/>
  <c r="AF584" i="1" s="1"/>
  <c r="AI638" i="1"/>
  <c r="AF638" i="1" s="1"/>
  <c r="AI589" i="1"/>
  <c r="AF589" i="1" s="1"/>
  <c r="AI875" i="1"/>
  <c r="AF875" i="1" s="1"/>
  <c r="AI590" i="1"/>
  <c r="AF590" i="1" s="1"/>
  <c r="AI876" i="1"/>
  <c r="AF876" i="1" s="1"/>
  <c r="AI963" i="1"/>
  <c r="AF963" i="1" s="1"/>
  <c r="AI505" i="1"/>
  <c r="AF505" i="1" s="1"/>
  <c r="AI591" i="1"/>
  <c r="AF591" i="1" s="1"/>
  <c r="AI592" i="1"/>
  <c r="AF592" i="1" s="1"/>
  <c r="AI912" i="1"/>
  <c r="AF912" i="1" s="1"/>
  <c r="AI598" i="1"/>
  <c r="AF598" i="1" s="1"/>
  <c r="AI668" i="1"/>
  <c r="AF668" i="1" s="1"/>
  <c r="AI599" i="1"/>
  <c r="AF599" i="1" s="1"/>
  <c r="AI749" i="1"/>
  <c r="AF749" i="1" s="1"/>
  <c r="AI614" i="1"/>
  <c r="AF614" i="1" s="1"/>
  <c r="AI528" i="1"/>
  <c r="AF528" i="1" s="1"/>
  <c r="AI529" i="1"/>
  <c r="AF529" i="1" s="1"/>
  <c r="AI605" i="1"/>
  <c r="AF605" i="1" s="1"/>
  <c r="AI608" i="1"/>
  <c r="AF608" i="1" s="1"/>
  <c r="AI652" i="1"/>
  <c r="AF652" i="1" s="1"/>
  <c r="AI621" i="1"/>
  <c r="AF621" i="1" s="1"/>
  <c r="AI1054" i="1"/>
  <c r="AF1054" i="1" s="1"/>
  <c r="AI1113" i="1"/>
  <c r="AF1113" i="1" s="1"/>
  <c r="AI622" i="1"/>
  <c r="AF622" i="1" s="1"/>
  <c r="AI624" i="1"/>
  <c r="AF624" i="1" s="1"/>
  <c r="AI620" i="1"/>
  <c r="AF620" i="1" s="1"/>
  <c r="AI377" i="1"/>
  <c r="AF377" i="1" s="1"/>
  <c r="AI628" i="1"/>
  <c r="AF628" i="1" s="1"/>
  <c r="AI631" i="1"/>
  <c r="AF631" i="1" s="1"/>
  <c r="AI632" i="1"/>
  <c r="AF632" i="1" s="1"/>
  <c r="AI722" i="1"/>
  <c r="AF722" i="1" s="1"/>
  <c r="AI637" i="1"/>
  <c r="AF637" i="1" s="1"/>
  <c r="AI870" i="1"/>
  <c r="AF870" i="1" s="1"/>
  <c r="AI641" i="1"/>
  <c r="AF641" i="1" s="1"/>
  <c r="AI642" i="1"/>
  <c r="AF642" i="1" s="1"/>
  <c r="AI629" i="1"/>
  <c r="AF629" i="1" s="1"/>
  <c r="AI989" i="1"/>
  <c r="AF989" i="1" s="1"/>
  <c r="AI655" i="1"/>
  <c r="AF655" i="1" s="1"/>
  <c r="AI661" i="1"/>
  <c r="AF661" i="1" s="1"/>
  <c r="AI664" i="1"/>
  <c r="AF664" i="1" s="1"/>
  <c r="AI806" i="1"/>
  <c r="AF806" i="1" s="1"/>
  <c r="AI973" i="1"/>
  <c r="AF973" i="1" s="1"/>
  <c r="AI666" i="1"/>
  <c r="AF666" i="1" s="1"/>
  <c r="AI674" i="1"/>
  <c r="AF674" i="1" s="1"/>
  <c r="AI721" i="1"/>
  <c r="AF721" i="1" s="1"/>
  <c r="AI680" i="1"/>
  <c r="AF680" i="1" s="1"/>
  <c r="AI681" i="1"/>
  <c r="AF681" i="1" s="1"/>
  <c r="AI685" i="1"/>
  <c r="AF685" i="1" s="1"/>
  <c r="AI867" i="1"/>
  <c r="AF867" i="1" s="1"/>
  <c r="AI702" i="1"/>
  <c r="AF702" i="1" s="1"/>
  <c r="AI697" i="1"/>
  <c r="AF697" i="1" s="1"/>
  <c r="AI698" i="1"/>
  <c r="AF698" i="1" s="1"/>
  <c r="AI950" i="1"/>
  <c r="AF950" i="1" s="1"/>
  <c r="AI706" i="1"/>
  <c r="AF706" i="1" s="1"/>
  <c r="AI695" i="1"/>
  <c r="AF695" i="1" s="1"/>
  <c r="AI686" i="1"/>
  <c r="AF686" i="1" s="1"/>
  <c r="AI839" i="1"/>
  <c r="AF839" i="1" s="1"/>
  <c r="AI816" i="1"/>
  <c r="AF816" i="1" s="1"/>
  <c r="AI1141" i="1"/>
  <c r="AF1141" i="1" s="1"/>
  <c r="AI719" i="1"/>
  <c r="AF719" i="1" s="1"/>
  <c r="AI723" i="1"/>
  <c r="AF723" i="1" s="1"/>
  <c r="AI732" i="1"/>
  <c r="AF732" i="1" s="1"/>
  <c r="AI716" i="1"/>
  <c r="AF716" i="1" s="1"/>
  <c r="AI740" i="1"/>
  <c r="AF740" i="1" s="1"/>
  <c r="AI794" i="1"/>
  <c r="AF794" i="1" s="1"/>
  <c r="AI758" i="1"/>
  <c r="AF758" i="1" s="1"/>
  <c r="AI757" i="1"/>
  <c r="AF757" i="1" s="1"/>
  <c r="AI1010" i="1"/>
  <c r="AF1010" i="1" s="1"/>
  <c r="AI773" i="1"/>
  <c r="AF773" i="1" s="1"/>
  <c r="AI770" i="1"/>
  <c r="AF770" i="1" s="1"/>
  <c r="AI639" i="1"/>
  <c r="AF639" i="1" s="1"/>
  <c r="AI560" i="1"/>
  <c r="AF560" i="1" s="1"/>
  <c r="AI772" i="1"/>
  <c r="AF772" i="1" s="1"/>
  <c r="AI769" i="1"/>
  <c r="AF769" i="1" s="1"/>
  <c r="AI1013" i="1"/>
  <c r="AF1013" i="1" s="1"/>
  <c r="AI777" i="1"/>
  <c r="AF777" i="1" s="1"/>
  <c r="AI754" i="1"/>
  <c r="AF754" i="1" s="1"/>
  <c r="AI768" i="1"/>
  <c r="AF768" i="1" s="1"/>
  <c r="AI1110" i="1"/>
  <c r="AF1110" i="1" s="1"/>
  <c r="AF798" i="1"/>
  <c r="AI793" i="1"/>
  <c r="AF793" i="1" s="1"/>
  <c r="AI945" i="1"/>
  <c r="AF945" i="1" s="1"/>
  <c r="AI767" i="1"/>
  <c r="AF767" i="1" s="1"/>
  <c r="AI1023" i="1"/>
  <c r="AF1023" i="1" s="1"/>
  <c r="AI964" i="1"/>
  <c r="AF964" i="1" s="1"/>
  <c r="AI1040" i="1"/>
  <c r="AF1040" i="1" s="1"/>
  <c r="AI815" i="1"/>
  <c r="AF815" i="1" s="1"/>
  <c r="AI820" i="1"/>
  <c r="AF820" i="1" s="1"/>
  <c r="AI1085" i="1"/>
  <c r="AF1085" i="1" s="1"/>
  <c r="AI834" i="1"/>
  <c r="AF834" i="1" s="1"/>
  <c r="AI831" i="1"/>
  <c r="AF831" i="1" s="1"/>
  <c r="AI830" i="1"/>
  <c r="AF830" i="1" s="1"/>
  <c r="AI832" i="1"/>
  <c r="AF832" i="1" s="1"/>
  <c r="AI829" i="1"/>
  <c r="AF829" i="1" s="1"/>
  <c r="AI819" i="1"/>
  <c r="AF819" i="1" s="1"/>
  <c r="AI840" i="1"/>
  <c r="AF840" i="1" s="1"/>
  <c r="AI927" i="1"/>
  <c r="AF927" i="1" s="1"/>
  <c r="AI567" i="1"/>
  <c r="AF567" i="1" s="1"/>
  <c r="AI838" i="1"/>
  <c r="AF838" i="1" s="1"/>
  <c r="AI854" i="1"/>
  <c r="AF854" i="1" s="1"/>
  <c r="AI857" i="1"/>
  <c r="AF857" i="1" s="1"/>
  <c r="AI861" i="1"/>
  <c r="AF861" i="1" s="1"/>
  <c r="AI865" i="1"/>
  <c r="AF865" i="1" s="1"/>
  <c r="AI869" i="1"/>
  <c r="AF869" i="1" s="1"/>
  <c r="AI1024" i="1"/>
  <c r="AF1024" i="1" s="1"/>
  <c r="AI1025" i="1"/>
  <c r="AF1025" i="1" s="1"/>
  <c r="AI880" i="1"/>
  <c r="AF880" i="1" s="1"/>
  <c r="AI916" i="1"/>
  <c r="AF916" i="1" s="1"/>
  <c r="AI1101" i="1"/>
  <c r="AF1101" i="1" s="1"/>
  <c r="AI933" i="1"/>
  <c r="AF933" i="1" s="1"/>
  <c r="AI990" i="1"/>
  <c r="AF990" i="1" s="1"/>
  <c r="AI1198" i="1"/>
  <c r="AF1198" i="1" s="1"/>
  <c r="AI958" i="1"/>
  <c r="AF958" i="1" s="1"/>
  <c r="AI855" i="1"/>
  <c r="AF855" i="1" s="1"/>
  <c r="AI947" i="1"/>
  <c r="AF947" i="1" s="1"/>
  <c r="AI1199" i="1"/>
  <c r="AF1199" i="1" s="1"/>
  <c r="AI960" i="1"/>
  <c r="AF960" i="1" s="1"/>
  <c r="AI966" i="1"/>
  <c r="AF966" i="1" s="1"/>
  <c r="AI860" i="1"/>
  <c r="AF860" i="1" s="1"/>
  <c r="AI905" i="1"/>
  <c r="AF905" i="1" s="1"/>
  <c r="AI971" i="1"/>
  <c r="AF971" i="1" s="1"/>
  <c r="AI972" i="1"/>
  <c r="AF972" i="1" s="1"/>
  <c r="AI974" i="1"/>
  <c r="AF974" i="1" s="1"/>
  <c r="AI987" i="1"/>
  <c r="AF987" i="1" s="1"/>
  <c r="AI874" i="1"/>
  <c r="AF874" i="1" s="1"/>
  <c r="AI1007" i="1"/>
  <c r="AF1007" i="1" s="1"/>
  <c r="AI1001" i="1"/>
  <c r="AF1001" i="1" s="1"/>
  <c r="AI999" i="1"/>
  <c r="AF999" i="1" s="1"/>
  <c r="AI1169" i="1"/>
  <c r="AF1169" i="1" s="1"/>
  <c r="AI1014" i="1"/>
  <c r="AF1014" i="1" s="1"/>
  <c r="AI1012" i="1"/>
  <c r="AF1012" i="1" s="1"/>
  <c r="AI928" i="1"/>
  <c r="AF928" i="1" s="1"/>
  <c r="AI1019" i="1"/>
  <c r="AF1019" i="1" s="1"/>
  <c r="AI1022" i="1"/>
  <c r="AF1022" i="1" s="1"/>
  <c r="AI1021" i="1"/>
  <c r="AF1021" i="1" s="1"/>
  <c r="AI1027" i="1"/>
  <c r="AF1027" i="1" s="1"/>
  <c r="AI735" i="1"/>
  <c r="AF735" i="1" s="1"/>
  <c r="AI1099" i="1"/>
  <c r="AF1099" i="1" s="1"/>
  <c r="AI1034" i="1"/>
  <c r="AF1034" i="1" s="1"/>
  <c r="AI1039" i="1"/>
  <c r="AF1039" i="1" s="1"/>
  <c r="AI1038" i="1"/>
  <c r="AF1038" i="1" s="1"/>
  <c r="AI1041" i="1"/>
  <c r="AF1041" i="1" s="1"/>
  <c r="AI1056" i="1"/>
  <c r="AF1056" i="1" s="1"/>
  <c r="AI1083" i="1"/>
  <c r="AF1083" i="1" s="1"/>
  <c r="AI1003" i="1"/>
  <c r="AF1003" i="1" s="1"/>
  <c r="AI1265" i="1"/>
  <c r="AF1265" i="1" s="1"/>
  <c r="AI1196" i="1"/>
  <c r="AF1196" i="1" s="1"/>
  <c r="AI1086" i="1"/>
  <c r="AF1086" i="1" s="1"/>
  <c r="AI1084" i="1"/>
  <c r="AF1084" i="1" s="1"/>
  <c r="AI1088" i="1"/>
  <c r="AF1088" i="1" s="1"/>
  <c r="AI1153" i="1"/>
  <c r="AF1153" i="1" s="1"/>
  <c r="AI1117" i="1"/>
  <c r="AF1117" i="1" s="1"/>
  <c r="AI1079" i="1"/>
  <c r="AF1079" i="1" s="1"/>
  <c r="AI1128" i="1"/>
  <c r="AF1128" i="1" s="1"/>
  <c r="AI1138" i="1"/>
  <c r="AF1138" i="1" s="1"/>
  <c r="AI1147" i="1"/>
  <c r="AF1147" i="1" s="1"/>
  <c r="AI1148" i="1"/>
  <c r="AF1148" i="1" s="1"/>
  <c r="AI1154" i="1"/>
  <c r="AF1154" i="1" s="1"/>
  <c r="AI1155" i="1"/>
  <c r="AF1155" i="1" s="1"/>
  <c r="AI1158" i="1"/>
  <c r="AF1158" i="1" s="1"/>
  <c r="AI1157" i="1"/>
  <c r="AF1157" i="1" s="1"/>
  <c r="AI1170" i="1"/>
  <c r="AF1170" i="1" s="1"/>
  <c r="AI1181" i="1"/>
  <c r="AF1181" i="1" s="1"/>
  <c r="AI1184" i="1"/>
  <c r="AF1184" i="1" s="1"/>
  <c r="AI1189" i="1"/>
  <c r="AF1189" i="1" s="1"/>
  <c r="AI1194" i="1"/>
  <c r="AF1194" i="1" s="1"/>
  <c r="AI1195" i="1"/>
  <c r="AF1195" i="1" s="1"/>
  <c r="AI1204" i="1"/>
  <c r="AF1204" i="1" s="1"/>
  <c r="AI1292" i="1"/>
  <c r="AF1292" i="1" s="1"/>
  <c r="AI1211" i="1"/>
  <c r="AF1211" i="1" s="1"/>
  <c r="AI1271" i="1"/>
  <c r="AF1271" i="1" s="1"/>
  <c r="AI1213" i="1"/>
  <c r="AF1213" i="1" s="1"/>
  <c r="AI1247" i="1"/>
  <c r="AF1247" i="1" s="1"/>
  <c r="AI1251" i="1"/>
  <c r="AF1251" i="1" s="1"/>
  <c r="AI1276" i="1"/>
  <c r="AF1276" i="1" s="1"/>
  <c r="AI1285" i="1"/>
  <c r="AF1285" i="1" s="1"/>
  <c r="AI1303" i="1"/>
  <c r="AF1303" i="1" s="1"/>
  <c r="AI1288" i="1"/>
  <c r="AF1288" i="1" s="1"/>
  <c r="AI1295" i="1"/>
  <c r="AF1295" i="1" s="1"/>
  <c r="AI1304" i="1"/>
  <c r="AF1304" i="1" s="1"/>
  <c r="AI1308" i="1"/>
  <c r="AF1308" i="1" s="1"/>
  <c r="AI1309" i="1"/>
  <c r="AF1309" i="1" s="1"/>
  <c r="AI1316" i="1"/>
  <c r="AF1316" i="1" s="1"/>
  <c r="AI1317" i="1"/>
  <c r="AF1317" i="1" s="1"/>
  <c r="A927" i="1"/>
  <c r="V927" i="1" s="1"/>
  <c r="A563" i="1"/>
  <c r="A754" i="1"/>
  <c r="V754" i="1" s="1"/>
  <c r="A686" i="1"/>
  <c r="V686" i="1" s="1"/>
  <c r="A629" i="1"/>
  <c r="V629" i="1" s="1"/>
  <c r="A553" i="1"/>
  <c r="V553" i="1" s="1"/>
  <c r="A484" i="1"/>
  <c r="V484" i="1" s="1"/>
  <c r="A483" i="1"/>
  <c r="V483" i="1" s="1"/>
  <c r="A375" i="1"/>
  <c r="V375" i="1" s="1"/>
  <c r="M3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B19" i="7"/>
  <c r="D19" i="7" s="1"/>
  <c r="B20" i="7"/>
  <c r="D20" i="7" s="1"/>
  <c r="B21" i="7"/>
  <c r="D21" i="7" s="1"/>
  <c r="B22" i="7"/>
  <c r="D22" i="7" s="1"/>
  <c r="B23" i="7"/>
  <c r="D23" i="7" s="1"/>
  <c r="H28" i="4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H3" i="7"/>
  <c r="AI3" i="7"/>
  <c r="AJ3" i="7"/>
  <c r="AK3" i="7"/>
  <c r="AL3" i="7"/>
  <c r="AM3" i="7"/>
  <c r="AN3" i="7"/>
  <c r="AO3" i="7"/>
  <c r="AP3" i="7"/>
  <c r="AQ3" i="7"/>
  <c r="AR3" i="7"/>
  <c r="AH4" i="7"/>
  <c r="AI4" i="7"/>
  <c r="AJ4" i="7"/>
  <c r="AK4" i="7"/>
  <c r="AL4" i="7"/>
  <c r="AM4" i="7"/>
  <c r="AN4" i="7"/>
  <c r="AO4" i="7"/>
  <c r="AP4" i="7"/>
  <c r="AQ4" i="7"/>
  <c r="AR4" i="7"/>
  <c r="AH5" i="7"/>
  <c r="AI5" i="7"/>
  <c r="AJ5" i="7"/>
  <c r="AK5" i="7"/>
  <c r="AL5" i="7"/>
  <c r="AM5" i="7"/>
  <c r="AN5" i="7"/>
  <c r="AO5" i="7"/>
  <c r="AP5" i="7"/>
  <c r="AQ5" i="7"/>
  <c r="AR5" i="7"/>
  <c r="AH6" i="7"/>
  <c r="AI6" i="7"/>
  <c r="AJ6" i="7"/>
  <c r="AK6" i="7"/>
  <c r="AL6" i="7"/>
  <c r="AM6" i="7"/>
  <c r="AN6" i="7"/>
  <c r="AO6" i="7"/>
  <c r="AP6" i="7"/>
  <c r="AQ6" i="7"/>
  <c r="AR6" i="7"/>
  <c r="AH7" i="7"/>
  <c r="AI7" i="7"/>
  <c r="AJ7" i="7"/>
  <c r="AK7" i="7"/>
  <c r="AL7" i="7"/>
  <c r="AM7" i="7"/>
  <c r="AN7" i="7"/>
  <c r="AO7" i="7"/>
  <c r="AP7" i="7"/>
  <c r="AQ7" i="7"/>
  <c r="AR7" i="7"/>
  <c r="AH8" i="7"/>
  <c r="AI8" i="7"/>
  <c r="AJ8" i="7"/>
  <c r="AK8" i="7"/>
  <c r="AL8" i="7"/>
  <c r="AM8" i="7"/>
  <c r="AN8" i="7"/>
  <c r="AO8" i="7"/>
  <c r="AP8" i="7"/>
  <c r="AQ8" i="7"/>
  <c r="AR8" i="7"/>
  <c r="AH9" i="7"/>
  <c r="AI9" i="7"/>
  <c r="AJ9" i="7"/>
  <c r="AK9" i="7"/>
  <c r="AL9" i="7"/>
  <c r="AM9" i="7"/>
  <c r="AN9" i="7"/>
  <c r="AO9" i="7"/>
  <c r="AP9" i="7"/>
  <c r="AQ9" i="7"/>
  <c r="AR9" i="7"/>
  <c r="AH10" i="7"/>
  <c r="AI10" i="7"/>
  <c r="AJ10" i="7"/>
  <c r="AK10" i="7"/>
  <c r="AL10" i="7"/>
  <c r="AM10" i="7"/>
  <c r="AN10" i="7"/>
  <c r="AO10" i="7"/>
  <c r="AP10" i="7"/>
  <c r="AQ10" i="7"/>
  <c r="AR10" i="7"/>
  <c r="AH11" i="7"/>
  <c r="AI11" i="7"/>
  <c r="AJ11" i="7"/>
  <c r="AK11" i="7"/>
  <c r="AL11" i="7"/>
  <c r="AM11" i="7"/>
  <c r="AN11" i="7"/>
  <c r="AO11" i="7"/>
  <c r="AP11" i="7"/>
  <c r="AQ11" i="7"/>
  <c r="AR11" i="7"/>
  <c r="AH12" i="7"/>
  <c r="AI12" i="7"/>
  <c r="AJ12" i="7"/>
  <c r="AK12" i="7"/>
  <c r="AL12" i="7"/>
  <c r="AM12" i="7"/>
  <c r="AN12" i="7"/>
  <c r="AO12" i="7"/>
  <c r="AP12" i="7"/>
  <c r="AQ12" i="7"/>
  <c r="AR12" i="7"/>
  <c r="AH13" i="7"/>
  <c r="AI13" i="7"/>
  <c r="AJ13" i="7"/>
  <c r="AK13" i="7"/>
  <c r="AL13" i="7"/>
  <c r="AM13" i="7"/>
  <c r="AN13" i="7"/>
  <c r="AO13" i="7"/>
  <c r="AP13" i="7"/>
  <c r="AQ13" i="7"/>
  <c r="AR13" i="7"/>
  <c r="AH14" i="7"/>
  <c r="AI14" i="7"/>
  <c r="AJ14" i="7"/>
  <c r="AK14" i="7"/>
  <c r="AL14" i="7"/>
  <c r="AM14" i="7"/>
  <c r="AN14" i="7"/>
  <c r="AO14" i="7"/>
  <c r="AP14" i="7"/>
  <c r="AQ14" i="7"/>
  <c r="AR14" i="7"/>
  <c r="AH15" i="7"/>
  <c r="AI15" i="7"/>
  <c r="AJ15" i="7"/>
  <c r="AK15" i="7"/>
  <c r="AL15" i="7"/>
  <c r="AM15" i="7"/>
  <c r="AN15" i="7"/>
  <c r="AO15" i="7"/>
  <c r="AP15" i="7"/>
  <c r="AQ15" i="7"/>
  <c r="AR15" i="7"/>
  <c r="AH16" i="7"/>
  <c r="AI16" i="7"/>
  <c r="AJ16" i="7"/>
  <c r="AK16" i="7"/>
  <c r="AL16" i="7"/>
  <c r="AM16" i="7"/>
  <c r="AN16" i="7"/>
  <c r="AO16" i="7"/>
  <c r="AP16" i="7"/>
  <c r="AQ16" i="7"/>
  <c r="AR16" i="7"/>
  <c r="AH17" i="7"/>
  <c r="AI17" i="7"/>
  <c r="AJ17" i="7"/>
  <c r="AK17" i="7"/>
  <c r="AL17" i="7"/>
  <c r="AM17" i="7"/>
  <c r="AN17" i="7"/>
  <c r="AO17" i="7"/>
  <c r="AP17" i="7"/>
  <c r="AQ17" i="7"/>
  <c r="AR17" i="7"/>
  <c r="AH18" i="7"/>
  <c r="AI18" i="7"/>
  <c r="AJ18" i="7"/>
  <c r="AK18" i="7"/>
  <c r="AL18" i="7"/>
  <c r="AM18" i="7"/>
  <c r="AN18" i="7"/>
  <c r="AO18" i="7"/>
  <c r="AP18" i="7"/>
  <c r="AQ18" i="7"/>
  <c r="AR18" i="7"/>
  <c r="AH19" i="7"/>
  <c r="AI19" i="7"/>
  <c r="AJ19" i="7"/>
  <c r="AK19" i="7"/>
  <c r="AL19" i="7"/>
  <c r="AM19" i="7"/>
  <c r="AN19" i="7"/>
  <c r="AO19" i="7"/>
  <c r="AP19" i="7"/>
  <c r="AQ19" i="7"/>
  <c r="AR19" i="7"/>
  <c r="AH94" i="7"/>
  <c r="AI94" i="7"/>
  <c r="AJ94" i="7"/>
  <c r="AK94" i="7"/>
  <c r="AL94" i="7"/>
  <c r="AM94" i="7"/>
  <c r="AN94" i="7"/>
  <c r="AO94" i="7"/>
  <c r="AP94" i="7"/>
  <c r="AQ94" i="7"/>
  <c r="AR94" i="7"/>
  <c r="AH95" i="7"/>
  <c r="AI95" i="7"/>
  <c r="AJ95" i="7"/>
  <c r="AK95" i="7"/>
  <c r="AL95" i="7"/>
  <c r="AM95" i="7"/>
  <c r="AN95" i="7"/>
  <c r="AO95" i="7"/>
  <c r="AP95" i="7"/>
  <c r="AQ95" i="7"/>
  <c r="AR95" i="7"/>
  <c r="AH96" i="7"/>
  <c r="AI96" i="7"/>
  <c r="AJ96" i="7"/>
  <c r="AK96" i="7"/>
  <c r="AL96" i="7"/>
  <c r="AM96" i="7"/>
  <c r="AN96" i="7"/>
  <c r="AO96" i="7"/>
  <c r="AP96" i="7"/>
  <c r="AQ96" i="7"/>
  <c r="AR96" i="7"/>
  <c r="AH97" i="7"/>
  <c r="AI97" i="7"/>
  <c r="AJ97" i="7"/>
  <c r="AK97" i="7"/>
  <c r="AL97" i="7"/>
  <c r="AM97" i="7"/>
  <c r="AN97" i="7"/>
  <c r="AO97" i="7"/>
  <c r="AP97" i="7"/>
  <c r="AQ97" i="7"/>
  <c r="AR97" i="7"/>
  <c r="AH98" i="7"/>
  <c r="AI98" i="7"/>
  <c r="AJ98" i="7"/>
  <c r="AK98" i="7"/>
  <c r="AL98" i="7"/>
  <c r="AM98" i="7"/>
  <c r="AN98" i="7"/>
  <c r="AO98" i="7"/>
  <c r="AP98" i="7"/>
  <c r="AQ98" i="7"/>
  <c r="AR98" i="7"/>
  <c r="AH99" i="7"/>
  <c r="AI99" i="7"/>
  <c r="AJ99" i="7"/>
  <c r="AK99" i="7"/>
  <c r="AL99" i="7"/>
  <c r="AM99" i="7"/>
  <c r="AN99" i="7"/>
  <c r="AO99" i="7"/>
  <c r="AP99" i="7"/>
  <c r="AQ99" i="7"/>
  <c r="AR99" i="7"/>
  <c r="AH100" i="7"/>
  <c r="AI100" i="7"/>
  <c r="AJ100" i="7"/>
  <c r="AK100" i="7"/>
  <c r="AL100" i="7"/>
  <c r="AM100" i="7"/>
  <c r="AN100" i="7"/>
  <c r="AO100" i="7"/>
  <c r="AP100" i="7"/>
  <c r="AQ100" i="7"/>
  <c r="AR100" i="7"/>
  <c r="AH101" i="7"/>
  <c r="AI101" i="7"/>
  <c r="AJ101" i="7"/>
  <c r="AK101" i="7"/>
  <c r="AL101" i="7"/>
  <c r="AM101" i="7"/>
  <c r="AN101" i="7"/>
  <c r="AO101" i="7"/>
  <c r="AP101" i="7"/>
  <c r="AQ101" i="7"/>
  <c r="AR101" i="7"/>
  <c r="AH102" i="7"/>
  <c r="AI102" i="7"/>
  <c r="AJ102" i="7"/>
  <c r="AK102" i="7"/>
  <c r="AL102" i="7"/>
  <c r="AM102" i="7"/>
  <c r="AN102" i="7"/>
  <c r="AO102" i="7"/>
  <c r="AP102" i="7"/>
  <c r="AQ102" i="7"/>
  <c r="AR102" i="7"/>
  <c r="AH103" i="7"/>
  <c r="AI103" i="7"/>
  <c r="AJ103" i="7"/>
  <c r="AK103" i="7"/>
  <c r="AL103" i="7"/>
  <c r="AM103" i="7"/>
  <c r="AN103" i="7"/>
  <c r="AO103" i="7"/>
  <c r="AP103" i="7"/>
  <c r="AQ103" i="7"/>
  <c r="AR103" i="7"/>
  <c r="AH105" i="7"/>
  <c r="AI105" i="7"/>
  <c r="AJ105" i="7"/>
  <c r="AK105" i="7"/>
  <c r="AL105" i="7"/>
  <c r="AM105" i="7"/>
  <c r="AN105" i="7"/>
  <c r="AO105" i="7"/>
  <c r="AP105" i="7"/>
  <c r="AQ105" i="7"/>
  <c r="AR105" i="7"/>
  <c r="AH106" i="7"/>
  <c r="AI106" i="7"/>
  <c r="AJ106" i="7"/>
  <c r="AK106" i="7"/>
  <c r="AL106" i="7"/>
  <c r="AM106" i="7"/>
  <c r="AN106" i="7"/>
  <c r="AO106" i="7"/>
  <c r="AP106" i="7"/>
  <c r="AQ106" i="7"/>
  <c r="AR106" i="7"/>
  <c r="AH111" i="7"/>
  <c r="AI111" i="7"/>
  <c r="AJ111" i="7"/>
  <c r="AK111" i="7"/>
  <c r="AL111" i="7"/>
  <c r="AM111" i="7"/>
  <c r="AN111" i="7"/>
  <c r="AO111" i="7"/>
  <c r="AP111" i="7"/>
  <c r="AQ111" i="7"/>
  <c r="AR111" i="7"/>
  <c r="AH112" i="7"/>
  <c r="AI112" i="7"/>
  <c r="AJ112" i="7"/>
  <c r="AK112" i="7"/>
  <c r="AL112" i="7"/>
  <c r="AM112" i="7"/>
  <c r="AN112" i="7"/>
  <c r="AO112" i="7"/>
  <c r="AP112" i="7"/>
  <c r="AQ112" i="7"/>
  <c r="AR11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M2" i="7"/>
  <c r="N2" i="7"/>
  <c r="O2" i="7"/>
  <c r="P2" i="7"/>
  <c r="Q2" i="7"/>
  <c r="R2" i="7"/>
  <c r="S2" i="7"/>
  <c r="T2" i="7"/>
  <c r="U2" i="7"/>
  <c r="V2" i="7"/>
  <c r="W2" i="7"/>
  <c r="X2" i="7"/>
  <c r="L19" i="7"/>
  <c r="A171" i="1"/>
  <c r="V171" i="1" s="1"/>
  <c r="A488" i="1"/>
  <c r="V488" i="1" s="1"/>
  <c r="A768" i="1"/>
  <c r="V768" i="1" s="1"/>
  <c r="A359" i="1"/>
  <c r="V359" i="1" s="1"/>
  <c r="A568" i="1"/>
  <c r="V568" i="1" s="1"/>
  <c r="A838" i="1"/>
  <c r="V838" i="1" s="1"/>
  <c r="A1170" i="1"/>
  <c r="V1170" i="1" s="1"/>
  <c r="A1295" i="1"/>
  <c r="V1295" i="1" s="1"/>
  <c r="C37" i="9"/>
  <c r="A1088" i="1"/>
  <c r="V1088" i="1" s="1"/>
  <c r="A503" i="1"/>
  <c r="V503" i="1" s="1"/>
  <c r="I100" i="7" l="1"/>
  <c r="J100" i="7"/>
  <c r="K100" i="7"/>
  <c r="H100" i="7"/>
  <c r="H57" i="7"/>
  <c r="I57" i="7"/>
  <c r="J57" i="7"/>
  <c r="K57" i="7"/>
  <c r="H74" i="7"/>
  <c r="I74" i="7"/>
  <c r="J74" i="7"/>
  <c r="K74" i="7"/>
  <c r="V563" i="1"/>
  <c r="K12" i="10"/>
  <c r="M12" i="10" s="1"/>
  <c r="J11" i="21" s="1"/>
  <c r="E12" i="10"/>
  <c r="G12" i="10" s="1"/>
  <c r="N12" i="10"/>
  <c r="P12" i="10" s="1"/>
  <c r="M11" i="21" s="1"/>
  <c r="H12" i="10"/>
  <c r="J12" i="10" s="1"/>
  <c r="G11" i="21" s="1"/>
  <c r="H56" i="7"/>
  <c r="K56" i="7"/>
  <c r="J56" i="7"/>
  <c r="I56" i="7"/>
  <c r="H55" i="7"/>
  <c r="J55" i="7"/>
  <c r="K55" i="7"/>
  <c r="I55" i="7"/>
  <c r="H91" i="7"/>
  <c r="I91" i="7"/>
  <c r="J91" i="7"/>
  <c r="K91" i="7"/>
  <c r="I93" i="7"/>
  <c r="J93" i="7"/>
  <c r="K93" i="7"/>
  <c r="H93" i="7"/>
  <c r="H92" i="7"/>
  <c r="I92" i="7"/>
  <c r="J92" i="7"/>
  <c r="K92" i="7"/>
  <c r="H29" i="7"/>
  <c r="K29" i="7"/>
  <c r="J29" i="7"/>
  <c r="I29" i="7"/>
  <c r="H48" i="7"/>
  <c r="K48" i="7"/>
  <c r="J48" i="7"/>
  <c r="I48" i="7"/>
  <c r="H54" i="7"/>
  <c r="I54" i="7"/>
  <c r="J54" i="7"/>
  <c r="K54" i="7"/>
  <c r="H9" i="7"/>
  <c r="J9" i="7"/>
  <c r="I9" i="7"/>
  <c r="K9" i="7"/>
  <c r="H10" i="7"/>
  <c r="I10" i="7"/>
  <c r="K10" i="7"/>
  <c r="J10" i="7"/>
  <c r="H53" i="7"/>
  <c r="I53" i="7"/>
  <c r="J53" i="7"/>
  <c r="K53" i="7"/>
  <c r="S27" i="11"/>
  <c r="U27" i="11"/>
  <c r="Q27" i="11"/>
  <c r="O27" i="11"/>
  <c r="H40" i="7"/>
  <c r="I40" i="7"/>
  <c r="J40" i="7"/>
  <c r="K40" i="7"/>
  <c r="J45" i="7"/>
  <c r="I45" i="7"/>
  <c r="K45" i="7"/>
  <c r="H45" i="7"/>
  <c r="N6" i="10"/>
  <c r="P6" i="10" s="1"/>
  <c r="M5" i="21" s="1"/>
  <c r="K6" i="10"/>
  <c r="M6" i="10" s="1"/>
  <c r="J5" i="21" s="1"/>
  <c r="H6" i="10"/>
  <c r="J6" i="10" s="1"/>
  <c r="G5" i="21" s="1"/>
  <c r="E6" i="10"/>
  <c r="G6" i="10" s="1"/>
  <c r="K105" i="7"/>
  <c r="J105" i="7"/>
  <c r="H105" i="7"/>
  <c r="I105" i="7"/>
  <c r="H4" i="10"/>
  <c r="J4" i="10" s="1"/>
  <c r="G3" i="21" s="1"/>
  <c r="G16" i="21" s="1"/>
  <c r="K4" i="10"/>
  <c r="M4" i="10" s="1"/>
  <c r="J3" i="21" s="1"/>
  <c r="J16" i="21" s="1"/>
  <c r="E4" i="10"/>
  <c r="G4" i="10" s="1"/>
  <c r="N4" i="10"/>
  <c r="W503" i="1"/>
  <c r="AK503" i="1"/>
  <c r="W1088" i="1"/>
  <c r="AK1088" i="1"/>
  <c r="W1295" i="1"/>
  <c r="AK1295" i="1"/>
  <c r="W1170" i="1"/>
  <c r="AK1170" i="1"/>
  <c r="W838" i="1"/>
  <c r="AK838" i="1"/>
  <c r="W568" i="1"/>
  <c r="AK568" i="1"/>
  <c r="W359" i="1"/>
  <c r="AK359" i="1"/>
  <c r="W768" i="1"/>
  <c r="AK768" i="1"/>
  <c r="W488" i="1"/>
  <c r="AK488" i="1"/>
  <c r="W171" i="1"/>
  <c r="AK171" i="1"/>
  <c r="W375" i="1"/>
  <c r="AK375" i="1"/>
  <c r="W483" i="1"/>
  <c r="AK483" i="1"/>
  <c r="W484" i="1"/>
  <c r="AK484" i="1"/>
  <c r="W553" i="1"/>
  <c r="AK553" i="1"/>
  <c r="W629" i="1"/>
  <c r="AK629" i="1"/>
  <c r="W686" i="1"/>
  <c r="AK686" i="1"/>
  <c r="W754" i="1"/>
  <c r="AK754" i="1"/>
  <c r="W563" i="1"/>
  <c r="AK563" i="1"/>
  <c r="W927" i="1"/>
  <c r="AK927" i="1"/>
  <c r="AF503" i="1"/>
  <c r="I19" i="7" s="1"/>
  <c r="AI1318" i="1"/>
  <c r="W662" i="1"/>
  <c r="AK662" i="1"/>
  <c r="W968" i="1"/>
  <c r="AK968" i="1"/>
  <c r="W1089" i="1"/>
  <c r="AK1089" i="1"/>
  <c r="W1119" i="1"/>
  <c r="AK1119" i="1"/>
  <c r="W536" i="1"/>
  <c r="AK536" i="1"/>
  <c r="W229" i="1"/>
  <c r="AK229" i="1"/>
  <c r="W351" i="1"/>
  <c r="AK351" i="1"/>
  <c r="W441" i="1"/>
  <c r="AK441" i="1"/>
  <c r="W230" i="1"/>
  <c r="AK230" i="1"/>
  <c r="W352" i="1"/>
  <c r="AK352" i="1"/>
  <c r="W442" i="1"/>
  <c r="AK442" i="1"/>
  <c r="W537" i="1"/>
  <c r="AK537" i="1"/>
  <c r="W613" i="1"/>
  <c r="AK613" i="1"/>
  <c r="Q21" i="11"/>
  <c r="O21" i="11"/>
  <c r="S21" i="11"/>
  <c r="U21" i="11"/>
  <c r="Q20" i="11"/>
  <c r="S20" i="11"/>
  <c r="O20" i="11"/>
  <c r="U20" i="11"/>
  <c r="O23" i="11"/>
  <c r="U23" i="11"/>
  <c r="S23" i="11"/>
  <c r="Q23" i="11"/>
  <c r="H42" i="7"/>
  <c r="I42" i="7"/>
  <c r="J42" i="7"/>
  <c r="K42" i="7"/>
  <c r="H37" i="7"/>
  <c r="H6" i="7"/>
  <c r="H27" i="7"/>
  <c r="K37" i="7"/>
  <c r="J6" i="7"/>
  <c r="J37" i="7"/>
  <c r="I6" i="7"/>
  <c r="H34" i="7"/>
  <c r="I34" i="7"/>
  <c r="K34" i="7"/>
  <c r="J34" i="7"/>
  <c r="I37" i="7"/>
  <c r="K6" i="7"/>
  <c r="K27" i="7"/>
  <c r="K33" i="7"/>
  <c r="H103" i="7"/>
  <c r="I103" i="7"/>
  <c r="J103" i="7"/>
  <c r="K103" i="7"/>
  <c r="J27" i="7"/>
  <c r="J33" i="7"/>
  <c r="I27" i="7"/>
  <c r="I33" i="7"/>
  <c r="K20" i="7"/>
  <c r="H20" i="7"/>
  <c r="I20" i="7"/>
  <c r="J20" i="7"/>
  <c r="H86" i="7"/>
  <c r="I86" i="7"/>
  <c r="J86" i="7"/>
  <c r="K86" i="7"/>
  <c r="H102" i="7"/>
  <c r="K102" i="7"/>
  <c r="I102" i="7"/>
  <c r="J102" i="7"/>
  <c r="K96" i="7"/>
  <c r="H96" i="7"/>
  <c r="I96" i="7"/>
  <c r="J96" i="7"/>
  <c r="H13" i="7"/>
  <c r="I13" i="7"/>
  <c r="J13" i="7"/>
  <c r="K13" i="7"/>
  <c r="H23" i="7"/>
  <c r="I23" i="7"/>
  <c r="J23" i="7"/>
  <c r="K23" i="7"/>
  <c r="H24" i="7"/>
  <c r="I24" i="7"/>
  <c r="J24" i="7"/>
  <c r="K24" i="7"/>
  <c r="H14" i="7"/>
  <c r="I14" i="7"/>
  <c r="K14" i="7"/>
  <c r="J14" i="7"/>
  <c r="H11" i="7"/>
  <c r="I11" i="7"/>
  <c r="J11" i="7"/>
  <c r="K11" i="7"/>
  <c r="H25" i="7"/>
  <c r="I25" i="7"/>
  <c r="J25" i="7"/>
  <c r="K25" i="7"/>
  <c r="H15" i="7"/>
  <c r="I15" i="7"/>
  <c r="J15" i="7"/>
  <c r="K15" i="7"/>
  <c r="H17" i="7"/>
  <c r="I17" i="7"/>
  <c r="J17" i="7"/>
  <c r="K17" i="7"/>
  <c r="K85" i="7"/>
  <c r="H85" i="7"/>
  <c r="I85" i="7"/>
  <c r="J85" i="7"/>
  <c r="K22" i="7"/>
  <c r="H22" i="7"/>
  <c r="I22" i="7"/>
  <c r="J22" i="7"/>
  <c r="K16" i="7"/>
  <c r="H16" i="7"/>
  <c r="I16" i="7"/>
  <c r="J16" i="7"/>
  <c r="K30" i="7"/>
  <c r="H30" i="7"/>
  <c r="I30" i="7"/>
  <c r="J30" i="7"/>
  <c r="K8" i="7"/>
  <c r="H8" i="7"/>
  <c r="I8" i="7"/>
  <c r="J8" i="7"/>
  <c r="H7" i="7"/>
  <c r="I7" i="7"/>
  <c r="J7" i="7"/>
  <c r="K7" i="7"/>
  <c r="H98" i="7"/>
  <c r="I98" i="7"/>
  <c r="J98" i="7"/>
  <c r="K98" i="7"/>
  <c r="K18" i="7"/>
  <c r="H18" i="7"/>
  <c r="I18" i="7"/>
  <c r="J18" i="7"/>
  <c r="H5" i="7"/>
  <c r="I5" i="7"/>
  <c r="J5" i="7"/>
  <c r="K5" i="7"/>
  <c r="H12" i="7"/>
  <c r="I12" i="7"/>
  <c r="J12" i="7"/>
  <c r="K12" i="7"/>
  <c r="H94" i="7"/>
  <c r="I94" i="7"/>
  <c r="J94" i="7"/>
  <c r="K94" i="7"/>
  <c r="H87" i="7"/>
  <c r="I87" i="7"/>
  <c r="K87" i="7"/>
  <c r="J87" i="7"/>
  <c r="H31" i="7"/>
  <c r="I31" i="7"/>
  <c r="J31" i="7"/>
  <c r="K31" i="7"/>
  <c r="H97" i="7"/>
  <c r="I97" i="7"/>
  <c r="J97" i="7"/>
  <c r="K97" i="7"/>
  <c r="H4" i="7"/>
  <c r="I4" i="7"/>
  <c r="K4" i="7"/>
  <c r="J4" i="7"/>
  <c r="I2" i="7"/>
  <c r="J2" i="7"/>
  <c r="K2" i="7"/>
  <c r="H2" i="7"/>
  <c r="H3" i="7"/>
  <c r="I3" i="7"/>
  <c r="J3" i="7"/>
  <c r="K3" i="7"/>
  <c r="H21" i="7"/>
  <c r="I21" i="7"/>
  <c r="J21" i="7"/>
  <c r="K21" i="7"/>
  <c r="H26" i="7"/>
  <c r="K26" i="7"/>
  <c r="I26" i="7"/>
  <c r="J26" i="7"/>
  <c r="R503" i="1"/>
  <c r="S503" i="1"/>
  <c r="R1088" i="1"/>
  <c r="S1088" i="1"/>
  <c r="R1295" i="1"/>
  <c r="S1295" i="1"/>
  <c r="R1170" i="1"/>
  <c r="S1170" i="1"/>
  <c r="R838" i="1"/>
  <c r="S838" i="1"/>
  <c r="R568" i="1"/>
  <c r="S568" i="1"/>
  <c r="R359" i="1"/>
  <c r="S359" i="1"/>
  <c r="R768" i="1"/>
  <c r="S768" i="1"/>
  <c r="R488" i="1"/>
  <c r="S488" i="1"/>
  <c r="R171" i="1"/>
  <c r="S171" i="1"/>
  <c r="R375" i="1"/>
  <c r="S375" i="1"/>
  <c r="R483" i="1"/>
  <c r="S483" i="1"/>
  <c r="R484" i="1"/>
  <c r="S484" i="1"/>
  <c r="R553" i="1"/>
  <c r="S553" i="1"/>
  <c r="R629" i="1"/>
  <c r="S629" i="1"/>
  <c r="R686" i="1"/>
  <c r="S686" i="1"/>
  <c r="R754" i="1"/>
  <c r="S754" i="1"/>
  <c r="R563" i="1"/>
  <c r="S563" i="1"/>
  <c r="R927" i="1"/>
  <c r="S927" i="1"/>
  <c r="R662" i="1"/>
  <c r="S662" i="1"/>
  <c r="R968" i="1"/>
  <c r="S968" i="1"/>
  <c r="R1089" i="1"/>
  <c r="S1089" i="1"/>
  <c r="R1119" i="1"/>
  <c r="S1119" i="1"/>
  <c r="R536" i="1"/>
  <c r="S536" i="1"/>
  <c r="R229" i="1"/>
  <c r="S229" i="1"/>
  <c r="R351" i="1"/>
  <c r="S351" i="1"/>
  <c r="R441" i="1"/>
  <c r="S441" i="1"/>
  <c r="R230" i="1"/>
  <c r="S230" i="1"/>
  <c r="R352" i="1"/>
  <c r="S352" i="1"/>
  <c r="R442" i="1"/>
  <c r="S442" i="1"/>
  <c r="R537" i="1"/>
  <c r="S537" i="1"/>
  <c r="R613" i="1"/>
  <c r="S613" i="1"/>
  <c r="AQ115" i="7"/>
  <c r="AI115" i="7"/>
  <c r="S115" i="7"/>
  <c r="V115" i="7"/>
  <c r="U115" i="7"/>
  <c r="T115" i="7"/>
  <c r="AR115" i="7"/>
  <c r="AJ115" i="7"/>
  <c r="AB115" i="7"/>
  <c r="AA115" i="7"/>
  <c r="R115" i="7"/>
  <c r="AP115" i="7"/>
  <c r="AH115" i="7"/>
  <c r="Z115" i="7"/>
  <c r="Q115" i="7"/>
  <c r="AO115" i="7"/>
  <c r="AG115" i="7"/>
  <c r="Y115" i="7"/>
  <c r="X115" i="7"/>
  <c r="P115" i="7"/>
  <c r="AN115" i="7"/>
  <c r="AF115" i="7"/>
  <c r="AM115" i="7"/>
  <c r="AE115" i="7"/>
  <c r="W115" i="7"/>
  <c r="N115" i="7"/>
  <c r="AL115" i="7"/>
  <c r="AD115" i="7"/>
  <c r="O115" i="7"/>
  <c r="M115" i="7"/>
  <c r="AK115" i="7"/>
  <c r="AC115" i="7"/>
  <c r="K17" i="11"/>
  <c r="L17" i="11" s="1"/>
  <c r="AE1303" i="1"/>
  <c r="AE1292" i="1"/>
  <c r="AE1157" i="1"/>
  <c r="AE1079" i="1"/>
  <c r="AE1003" i="1"/>
  <c r="AE735" i="1"/>
  <c r="AE1169" i="1"/>
  <c r="AE971" i="1"/>
  <c r="AE958" i="1"/>
  <c r="AE1024" i="1"/>
  <c r="AE927" i="1"/>
  <c r="AE1085" i="1"/>
  <c r="AE793" i="1"/>
  <c r="AE772" i="1"/>
  <c r="AE794" i="1"/>
  <c r="AE816" i="1"/>
  <c r="AE702" i="1"/>
  <c r="AE666" i="1"/>
  <c r="AE642" i="1"/>
  <c r="AE377" i="1"/>
  <c r="AE652" i="1"/>
  <c r="AE668" i="1"/>
  <c r="AE590" i="1"/>
  <c r="AE587" i="1"/>
  <c r="AE570" i="1"/>
  <c r="AE555" i="1"/>
  <c r="AE533" i="1"/>
  <c r="AE503" i="1"/>
  <c r="AE640" i="1"/>
  <c r="AE477" i="1"/>
  <c r="AE427" i="1"/>
  <c r="AE604" i="1"/>
  <c r="AE483" i="1"/>
  <c r="AE370" i="1"/>
  <c r="AE350" i="1"/>
  <c r="AE304" i="1"/>
  <c r="AE394" i="1"/>
  <c r="AE387" i="1"/>
  <c r="AE612" i="1"/>
  <c r="AE172" i="1"/>
  <c r="AE183" i="1"/>
  <c r="AE442" i="1"/>
  <c r="AE1317" i="1"/>
  <c r="AE1285" i="1"/>
  <c r="AE1204" i="1"/>
  <c r="AE1158" i="1"/>
  <c r="AE1117" i="1"/>
  <c r="AE1083" i="1"/>
  <c r="AE1027" i="1"/>
  <c r="AE999" i="1"/>
  <c r="AE905" i="1"/>
  <c r="AE1198" i="1"/>
  <c r="AE869" i="1"/>
  <c r="AE840" i="1"/>
  <c r="AE820" i="1"/>
  <c r="AE798" i="1"/>
  <c r="AE560" i="1"/>
  <c r="AE839" i="1"/>
  <c r="AE867" i="1"/>
  <c r="AE973" i="1"/>
  <c r="AE641" i="1"/>
  <c r="AE620" i="1"/>
  <c r="AE608" i="1"/>
  <c r="AE598" i="1"/>
  <c r="AE875" i="1"/>
  <c r="AE580" i="1"/>
  <c r="AE724" i="1"/>
  <c r="AE554" i="1"/>
  <c r="AE539" i="1"/>
  <c r="AE577" i="1"/>
  <c r="AE488" i="1"/>
  <c r="AE711" i="1"/>
  <c r="AE440" i="1"/>
  <c r="AE410" i="1"/>
  <c r="AE382" i="1"/>
  <c r="AE575" i="1"/>
  <c r="AE323" i="1"/>
  <c r="AE725" i="1"/>
  <c r="AE209" i="1"/>
  <c r="AE671" i="1"/>
  <c r="AE171" i="1"/>
  <c r="AE32" i="1"/>
  <c r="AE662" i="1"/>
  <c r="AE441" i="1"/>
  <c r="AE1316" i="1"/>
  <c r="AE1276" i="1"/>
  <c r="AE1195" i="1"/>
  <c r="AE1155" i="1"/>
  <c r="AE1153" i="1"/>
  <c r="AE1056" i="1"/>
  <c r="AE1021" i="1"/>
  <c r="AE1001" i="1"/>
  <c r="AE860" i="1"/>
  <c r="AE990" i="1"/>
  <c r="AE865" i="1"/>
  <c r="AE819" i="1"/>
  <c r="AE815" i="1"/>
  <c r="AE1110" i="1"/>
  <c r="AE639" i="1"/>
  <c r="AE740" i="1"/>
  <c r="AE686" i="1"/>
  <c r="AE685" i="1"/>
  <c r="AE806" i="1"/>
  <c r="AE870" i="1"/>
  <c r="AE605" i="1"/>
  <c r="AE912" i="1"/>
  <c r="AE589" i="1"/>
  <c r="AE568" i="1"/>
  <c r="AE696" i="1"/>
  <c r="AE557" i="1"/>
  <c r="AE527" i="1"/>
  <c r="AE730" i="1"/>
  <c r="AE484" i="1"/>
  <c r="AE498" i="1"/>
  <c r="AE923" i="1"/>
  <c r="AE396" i="1"/>
  <c r="AE499" i="1"/>
  <c r="AE367" i="1"/>
  <c r="AE320" i="1"/>
  <c r="AE291" i="1"/>
  <c r="AE375" i="1"/>
  <c r="AE208" i="1"/>
  <c r="AE197" i="1"/>
  <c r="AE408" i="1"/>
  <c r="AE164" i="1"/>
  <c r="AE585" i="1"/>
  <c r="AE1119" i="1"/>
  <c r="AE1309" i="1"/>
  <c r="AE1251" i="1"/>
  <c r="AE1194" i="1"/>
  <c r="AE1154" i="1"/>
  <c r="AE1088" i="1"/>
  <c r="AE1041" i="1"/>
  <c r="AE1022" i="1"/>
  <c r="AE1007" i="1"/>
  <c r="AE966" i="1"/>
  <c r="AE933" i="1"/>
  <c r="AE861" i="1"/>
  <c r="AE829" i="1"/>
  <c r="AE1040" i="1"/>
  <c r="AE768" i="1"/>
  <c r="AE770" i="1"/>
  <c r="AE716" i="1"/>
  <c r="AE695" i="1"/>
  <c r="AE681" i="1"/>
  <c r="AE664" i="1"/>
  <c r="AE637" i="1"/>
  <c r="AE624" i="1"/>
  <c r="AE529" i="1"/>
  <c r="AE592" i="1"/>
  <c r="AE638" i="1"/>
  <c r="AE705" i="1"/>
  <c r="AE771" i="1"/>
  <c r="AE944" i="1"/>
  <c r="AE434" i="1"/>
  <c r="AE502" i="1"/>
  <c r="AE491" i="1"/>
  <c r="AE437" i="1"/>
  <c r="AE400" i="1"/>
  <c r="AE376" i="1"/>
  <c r="AE390" i="1"/>
  <c r="AE549" i="1"/>
  <c r="AE743" i="1"/>
  <c r="AE255" i="1"/>
  <c r="AE207" i="1"/>
  <c r="AE194" i="1"/>
  <c r="AE407" i="1"/>
  <c r="AE170" i="1"/>
  <c r="AE264" i="1"/>
  <c r="AE239" i="1"/>
  <c r="AE229" i="1"/>
  <c r="AE537" i="1"/>
  <c r="AE1308" i="1"/>
  <c r="AE1247" i="1"/>
  <c r="AE1189" i="1"/>
  <c r="AE1148" i="1"/>
  <c r="AE1084" i="1"/>
  <c r="AE1038" i="1"/>
  <c r="AE1019" i="1"/>
  <c r="AE874" i="1"/>
  <c r="AE960" i="1"/>
  <c r="AE1101" i="1"/>
  <c r="AE857" i="1"/>
  <c r="AE832" i="1"/>
  <c r="AE964" i="1"/>
  <c r="AE754" i="1"/>
  <c r="AE773" i="1"/>
  <c r="AE732" i="1"/>
  <c r="AE706" i="1"/>
  <c r="AE680" i="1"/>
  <c r="AE661" i="1"/>
  <c r="AE722" i="1"/>
  <c r="AE622" i="1"/>
  <c r="AE528" i="1"/>
  <c r="AE591" i="1"/>
  <c r="AE584" i="1"/>
  <c r="AE569" i="1"/>
  <c r="AE564" i="1"/>
  <c r="AE787" i="1"/>
  <c r="AE433" i="1"/>
  <c r="AE497" i="1"/>
  <c r="AE562" i="1"/>
  <c r="AE470" i="1"/>
  <c r="AE417" i="1"/>
  <c r="AE363" i="1"/>
  <c r="AE379" i="1"/>
  <c r="AE357" i="1"/>
  <c r="AE312" i="1"/>
  <c r="AE736" i="1"/>
  <c r="AE246" i="1"/>
  <c r="AE262" i="1"/>
  <c r="AE371" i="1"/>
  <c r="AE299" i="1"/>
  <c r="AE165" i="1"/>
  <c r="AE694" i="1"/>
  <c r="AE87" i="1"/>
  <c r="AE968" i="1"/>
  <c r="AE1304" i="1"/>
  <c r="AE1213" i="1"/>
  <c r="AE1184" i="1"/>
  <c r="AE1147" i="1"/>
  <c r="AE1086" i="1"/>
  <c r="AE1039" i="1"/>
  <c r="AE928" i="1"/>
  <c r="AE987" i="1"/>
  <c r="AE1199" i="1"/>
  <c r="AE916" i="1"/>
  <c r="AE854" i="1"/>
  <c r="AE830" i="1"/>
  <c r="AE1023" i="1"/>
  <c r="AE777" i="1"/>
  <c r="AE1010" i="1"/>
  <c r="AE723" i="1"/>
  <c r="AE950" i="1"/>
  <c r="AE721" i="1"/>
  <c r="AE655" i="1"/>
  <c r="AE632" i="1"/>
  <c r="AE1113" i="1"/>
  <c r="AE614" i="1"/>
  <c r="AE505" i="1"/>
  <c r="AE871" i="1"/>
  <c r="AE563" i="1"/>
  <c r="AE565" i="1"/>
  <c r="AE582" i="1"/>
  <c r="AE519" i="1"/>
  <c r="AE1060" i="1"/>
  <c r="AE419" i="1"/>
  <c r="AE432" i="1"/>
  <c r="AE426" i="1"/>
  <c r="AE392" i="1"/>
  <c r="AE418" i="1"/>
  <c r="AE332" i="1"/>
  <c r="AE412" i="1"/>
  <c r="AE187" i="1"/>
  <c r="AE213" i="1"/>
  <c r="AE186" i="1"/>
  <c r="AE298" i="1"/>
  <c r="AE125" i="1"/>
  <c r="AE106" i="1"/>
  <c r="AE97" i="1"/>
  <c r="AE922" i="1"/>
  <c r="AE536" i="1"/>
  <c r="AE352" i="1"/>
  <c r="AE1295" i="1"/>
  <c r="AE1271" i="1"/>
  <c r="AE1181" i="1"/>
  <c r="AE1138" i="1"/>
  <c r="AE1196" i="1"/>
  <c r="AE1034" i="1"/>
  <c r="AE1012" i="1"/>
  <c r="AE974" i="1"/>
  <c r="AE947" i="1"/>
  <c r="AE880" i="1"/>
  <c r="AE838" i="1"/>
  <c r="AE831" i="1"/>
  <c r="AE767" i="1"/>
  <c r="AE1013" i="1"/>
  <c r="AE757" i="1"/>
  <c r="AE719" i="1"/>
  <c r="AE698" i="1"/>
  <c r="AE674" i="1"/>
  <c r="AE989" i="1"/>
  <c r="AE631" i="1"/>
  <c r="AE1054" i="1"/>
  <c r="AE749" i="1"/>
  <c r="AE963" i="1"/>
  <c r="AE789" i="1"/>
  <c r="AE553" i="1"/>
  <c r="AE877" i="1"/>
  <c r="AE540" i="1"/>
  <c r="AE535" i="1"/>
  <c r="AE781" i="1"/>
  <c r="AE486" i="1"/>
  <c r="AE334" i="1"/>
  <c r="AE682" i="1"/>
  <c r="AE649" i="1"/>
  <c r="AE391" i="1"/>
  <c r="AE331" i="1"/>
  <c r="AE430" i="1"/>
  <c r="AE265" i="1"/>
  <c r="AE238" i="1"/>
  <c r="AE330" i="1"/>
  <c r="AE180" i="1"/>
  <c r="AE185" i="1"/>
  <c r="AE282" i="1"/>
  <c r="AE163" i="1"/>
  <c r="AE359" i="1"/>
  <c r="AE351" i="1"/>
  <c r="AE613" i="1"/>
  <c r="AE1288" i="1"/>
  <c r="AE1211" i="1"/>
  <c r="AE1170" i="1"/>
  <c r="AE1128" i="1"/>
  <c r="AE1265" i="1"/>
  <c r="AE1099" i="1"/>
  <c r="AE1014" i="1"/>
  <c r="AE972" i="1"/>
  <c r="AE855" i="1"/>
  <c r="AE1025" i="1"/>
  <c r="AE567" i="1"/>
  <c r="AE834" i="1"/>
  <c r="AE945" i="1"/>
  <c r="AE769" i="1"/>
  <c r="AE758" i="1"/>
  <c r="AE1141" i="1"/>
  <c r="AE697" i="1"/>
  <c r="AE629" i="1"/>
  <c r="AE628" i="1"/>
  <c r="AE621" i="1"/>
  <c r="AE599" i="1"/>
  <c r="AE876" i="1"/>
  <c r="AE579" i="1"/>
  <c r="AE552" i="1"/>
  <c r="AE583" i="1"/>
  <c r="AE750" i="1"/>
  <c r="AE520" i="1"/>
  <c r="AE500" i="1"/>
  <c r="AE478" i="1"/>
  <c r="AE333" i="1"/>
  <c r="AE415" i="1"/>
  <c r="AE393" i="1"/>
  <c r="AE368" i="1"/>
  <c r="AE210" i="1"/>
  <c r="AE305" i="1"/>
  <c r="AE660" i="1"/>
  <c r="AE233" i="1"/>
  <c r="AE214" i="1"/>
  <c r="AE206" i="1"/>
  <c r="AE184" i="1"/>
  <c r="AE1089" i="1"/>
  <c r="AE230" i="1"/>
  <c r="D11" i="21" l="1"/>
  <c r="P11" i="21" s="1"/>
  <c r="Q12" i="10"/>
  <c r="C27" i="23"/>
  <c r="B40" i="23"/>
  <c r="C5" i="23"/>
  <c r="C40" i="23"/>
  <c r="D49" i="23"/>
  <c r="E52" i="23"/>
  <c r="B49" i="23"/>
  <c r="C7" i="23"/>
  <c r="B38" i="23"/>
  <c r="B3" i="23"/>
  <c r="D46" i="23"/>
  <c r="B11" i="23"/>
  <c r="C37" i="23"/>
  <c r="B20" i="23"/>
  <c r="B9" i="23"/>
  <c r="D41" i="23"/>
  <c r="D13" i="23"/>
  <c r="D5" i="23"/>
  <c r="B35" i="23"/>
  <c r="B7" i="23"/>
  <c r="E37" i="23"/>
  <c r="D52" i="23"/>
  <c r="D24" i="23"/>
  <c r="D16" i="23"/>
  <c r="B26" i="23"/>
  <c r="B45" i="23"/>
  <c r="D33" i="23"/>
  <c r="E5" i="23"/>
  <c r="D11" i="23"/>
  <c r="E13" i="23"/>
  <c r="E35" i="23"/>
  <c r="B5" i="23"/>
  <c r="D51" i="23"/>
  <c r="B51" i="23"/>
  <c r="D22" i="23"/>
  <c r="B36" i="23"/>
  <c r="C21" i="23"/>
  <c r="E7" i="23"/>
  <c r="D29" i="23"/>
  <c r="D21" i="23"/>
  <c r="E45" i="23"/>
  <c r="B23" i="23"/>
  <c r="B15" i="23"/>
  <c r="C51" i="23"/>
  <c r="D40" i="23"/>
  <c r="D32" i="23"/>
  <c r="B42" i="23"/>
  <c r="B14" i="23"/>
  <c r="B6" i="23"/>
  <c r="E23" i="23"/>
  <c r="D27" i="23"/>
  <c r="B34" i="23"/>
  <c r="C13" i="23"/>
  <c r="B21" i="23"/>
  <c r="E17" i="23"/>
  <c r="E4" i="23"/>
  <c r="D38" i="23"/>
  <c r="C9" i="23"/>
  <c r="C4" i="23"/>
  <c r="B12" i="23"/>
  <c r="B52" i="23"/>
  <c r="C23" i="23"/>
  <c r="B50" i="23"/>
  <c r="C36" i="23"/>
  <c r="D31" i="23"/>
  <c r="E33" i="23"/>
  <c r="D45" i="23"/>
  <c r="D37" i="23"/>
  <c r="C15" i="23"/>
  <c r="B39" i="23"/>
  <c r="B31" i="23"/>
  <c r="E6" i="23"/>
  <c r="E42" i="23"/>
  <c r="D48" i="23"/>
  <c r="C6" i="23"/>
  <c r="B30" i="23"/>
  <c r="B22" i="23"/>
  <c r="D10" i="23"/>
  <c r="D43" i="23"/>
  <c r="D28" i="23"/>
  <c r="C29" i="23"/>
  <c r="B37" i="23"/>
  <c r="B48" i="23"/>
  <c r="E20" i="23"/>
  <c r="E38" i="23"/>
  <c r="C25" i="23"/>
  <c r="C20" i="23"/>
  <c r="B28" i="23"/>
  <c r="E16" i="23"/>
  <c r="D17" i="23"/>
  <c r="D12" i="23"/>
  <c r="C16" i="23"/>
  <c r="B18" i="23"/>
  <c r="C12" i="23"/>
  <c r="E11" i="23"/>
  <c r="D3" i="23"/>
  <c r="C31" i="23"/>
  <c r="C50" i="23"/>
  <c r="E21" i="23"/>
  <c r="E22" i="23"/>
  <c r="E31" i="23"/>
  <c r="B47" i="23"/>
  <c r="C22" i="23"/>
  <c r="B46" i="23"/>
  <c r="E9" i="23"/>
  <c r="E51" i="23"/>
  <c r="C45" i="23"/>
  <c r="C38" i="23"/>
  <c r="D42" i="23"/>
  <c r="E36" i="23"/>
  <c r="E25" i="23"/>
  <c r="C41" i="23"/>
  <c r="C42" i="23"/>
  <c r="B44" i="23"/>
  <c r="E32" i="23"/>
  <c r="E15" i="23"/>
  <c r="E48" i="23"/>
  <c r="C32" i="23"/>
  <c r="C30" i="23"/>
  <c r="D26" i="23"/>
  <c r="E49" i="23"/>
  <c r="E19" i="23"/>
  <c r="C47" i="23"/>
  <c r="C19" i="23"/>
  <c r="C11" i="23"/>
  <c r="E40" i="23"/>
  <c r="E10" i="23"/>
  <c r="C48" i="23"/>
  <c r="D4" i="23"/>
  <c r="C10" i="23"/>
  <c r="C52" i="23"/>
  <c r="D47" i="23"/>
  <c r="E43" i="23"/>
  <c r="E30" i="23"/>
  <c r="D7" i="23"/>
  <c r="C17" i="23"/>
  <c r="E41" i="23"/>
  <c r="E47" i="23"/>
  <c r="E8" i="23"/>
  <c r="C44" i="23"/>
  <c r="D18" i="23"/>
  <c r="C8" i="23"/>
  <c r="E27" i="23"/>
  <c r="C46" i="23"/>
  <c r="C49" i="23"/>
  <c r="D14" i="23"/>
  <c r="D44" i="23"/>
  <c r="E12" i="23"/>
  <c r="C28" i="23"/>
  <c r="B32" i="23"/>
  <c r="D9" i="23"/>
  <c r="C35" i="23"/>
  <c r="E26" i="23"/>
  <c r="E18" i="23"/>
  <c r="D20" i="23"/>
  <c r="C26" i="23"/>
  <c r="C18" i="23"/>
  <c r="C14" i="23"/>
  <c r="B16" i="23"/>
  <c r="B43" i="23"/>
  <c r="D23" i="23"/>
  <c r="C33" i="23"/>
  <c r="B25" i="23"/>
  <c r="B17" i="23"/>
  <c r="E24" i="23"/>
  <c r="D19" i="23"/>
  <c r="D34" i="23"/>
  <c r="C24" i="23"/>
  <c r="B13" i="23"/>
  <c r="B8" i="23"/>
  <c r="B27" i="23"/>
  <c r="D30" i="23"/>
  <c r="E14" i="23"/>
  <c r="B41" i="23"/>
  <c r="D15" i="23"/>
  <c r="E28" i="23"/>
  <c r="D25" i="23"/>
  <c r="E29" i="23"/>
  <c r="C43" i="23"/>
  <c r="B19" i="23"/>
  <c r="E50" i="23"/>
  <c r="E34" i="23"/>
  <c r="D36" i="23"/>
  <c r="D8" i="23"/>
  <c r="C34" i="23"/>
  <c r="B10" i="23"/>
  <c r="E46" i="23"/>
  <c r="C39" i="23"/>
  <c r="D39" i="23"/>
  <c r="E3" i="23"/>
  <c r="E39" i="23"/>
  <c r="B33" i="23"/>
  <c r="E44" i="23"/>
  <c r="D35" i="23"/>
  <c r="D50" i="23"/>
  <c r="D6" i="23"/>
  <c r="B29" i="23"/>
  <c r="B24" i="23"/>
  <c r="C3" i="23"/>
  <c r="B4" i="23"/>
  <c r="K19" i="7"/>
  <c r="K115" i="7" s="1"/>
  <c r="H19" i="7"/>
  <c r="H115" i="7" s="1"/>
  <c r="J19" i="7"/>
  <c r="J115" i="7" s="1"/>
  <c r="G3" i="22"/>
  <c r="G2" i="22"/>
  <c r="G5" i="22"/>
  <c r="G4" i="22"/>
  <c r="D5" i="21"/>
  <c r="Q6" i="10"/>
  <c r="D3" i="21"/>
  <c r="I5" i="21"/>
  <c r="G17" i="21"/>
  <c r="L5" i="21"/>
  <c r="J17" i="21"/>
  <c r="O5" i="21"/>
  <c r="M17" i="21"/>
  <c r="L3" i="21"/>
  <c r="L16" i="21" s="1"/>
  <c r="J18" i="21"/>
  <c r="G18" i="21"/>
  <c r="I3" i="21"/>
  <c r="I16" i="21" s="1"/>
  <c r="N17" i="10"/>
  <c r="P17" i="10" s="1"/>
  <c r="P4" i="10"/>
  <c r="M3" i="21" s="1"/>
  <c r="K17" i="10"/>
  <c r="M17" i="10" s="1"/>
  <c r="H17" i="10"/>
  <c r="J17" i="10" s="1"/>
  <c r="E17" i="10"/>
  <c r="G17" i="10" s="1"/>
  <c r="I115" i="7"/>
  <c r="AC38" i="11"/>
  <c r="AE38" i="11" s="1"/>
  <c r="AC23" i="11"/>
  <c r="AF19" i="11"/>
  <c r="AC30" i="11"/>
  <c r="AF42" i="11"/>
  <c r="AF7" i="11"/>
  <c r="AF32" i="11"/>
  <c r="AC16" i="11"/>
  <c r="AF37" i="11"/>
  <c r="AC7" i="11"/>
  <c r="AC19" i="11"/>
  <c r="AC22" i="11"/>
  <c r="AC42" i="11"/>
  <c r="AE42" i="11" s="1"/>
  <c r="AF22" i="11"/>
  <c r="AC37" i="11"/>
  <c r="AE37" i="11" s="1"/>
  <c r="AC15" i="11"/>
  <c r="AC24" i="11"/>
  <c r="AF40" i="11"/>
  <c r="AF26" i="11"/>
  <c r="AC41" i="11"/>
  <c r="AE41" i="11" s="1"/>
  <c r="AF28" i="11"/>
  <c r="AC5" i="11"/>
  <c r="AC31" i="11"/>
  <c r="AC17" i="11"/>
  <c r="AF27" i="11"/>
  <c r="AF14" i="11"/>
  <c r="AC14" i="11"/>
  <c r="AF41" i="11"/>
  <c r="AF18" i="11"/>
  <c r="AC10" i="11"/>
  <c r="AC20" i="11"/>
  <c r="AF8" i="11"/>
  <c r="AC32" i="11"/>
  <c r="AC9" i="11"/>
  <c r="AF29" i="11"/>
  <c r="AC29" i="11"/>
  <c r="AC6" i="11"/>
  <c r="AF33" i="11"/>
  <c r="AC33" i="11"/>
  <c r="AC43" i="11"/>
  <c r="AE43" i="11" s="1"/>
  <c r="AF23" i="11"/>
  <c r="AF9" i="11"/>
  <c r="AC11" i="11"/>
  <c r="AF6" i="11"/>
  <c r="AC21" i="11"/>
  <c r="AF24" i="11"/>
  <c r="AF10" i="11"/>
  <c r="AF20" i="11"/>
  <c r="AF38" i="11"/>
  <c r="AF15" i="11"/>
  <c r="AC34" i="11"/>
  <c r="AF21" i="11"/>
  <c r="AC36" i="11"/>
  <c r="AE36" i="11" s="1"/>
  <c r="AF39" i="11"/>
  <c r="AF25" i="11"/>
  <c r="AF43" i="11"/>
  <c r="AC12" i="11"/>
  <c r="AF30" i="11"/>
  <c r="AF11" i="11"/>
  <c r="AC3" i="11"/>
  <c r="AF13" i="11"/>
  <c r="AC13" i="11"/>
  <c r="AC39" i="11"/>
  <c r="AE39" i="11" s="1"/>
  <c r="AC25" i="11"/>
  <c r="AC35" i="11"/>
  <c r="AE35" i="11" s="1"/>
  <c r="AC4" i="11"/>
  <c r="AF34" i="11"/>
  <c r="AC26" i="11"/>
  <c r="AF36" i="11"/>
  <c r="AC28" i="11"/>
  <c r="AF16" i="11"/>
  <c r="AC40" i="11"/>
  <c r="AE40" i="11" s="1"/>
  <c r="AF12" i="11"/>
  <c r="AC27" i="11"/>
  <c r="AC8" i="11"/>
  <c r="AF3" i="11"/>
  <c r="AC18" i="11"/>
  <c r="AF5" i="11"/>
  <c r="AF31" i="11"/>
  <c r="AF17" i="11"/>
  <c r="AF35" i="11"/>
  <c r="AF4" i="11"/>
  <c r="Z11" i="11"/>
  <c r="Z21" i="11"/>
  <c r="Z31" i="11"/>
  <c r="Z41" i="11"/>
  <c r="W8" i="11"/>
  <c r="W18" i="11"/>
  <c r="W28" i="11"/>
  <c r="W38" i="11"/>
  <c r="Z4" i="11"/>
  <c r="Z14" i="11"/>
  <c r="Z16" i="11"/>
  <c r="W25" i="11"/>
  <c r="Z32" i="11"/>
  <c r="Z34" i="11"/>
  <c r="W11" i="11"/>
  <c r="W29" i="11"/>
  <c r="W31" i="11"/>
  <c r="W41" i="11"/>
  <c r="Z7" i="11"/>
  <c r="Z17" i="11"/>
  <c r="Z27" i="11"/>
  <c r="Z37" i="11"/>
  <c r="W32" i="11"/>
  <c r="W35" i="11"/>
  <c r="W4" i="11"/>
  <c r="W14" i="11"/>
  <c r="W24" i="11"/>
  <c r="W34" i="11"/>
  <c r="Z8" i="11"/>
  <c r="Z10" i="11"/>
  <c r="Z20" i="11"/>
  <c r="Z30" i="11"/>
  <c r="W5" i="11"/>
  <c r="W7" i="11"/>
  <c r="W17" i="11"/>
  <c r="W40" i="11"/>
  <c r="Z18" i="11"/>
  <c r="W15" i="11"/>
  <c r="W27" i="11"/>
  <c r="Z3" i="11"/>
  <c r="Z13" i="11"/>
  <c r="Z23" i="11"/>
  <c r="Z33" i="11"/>
  <c r="Z43" i="11"/>
  <c r="W10" i="11"/>
  <c r="W20" i="11"/>
  <c r="W30" i="11"/>
  <c r="W42" i="11"/>
  <c r="Z6" i="11"/>
  <c r="Z24" i="11"/>
  <c r="Z26" i="11"/>
  <c r="Z36" i="11"/>
  <c r="W3" i="11"/>
  <c r="W21" i="11"/>
  <c r="W23" i="11"/>
  <c r="W33" i="11"/>
  <c r="W43" i="11"/>
  <c r="Z9" i="11"/>
  <c r="Z19" i="11"/>
  <c r="Z38" i="11"/>
  <c r="Z29" i="11"/>
  <c r="Z39" i="11"/>
  <c r="W6" i="11"/>
  <c r="W16" i="11"/>
  <c r="W26" i="11"/>
  <c r="W36" i="11"/>
  <c r="Z12" i="11"/>
  <c r="Z22" i="11"/>
  <c r="Z40" i="11"/>
  <c r="Z42" i="11"/>
  <c r="Z28" i="11"/>
  <c r="W9" i="11"/>
  <c r="W19" i="11"/>
  <c r="W37" i="11"/>
  <c r="W39" i="11"/>
  <c r="Z5" i="11"/>
  <c r="Z15" i="11"/>
  <c r="Z25" i="11"/>
  <c r="Z35" i="11"/>
  <c r="W12" i="11"/>
  <c r="W22" i="11"/>
  <c r="W13" i="11"/>
  <c r="U7" i="11"/>
  <c r="S5" i="11"/>
  <c r="O7" i="11"/>
  <c r="Q7" i="11"/>
  <c r="S7" i="11"/>
  <c r="U5" i="11"/>
  <c r="U3" i="11"/>
  <c r="S3" i="11"/>
  <c r="Q3" i="11"/>
  <c r="O3" i="11"/>
  <c r="Q5" i="11"/>
  <c r="O5" i="11"/>
  <c r="U18" i="11"/>
  <c r="S18" i="11"/>
  <c r="Q18" i="11"/>
  <c r="O18" i="11"/>
  <c r="U8" i="11"/>
  <c r="O8" i="11"/>
  <c r="S8" i="11"/>
  <c r="Q8" i="11"/>
  <c r="U9" i="11"/>
  <c r="S9" i="11"/>
  <c r="O9" i="11"/>
  <c r="Q9" i="11"/>
  <c r="S28" i="11"/>
  <c r="Q28" i="11"/>
  <c r="U28" i="11"/>
  <c r="O28" i="11"/>
  <c r="S13" i="11"/>
  <c r="O13" i="11"/>
  <c r="Q13" i="11"/>
  <c r="U13" i="11"/>
  <c r="Q15" i="11"/>
  <c r="O15" i="11"/>
  <c r="U15" i="11"/>
  <c r="S15" i="11"/>
  <c r="U17" i="11"/>
  <c r="S17" i="11"/>
  <c r="O17" i="11"/>
  <c r="Q17" i="11"/>
  <c r="S4" i="11"/>
  <c r="Q4" i="11"/>
  <c r="U4" i="11"/>
  <c r="O4" i="11"/>
  <c r="Q22" i="11"/>
  <c r="O22" i="11"/>
  <c r="U22" i="11"/>
  <c r="S22" i="11"/>
  <c r="Q31" i="11"/>
  <c r="U31" i="11"/>
  <c r="O31" i="11"/>
  <c r="S31" i="11"/>
  <c r="S12" i="11"/>
  <c r="Q12" i="11"/>
  <c r="U12" i="11"/>
  <c r="O12" i="11"/>
  <c r="U32" i="11"/>
  <c r="O32" i="11"/>
  <c r="S32" i="11"/>
  <c r="Q32" i="11"/>
  <c r="Q14" i="11"/>
  <c r="O14" i="11"/>
  <c r="U14" i="11"/>
  <c r="S14" i="11"/>
  <c r="U24" i="11"/>
  <c r="O24" i="11"/>
  <c r="S24" i="11"/>
  <c r="Q24" i="11"/>
  <c r="U34" i="11"/>
  <c r="S34" i="11"/>
  <c r="Q34" i="11"/>
  <c r="O34" i="11"/>
  <c r="Q6" i="11"/>
  <c r="O6" i="11"/>
  <c r="U6" i="11"/>
  <c r="S6" i="11"/>
  <c r="U11" i="11"/>
  <c r="S11" i="11"/>
  <c r="Q11" i="11"/>
  <c r="O11" i="11"/>
  <c r="U16" i="11"/>
  <c r="O16" i="11"/>
  <c r="S16" i="11"/>
  <c r="Q16" i="11"/>
  <c r="U19" i="11"/>
  <c r="S19" i="11"/>
  <c r="Q19" i="11"/>
  <c r="O19" i="11"/>
  <c r="U25" i="11"/>
  <c r="S25" i="11"/>
  <c r="O25" i="11"/>
  <c r="Q25" i="11"/>
  <c r="S37" i="11"/>
  <c r="Q37" i="11"/>
  <c r="O37" i="11"/>
  <c r="U37" i="11"/>
  <c r="U10" i="11"/>
  <c r="S10" i="11"/>
  <c r="Q10" i="11"/>
  <c r="O10" i="11"/>
  <c r="K18" i="11"/>
  <c r="D48" i="4"/>
  <c r="D45" i="4"/>
  <c r="D46" i="4"/>
  <c r="D47" i="4"/>
  <c r="D39" i="4"/>
  <c r="D38" i="4"/>
  <c r="D40" i="4"/>
  <c r="D17" i="21" l="1"/>
  <c r="C53" i="23"/>
  <c r="D53" i="23"/>
  <c r="E53" i="23"/>
  <c r="B53" i="23"/>
  <c r="F51" i="23"/>
  <c r="F32" i="23"/>
  <c r="F28" i="23"/>
  <c r="F48" i="23"/>
  <c r="F15" i="23"/>
  <c r="F22" i="23"/>
  <c r="F36" i="23"/>
  <c r="F13" i="23"/>
  <c r="F11" i="23"/>
  <c r="F50" i="23"/>
  <c r="F27" i="23"/>
  <c r="F30" i="23"/>
  <c r="F49" i="23"/>
  <c r="F46" i="23"/>
  <c r="F5" i="23"/>
  <c r="F24" i="23"/>
  <c r="F19" i="23"/>
  <c r="F42" i="23"/>
  <c r="F9" i="23"/>
  <c r="F38" i="23"/>
  <c r="F3" i="23"/>
  <c r="F16" i="23"/>
  <c r="F34" i="23"/>
  <c r="F41" i="23"/>
  <c r="F29" i="23"/>
  <c r="F14" i="23"/>
  <c r="F6" i="23"/>
  <c r="F45" i="23"/>
  <c r="F31" i="23"/>
  <c r="F21" i="23"/>
  <c r="F18" i="23"/>
  <c r="F12" i="23"/>
  <c r="F8" i="23"/>
  <c r="F20" i="23"/>
  <c r="F39" i="23"/>
  <c r="F43" i="23"/>
  <c r="F37" i="23"/>
  <c r="F44" i="23"/>
  <c r="F4" i="23"/>
  <c r="F25" i="23"/>
  <c r="F35" i="23"/>
  <c r="F17" i="23"/>
  <c r="F33" i="23"/>
  <c r="F40" i="23"/>
  <c r="F10" i="23"/>
  <c r="F7" i="23"/>
  <c r="F47" i="23"/>
  <c r="F26" i="23"/>
  <c r="F52" i="23"/>
  <c r="F23" i="23"/>
  <c r="P3" i="21"/>
  <c r="P16" i="21" s="1"/>
  <c r="M16" i="21"/>
  <c r="F3" i="21"/>
  <c r="F16" i="21" s="1"/>
  <c r="D16" i="21"/>
  <c r="F5" i="21"/>
  <c r="R5" i="21" s="1"/>
  <c r="D18" i="21"/>
  <c r="Q17" i="10"/>
  <c r="P5" i="21"/>
  <c r="P17" i="21" s="1"/>
  <c r="Q4" i="10"/>
  <c r="M18" i="21"/>
  <c r="O3" i="21"/>
  <c r="AH30" i="11"/>
  <c r="Q44" i="11"/>
  <c r="C3" i="14" s="1"/>
  <c r="S44" i="11"/>
  <c r="C4" i="14" s="1"/>
  <c r="U44" i="11"/>
  <c r="C5" i="14" s="1"/>
  <c r="AH23" i="11"/>
  <c r="O44" i="11"/>
  <c r="C2" i="14" s="1"/>
  <c r="AH21" i="11"/>
  <c r="AH13" i="11"/>
  <c r="AH19" i="11"/>
  <c r="AH17" i="11"/>
  <c r="AH22" i="11"/>
  <c r="AH34" i="11"/>
  <c r="AH12" i="11"/>
  <c r="AH36" i="11"/>
  <c r="AH6" i="11"/>
  <c r="AH3" i="11"/>
  <c r="AH4" i="11"/>
  <c r="AH37" i="11"/>
  <c r="AH40" i="11"/>
  <c r="AH8" i="11"/>
  <c r="AH24" i="11"/>
  <c r="AH25" i="11"/>
  <c r="AH9" i="11"/>
  <c r="AH26" i="11"/>
  <c r="AH43" i="11"/>
  <c r="AH7" i="11"/>
  <c r="AH14" i="11"/>
  <c r="AH41" i="11"/>
  <c r="AH16" i="11"/>
  <c r="AH33" i="11"/>
  <c r="AH42" i="11"/>
  <c r="AH5" i="11"/>
  <c r="AH31" i="11"/>
  <c r="AH35" i="11"/>
  <c r="AH29" i="11"/>
  <c r="AH20" i="11"/>
  <c r="AH27" i="11"/>
  <c r="AH32" i="11"/>
  <c r="AH11" i="11"/>
  <c r="AH38" i="11"/>
  <c r="AH10" i="11"/>
  <c r="AH15" i="11"/>
  <c r="AH28" i="11"/>
  <c r="AH39" i="11"/>
  <c r="AH18" i="11"/>
  <c r="L18" i="11"/>
  <c r="K19" i="11"/>
  <c r="R3" i="21" l="1"/>
  <c r="R16" i="21" s="1"/>
  <c r="O16" i="21"/>
  <c r="P18" i="21"/>
  <c r="C6" i="14"/>
  <c r="L19" i="11"/>
  <c r="K20" i="11"/>
  <c r="L20" i="11" l="1"/>
  <c r="K21" i="11"/>
  <c r="L21" i="11" l="1"/>
  <c r="K22" i="11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94" i="7"/>
  <c r="L95" i="7"/>
  <c r="L97" i="7"/>
  <c r="L98" i="7"/>
  <c r="L99" i="7"/>
  <c r="L100" i="7"/>
  <c r="L101" i="7"/>
  <c r="L102" i="7"/>
  <c r="L103" i="7"/>
  <c r="L105" i="7"/>
  <c r="L106" i="7"/>
  <c r="L111" i="7"/>
  <c r="L112" i="7"/>
  <c r="L2" i="7"/>
  <c r="A499" i="1"/>
  <c r="V499" i="1" s="1"/>
  <c r="A724" i="1"/>
  <c r="V724" i="1" s="1"/>
  <c r="A870" i="1"/>
  <c r="V870" i="1" s="1"/>
  <c r="A950" i="1"/>
  <c r="V950" i="1" s="1"/>
  <c r="A1013" i="1"/>
  <c r="V1013" i="1" s="1"/>
  <c r="A400" i="1"/>
  <c r="V400" i="1" s="1"/>
  <c r="A740" i="1"/>
  <c r="V740" i="1" s="1"/>
  <c r="A1034" i="1"/>
  <c r="V1034" i="1" s="1"/>
  <c r="A1155" i="1"/>
  <c r="V1155" i="1" s="1"/>
  <c r="A434" i="1"/>
  <c r="V434" i="1" s="1"/>
  <c r="A433" i="1"/>
  <c r="V433" i="1" s="1"/>
  <c r="A432" i="1"/>
  <c r="V432" i="1" s="1"/>
  <c r="A334" i="1"/>
  <c r="V334" i="1" s="1"/>
  <c r="A333" i="1"/>
  <c r="V333" i="1" s="1"/>
  <c r="A332" i="1"/>
  <c r="V332" i="1" s="1"/>
  <c r="A331" i="1"/>
  <c r="V331" i="1" s="1"/>
  <c r="A210" i="1"/>
  <c r="V210" i="1" s="1"/>
  <c r="A209" i="1"/>
  <c r="V209" i="1" s="1"/>
  <c r="A208" i="1"/>
  <c r="V208" i="1" s="1"/>
  <c r="A207" i="1"/>
  <c r="V207" i="1" s="1"/>
  <c r="B3" i="7"/>
  <c r="D3" i="7" s="1"/>
  <c r="B4" i="7"/>
  <c r="D4" i="7" s="1"/>
  <c r="B5" i="7"/>
  <c r="D5" i="7" s="1"/>
  <c r="B6" i="7"/>
  <c r="D6" i="7" s="1"/>
  <c r="B7" i="7"/>
  <c r="D7" i="7" s="1"/>
  <c r="B8" i="7"/>
  <c r="D8" i="7" s="1"/>
  <c r="B9" i="7"/>
  <c r="D9" i="7" s="1"/>
  <c r="B10" i="7"/>
  <c r="D10" i="7" s="1"/>
  <c r="B11" i="7"/>
  <c r="D11" i="7" s="1"/>
  <c r="B12" i="7"/>
  <c r="D12" i="7" s="1"/>
  <c r="B13" i="7"/>
  <c r="D13" i="7" s="1"/>
  <c r="B14" i="7"/>
  <c r="D14" i="7" s="1"/>
  <c r="B15" i="7"/>
  <c r="D15" i="7" s="1"/>
  <c r="B16" i="7"/>
  <c r="D16" i="7" s="1"/>
  <c r="B17" i="7"/>
  <c r="D17" i="7" s="1"/>
  <c r="B18" i="7"/>
  <c r="D18" i="7" s="1"/>
  <c r="B94" i="7"/>
  <c r="D94" i="7" s="1"/>
  <c r="B95" i="7"/>
  <c r="D95" i="7" s="1"/>
  <c r="B96" i="7"/>
  <c r="D96" i="7" s="1"/>
  <c r="B97" i="7"/>
  <c r="D97" i="7" s="1"/>
  <c r="B98" i="7"/>
  <c r="D98" i="7" s="1"/>
  <c r="B99" i="7"/>
  <c r="D99" i="7" s="1"/>
  <c r="B100" i="7"/>
  <c r="D100" i="7" s="1"/>
  <c r="B101" i="7"/>
  <c r="D101" i="7" s="1"/>
  <c r="B102" i="7"/>
  <c r="D102" i="7" s="1"/>
  <c r="B103" i="7"/>
  <c r="D103" i="7" s="1"/>
  <c r="B105" i="7"/>
  <c r="D105" i="7" s="1"/>
  <c r="B106" i="7"/>
  <c r="D106" i="7" s="1"/>
  <c r="B111" i="7"/>
  <c r="D111" i="7" s="1"/>
  <c r="B112" i="7"/>
  <c r="D112" i="7" s="1"/>
  <c r="D2" i="7"/>
  <c r="A777" i="1"/>
  <c r="V777" i="1" s="1"/>
  <c r="A1010" i="1"/>
  <c r="V1010" i="1" s="1"/>
  <c r="A867" i="1"/>
  <c r="V867" i="1" s="1"/>
  <c r="A722" i="1"/>
  <c r="V722" i="1" s="1"/>
  <c r="A933" i="1"/>
  <c r="V933" i="1" s="1"/>
  <c r="A255" i="1"/>
  <c r="V255" i="1" s="1"/>
  <c r="A382" i="1"/>
  <c r="V382" i="1" s="1"/>
  <c r="A491" i="1"/>
  <c r="V491" i="1" s="1"/>
  <c r="A570" i="1"/>
  <c r="V570" i="1" s="1"/>
  <c r="A641" i="1"/>
  <c r="V641" i="1" s="1"/>
  <c r="A642" i="1"/>
  <c r="V642" i="1" s="1"/>
  <c r="A706" i="1"/>
  <c r="V706" i="1" s="1"/>
  <c r="A840" i="1"/>
  <c r="V840" i="1" s="1"/>
  <c r="A583" i="1"/>
  <c r="V583" i="1" s="1"/>
  <c r="A391" i="1"/>
  <c r="V391" i="1" s="1"/>
  <c r="A1317" i="1"/>
  <c r="A1316" i="1"/>
  <c r="V1316" i="1" s="1"/>
  <c r="A1308" i="1"/>
  <c r="V1308" i="1" s="1"/>
  <c r="A1304" i="1"/>
  <c r="V1304" i="1" s="1"/>
  <c r="A1288" i="1"/>
  <c r="V1288" i="1" s="1"/>
  <c r="A1251" i="1"/>
  <c r="V1251" i="1" s="1"/>
  <c r="A1213" i="1"/>
  <c r="V1213" i="1" s="1"/>
  <c r="A1138" i="1"/>
  <c r="V1138" i="1" s="1"/>
  <c r="A1041" i="1"/>
  <c r="V1041" i="1" s="1"/>
  <c r="A815" i="1"/>
  <c r="V815" i="1" s="1"/>
  <c r="A599" i="1"/>
  <c r="V599" i="1" s="1"/>
  <c r="A928" i="1"/>
  <c r="V928" i="1" s="1"/>
  <c r="A767" i="1"/>
  <c r="V767" i="1" s="1"/>
  <c r="A638" i="1"/>
  <c r="V638" i="1" s="1"/>
  <c r="W291" i="1"/>
  <c r="A185" i="1"/>
  <c r="V185" i="1" s="1"/>
  <c r="A184" i="1"/>
  <c r="V184" i="1" s="1"/>
  <c r="A183" i="1"/>
  <c r="V183" i="1" s="1"/>
  <c r="A1204" i="1"/>
  <c r="V1204" i="1" s="1"/>
  <c r="A1153" i="1"/>
  <c r="V1153" i="1" s="1"/>
  <c r="A1101" i="1"/>
  <c r="V1101" i="1" s="1"/>
  <c r="A912" i="1"/>
  <c r="V912" i="1" s="1"/>
  <c r="A871" i="1"/>
  <c r="V871" i="1" s="1"/>
  <c r="A725" i="1"/>
  <c r="V725" i="1" s="1"/>
  <c r="A585" i="1"/>
  <c r="V585" i="1" s="1"/>
  <c r="A418" i="1"/>
  <c r="V418" i="1" s="1"/>
  <c r="A187" i="1"/>
  <c r="V187" i="1" s="1"/>
  <c r="A163" i="1"/>
  <c r="V163" i="1" s="1"/>
  <c r="A298" i="1"/>
  <c r="V298" i="1" s="1"/>
  <c r="A299" i="1"/>
  <c r="V299" i="1" s="1"/>
  <c r="A407" i="1"/>
  <c r="V407" i="1" s="1"/>
  <c r="A408" i="1"/>
  <c r="V408" i="1" s="1"/>
  <c r="A577" i="1"/>
  <c r="V577" i="1" s="1"/>
  <c r="A716" i="1"/>
  <c r="V716" i="1" s="1"/>
  <c r="A860" i="1"/>
  <c r="V860" i="1" s="1"/>
  <c r="H9" i="4"/>
  <c r="F8" i="4"/>
  <c r="B12" i="6"/>
  <c r="C12" i="6" s="1"/>
  <c r="C13" i="6"/>
  <c r="C14" i="6"/>
  <c r="C15" i="6"/>
  <c r="C16" i="6"/>
  <c r="C17" i="6"/>
  <c r="C18" i="6"/>
  <c r="C19" i="6"/>
  <c r="C20" i="6"/>
  <c r="C21" i="6"/>
  <c r="C22" i="6"/>
  <c r="A621" i="1"/>
  <c r="V621" i="1" s="1"/>
  <c r="A681" i="1"/>
  <c r="V681" i="1" s="1"/>
  <c r="A637" i="1"/>
  <c r="V637" i="1" s="1"/>
  <c r="A999" i="1"/>
  <c r="V999" i="1" s="1"/>
  <c r="A945" i="1"/>
  <c r="V945" i="1" s="1"/>
  <c r="A789" i="1"/>
  <c r="V789" i="1" s="1"/>
  <c r="A1027" i="1"/>
  <c r="V1027" i="1" s="1"/>
  <c r="A831" i="1"/>
  <c r="V831" i="1" s="1"/>
  <c r="A1169" i="1"/>
  <c r="V1169" i="1" s="1"/>
  <c r="A1141" i="1"/>
  <c r="V1141" i="1" s="1"/>
  <c r="A415" i="1"/>
  <c r="V415" i="1" s="1"/>
  <c r="A960" i="1"/>
  <c r="V960" i="1" s="1"/>
  <c r="A1024" i="1"/>
  <c r="V1024" i="1" s="1"/>
  <c r="A1086" i="1"/>
  <c r="V1086" i="1" s="1"/>
  <c r="A1025" i="1"/>
  <c r="A905" i="1"/>
  <c r="V905" i="1" s="1"/>
  <c r="A1148" i="1"/>
  <c r="V1148" i="1" s="1"/>
  <c r="A972" i="1"/>
  <c r="V972" i="1" s="1"/>
  <c r="A1247" i="1"/>
  <c r="V1247" i="1" s="1"/>
  <c r="A1128" i="1"/>
  <c r="V1128" i="1" s="1"/>
  <c r="A1184" i="1"/>
  <c r="V1184" i="1" s="1"/>
  <c r="A1276" i="1"/>
  <c r="V1276" i="1" s="1"/>
  <c r="A1023" i="1"/>
  <c r="V1023" i="1" s="1"/>
  <c r="A990" i="1"/>
  <c r="V990" i="1" s="1"/>
  <c r="A839" i="1"/>
  <c r="V839" i="1" s="1"/>
  <c r="A1014" i="1"/>
  <c r="V1014" i="1" s="1"/>
  <c r="A1019" i="1"/>
  <c r="V1019" i="1" s="1"/>
  <c r="A1147" i="1"/>
  <c r="V1147" i="1" s="1"/>
  <c r="A971" i="1"/>
  <c r="V971" i="1" s="1"/>
  <c r="A680" i="1"/>
  <c r="V680" i="1" s="1"/>
  <c r="A622" i="1"/>
  <c r="V622" i="1" s="1"/>
  <c r="A1001" i="1"/>
  <c r="V1001" i="1" s="1"/>
  <c r="A757" i="1"/>
  <c r="V757" i="1" s="1"/>
  <c r="A1040" i="1"/>
  <c r="V1040" i="1" s="1"/>
  <c r="A1309" i="1"/>
  <c r="V1309" i="1" s="1"/>
  <c r="A1303" i="1"/>
  <c r="V1303" i="1" s="1"/>
  <c r="A1271" i="1"/>
  <c r="V1271" i="1" s="1"/>
  <c r="A819" i="1"/>
  <c r="A552" i="1"/>
  <c r="V552" i="1" s="1"/>
  <c r="A376" i="1"/>
  <c r="V376" i="1" s="1"/>
  <c r="A1285" i="1"/>
  <c r="V1285" i="1" s="1"/>
  <c r="A1211" i="1"/>
  <c r="V1211" i="1" s="1"/>
  <c r="A1038" i="1"/>
  <c r="V1038" i="1" s="1"/>
  <c r="A1012" i="1"/>
  <c r="V1012" i="1" s="1"/>
  <c r="A869" i="1"/>
  <c r="V869" i="1" s="1"/>
  <c r="A723" i="1"/>
  <c r="V723" i="1" s="1"/>
  <c r="A584" i="1"/>
  <c r="V584" i="1" s="1"/>
  <c r="A392" i="1"/>
  <c r="V392" i="1" s="1"/>
  <c r="A1198" i="1"/>
  <c r="V1198" i="1" s="1"/>
  <c r="A989" i="1"/>
  <c r="V989" i="1" s="1"/>
  <c r="A685" i="1"/>
  <c r="V685" i="1" s="1"/>
  <c r="A750" i="1"/>
  <c r="V750" i="1" s="1"/>
  <c r="A533" i="1"/>
  <c r="V533" i="1" s="1"/>
  <c r="A539" i="1"/>
  <c r="V539" i="1" s="1"/>
  <c r="A1154" i="1"/>
  <c r="V1154" i="1" s="1"/>
  <c r="A1181" i="1"/>
  <c r="V1181" i="1" s="1"/>
  <c r="A806" i="1"/>
  <c r="V806" i="1" s="1"/>
  <c r="A1265" i="1"/>
  <c r="V1265" i="1" s="1"/>
  <c r="A816" i="1"/>
  <c r="V816" i="1" s="1"/>
  <c r="A1007" i="1"/>
  <c r="V1007" i="1" s="1"/>
  <c r="A793" i="1"/>
  <c r="V793" i="1" s="1"/>
  <c r="A579" i="1"/>
  <c r="V579" i="1" s="1"/>
  <c r="A697" i="1"/>
  <c r="V697" i="1" s="1"/>
  <c r="A564" i="1"/>
  <c r="V564" i="1" s="1"/>
  <c r="A721" i="1"/>
  <c r="V721" i="1" s="1"/>
  <c r="A652" i="1"/>
  <c r="V652" i="1" s="1"/>
  <c r="A582" i="1"/>
  <c r="V582" i="1" s="1"/>
  <c r="A498" i="1"/>
  <c r="V498" i="1" s="1"/>
  <c r="A390" i="1"/>
  <c r="V390" i="1" s="1"/>
  <c r="A262" i="1"/>
  <c r="V262" i="1" s="1"/>
  <c r="A535" i="1"/>
  <c r="V535" i="1" s="1"/>
  <c r="A440" i="1"/>
  <c r="V440" i="1" s="1"/>
  <c r="A350" i="1"/>
  <c r="V350" i="1" s="1"/>
  <c r="A612" i="1"/>
  <c r="V612" i="1" s="1"/>
  <c r="A520" i="1"/>
  <c r="V520" i="1" s="1"/>
  <c r="A426" i="1"/>
  <c r="V426" i="1" s="1"/>
  <c r="A320" i="1"/>
  <c r="V320" i="1" s="1"/>
  <c r="A194" i="1"/>
  <c r="V194" i="1" s="1"/>
  <c r="A682" i="1"/>
  <c r="V682" i="1" s="1"/>
  <c r="A549" i="1"/>
  <c r="V549" i="1" s="1"/>
  <c r="A371" i="1"/>
  <c r="V371" i="1" s="1"/>
  <c r="A186" i="1"/>
  <c r="V186" i="1" s="1"/>
  <c r="A412" i="1"/>
  <c r="V412" i="1" s="1"/>
  <c r="A604" i="1"/>
  <c r="V604" i="1" s="1"/>
  <c r="A430" i="1"/>
  <c r="V430" i="1" s="1"/>
  <c r="A206" i="1"/>
  <c r="V206" i="1" s="1"/>
  <c r="A419" i="1"/>
  <c r="V419" i="1" s="1"/>
  <c r="A170" i="1"/>
  <c r="V170" i="1" s="1"/>
  <c r="A363" i="1"/>
  <c r="V363" i="1" s="1"/>
  <c r="A1117" i="1"/>
  <c r="V1117" i="1" s="1"/>
  <c r="A966" i="1"/>
  <c r="V966" i="1" s="1"/>
  <c r="A661" i="1"/>
  <c r="V661" i="1" s="1"/>
  <c r="A834" i="1"/>
  <c r="V834" i="1" s="1"/>
  <c r="A773" i="1"/>
  <c r="V773" i="1" s="1"/>
  <c r="A702" i="1"/>
  <c r="V702" i="1" s="1"/>
  <c r="A565" i="1"/>
  <c r="V565" i="1" s="1"/>
  <c r="A379" i="1"/>
  <c r="A758" i="1"/>
  <c r="V758" i="1" s="1"/>
  <c r="A557" i="1"/>
  <c r="V557" i="1" s="1"/>
  <c r="A958" i="1"/>
  <c r="V958" i="1" s="1"/>
  <c r="A798" i="1"/>
  <c r="V798" i="1" s="1"/>
  <c r="A655" i="1"/>
  <c r="V655" i="1" s="1"/>
  <c r="A587" i="1"/>
  <c r="V587" i="1" s="1"/>
  <c r="A500" i="1"/>
  <c r="V500" i="1" s="1"/>
  <c r="A393" i="1"/>
  <c r="V393" i="1" s="1"/>
  <c r="A608" i="1"/>
  <c r="V608" i="1" s="1"/>
  <c r="A437" i="1"/>
  <c r="V437" i="1" s="1"/>
  <c r="A213" i="1"/>
  <c r="V213" i="1" s="1"/>
  <c r="A1113" i="1"/>
  <c r="V1113" i="1" s="1"/>
  <c r="A1054" i="1"/>
  <c r="V1054" i="1" s="1"/>
  <c r="A944" i="1"/>
  <c r="V944" i="1" s="1"/>
  <c r="A787" i="1"/>
  <c r="V787" i="1" s="1"/>
  <c r="A711" i="1"/>
  <c r="V711" i="1" s="1"/>
  <c r="A575" i="1"/>
  <c r="V575" i="1" s="1"/>
  <c r="A387" i="1"/>
  <c r="V387" i="1" s="1"/>
  <c r="I8" i="4"/>
  <c r="I7" i="4"/>
  <c r="F7" i="4"/>
  <c r="I6" i="4"/>
  <c r="H6" i="4"/>
  <c r="I5" i="4"/>
  <c r="H5" i="4"/>
  <c r="I4" i="4"/>
  <c r="I3" i="4"/>
  <c r="I2" i="4"/>
  <c r="A605" i="1"/>
  <c r="V605" i="1" s="1"/>
  <c r="A529" i="1"/>
  <c r="V529" i="1" s="1"/>
  <c r="A528" i="1"/>
  <c r="V528" i="1" s="1"/>
  <c r="A527" i="1"/>
  <c r="V527" i="1" s="1"/>
  <c r="A410" i="1"/>
  <c r="A305" i="1"/>
  <c r="A304" i="1"/>
  <c r="A172" i="1"/>
  <c r="A165" i="1"/>
  <c r="V165" i="1" s="1"/>
  <c r="A598" i="1"/>
  <c r="V598" i="1" s="1"/>
  <c r="A264" i="1"/>
  <c r="V264" i="1" s="1"/>
  <c r="A1060" i="1"/>
  <c r="V1060" i="1" s="1"/>
  <c r="V379" i="1" l="1"/>
  <c r="Z379" i="1" s="1"/>
  <c r="V1317" i="1"/>
  <c r="Z1317" i="1" s="1"/>
  <c r="V819" i="1"/>
  <c r="Z819" i="1" s="1"/>
  <c r="W819" i="1"/>
  <c r="AK1025" i="1"/>
  <c r="V1025" i="1"/>
  <c r="W1060" i="1"/>
  <c r="AK1060" i="1"/>
  <c r="W264" i="1"/>
  <c r="AK264" i="1"/>
  <c r="W598" i="1"/>
  <c r="AK598" i="1"/>
  <c r="W165" i="1"/>
  <c r="AK165" i="1"/>
  <c r="W172" i="1"/>
  <c r="AK172" i="1"/>
  <c r="W304" i="1"/>
  <c r="AK304" i="1"/>
  <c r="W305" i="1"/>
  <c r="AK305" i="1"/>
  <c r="W410" i="1"/>
  <c r="AK410" i="1"/>
  <c r="W527" i="1"/>
  <c r="AK527" i="1"/>
  <c r="W528" i="1"/>
  <c r="AK528" i="1"/>
  <c r="W529" i="1"/>
  <c r="AK529" i="1"/>
  <c r="W605" i="1"/>
  <c r="AK605" i="1"/>
  <c r="W387" i="1"/>
  <c r="AK387" i="1"/>
  <c r="W575" i="1"/>
  <c r="AK575" i="1"/>
  <c r="W711" i="1"/>
  <c r="AK711" i="1"/>
  <c r="W787" i="1"/>
  <c r="AK787" i="1"/>
  <c r="W944" i="1"/>
  <c r="AK944" i="1"/>
  <c r="W1054" i="1"/>
  <c r="AK1054" i="1"/>
  <c r="W1113" i="1"/>
  <c r="AK1113" i="1"/>
  <c r="W213" i="1"/>
  <c r="AK213" i="1"/>
  <c r="W437" i="1"/>
  <c r="AK437" i="1"/>
  <c r="W608" i="1"/>
  <c r="AK608" i="1"/>
  <c r="W393" i="1"/>
  <c r="AK393" i="1"/>
  <c r="W500" i="1"/>
  <c r="AK500" i="1"/>
  <c r="W587" i="1"/>
  <c r="AK587" i="1"/>
  <c r="W655" i="1"/>
  <c r="AK655" i="1"/>
  <c r="W798" i="1"/>
  <c r="AK798" i="1"/>
  <c r="W958" i="1"/>
  <c r="AK958" i="1"/>
  <c r="W557" i="1"/>
  <c r="AK557" i="1"/>
  <c r="W758" i="1"/>
  <c r="AK758" i="1"/>
  <c r="W379" i="1"/>
  <c r="AK379" i="1"/>
  <c r="W565" i="1"/>
  <c r="AK565" i="1"/>
  <c r="W702" i="1"/>
  <c r="AK702" i="1"/>
  <c r="W773" i="1"/>
  <c r="AK773" i="1"/>
  <c r="W834" i="1"/>
  <c r="AK834" i="1"/>
  <c r="W661" i="1"/>
  <c r="AK661" i="1"/>
  <c r="W966" i="1"/>
  <c r="AK966" i="1"/>
  <c r="W1117" i="1"/>
  <c r="AK1117" i="1"/>
  <c r="W363" i="1"/>
  <c r="AK363" i="1"/>
  <c r="W170" i="1"/>
  <c r="AK170" i="1"/>
  <c r="W419" i="1"/>
  <c r="AK419" i="1"/>
  <c r="W206" i="1"/>
  <c r="AK206" i="1"/>
  <c r="W430" i="1"/>
  <c r="AK430" i="1"/>
  <c r="W604" i="1"/>
  <c r="AK604" i="1"/>
  <c r="W412" i="1"/>
  <c r="AK412" i="1"/>
  <c r="W186" i="1"/>
  <c r="AK186" i="1"/>
  <c r="W371" i="1"/>
  <c r="AK371" i="1"/>
  <c r="W549" i="1"/>
  <c r="AK549" i="1"/>
  <c r="W682" i="1"/>
  <c r="AK682" i="1"/>
  <c r="W194" i="1"/>
  <c r="AK194" i="1"/>
  <c r="W320" i="1"/>
  <c r="AK320" i="1"/>
  <c r="W426" i="1"/>
  <c r="AK426" i="1"/>
  <c r="W520" i="1"/>
  <c r="AK520" i="1"/>
  <c r="W612" i="1"/>
  <c r="AK612" i="1"/>
  <c r="W350" i="1"/>
  <c r="AK350" i="1"/>
  <c r="W440" i="1"/>
  <c r="AK440" i="1"/>
  <c r="W535" i="1"/>
  <c r="AK535" i="1"/>
  <c r="W262" i="1"/>
  <c r="AK262" i="1"/>
  <c r="W390" i="1"/>
  <c r="AK390" i="1"/>
  <c r="W498" i="1"/>
  <c r="AK498" i="1"/>
  <c r="W582" i="1"/>
  <c r="AK582" i="1"/>
  <c r="W652" i="1"/>
  <c r="AK652" i="1"/>
  <c r="W721" i="1"/>
  <c r="AK721" i="1"/>
  <c r="W564" i="1"/>
  <c r="AK564" i="1"/>
  <c r="W697" i="1"/>
  <c r="AK697" i="1"/>
  <c r="W579" i="1"/>
  <c r="AK579" i="1"/>
  <c r="W793" i="1"/>
  <c r="AK793" i="1"/>
  <c r="W1007" i="1"/>
  <c r="AK1007" i="1"/>
  <c r="W816" i="1"/>
  <c r="AK816" i="1"/>
  <c r="W1265" i="1"/>
  <c r="AK1265" i="1"/>
  <c r="W806" i="1"/>
  <c r="AK806" i="1"/>
  <c r="W1181" i="1"/>
  <c r="AK1181" i="1"/>
  <c r="W1154" i="1"/>
  <c r="AK1154" i="1"/>
  <c r="W539" i="1"/>
  <c r="AK539" i="1"/>
  <c r="W533" i="1"/>
  <c r="AK533" i="1"/>
  <c r="W750" i="1"/>
  <c r="AK750" i="1"/>
  <c r="W685" i="1"/>
  <c r="AK685" i="1"/>
  <c r="W989" i="1"/>
  <c r="AK989" i="1"/>
  <c r="W1198" i="1"/>
  <c r="AK1198" i="1"/>
  <c r="W392" i="1"/>
  <c r="AK392" i="1"/>
  <c r="W584" i="1"/>
  <c r="AK584" i="1"/>
  <c r="W723" i="1"/>
  <c r="AK723" i="1"/>
  <c r="W869" i="1"/>
  <c r="AK869" i="1"/>
  <c r="W1012" i="1"/>
  <c r="AK1012" i="1"/>
  <c r="W1038" i="1"/>
  <c r="AK1038" i="1"/>
  <c r="W1211" i="1"/>
  <c r="AK1211" i="1"/>
  <c r="W1285" i="1"/>
  <c r="AK1285" i="1"/>
  <c r="W376" i="1"/>
  <c r="AK376" i="1"/>
  <c r="W552" i="1"/>
  <c r="AK552" i="1"/>
  <c r="AK819" i="1"/>
  <c r="W1271" i="1"/>
  <c r="AK1271" i="1"/>
  <c r="W1303" i="1"/>
  <c r="AK1303" i="1"/>
  <c r="W1309" i="1"/>
  <c r="AK1309" i="1"/>
  <c r="W1040" i="1"/>
  <c r="AK1040" i="1"/>
  <c r="W757" i="1"/>
  <c r="AK757" i="1"/>
  <c r="W1001" i="1"/>
  <c r="AK1001" i="1"/>
  <c r="W622" i="1"/>
  <c r="AK622" i="1"/>
  <c r="W680" i="1"/>
  <c r="AK680" i="1"/>
  <c r="W971" i="1"/>
  <c r="AK971" i="1"/>
  <c r="W1147" i="1"/>
  <c r="AK1147" i="1"/>
  <c r="W1019" i="1"/>
  <c r="AK1019" i="1"/>
  <c r="W1014" i="1"/>
  <c r="AK1014" i="1"/>
  <c r="W839" i="1"/>
  <c r="AK839" i="1"/>
  <c r="W990" i="1"/>
  <c r="AK990" i="1"/>
  <c r="W1023" i="1"/>
  <c r="AK1023" i="1"/>
  <c r="W1276" i="1"/>
  <c r="AK1276" i="1"/>
  <c r="W1184" i="1"/>
  <c r="AK1184" i="1"/>
  <c r="W1128" i="1"/>
  <c r="AK1128" i="1"/>
  <c r="W1247" i="1"/>
  <c r="AK1247" i="1"/>
  <c r="W972" i="1"/>
  <c r="AK972" i="1"/>
  <c r="W1148" i="1"/>
  <c r="AK1148" i="1"/>
  <c r="W905" i="1"/>
  <c r="AK905" i="1"/>
  <c r="W1086" i="1"/>
  <c r="AK1086" i="1"/>
  <c r="W1024" i="1"/>
  <c r="AK1024" i="1"/>
  <c r="W960" i="1"/>
  <c r="AK960" i="1"/>
  <c r="W415" i="1"/>
  <c r="AK415" i="1"/>
  <c r="W1141" i="1"/>
  <c r="AK1141" i="1"/>
  <c r="W1169" i="1"/>
  <c r="AK1169" i="1"/>
  <c r="W831" i="1"/>
  <c r="AK831" i="1"/>
  <c r="W1027" i="1"/>
  <c r="AK1027" i="1"/>
  <c r="W789" i="1"/>
  <c r="AK789" i="1"/>
  <c r="W945" i="1"/>
  <c r="AK945" i="1"/>
  <c r="W999" i="1"/>
  <c r="AK999" i="1"/>
  <c r="W637" i="1"/>
  <c r="AK637" i="1"/>
  <c r="W681" i="1"/>
  <c r="AK681" i="1"/>
  <c r="W621" i="1"/>
  <c r="AK621" i="1"/>
  <c r="W860" i="1"/>
  <c r="AK860" i="1"/>
  <c r="W716" i="1"/>
  <c r="AK716" i="1"/>
  <c r="W577" i="1"/>
  <c r="AK577" i="1"/>
  <c r="W408" i="1"/>
  <c r="AK408" i="1"/>
  <c r="W407" i="1"/>
  <c r="AK407" i="1"/>
  <c r="W299" i="1"/>
  <c r="AK299" i="1"/>
  <c r="W298" i="1"/>
  <c r="AK298" i="1"/>
  <c r="W163" i="1"/>
  <c r="AK163" i="1"/>
  <c r="W187" i="1"/>
  <c r="AK187" i="1"/>
  <c r="W418" i="1"/>
  <c r="AK418" i="1"/>
  <c r="W585" i="1"/>
  <c r="AK585" i="1"/>
  <c r="W725" i="1"/>
  <c r="AK725" i="1"/>
  <c r="W871" i="1"/>
  <c r="AK871" i="1"/>
  <c r="W912" i="1"/>
  <c r="AK912" i="1"/>
  <c r="W1101" i="1"/>
  <c r="AK1101" i="1"/>
  <c r="W1153" i="1"/>
  <c r="AK1153" i="1"/>
  <c r="W1204" i="1"/>
  <c r="AK1204" i="1"/>
  <c r="W183" i="1"/>
  <c r="AK183" i="1"/>
  <c r="W184" i="1"/>
  <c r="AK184" i="1"/>
  <c r="W185" i="1"/>
  <c r="AK185" i="1"/>
  <c r="W638" i="1"/>
  <c r="AK638" i="1"/>
  <c r="W767" i="1"/>
  <c r="AK767" i="1"/>
  <c r="W928" i="1"/>
  <c r="AK928" i="1"/>
  <c r="W599" i="1"/>
  <c r="AK599" i="1"/>
  <c r="W815" i="1"/>
  <c r="AK815" i="1"/>
  <c r="W1041" i="1"/>
  <c r="AK1041" i="1"/>
  <c r="W1138" i="1"/>
  <c r="AK1138" i="1"/>
  <c r="W1213" i="1"/>
  <c r="AK1213" i="1"/>
  <c r="W1251" i="1"/>
  <c r="AK1251" i="1"/>
  <c r="W1288" i="1"/>
  <c r="AK1288" i="1"/>
  <c r="W1304" i="1"/>
  <c r="AK1304" i="1"/>
  <c r="W1308" i="1"/>
  <c r="AK1308" i="1"/>
  <c r="W1316" i="1"/>
  <c r="AK1316" i="1"/>
  <c r="W1317" i="1"/>
  <c r="AK1317" i="1"/>
  <c r="W391" i="1"/>
  <c r="AK391" i="1"/>
  <c r="W583" i="1"/>
  <c r="AK583" i="1"/>
  <c r="W840" i="1"/>
  <c r="AK840" i="1"/>
  <c r="W706" i="1"/>
  <c r="AK706" i="1"/>
  <c r="W642" i="1"/>
  <c r="AK642" i="1"/>
  <c r="W641" i="1"/>
  <c r="AK641" i="1"/>
  <c r="W570" i="1"/>
  <c r="AK570" i="1"/>
  <c r="W491" i="1"/>
  <c r="AK491" i="1"/>
  <c r="W382" i="1"/>
  <c r="AK382" i="1"/>
  <c r="W255" i="1"/>
  <c r="AK255" i="1"/>
  <c r="W933" i="1"/>
  <c r="AK933" i="1"/>
  <c r="W722" i="1"/>
  <c r="AK722" i="1"/>
  <c r="W867" i="1"/>
  <c r="AK867" i="1"/>
  <c r="W1010" i="1"/>
  <c r="AK1010" i="1"/>
  <c r="W777" i="1"/>
  <c r="AK777" i="1"/>
  <c r="W207" i="1"/>
  <c r="AK207" i="1"/>
  <c r="W208" i="1"/>
  <c r="AK208" i="1"/>
  <c r="W209" i="1"/>
  <c r="AK209" i="1"/>
  <c r="W210" i="1"/>
  <c r="AK210" i="1"/>
  <c r="W331" i="1"/>
  <c r="AK331" i="1"/>
  <c r="W332" i="1"/>
  <c r="AK332" i="1"/>
  <c r="W333" i="1"/>
  <c r="AK333" i="1"/>
  <c r="W334" i="1"/>
  <c r="AK334" i="1"/>
  <c r="W432" i="1"/>
  <c r="AK432" i="1"/>
  <c r="W433" i="1"/>
  <c r="AK433" i="1"/>
  <c r="W434" i="1"/>
  <c r="AK434" i="1"/>
  <c r="W1155" i="1"/>
  <c r="AK1155" i="1"/>
  <c r="W1034" i="1"/>
  <c r="AK1034" i="1"/>
  <c r="W740" i="1"/>
  <c r="AK740" i="1"/>
  <c r="W400" i="1"/>
  <c r="AK400" i="1"/>
  <c r="W1013" i="1"/>
  <c r="AK1013" i="1"/>
  <c r="W950" i="1"/>
  <c r="AK950" i="1"/>
  <c r="W870" i="1"/>
  <c r="AK870" i="1"/>
  <c r="W724" i="1"/>
  <c r="AK724" i="1"/>
  <c r="W499" i="1"/>
  <c r="AK499" i="1"/>
  <c r="W1025" i="1"/>
  <c r="R1025" i="1"/>
  <c r="R1060" i="1"/>
  <c r="S1060" i="1"/>
  <c r="Z1060" i="1"/>
  <c r="S264" i="1"/>
  <c r="R264" i="1"/>
  <c r="Z264" i="1"/>
  <c r="R598" i="1"/>
  <c r="Z598" i="1"/>
  <c r="S598" i="1"/>
  <c r="R165" i="1"/>
  <c r="S165" i="1"/>
  <c r="R172" i="1"/>
  <c r="S172" i="1"/>
  <c r="R304" i="1"/>
  <c r="S304" i="1"/>
  <c r="R305" i="1"/>
  <c r="S305" i="1"/>
  <c r="R410" i="1"/>
  <c r="S410" i="1"/>
  <c r="R527" i="1"/>
  <c r="S527" i="1"/>
  <c r="R528" i="1"/>
  <c r="S528" i="1"/>
  <c r="R529" i="1"/>
  <c r="S529" i="1"/>
  <c r="R605" i="1"/>
  <c r="S605" i="1"/>
  <c r="R387" i="1"/>
  <c r="S387" i="1"/>
  <c r="R575" i="1"/>
  <c r="S575" i="1"/>
  <c r="R711" i="1"/>
  <c r="S711" i="1"/>
  <c r="R787" i="1"/>
  <c r="S787" i="1"/>
  <c r="R944" i="1"/>
  <c r="S944" i="1"/>
  <c r="R1054" i="1"/>
  <c r="S1054" i="1"/>
  <c r="R1113" i="1"/>
  <c r="S1113" i="1"/>
  <c r="R213" i="1"/>
  <c r="S213" i="1"/>
  <c r="R437" i="1"/>
  <c r="S437" i="1"/>
  <c r="R608" i="1"/>
  <c r="S608" i="1"/>
  <c r="R393" i="1"/>
  <c r="S393" i="1"/>
  <c r="R500" i="1"/>
  <c r="S500" i="1"/>
  <c r="R587" i="1"/>
  <c r="S587" i="1"/>
  <c r="R655" i="1"/>
  <c r="S655" i="1"/>
  <c r="R798" i="1"/>
  <c r="S798" i="1"/>
  <c r="R958" i="1"/>
  <c r="S958" i="1"/>
  <c r="R557" i="1"/>
  <c r="S557" i="1"/>
  <c r="R758" i="1"/>
  <c r="S758" i="1"/>
  <c r="R379" i="1"/>
  <c r="S379" i="1"/>
  <c r="R565" i="1"/>
  <c r="Z565" i="1"/>
  <c r="S565" i="1"/>
  <c r="R702" i="1"/>
  <c r="S702" i="1"/>
  <c r="Z702" i="1"/>
  <c r="R773" i="1"/>
  <c r="Z773" i="1"/>
  <c r="S773" i="1"/>
  <c r="R834" i="1"/>
  <c r="Z834" i="1"/>
  <c r="S834" i="1"/>
  <c r="R661" i="1"/>
  <c r="Z661" i="1"/>
  <c r="S661" i="1"/>
  <c r="R966" i="1"/>
  <c r="Z966" i="1"/>
  <c r="S966" i="1"/>
  <c r="R1117" i="1"/>
  <c r="Z1117" i="1"/>
  <c r="S1117" i="1"/>
  <c r="R363" i="1"/>
  <c r="S363" i="1"/>
  <c r="R170" i="1"/>
  <c r="S170" i="1"/>
  <c r="R419" i="1"/>
  <c r="S419" i="1"/>
  <c r="R206" i="1"/>
  <c r="S206" i="1"/>
  <c r="R430" i="1"/>
  <c r="S430" i="1"/>
  <c r="R604" i="1"/>
  <c r="S604" i="1"/>
  <c r="R412" i="1"/>
  <c r="S412" i="1"/>
  <c r="R186" i="1"/>
  <c r="S186" i="1"/>
  <c r="R371" i="1"/>
  <c r="S371" i="1"/>
  <c r="R549" i="1"/>
  <c r="S549" i="1"/>
  <c r="R682" i="1"/>
  <c r="S682" i="1"/>
  <c r="R194" i="1"/>
  <c r="S194" i="1"/>
  <c r="R320" i="1"/>
  <c r="S320" i="1"/>
  <c r="R426" i="1"/>
  <c r="S426" i="1"/>
  <c r="R520" i="1"/>
  <c r="S520" i="1"/>
  <c r="R612" i="1"/>
  <c r="S612" i="1"/>
  <c r="R350" i="1"/>
  <c r="S350" i="1"/>
  <c r="R440" i="1"/>
  <c r="S440" i="1"/>
  <c r="R535" i="1"/>
  <c r="S535" i="1"/>
  <c r="R262" i="1"/>
  <c r="S262" i="1"/>
  <c r="R390" i="1"/>
  <c r="S390" i="1"/>
  <c r="R498" i="1"/>
  <c r="S498" i="1"/>
  <c r="R582" i="1"/>
  <c r="S582" i="1"/>
  <c r="R652" i="1"/>
  <c r="S652" i="1"/>
  <c r="R721" i="1"/>
  <c r="S721" i="1"/>
  <c r="R564" i="1"/>
  <c r="S564" i="1"/>
  <c r="R697" i="1"/>
  <c r="Z697" i="1"/>
  <c r="S697" i="1"/>
  <c r="R579" i="1"/>
  <c r="S579" i="1"/>
  <c r="Z579" i="1"/>
  <c r="R793" i="1"/>
  <c r="Z793" i="1"/>
  <c r="S793" i="1"/>
  <c r="R1007" i="1"/>
  <c r="Z1007" i="1"/>
  <c r="S1007" i="1"/>
  <c r="R816" i="1"/>
  <c r="S816" i="1"/>
  <c r="Z816" i="1"/>
  <c r="R1265" i="1"/>
  <c r="S1265" i="1"/>
  <c r="R806" i="1"/>
  <c r="S806" i="1"/>
  <c r="R1181" i="1"/>
  <c r="Z1181" i="1"/>
  <c r="S1181" i="1"/>
  <c r="R1154" i="1"/>
  <c r="S1154" i="1"/>
  <c r="R539" i="1"/>
  <c r="S539" i="1"/>
  <c r="R533" i="1"/>
  <c r="S533" i="1"/>
  <c r="Z533" i="1"/>
  <c r="R750" i="1"/>
  <c r="S750" i="1"/>
  <c r="R685" i="1"/>
  <c r="Z685" i="1"/>
  <c r="S685" i="1"/>
  <c r="R989" i="1"/>
  <c r="S989" i="1"/>
  <c r="R1198" i="1"/>
  <c r="S1198" i="1"/>
  <c r="R392" i="1"/>
  <c r="S392" i="1"/>
  <c r="Z392" i="1"/>
  <c r="R584" i="1"/>
  <c r="Z584" i="1"/>
  <c r="S584" i="1"/>
  <c r="R723" i="1"/>
  <c r="Z723" i="1"/>
  <c r="S723" i="1"/>
  <c r="R869" i="1"/>
  <c r="S869" i="1"/>
  <c r="Z869" i="1"/>
  <c r="R1012" i="1"/>
  <c r="Z1012" i="1"/>
  <c r="S1012" i="1"/>
  <c r="R1038" i="1"/>
  <c r="Z1038" i="1"/>
  <c r="S1038" i="1"/>
  <c r="R1211" i="1"/>
  <c r="S1211" i="1"/>
  <c r="Z1211" i="1"/>
  <c r="R1285" i="1"/>
  <c r="Z1285" i="1"/>
  <c r="S1285" i="1"/>
  <c r="R376" i="1"/>
  <c r="Z376" i="1"/>
  <c r="S376" i="1"/>
  <c r="R552" i="1"/>
  <c r="S552" i="1"/>
  <c r="Z552" i="1"/>
  <c r="R819" i="1"/>
  <c r="S819" i="1"/>
  <c r="R1271" i="1"/>
  <c r="Z1271" i="1"/>
  <c r="S1271" i="1"/>
  <c r="R1303" i="1"/>
  <c r="Z1303" i="1"/>
  <c r="S1303" i="1"/>
  <c r="R1309" i="1"/>
  <c r="Z1309" i="1"/>
  <c r="S1309" i="1"/>
  <c r="R1040" i="1"/>
  <c r="S1040" i="1"/>
  <c r="Z1040" i="1"/>
  <c r="R757" i="1"/>
  <c r="S757" i="1"/>
  <c r="R1001" i="1"/>
  <c r="Z1001" i="1"/>
  <c r="S1001" i="1"/>
  <c r="R622" i="1"/>
  <c r="S622" i="1"/>
  <c r="R680" i="1"/>
  <c r="S680" i="1"/>
  <c r="R971" i="1"/>
  <c r="Z971" i="1"/>
  <c r="S971" i="1"/>
  <c r="R1147" i="1"/>
  <c r="Z1147" i="1"/>
  <c r="S1147" i="1"/>
  <c r="R1019" i="1"/>
  <c r="S1019" i="1"/>
  <c r="Z1019" i="1"/>
  <c r="R1014" i="1"/>
  <c r="S1014" i="1"/>
  <c r="R839" i="1"/>
  <c r="S839" i="1"/>
  <c r="R990" i="1"/>
  <c r="S990" i="1"/>
  <c r="R1023" i="1"/>
  <c r="S1023" i="1"/>
  <c r="R1276" i="1"/>
  <c r="S1276" i="1"/>
  <c r="Z1276" i="1"/>
  <c r="R1184" i="1"/>
  <c r="S1184" i="1"/>
  <c r="Z1184" i="1"/>
  <c r="R1128" i="1"/>
  <c r="S1128" i="1"/>
  <c r="Z1128" i="1"/>
  <c r="R1247" i="1"/>
  <c r="Z1247" i="1"/>
  <c r="S1247" i="1"/>
  <c r="R972" i="1"/>
  <c r="Z972" i="1"/>
  <c r="S972" i="1"/>
  <c r="R1148" i="1"/>
  <c r="Z1148" i="1"/>
  <c r="S1148" i="1"/>
  <c r="R905" i="1"/>
  <c r="Z905" i="1"/>
  <c r="S905" i="1"/>
  <c r="S1025" i="1"/>
  <c r="R1086" i="1"/>
  <c r="S1086" i="1"/>
  <c r="R1024" i="1"/>
  <c r="S1024" i="1"/>
  <c r="R960" i="1"/>
  <c r="S960" i="1"/>
  <c r="R415" i="1"/>
  <c r="S415" i="1"/>
  <c r="R1141" i="1"/>
  <c r="Z1141" i="1"/>
  <c r="S1141" i="1"/>
  <c r="R1169" i="1"/>
  <c r="Z1169" i="1"/>
  <c r="S1169" i="1"/>
  <c r="R831" i="1"/>
  <c r="S831" i="1"/>
  <c r="R1027" i="1"/>
  <c r="Z1027" i="1"/>
  <c r="S1027" i="1"/>
  <c r="R789" i="1"/>
  <c r="S789" i="1"/>
  <c r="R945" i="1"/>
  <c r="S945" i="1"/>
  <c r="R999" i="1"/>
  <c r="S999" i="1"/>
  <c r="R637" i="1"/>
  <c r="S637" i="1"/>
  <c r="R681" i="1"/>
  <c r="S681" i="1"/>
  <c r="R621" i="1"/>
  <c r="S621" i="1"/>
  <c r="R860" i="1"/>
  <c r="Z860" i="1"/>
  <c r="S860" i="1"/>
  <c r="R716" i="1"/>
  <c r="Z716" i="1"/>
  <c r="S716" i="1"/>
  <c r="R577" i="1"/>
  <c r="Z577" i="1"/>
  <c r="S577" i="1"/>
  <c r="R408" i="1"/>
  <c r="S408" i="1"/>
  <c r="R407" i="1"/>
  <c r="S407" i="1"/>
  <c r="R299" i="1"/>
  <c r="S299" i="1"/>
  <c r="R298" i="1"/>
  <c r="S298" i="1"/>
  <c r="R163" i="1"/>
  <c r="S163" i="1"/>
  <c r="R187" i="1"/>
  <c r="S187" i="1"/>
  <c r="R418" i="1"/>
  <c r="S418" i="1"/>
  <c r="S585" i="1"/>
  <c r="R585" i="1"/>
  <c r="R725" i="1"/>
  <c r="S725" i="1"/>
  <c r="R871" i="1"/>
  <c r="S871" i="1"/>
  <c r="R912" i="1"/>
  <c r="S912" i="1"/>
  <c r="R1101" i="1"/>
  <c r="S1101" i="1"/>
  <c r="R1153" i="1"/>
  <c r="S1153" i="1"/>
  <c r="R1204" i="1"/>
  <c r="S1204" i="1"/>
  <c r="R183" i="1"/>
  <c r="S183" i="1"/>
  <c r="R184" i="1"/>
  <c r="S184" i="1"/>
  <c r="R185" i="1"/>
  <c r="S185" i="1"/>
  <c r="R291" i="1"/>
  <c r="S291" i="1"/>
  <c r="Z291" i="1"/>
  <c r="R638" i="1"/>
  <c r="S638" i="1"/>
  <c r="Z638" i="1"/>
  <c r="R767" i="1"/>
  <c r="S767" i="1"/>
  <c r="Z767" i="1"/>
  <c r="R928" i="1"/>
  <c r="Z928" i="1"/>
  <c r="S928" i="1"/>
  <c r="R599" i="1"/>
  <c r="Z599" i="1"/>
  <c r="S599" i="1"/>
  <c r="R815" i="1"/>
  <c r="Z815" i="1"/>
  <c r="S815" i="1"/>
  <c r="R1041" i="1"/>
  <c r="Z1041" i="1"/>
  <c r="S1041" i="1"/>
  <c r="R1138" i="1"/>
  <c r="Z1138" i="1"/>
  <c r="S1138" i="1"/>
  <c r="R1213" i="1"/>
  <c r="Z1213" i="1"/>
  <c r="S1213" i="1"/>
  <c r="R1251" i="1"/>
  <c r="Z1251" i="1"/>
  <c r="S1251" i="1"/>
  <c r="R1288" i="1"/>
  <c r="Z1288" i="1"/>
  <c r="S1288" i="1"/>
  <c r="R1304" i="1"/>
  <c r="Z1304" i="1"/>
  <c r="S1304" i="1"/>
  <c r="R1308" i="1"/>
  <c r="Z1308" i="1"/>
  <c r="S1308" i="1"/>
  <c r="R1316" i="1"/>
  <c r="Z1316" i="1"/>
  <c r="N34" i="11" s="1"/>
  <c r="S1316" i="1"/>
  <c r="R1317" i="1"/>
  <c r="S1317" i="1"/>
  <c r="R391" i="1"/>
  <c r="S391" i="1"/>
  <c r="Z391" i="1"/>
  <c r="R583" i="1"/>
  <c r="Z583" i="1"/>
  <c r="S583" i="1"/>
  <c r="R840" i="1"/>
  <c r="S840" i="1"/>
  <c r="R706" i="1"/>
  <c r="S706" i="1"/>
  <c r="R642" i="1"/>
  <c r="S642" i="1"/>
  <c r="R641" i="1"/>
  <c r="S641" i="1"/>
  <c r="R570" i="1"/>
  <c r="S570" i="1"/>
  <c r="R491" i="1"/>
  <c r="S491" i="1"/>
  <c r="R382" i="1"/>
  <c r="S382" i="1"/>
  <c r="R255" i="1"/>
  <c r="S255" i="1"/>
  <c r="R933" i="1"/>
  <c r="S933" i="1"/>
  <c r="R722" i="1"/>
  <c r="S722" i="1"/>
  <c r="Z722" i="1"/>
  <c r="R867" i="1"/>
  <c r="S867" i="1"/>
  <c r="Z867" i="1"/>
  <c r="R1010" i="1"/>
  <c r="Z1010" i="1"/>
  <c r="S1010" i="1"/>
  <c r="R777" i="1"/>
  <c r="S777" i="1"/>
  <c r="R207" i="1"/>
  <c r="S207" i="1"/>
  <c r="R208" i="1"/>
  <c r="S208" i="1"/>
  <c r="R209" i="1"/>
  <c r="S209" i="1"/>
  <c r="R210" i="1"/>
  <c r="S210" i="1"/>
  <c r="R331" i="1"/>
  <c r="S331" i="1"/>
  <c r="R332" i="1"/>
  <c r="S332" i="1"/>
  <c r="R333" i="1"/>
  <c r="S333" i="1"/>
  <c r="R334" i="1"/>
  <c r="S334" i="1"/>
  <c r="R432" i="1"/>
  <c r="S432" i="1"/>
  <c r="R433" i="1"/>
  <c r="S433" i="1"/>
  <c r="R434" i="1"/>
  <c r="S434" i="1"/>
  <c r="R1155" i="1"/>
  <c r="Z1155" i="1"/>
  <c r="S1155" i="1"/>
  <c r="R1034" i="1"/>
  <c r="Z1034" i="1"/>
  <c r="S1034" i="1"/>
  <c r="R740" i="1"/>
  <c r="Z740" i="1"/>
  <c r="S740" i="1"/>
  <c r="R400" i="1"/>
  <c r="Z400" i="1"/>
  <c r="S400" i="1"/>
  <c r="R1013" i="1"/>
  <c r="S1013" i="1"/>
  <c r="Z1013" i="1"/>
  <c r="R950" i="1"/>
  <c r="Z950" i="1"/>
  <c r="S950" i="1"/>
  <c r="R870" i="1"/>
  <c r="Z870" i="1"/>
  <c r="S870" i="1"/>
  <c r="R724" i="1"/>
  <c r="S724" i="1"/>
  <c r="Z724" i="1"/>
  <c r="R499" i="1"/>
  <c r="Z499" i="1"/>
  <c r="S499" i="1"/>
  <c r="C185" i="3"/>
  <c r="C188" i="3"/>
  <c r="C295" i="3"/>
  <c r="C178" i="3"/>
  <c r="C198" i="3"/>
  <c r="C256" i="3"/>
  <c r="C251" i="3"/>
  <c r="C270" i="3"/>
  <c r="C250" i="3"/>
  <c r="C298" i="3"/>
  <c r="C309" i="3"/>
  <c r="C294" i="3"/>
  <c r="C267" i="3"/>
  <c r="C286" i="3"/>
  <c r="C194" i="3"/>
  <c r="C205" i="3"/>
  <c r="C200" i="3"/>
  <c r="L952" i="1"/>
  <c r="C179" i="3"/>
  <c r="C296" i="3"/>
  <c r="C279" i="3"/>
  <c r="C249" i="3"/>
  <c r="C252" i="3"/>
  <c r="C275" i="3"/>
  <c r="C243" i="3"/>
  <c r="C262" i="3"/>
  <c r="Z169" i="1"/>
  <c r="C315" i="3"/>
  <c r="C184" i="3"/>
  <c r="C228" i="3"/>
  <c r="C195" i="3"/>
  <c r="C214" i="3"/>
  <c r="C331" i="3"/>
  <c r="C263" i="3"/>
  <c r="C258" i="3"/>
  <c r="C269" i="3"/>
  <c r="C304" i="3"/>
  <c r="C231" i="3"/>
  <c r="C241" i="3"/>
  <c r="C244" i="3"/>
  <c r="C223" i="3"/>
  <c r="Z796" i="1"/>
  <c r="C328" i="3"/>
  <c r="C313" i="3"/>
  <c r="C316" i="3"/>
  <c r="C207" i="3"/>
  <c r="C307" i="3"/>
  <c r="C326" i="3"/>
  <c r="C201" i="3"/>
  <c r="C204" i="3"/>
  <c r="C183" i="3"/>
  <c r="C230" i="3"/>
  <c r="C259" i="3"/>
  <c r="C278" i="3"/>
  <c r="C217" i="3"/>
  <c r="C220" i="3"/>
  <c r="C322" i="3"/>
  <c r="C176" i="3"/>
  <c r="L302" i="1"/>
  <c r="Y302" i="1" s="1"/>
  <c r="C224" i="3"/>
  <c r="C305" i="3"/>
  <c r="C308" i="3"/>
  <c r="C287" i="3"/>
  <c r="C314" i="3"/>
  <c r="L169" i="1"/>
  <c r="Y169" i="1" s="1"/>
  <c r="C300" i="3"/>
  <c r="C291" i="3"/>
  <c r="C210" i="3"/>
  <c r="C221" i="3"/>
  <c r="C193" i="3"/>
  <c r="C196" i="3"/>
  <c r="C265" i="3"/>
  <c r="C268" i="3"/>
  <c r="C247" i="3"/>
  <c r="C288" i="3"/>
  <c r="C323" i="3"/>
  <c r="C208" i="3"/>
  <c r="L654" i="1"/>
  <c r="C281" i="3"/>
  <c r="C284" i="3"/>
  <c r="C186" i="3"/>
  <c r="C219" i="3"/>
  <c r="C238" i="3"/>
  <c r="C202" i="3"/>
  <c r="C213" i="3"/>
  <c r="C216" i="3"/>
  <c r="C197" i="3"/>
  <c r="C234" i="3"/>
  <c r="C222" i="3"/>
  <c r="C310" i="3"/>
  <c r="C274" i="3"/>
  <c r="C285" i="3"/>
  <c r="C257" i="3"/>
  <c r="C260" i="3"/>
  <c r="C239" i="3"/>
  <c r="Z409" i="1"/>
  <c r="C329" i="3"/>
  <c r="C332" i="3"/>
  <c r="C311" i="3"/>
  <c r="C232" i="3"/>
  <c r="C209" i="3"/>
  <c r="C212" i="3"/>
  <c r="C191" i="3"/>
  <c r="C199" i="3"/>
  <c r="C177" i="3"/>
  <c r="C189" i="3"/>
  <c r="C325" i="3"/>
  <c r="C283" i="3"/>
  <c r="C302" i="3"/>
  <c r="C266" i="3"/>
  <c r="C277" i="3"/>
  <c r="C312" i="3"/>
  <c r="C271" i="3"/>
  <c r="C245" i="3"/>
  <c r="C190" i="3"/>
  <c r="C321" i="3"/>
  <c r="C324" i="3"/>
  <c r="C303" i="3"/>
  <c r="C225" i="3"/>
  <c r="C226" i="3"/>
  <c r="C237" i="3"/>
  <c r="C248" i="3"/>
  <c r="C327" i="3"/>
  <c r="C273" i="3"/>
  <c r="C276" i="3"/>
  <c r="C255" i="3"/>
  <c r="C272" i="3"/>
  <c r="C242" i="3"/>
  <c r="C253" i="3"/>
  <c r="C181" i="3"/>
  <c r="C280" i="3"/>
  <c r="L796" i="1"/>
  <c r="C211" i="3"/>
  <c r="C330" i="3"/>
  <c r="C182" i="3"/>
  <c r="Z302" i="1"/>
  <c r="C289" i="3"/>
  <c r="C235" i="3"/>
  <c r="C254" i="3"/>
  <c r="C218" i="3"/>
  <c r="C229" i="3"/>
  <c r="C240" i="3"/>
  <c r="C290" i="3"/>
  <c r="C301" i="3"/>
  <c r="L409" i="1"/>
  <c r="Y409" i="1" s="1"/>
  <c r="C180" i="3"/>
  <c r="C319" i="3"/>
  <c r="C306" i="3"/>
  <c r="C317" i="3"/>
  <c r="C233" i="3"/>
  <c r="C236" i="3"/>
  <c r="C215" i="3"/>
  <c r="Z654" i="1"/>
  <c r="C261" i="3"/>
  <c r="C227" i="3"/>
  <c r="C246" i="3"/>
  <c r="C320" i="3"/>
  <c r="C299" i="3"/>
  <c r="C318" i="3"/>
  <c r="C282" i="3"/>
  <c r="C293" i="3"/>
  <c r="Z952" i="1"/>
  <c r="C292" i="3"/>
  <c r="C187" i="3"/>
  <c r="C206" i="3"/>
  <c r="C264" i="3"/>
  <c r="C203" i="3"/>
  <c r="C297" i="3"/>
  <c r="C192" i="3"/>
  <c r="C52" i="9"/>
  <c r="I75" i="13"/>
  <c r="Z731" i="1"/>
  <c r="L731" i="1"/>
  <c r="L1020" i="1"/>
  <c r="Z1020" i="1"/>
  <c r="J75" i="13"/>
  <c r="Z425" i="1"/>
  <c r="Z216" i="1"/>
  <c r="L356" i="1"/>
  <c r="Y356" i="1" s="1"/>
  <c r="L526" i="1"/>
  <c r="Y526" i="1" s="1"/>
  <c r="L217" i="1"/>
  <c r="Y217" i="1" s="1"/>
  <c r="L328" i="1"/>
  <c r="Y328" i="1" s="1"/>
  <c r="L374" i="1"/>
  <c r="Z355" i="1"/>
  <c r="J184" i="13"/>
  <c r="Z356" i="1"/>
  <c r="L431" i="1"/>
  <c r="Y431" i="1" s="1"/>
  <c r="Z468" i="1"/>
  <c r="Z217" i="1"/>
  <c r="I145" i="13"/>
  <c r="L216" i="1"/>
  <c r="Y216" i="1" s="1"/>
  <c r="L205" i="1"/>
  <c r="Y205" i="1" s="1"/>
  <c r="Z67" i="1"/>
  <c r="L468" i="1"/>
  <c r="Y468" i="1" s="1"/>
  <c r="L204" i="1"/>
  <c r="Y204" i="1" s="1"/>
  <c r="L538" i="1"/>
  <c r="Y538" i="1" s="1"/>
  <c r="J145" i="13"/>
  <c r="L68" i="1"/>
  <c r="Y68" i="1" s="1"/>
  <c r="Z627" i="1"/>
  <c r="L627" i="1"/>
  <c r="Z538" i="1"/>
  <c r="Z68" i="1"/>
  <c r="I184" i="13"/>
  <c r="L67" i="1"/>
  <c r="Y67" i="1" s="1"/>
  <c r="L329" i="1"/>
  <c r="Y329" i="1" s="1"/>
  <c r="L355" i="1"/>
  <c r="Y355" i="1" s="1"/>
  <c r="L22" i="11"/>
  <c r="J67" i="13"/>
  <c r="J11" i="13"/>
  <c r="K11" i="13" s="1"/>
  <c r="J177" i="13"/>
  <c r="K177" i="13" s="1"/>
  <c r="J83" i="13"/>
  <c r="J179" i="13"/>
  <c r="J60" i="13"/>
  <c r="J102" i="13"/>
  <c r="K102" i="13" s="1"/>
  <c r="J121" i="13"/>
  <c r="J215" i="13"/>
  <c r="K215" i="13" s="1"/>
  <c r="J27" i="13"/>
  <c r="J152" i="13"/>
  <c r="J87" i="13"/>
  <c r="J185" i="13"/>
  <c r="K185" i="13" s="1"/>
  <c r="J131" i="13"/>
  <c r="J89" i="13"/>
  <c r="K89" i="13" s="1"/>
  <c r="J151" i="13"/>
  <c r="J41" i="13"/>
  <c r="J206" i="13"/>
  <c r="J199" i="13"/>
  <c r="J196" i="13"/>
  <c r="J116" i="13"/>
  <c r="J74" i="13"/>
  <c r="J62" i="13"/>
  <c r="J90" i="13"/>
  <c r="J35" i="13"/>
  <c r="J114" i="13"/>
  <c r="J118" i="13"/>
  <c r="K118" i="13" s="1"/>
  <c r="J149" i="13"/>
  <c r="J101" i="13"/>
  <c r="K101" i="13" s="1"/>
  <c r="J109" i="13"/>
  <c r="J111" i="13"/>
  <c r="J9" i="13"/>
  <c r="J36" i="13"/>
  <c r="J10" i="13"/>
  <c r="J46" i="13"/>
  <c r="K46" i="13" s="1"/>
  <c r="J163" i="13"/>
  <c r="J104" i="13"/>
  <c r="J107" i="13"/>
  <c r="J14" i="13"/>
  <c r="K14" i="13" s="1"/>
  <c r="J97" i="13"/>
  <c r="J187" i="13"/>
  <c r="J81" i="13"/>
  <c r="J20" i="13"/>
  <c r="J133" i="13"/>
  <c r="J194" i="13"/>
  <c r="J197" i="13"/>
  <c r="J127" i="13"/>
  <c r="J155" i="13"/>
  <c r="J190" i="13"/>
  <c r="K190" i="13" s="1"/>
  <c r="J92" i="13"/>
  <c r="K92" i="13" s="1"/>
  <c r="J23" i="13"/>
  <c r="J138" i="13"/>
  <c r="J214" i="13"/>
  <c r="K214" i="13" s="1"/>
  <c r="J47" i="13"/>
  <c r="J205" i="13"/>
  <c r="J99" i="13"/>
  <c r="J49" i="13"/>
  <c r="J108" i="13"/>
  <c r="J76" i="13"/>
  <c r="J161" i="13"/>
  <c r="J204" i="13"/>
  <c r="J150" i="13"/>
  <c r="J126" i="13"/>
  <c r="K126" i="13" s="1"/>
  <c r="J95" i="13"/>
  <c r="J37" i="13"/>
  <c r="J56" i="13"/>
  <c r="J156" i="13"/>
  <c r="J6" i="13"/>
  <c r="J188" i="13"/>
  <c r="J82" i="13"/>
  <c r="J153" i="13"/>
  <c r="J26" i="13"/>
  <c r="J173" i="13"/>
  <c r="J88" i="13"/>
  <c r="K88" i="13" s="1"/>
  <c r="J180" i="13"/>
  <c r="J132" i="13"/>
  <c r="J79" i="13"/>
  <c r="J175" i="13"/>
  <c r="J71" i="13"/>
  <c r="J200" i="13"/>
  <c r="K200" i="13" s="1"/>
  <c r="J48" i="13"/>
  <c r="K48" i="13" s="1"/>
  <c r="J202" i="13"/>
  <c r="J198" i="13"/>
  <c r="J34" i="13"/>
  <c r="J135" i="13"/>
  <c r="K135" i="13" s="1"/>
  <c r="J98" i="13"/>
  <c r="J189" i="13"/>
  <c r="K189" i="13" s="1"/>
  <c r="J124" i="13"/>
  <c r="J191" i="13"/>
  <c r="K191" i="13" s="1"/>
  <c r="J57" i="13"/>
  <c r="J201" i="13"/>
  <c r="K201" i="13" s="1"/>
  <c r="J105" i="13"/>
  <c r="K105" i="13" s="1"/>
  <c r="J44" i="13"/>
  <c r="J119" i="13"/>
  <c r="J15" i="13"/>
  <c r="J66" i="13"/>
  <c r="J120" i="13"/>
  <c r="J86" i="13"/>
  <c r="K86" i="13" s="1"/>
  <c r="J195" i="13"/>
  <c r="K195" i="13" s="1"/>
  <c r="J221" i="13"/>
  <c r="J143" i="13"/>
  <c r="J21" i="13"/>
  <c r="J136" i="13"/>
  <c r="J112" i="13"/>
  <c r="J50" i="13"/>
  <c r="K50" i="13" s="1"/>
  <c r="J5" i="13"/>
  <c r="K5" i="13" s="1"/>
  <c r="J125" i="13"/>
  <c r="J113" i="13"/>
  <c r="J7" i="13"/>
  <c r="J24" i="13"/>
  <c r="J94" i="13"/>
  <c r="J193" i="13"/>
  <c r="K193" i="13" s="1"/>
  <c r="J181" i="13"/>
  <c r="J96" i="13"/>
  <c r="J203" i="13"/>
  <c r="J100" i="13"/>
  <c r="J31" i="13"/>
  <c r="K31" i="13" s="1"/>
  <c r="J144" i="13"/>
  <c r="J65" i="13"/>
  <c r="J146" i="13"/>
  <c r="J85" i="13"/>
  <c r="J43" i="13"/>
  <c r="K43" i="13" s="1"/>
  <c r="J30" i="13"/>
  <c r="K30" i="13" s="1"/>
  <c r="J158" i="13"/>
  <c r="J165" i="13"/>
  <c r="J167" i="13"/>
  <c r="J16" i="13"/>
  <c r="J174" i="13"/>
  <c r="J68" i="13"/>
  <c r="J134" i="13"/>
  <c r="J170" i="13"/>
  <c r="J115" i="13"/>
  <c r="K115" i="13" s="1"/>
  <c r="J4" i="13"/>
  <c r="K4" i="13" s="1"/>
  <c r="J69" i="13"/>
  <c r="J45" i="13"/>
  <c r="J219" i="13"/>
  <c r="J148" i="13"/>
  <c r="K148" i="13" s="1"/>
  <c r="J123" i="13"/>
  <c r="J157" i="13"/>
  <c r="J59" i="13"/>
  <c r="J130" i="13"/>
  <c r="J210" i="13"/>
  <c r="J29" i="13"/>
  <c r="J142" i="13"/>
  <c r="J168" i="13"/>
  <c r="J183" i="13"/>
  <c r="J78" i="13"/>
  <c r="J70" i="13"/>
  <c r="K70" i="13" s="1"/>
  <c r="J33" i="13"/>
  <c r="K33" i="13" s="1"/>
  <c r="J147" i="13"/>
  <c r="J51" i="13"/>
  <c r="J106" i="13"/>
  <c r="J176" i="13"/>
  <c r="J61" i="13"/>
  <c r="J160" i="13"/>
  <c r="J129" i="13"/>
  <c r="J17" i="13"/>
  <c r="J52" i="13"/>
  <c r="J110" i="13"/>
  <c r="J64" i="13"/>
  <c r="J171" i="13"/>
  <c r="J207" i="13"/>
  <c r="J212" i="13"/>
  <c r="J38" i="13"/>
  <c r="K38" i="13" s="1"/>
  <c r="J22" i="13"/>
  <c r="K22" i="13" s="1"/>
  <c r="J159" i="13"/>
  <c r="J72" i="13"/>
  <c r="J77" i="13"/>
  <c r="J154" i="13"/>
  <c r="J58" i="13"/>
  <c r="J32" i="13"/>
  <c r="K32" i="13" s="1"/>
  <c r="J172" i="13"/>
  <c r="J213" i="13"/>
  <c r="K213" i="13" s="1"/>
  <c r="J63" i="13"/>
  <c r="J128" i="13"/>
  <c r="K128" i="13" s="1"/>
  <c r="J19" i="13"/>
  <c r="J186" i="13"/>
  <c r="J80" i="13"/>
  <c r="J220" i="13"/>
  <c r="J208" i="13"/>
  <c r="J39" i="13"/>
  <c r="J42" i="13"/>
  <c r="J91" i="13"/>
  <c r="K91" i="13" s="1"/>
  <c r="J139" i="13"/>
  <c r="J54" i="13"/>
  <c r="J169" i="13"/>
  <c r="J164" i="13"/>
  <c r="J209" i="13"/>
  <c r="K209" i="13" s="1"/>
  <c r="J103" i="13"/>
  <c r="K103" i="13" s="1"/>
  <c r="J218" i="13"/>
  <c r="J182" i="13"/>
  <c r="J18" i="13"/>
  <c r="K18" i="13" s="1"/>
  <c r="J140" i="13"/>
  <c r="J216" i="13"/>
  <c r="J217" i="13"/>
  <c r="J25" i="13"/>
  <c r="K25" i="13" s="1"/>
  <c r="J73" i="13"/>
  <c r="K73" i="13" s="1"/>
  <c r="J8" i="13"/>
  <c r="J12" i="13"/>
  <c r="K12" i="13" s="1"/>
  <c r="J178" i="13"/>
  <c r="K178" i="13" s="1"/>
  <c r="J162" i="13"/>
  <c r="J166" i="13"/>
  <c r="J55" i="13"/>
  <c r="J53" i="13"/>
  <c r="J13" i="13"/>
  <c r="K13" i="13" s="1"/>
  <c r="J40" i="13"/>
  <c r="J192" i="13"/>
  <c r="J211" i="13"/>
  <c r="K211" i="13" s="1"/>
  <c r="J117" i="13"/>
  <c r="J93" i="13"/>
  <c r="K93" i="13" s="1"/>
  <c r="J84" i="13"/>
  <c r="J28" i="13"/>
  <c r="J3" i="13"/>
  <c r="J137" i="13"/>
  <c r="J141" i="13"/>
  <c r="K141" i="13" s="1"/>
  <c r="J122" i="13"/>
  <c r="I172" i="13"/>
  <c r="I13" i="13"/>
  <c r="I135" i="13"/>
  <c r="I206" i="13"/>
  <c r="I212" i="13"/>
  <c r="I2" i="13"/>
  <c r="I106" i="13"/>
  <c r="I151" i="13"/>
  <c r="I113" i="13"/>
  <c r="I171" i="13"/>
  <c r="I87" i="13"/>
  <c r="I82" i="13"/>
  <c r="I79" i="13"/>
  <c r="I72" i="13"/>
  <c r="I163" i="13"/>
  <c r="I93" i="13"/>
  <c r="I166" i="13"/>
  <c r="I83" i="13"/>
  <c r="I142" i="13"/>
  <c r="I161" i="13"/>
  <c r="I124" i="13"/>
  <c r="I68" i="13"/>
  <c r="I155" i="13"/>
  <c r="I209" i="13"/>
  <c r="I136" i="13"/>
  <c r="I141" i="13"/>
  <c r="I3" i="13"/>
  <c r="I154" i="13"/>
  <c r="I134" i="13"/>
  <c r="I178" i="13"/>
  <c r="I201" i="13"/>
  <c r="I179" i="13"/>
  <c r="I120" i="13"/>
  <c r="I47" i="13"/>
  <c r="I29" i="13"/>
  <c r="I181" i="13"/>
  <c r="I65" i="13"/>
  <c r="I117" i="13"/>
  <c r="I216" i="13"/>
  <c r="I54" i="13"/>
  <c r="I116" i="13"/>
  <c r="I42" i="13"/>
  <c r="I214" i="13"/>
  <c r="I101" i="13"/>
  <c r="I6" i="13"/>
  <c r="I43" i="13"/>
  <c r="I108" i="13"/>
  <c r="I195" i="13"/>
  <c r="I164" i="13"/>
  <c r="I94" i="13"/>
  <c r="I176" i="13"/>
  <c r="I153" i="13"/>
  <c r="I99" i="13"/>
  <c r="I11" i="13"/>
  <c r="I202" i="13"/>
  <c r="I185" i="13"/>
  <c r="I180" i="13"/>
  <c r="I152" i="13"/>
  <c r="I143" i="13"/>
  <c r="I137" i="13"/>
  <c r="I36" i="13"/>
  <c r="I191" i="13"/>
  <c r="I67" i="13"/>
  <c r="I129" i="13"/>
  <c r="I188" i="13"/>
  <c r="I56" i="13"/>
  <c r="I208" i="13"/>
  <c r="I16" i="13"/>
  <c r="I66" i="13"/>
  <c r="I4" i="13"/>
  <c r="I12" i="13"/>
  <c r="I40" i="13"/>
  <c r="I10" i="13"/>
  <c r="I37" i="13"/>
  <c r="I23" i="13"/>
  <c r="I177" i="13"/>
  <c r="I169" i="13"/>
  <c r="I5" i="13"/>
  <c r="I9" i="13"/>
  <c r="I24" i="13"/>
  <c r="I218" i="13"/>
  <c r="I189" i="13"/>
  <c r="I157" i="13"/>
  <c r="I76" i="13"/>
  <c r="I162" i="13"/>
  <c r="I125" i="13"/>
  <c r="I213" i="13"/>
  <c r="I190" i="13"/>
  <c r="I70" i="13"/>
  <c r="I159" i="13"/>
  <c r="I187" i="13"/>
  <c r="I30" i="13"/>
  <c r="I204" i="13"/>
  <c r="I193" i="13"/>
  <c r="I61" i="13"/>
  <c r="I119" i="13"/>
  <c r="I118" i="13"/>
  <c r="I107" i="13"/>
  <c r="I100" i="13"/>
  <c r="I45" i="13"/>
  <c r="I158" i="13"/>
  <c r="I127" i="13"/>
  <c r="I194" i="13"/>
  <c r="I32" i="13"/>
  <c r="I123" i="13"/>
  <c r="I89" i="13"/>
  <c r="I31" i="13"/>
  <c r="I34" i="13"/>
  <c r="I95" i="13"/>
  <c r="I199" i="13"/>
  <c r="I22" i="13"/>
  <c r="I14" i="13"/>
  <c r="I8" i="13"/>
  <c r="I49" i="13"/>
  <c r="I69" i="13"/>
  <c r="I90" i="13"/>
  <c r="I78" i="13"/>
  <c r="I182" i="13"/>
  <c r="I96" i="13"/>
  <c r="I115" i="13"/>
  <c r="I186" i="13"/>
  <c r="I207" i="13"/>
  <c r="I205" i="13"/>
  <c r="I130" i="13"/>
  <c r="I121" i="13"/>
  <c r="I17" i="13"/>
  <c r="I81" i="13"/>
  <c r="I131" i="13"/>
  <c r="I73" i="13"/>
  <c r="I85" i="13"/>
  <c r="I53" i="13"/>
  <c r="I92" i="13"/>
  <c r="I165" i="13"/>
  <c r="I217" i="13"/>
  <c r="I220" i="13"/>
  <c r="I38" i="13"/>
  <c r="I210" i="13"/>
  <c r="I27" i="13"/>
  <c r="I80" i="13"/>
  <c r="I91" i="13"/>
  <c r="I19" i="13"/>
  <c r="I197" i="13"/>
  <c r="I7" i="13"/>
  <c r="I110" i="13"/>
  <c r="I114" i="13"/>
  <c r="I173" i="13"/>
  <c r="I150" i="13"/>
  <c r="I46" i="13"/>
  <c r="I21" i="13"/>
  <c r="I126" i="13"/>
  <c r="I122" i="13"/>
  <c r="I77" i="13"/>
  <c r="I18" i="13"/>
  <c r="I35" i="13"/>
  <c r="I84" i="13"/>
  <c r="I44" i="13"/>
  <c r="I140" i="13"/>
  <c r="I138" i="13"/>
  <c r="I71" i="13"/>
  <c r="I97" i="13"/>
  <c r="I168" i="13"/>
  <c r="I132" i="13"/>
  <c r="I98" i="13"/>
  <c r="I146" i="13"/>
  <c r="I105" i="13"/>
  <c r="I74" i="13"/>
  <c r="I102" i="13"/>
  <c r="I63" i="13"/>
  <c r="I60" i="13"/>
  <c r="I25" i="13"/>
  <c r="I148" i="13"/>
  <c r="I183" i="13"/>
  <c r="I39" i="13"/>
  <c r="I33" i="13"/>
  <c r="I111" i="13"/>
  <c r="I86" i="13"/>
  <c r="I48" i="13"/>
  <c r="I15" i="13"/>
  <c r="I170" i="13"/>
  <c r="I221" i="13"/>
  <c r="I133" i="13"/>
  <c r="I50" i="13"/>
  <c r="I174" i="13"/>
  <c r="I109" i="13"/>
  <c r="I51" i="13"/>
  <c r="I175" i="13"/>
  <c r="I52" i="13"/>
  <c r="I62" i="13"/>
  <c r="I58" i="13"/>
  <c r="I219" i="13"/>
  <c r="I57" i="13"/>
  <c r="I215" i="13"/>
  <c r="I41" i="13"/>
  <c r="I103" i="13"/>
  <c r="I88" i="13"/>
  <c r="I59" i="13"/>
  <c r="I139" i="13"/>
  <c r="I128" i="13"/>
  <c r="I160" i="13"/>
  <c r="I104" i="13"/>
  <c r="I147" i="13"/>
  <c r="I144" i="13"/>
  <c r="I156" i="13"/>
  <c r="I198" i="13"/>
  <c r="I55" i="13"/>
  <c r="I200" i="13"/>
  <c r="I192" i="13"/>
  <c r="I64" i="13"/>
  <c r="I211" i="13"/>
  <c r="I196" i="13"/>
  <c r="I149" i="13"/>
  <c r="I26" i="13"/>
  <c r="I28" i="13"/>
  <c r="I203" i="13"/>
  <c r="I112" i="13"/>
  <c r="I167" i="13"/>
  <c r="I20" i="13"/>
  <c r="K23" i="11"/>
  <c r="L319" i="1"/>
  <c r="Y319" i="1" s="1"/>
  <c r="L425" i="1"/>
  <c r="Y425" i="1" s="1"/>
  <c r="L55" i="1"/>
  <c r="Y55" i="1" s="1"/>
  <c r="C31" i="9"/>
  <c r="C32" i="9"/>
  <c r="C15" i="9"/>
  <c r="L1055" i="1"/>
  <c r="L805" i="1"/>
  <c r="L1116" i="1"/>
  <c r="Z1116" i="1"/>
  <c r="Z805" i="1"/>
  <c r="L959" i="1"/>
  <c r="Z311" i="1"/>
  <c r="L414" i="1"/>
  <c r="L56" i="1"/>
  <c r="Y56" i="1" s="1"/>
  <c r="Z322" i="1"/>
  <c r="Z179" i="1"/>
  <c r="L322" i="1"/>
  <c r="L179" i="1"/>
  <c r="L162" i="1"/>
  <c r="Y162" i="1" s="1"/>
  <c r="Z195" i="1"/>
  <c r="Z414" i="1"/>
  <c r="L195" i="1"/>
  <c r="Z11" i="1"/>
  <c r="L11" i="1"/>
  <c r="Y11" i="1" s="1"/>
  <c r="L311" i="1"/>
  <c r="S11" i="6"/>
  <c r="S19" i="6"/>
  <c r="S27" i="6"/>
  <c r="S35" i="6"/>
  <c r="S8" i="6"/>
  <c r="S16" i="6"/>
  <c r="S24" i="6"/>
  <c r="S32" i="6"/>
  <c r="S5" i="6"/>
  <c r="S13" i="6"/>
  <c r="S21" i="6"/>
  <c r="S29" i="6"/>
  <c r="S37" i="6"/>
  <c r="S10" i="6"/>
  <c r="S18" i="6"/>
  <c r="S26" i="6"/>
  <c r="S34" i="6"/>
  <c r="S42" i="6"/>
  <c r="S7" i="6"/>
  <c r="S15" i="6"/>
  <c r="S23" i="6"/>
  <c r="S31" i="6"/>
  <c r="S39" i="6"/>
  <c r="S47" i="6"/>
  <c r="S12" i="6"/>
  <c r="S20" i="6"/>
  <c r="S28" i="6"/>
  <c r="S36" i="6"/>
  <c r="S44" i="6"/>
  <c r="S6" i="6"/>
  <c r="S14" i="6"/>
  <c r="S22" i="6"/>
  <c r="S30" i="6"/>
  <c r="S38" i="6"/>
  <c r="S46" i="6"/>
  <c r="S3" i="6"/>
  <c r="S43" i="6"/>
  <c r="S25" i="6"/>
  <c r="S40" i="6"/>
  <c r="S48" i="6"/>
  <c r="S4" i="6"/>
  <c r="S49" i="6"/>
  <c r="S45" i="6"/>
  <c r="S9" i="6"/>
  <c r="S17" i="6"/>
  <c r="S33" i="6"/>
  <c r="S41" i="6"/>
  <c r="U9" i="6"/>
  <c r="U17" i="6"/>
  <c r="U25" i="6"/>
  <c r="U33" i="6"/>
  <c r="U6" i="6"/>
  <c r="U14" i="6"/>
  <c r="U22" i="6"/>
  <c r="U30" i="6"/>
  <c r="U11" i="6"/>
  <c r="U19" i="6"/>
  <c r="U27" i="6"/>
  <c r="U35" i="6"/>
  <c r="U8" i="6"/>
  <c r="U16" i="6"/>
  <c r="U24" i="6"/>
  <c r="U32" i="6"/>
  <c r="U40" i="6"/>
  <c r="U48" i="6"/>
  <c r="U5" i="6"/>
  <c r="U13" i="6"/>
  <c r="U21" i="6"/>
  <c r="U29" i="6"/>
  <c r="U37" i="6"/>
  <c r="U45" i="6"/>
  <c r="U4" i="6"/>
  <c r="U42" i="6"/>
  <c r="U10" i="6"/>
  <c r="U18" i="6"/>
  <c r="U26" i="6"/>
  <c r="U34" i="6"/>
  <c r="U12" i="6"/>
  <c r="U20" i="6"/>
  <c r="U28" i="6"/>
  <c r="U36" i="6"/>
  <c r="U44" i="6"/>
  <c r="U41" i="6"/>
  <c r="U15" i="6"/>
  <c r="U38" i="6"/>
  <c r="U43" i="6"/>
  <c r="U31" i="6"/>
  <c r="U46" i="6"/>
  <c r="U47" i="6"/>
  <c r="U49" i="6"/>
  <c r="U3" i="6"/>
  <c r="U7" i="6"/>
  <c r="U23" i="6"/>
  <c r="U39" i="6"/>
  <c r="T6" i="6"/>
  <c r="T14" i="6"/>
  <c r="T22" i="6"/>
  <c r="T30" i="6"/>
  <c r="T11" i="6"/>
  <c r="T19" i="6"/>
  <c r="T27" i="6"/>
  <c r="T35" i="6"/>
  <c r="T8" i="6"/>
  <c r="T16" i="6"/>
  <c r="T24" i="6"/>
  <c r="T32" i="6"/>
  <c r="T5" i="6"/>
  <c r="T13" i="6"/>
  <c r="T21" i="6"/>
  <c r="T29" i="6"/>
  <c r="T37" i="6"/>
  <c r="T45" i="6"/>
  <c r="T4" i="6"/>
  <c r="T10" i="6"/>
  <c r="T18" i="6"/>
  <c r="T26" i="6"/>
  <c r="T34" i="6"/>
  <c r="T42" i="6"/>
  <c r="T7" i="6"/>
  <c r="T15" i="6"/>
  <c r="T23" i="6"/>
  <c r="T31" i="6"/>
  <c r="T39" i="6"/>
  <c r="T9" i="6"/>
  <c r="T17" i="6"/>
  <c r="T25" i="6"/>
  <c r="T33" i="6"/>
  <c r="T41" i="6"/>
  <c r="T49" i="6"/>
  <c r="T38" i="6"/>
  <c r="T20" i="6"/>
  <c r="T43" i="6"/>
  <c r="T46" i="6"/>
  <c r="T47" i="6"/>
  <c r="T3" i="6"/>
  <c r="T36" i="6"/>
  <c r="T40" i="6"/>
  <c r="T48" i="6"/>
  <c r="T12" i="6"/>
  <c r="T44" i="6"/>
  <c r="T28" i="6"/>
  <c r="L352" i="1"/>
  <c r="Y352" i="1" s="1"/>
  <c r="L442" i="1"/>
  <c r="Y442" i="1" s="1"/>
  <c r="L662" i="1"/>
  <c r="Y662" i="1" s="1"/>
  <c r="L537" i="1"/>
  <c r="Y537" i="1" s="1"/>
  <c r="L351" i="1"/>
  <c r="Y351" i="1" s="1"/>
  <c r="Z1089" i="1"/>
  <c r="L536" i="1"/>
  <c r="Y536" i="1" s="1"/>
  <c r="L1089" i="1"/>
  <c r="Y1089" i="1" s="1"/>
  <c r="L1119" i="1"/>
  <c r="Y1119" i="1" s="1"/>
  <c r="L613" i="1"/>
  <c r="Y613" i="1" s="1"/>
  <c r="Z968" i="1"/>
  <c r="L229" i="1"/>
  <c r="Y229" i="1" s="1"/>
  <c r="Z1119" i="1"/>
  <c r="L968" i="1"/>
  <c r="Y968" i="1" s="1"/>
  <c r="L441" i="1"/>
  <c r="Y441" i="1" s="1"/>
  <c r="L230" i="1"/>
  <c r="Z662" i="1"/>
  <c r="B11" i="6"/>
  <c r="B10" i="6" s="1"/>
  <c r="B9" i="6" s="1"/>
  <c r="B8" i="6" s="1"/>
  <c r="B7" i="6" s="1"/>
  <c r="B6" i="6" s="1"/>
  <c r="B5" i="6" s="1"/>
  <c r="Z359" i="1"/>
  <c r="Z686" i="1"/>
  <c r="Z483" i="1"/>
  <c r="Z484" i="1"/>
  <c r="L686" i="1"/>
  <c r="L629" i="1"/>
  <c r="L754" i="1"/>
  <c r="L483" i="1"/>
  <c r="L375" i="1"/>
  <c r="Z563" i="1"/>
  <c r="L484" i="1"/>
  <c r="Z629" i="1"/>
  <c r="Z375" i="1"/>
  <c r="L927" i="1"/>
  <c r="Z754" i="1"/>
  <c r="Z553" i="1"/>
  <c r="L553" i="1"/>
  <c r="L563" i="1"/>
  <c r="Z927" i="1"/>
  <c r="L488" i="1"/>
  <c r="Z503" i="1"/>
  <c r="Z1295" i="1"/>
  <c r="Z568" i="1"/>
  <c r="Z1088" i="1"/>
  <c r="L171" i="1"/>
  <c r="Z171" i="1"/>
  <c r="L503" i="1"/>
  <c r="Y503" i="1" s="1"/>
  <c r="L1170" i="1"/>
  <c r="L768" i="1"/>
  <c r="L359" i="1"/>
  <c r="Y359" i="1" s="1"/>
  <c r="L1295" i="1"/>
  <c r="Z488" i="1"/>
  <c r="L838" i="1"/>
  <c r="Z1170" i="1"/>
  <c r="Z768" i="1"/>
  <c r="L1088" i="1"/>
  <c r="Y1088" i="1" s="1"/>
  <c r="L568" i="1"/>
  <c r="Z838" i="1"/>
  <c r="L391" i="1"/>
  <c r="Z1055" i="1"/>
  <c r="L570" i="1"/>
  <c r="Y570" i="1" s="1"/>
  <c r="L1013" i="1"/>
  <c r="L777" i="1"/>
  <c r="Y777" i="1" s="1"/>
  <c r="L840" i="1"/>
  <c r="Y840" i="1" s="1"/>
  <c r="L583" i="1"/>
  <c r="L382" i="1"/>
  <c r="Y382" i="1" s="1"/>
  <c r="L334" i="1"/>
  <c r="Y334" i="1" s="1"/>
  <c r="L1010" i="1"/>
  <c r="L255" i="1"/>
  <c r="Y255" i="1" s="1"/>
  <c r="L933" i="1"/>
  <c r="Y933" i="1" s="1"/>
  <c r="L432" i="1"/>
  <c r="Y432" i="1" s="1"/>
  <c r="L1034" i="1"/>
  <c r="L724" i="1"/>
  <c r="L740" i="1"/>
  <c r="L400" i="1"/>
  <c r="L1155" i="1"/>
  <c r="L950" i="1"/>
  <c r="L870" i="1"/>
  <c r="L499" i="1"/>
  <c r="L207" i="1"/>
  <c r="Y207" i="1" s="1"/>
  <c r="L209" i="1"/>
  <c r="Y209" i="1" s="1"/>
  <c r="L331" i="1"/>
  <c r="Y331" i="1" s="1"/>
  <c r="L333" i="1"/>
  <c r="Y333" i="1" s="1"/>
  <c r="L433" i="1"/>
  <c r="Y433" i="1" s="1"/>
  <c r="L332" i="1"/>
  <c r="Y332" i="1" s="1"/>
  <c r="L208" i="1"/>
  <c r="Y208" i="1" s="1"/>
  <c r="L434" i="1"/>
  <c r="Y434" i="1" s="1"/>
  <c r="L210" i="1"/>
  <c r="Y210" i="1" s="1"/>
  <c r="L706" i="1"/>
  <c r="Y706" i="1" s="1"/>
  <c r="L642" i="1"/>
  <c r="Y642" i="1" s="1"/>
  <c r="L641" i="1"/>
  <c r="Y641" i="1" s="1"/>
  <c r="L722" i="1"/>
  <c r="L867" i="1"/>
  <c r="L491" i="1"/>
  <c r="Y491" i="1" s="1"/>
  <c r="L860" i="1"/>
  <c r="L183" i="1"/>
  <c r="Y183" i="1" s="1"/>
  <c r="L1213" i="1"/>
  <c r="L1316" i="1"/>
  <c r="L408" i="1"/>
  <c r="Y408" i="1" s="1"/>
  <c r="L577" i="1"/>
  <c r="L407" i="1"/>
  <c r="Y407" i="1" s="1"/>
  <c r="L185" i="1"/>
  <c r="Y185" i="1" s="1"/>
  <c r="L767" i="1"/>
  <c r="L184" i="1"/>
  <c r="Y184" i="1" s="1"/>
  <c r="L1138" i="1"/>
  <c r="L1288" i="1"/>
  <c r="L1317" i="1"/>
  <c r="L1308" i="1"/>
  <c r="L291" i="1"/>
  <c r="L928" i="1"/>
  <c r="L815" i="1"/>
  <c r="L1304" i="1"/>
  <c r="L1251" i="1"/>
  <c r="L1041" i="1"/>
  <c r="L599" i="1"/>
  <c r="L638" i="1"/>
  <c r="L1204" i="1"/>
  <c r="L1153" i="1"/>
  <c r="L1101" i="1"/>
  <c r="L912" i="1"/>
  <c r="L299" i="1"/>
  <c r="Y299" i="1" s="1"/>
  <c r="L585" i="1"/>
  <c r="Y585" i="1" s="1"/>
  <c r="L725" i="1"/>
  <c r="Y725" i="1" s="1"/>
  <c r="L871" i="1"/>
  <c r="Y871" i="1" s="1"/>
  <c r="L163" i="1"/>
  <c r="Y163" i="1" s="1"/>
  <c r="L298" i="1"/>
  <c r="Y298" i="1" s="1"/>
  <c r="L187" i="1"/>
  <c r="Y187" i="1" s="1"/>
  <c r="L418" i="1"/>
  <c r="Y418" i="1" s="1"/>
  <c r="L716" i="1"/>
  <c r="C9" i="6"/>
  <c r="Y230" i="1" l="1"/>
  <c r="Z758" i="1"/>
  <c r="Z642" i="1"/>
  <c r="Z213" i="1"/>
  <c r="Z55" i="1"/>
  <c r="Z319" i="1"/>
  <c r="Z56" i="1"/>
  <c r="N22" i="11"/>
  <c r="N25" i="11"/>
  <c r="L23" i="11"/>
  <c r="K24" i="11"/>
  <c r="Z162" i="1"/>
  <c r="Z959" i="1"/>
  <c r="C11" i="6"/>
  <c r="C6" i="6"/>
  <c r="P10" i="6"/>
  <c r="P18" i="6"/>
  <c r="P26" i="6"/>
  <c r="P34" i="6"/>
  <c r="P7" i="6"/>
  <c r="P15" i="6"/>
  <c r="P23" i="6"/>
  <c r="P31" i="6"/>
  <c r="P12" i="6"/>
  <c r="P20" i="6"/>
  <c r="P28" i="6"/>
  <c r="P36" i="6"/>
  <c r="P9" i="6"/>
  <c r="P17" i="6"/>
  <c r="P25" i="6"/>
  <c r="P33" i="6"/>
  <c r="P41" i="6"/>
  <c r="P49" i="6"/>
  <c r="P6" i="6"/>
  <c r="P14" i="6"/>
  <c r="P22" i="6"/>
  <c r="P30" i="6"/>
  <c r="P38" i="6"/>
  <c r="P46" i="6"/>
  <c r="P3" i="6"/>
  <c r="P11" i="6"/>
  <c r="P19" i="6"/>
  <c r="P27" i="6"/>
  <c r="P35" i="6"/>
  <c r="P43" i="6"/>
  <c r="P5" i="6"/>
  <c r="P13" i="6"/>
  <c r="P21" i="6"/>
  <c r="P29" i="6"/>
  <c r="P37" i="6"/>
  <c r="P45" i="6"/>
  <c r="P4" i="6"/>
  <c r="P42" i="6"/>
  <c r="P47" i="6"/>
  <c r="P48" i="6"/>
  <c r="P40" i="6"/>
  <c r="P16" i="6"/>
  <c r="P32" i="6"/>
  <c r="P39" i="6"/>
  <c r="P44" i="6"/>
  <c r="P8" i="6"/>
  <c r="P24" i="6"/>
  <c r="C10" i="6"/>
  <c r="C7" i="6"/>
  <c r="C8" i="6"/>
  <c r="B4" i="6"/>
  <c r="C5" i="6"/>
  <c r="Z537" i="1"/>
  <c r="Z352" i="1"/>
  <c r="Z230" i="1"/>
  <c r="Z441" i="1"/>
  <c r="Z229" i="1"/>
  <c r="Z613" i="1"/>
  <c r="Z442" i="1"/>
  <c r="Z351" i="1"/>
  <c r="Z536" i="1"/>
  <c r="Z557" i="1"/>
  <c r="Z437" i="1"/>
  <c r="Z608" i="1"/>
  <c r="Z491" i="1"/>
  <c r="Z255" i="1"/>
  <c r="Z382" i="1"/>
  <c r="Z933" i="1"/>
  <c r="Z840" i="1"/>
  <c r="Z706" i="1"/>
  <c r="Z641" i="1"/>
  <c r="Z570" i="1"/>
  <c r="Z777" i="1"/>
  <c r="Z432" i="1"/>
  <c r="N24" i="11"/>
  <c r="N31" i="11"/>
  <c r="N37" i="11"/>
  <c r="N32" i="11"/>
  <c r="Z434" i="1"/>
  <c r="Z433" i="1"/>
  <c r="Z332" i="1"/>
  <c r="Z208" i="1"/>
  <c r="Z331" i="1"/>
  <c r="Z207" i="1"/>
  <c r="Z334" i="1"/>
  <c r="Z210" i="1"/>
  <c r="Z333" i="1"/>
  <c r="Z209" i="1"/>
  <c r="Z299" i="1"/>
  <c r="Z408" i="1"/>
  <c r="Z407" i="1"/>
  <c r="Z298" i="1"/>
  <c r="Z184" i="1"/>
  <c r="Z183" i="1"/>
  <c r="Z185" i="1"/>
  <c r="N28" i="11" l="1"/>
  <c r="L24" i="11"/>
  <c r="K25" i="11"/>
  <c r="O7" i="6"/>
  <c r="O15" i="6"/>
  <c r="O23" i="6"/>
  <c r="O31" i="6"/>
  <c r="O39" i="6"/>
  <c r="O12" i="6"/>
  <c r="O20" i="6"/>
  <c r="O28" i="6"/>
  <c r="O36" i="6"/>
  <c r="O9" i="6"/>
  <c r="O17" i="6"/>
  <c r="O25" i="6"/>
  <c r="O33" i="6"/>
  <c r="O6" i="6"/>
  <c r="O14" i="6"/>
  <c r="O22" i="6"/>
  <c r="O30" i="6"/>
  <c r="O38" i="6"/>
  <c r="O46" i="6"/>
  <c r="O3" i="6"/>
  <c r="O11" i="6"/>
  <c r="O19" i="6"/>
  <c r="O27" i="6"/>
  <c r="O35" i="6"/>
  <c r="O43" i="6"/>
  <c r="O40" i="6"/>
  <c r="O8" i="6"/>
  <c r="O16" i="6"/>
  <c r="O24" i="6"/>
  <c r="O32" i="6"/>
  <c r="O10" i="6"/>
  <c r="O18" i="6"/>
  <c r="O26" i="6"/>
  <c r="O34" i="6"/>
  <c r="O42" i="6"/>
  <c r="O5" i="6"/>
  <c r="O49" i="6"/>
  <c r="O4" i="6"/>
  <c r="O45" i="6"/>
  <c r="O21" i="6"/>
  <c r="O37" i="6"/>
  <c r="O44" i="6"/>
  <c r="O41" i="6"/>
  <c r="O29" i="6"/>
  <c r="O47" i="6"/>
  <c r="O13" i="6"/>
  <c r="O48" i="6"/>
  <c r="L6" i="6"/>
  <c r="L14" i="6"/>
  <c r="L22" i="6"/>
  <c r="L30" i="6"/>
  <c r="L38" i="6"/>
  <c r="L11" i="6"/>
  <c r="L19" i="6"/>
  <c r="L27" i="6"/>
  <c r="L35" i="6"/>
  <c r="L8" i="6"/>
  <c r="L16" i="6"/>
  <c r="L24" i="6"/>
  <c r="L32" i="6"/>
  <c r="L5" i="6"/>
  <c r="L13" i="6"/>
  <c r="L21" i="6"/>
  <c r="L29" i="6"/>
  <c r="L37" i="6"/>
  <c r="L45" i="6"/>
  <c r="L4" i="6"/>
  <c r="L10" i="6"/>
  <c r="L18" i="6"/>
  <c r="L26" i="6"/>
  <c r="L34" i="6"/>
  <c r="L42" i="6"/>
  <c r="L39" i="6"/>
  <c r="L7" i="6"/>
  <c r="L15" i="6"/>
  <c r="L23" i="6"/>
  <c r="L31" i="6"/>
  <c r="L9" i="6"/>
  <c r="L17" i="6"/>
  <c r="L25" i="6"/>
  <c r="L33" i="6"/>
  <c r="L41" i="6"/>
  <c r="L49" i="6"/>
  <c r="L20" i="6"/>
  <c r="L40" i="6"/>
  <c r="L36" i="6"/>
  <c r="L12" i="6"/>
  <c r="L44" i="6"/>
  <c r="L47" i="6"/>
  <c r="L3" i="6"/>
  <c r="L28" i="6"/>
  <c r="L46" i="6"/>
  <c r="L43" i="6"/>
  <c r="L48" i="6"/>
  <c r="N12" i="6"/>
  <c r="N20" i="6"/>
  <c r="N28" i="6"/>
  <c r="N36" i="6"/>
  <c r="N44" i="6"/>
  <c r="N9" i="6"/>
  <c r="N17" i="6"/>
  <c r="N25" i="6"/>
  <c r="N33" i="6"/>
  <c r="N6" i="6"/>
  <c r="N14" i="6"/>
  <c r="N22" i="6"/>
  <c r="N30" i="6"/>
  <c r="N11" i="6"/>
  <c r="N19" i="6"/>
  <c r="N27" i="6"/>
  <c r="N35" i="6"/>
  <c r="N43" i="6"/>
  <c r="N8" i="6"/>
  <c r="N16" i="6"/>
  <c r="N24" i="6"/>
  <c r="N32" i="6"/>
  <c r="N40" i="6"/>
  <c r="N48" i="6"/>
  <c r="N45" i="6"/>
  <c r="N5" i="6"/>
  <c r="N13" i="6"/>
  <c r="N21" i="6"/>
  <c r="N29" i="6"/>
  <c r="N37" i="6"/>
  <c r="N7" i="6"/>
  <c r="N15" i="6"/>
  <c r="N23" i="6"/>
  <c r="N31" i="6"/>
  <c r="N39" i="6"/>
  <c r="N47" i="6"/>
  <c r="N10" i="6"/>
  <c r="N26" i="6"/>
  <c r="N42" i="6"/>
  <c r="N46" i="6"/>
  <c r="N34" i="6"/>
  <c r="N49" i="6"/>
  <c r="N18" i="6"/>
  <c r="N41" i="6"/>
  <c r="N38" i="6"/>
  <c r="N3" i="6"/>
  <c r="N4" i="6"/>
  <c r="Q5" i="6"/>
  <c r="Q13" i="6"/>
  <c r="Q21" i="6"/>
  <c r="Q29" i="6"/>
  <c r="Q10" i="6"/>
  <c r="Q18" i="6"/>
  <c r="Q26" i="6"/>
  <c r="Q34" i="6"/>
  <c r="Q7" i="6"/>
  <c r="Q15" i="6"/>
  <c r="Q23" i="6"/>
  <c r="Q31" i="6"/>
  <c r="Q12" i="6"/>
  <c r="Q20" i="6"/>
  <c r="Q28" i="6"/>
  <c r="Q36" i="6"/>
  <c r="Q44" i="6"/>
  <c r="Q9" i="6"/>
  <c r="Q17" i="6"/>
  <c r="Q25" i="6"/>
  <c r="Q33" i="6"/>
  <c r="Q41" i="6"/>
  <c r="Q49" i="6"/>
  <c r="Q6" i="6"/>
  <c r="Q14" i="6"/>
  <c r="Q22" i="6"/>
  <c r="Q30" i="6"/>
  <c r="Q38" i="6"/>
  <c r="Q8" i="6"/>
  <c r="Q16" i="6"/>
  <c r="Q24" i="6"/>
  <c r="Q32" i="6"/>
  <c r="Q40" i="6"/>
  <c r="Q48" i="6"/>
  <c r="Q37" i="6"/>
  <c r="Q45" i="6"/>
  <c r="Q43" i="6"/>
  <c r="Q46" i="6"/>
  <c r="Q4" i="6"/>
  <c r="Q3" i="6"/>
  <c r="Q35" i="6"/>
  <c r="Q47" i="6"/>
  <c r="Q11" i="6"/>
  <c r="Q42" i="6"/>
  <c r="Q27" i="6"/>
  <c r="Q39" i="6"/>
  <c r="Q19" i="6"/>
  <c r="M9" i="6"/>
  <c r="M17" i="6"/>
  <c r="M25" i="6"/>
  <c r="M33" i="6"/>
  <c r="M41" i="6"/>
  <c r="M6" i="6"/>
  <c r="M14" i="6"/>
  <c r="M22" i="6"/>
  <c r="M30" i="6"/>
  <c r="M11" i="6"/>
  <c r="M19" i="6"/>
  <c r="M27" i="6"/>
  <c r="M35" i="6"/>
  <c r="M8" i="6"/>
  <c r="M16" i="6"/>
  <c r="M24" i="6"/>
  <c r="M32" i="6"/>
  <c r="M40" i="6"/>
  <c r="M48" i="6"/>
  <c r="M5" i="6"/>
  <c r="M13" i="6"/>
  <c r="M21" i="6"/>
  <c r="M29" i="6"/>
  <c r="M37" i="6"/>
  <c r="M45" i="6"/>
  <c r="M4" i="6"/>
  <c r="M42" i="6"/>
  <c r="M10" i="6"/>
  <c r="M18" i="6"/>
  <c r="M26" i="6"/>
  <c r="M34" i="6"/>
  <c r="M12" i="6"/>
  <c r="M20" i="6"/>
  <c r="M28" i="6"/>
  <c r="M36" i="6"/>
  <c r="M44" i="6"/>
  <c r="M15" i="6"/>
  <c r="M31" i="6"/>
  <c r="M7" i="6"/>
  <c r="M39" i="6"/>
  <c r="M47" i="6"/>
  <c r="M49" i="6"/>
  <c r="M3" i="6"/>
  <c r="M43" i="6"/>
  <c r="M23" i="6"/>
  <c r="M38" i="6"/>
  <c r="M46" i="6"/>
  <c r="R8" i="6"/>
  <c r="R16" i="6"/>
  <c r="R24" i="6"/>
  <c r="R32" i="6"/>
  <c r="R5" i="6"/>
  <c r="R13" i="6"/>
  <c r="R21" i="6"/>
  <c r="R29" i="6"/>
  <c r="R37" i="6"/>
  <c r="R10" i="6"/>
  <c r="R18" i="6"/>
  <c r="R26" i="6"/>
  <c r="R34" i="6"/>
  <c r="R7" i="6"/>
  <c r="R15" i="6"/>
  <c r="R23" i="6"/>
  <c r="R31" i="6"/>
  <c r="R39" i="6"/>
  <c r="R47" i="6"/>
  <c r="R12" i="6"/>
  <c r="R20" i="6"/>
  <c r="R28" i="6"/>
  <c r="R36" i="6"/>
  <c r="R44" i="6"/>
  <c r="R9" i="6"/>
  <c r="R17" i="6"/>
  <c r="R25" i="6"/>
  <c r="R33" i="6"/>
  <c r="R41" i="6"/>
  <c r="R11" i="6"/>
  <c r="R19" i="6"/>
  <c r="R27" i="6"/>
  <c r="R35" i="6"/>
  <c r="R43" i="6"/>
  <c r="R40" i="6"/>
  <c r="R38" i="6"/>
  <c r="R30" i="6"/>
  <c r="R46" i="6"/>
  <c r="R49" i="6"/>
  <c r="R4" i="6"/>
  <c r="R3" i="6"/>
  <c r="R48" i="6"/>
  <c r="R45" i="6"/>
  <c r="R6" i="6"/>
  <c r="R22" i="6"/>
  <c r="R42" i="6"/>
  <c r="R14" i="6"/>
  <c r="B3" i="6"/>
  <c r="C4" i="6"/>
  <c r="L25" i="11" l="1"/>
  <c r="K26" i="11"/>
  <c r="K11" i="6"/>
  <c r="K19" i="6"/>
  <c r="K27" i="6"/>
  <c r="K35" i="6"/>
  <c r="K43" i="6"/>
  <c r="K8" i="6"/>
  <c r="K16" i="6"/>
  <c r="K24" i="6"/>
  <c r="K32" i="6"/>
  <c r="K5" i="6"/>
  <c r="K13" i="6"/>
  <c r="K21" i="6"/>
  <c r="K29" i="6"/>
  <c r="K37" i="6"/>
  <c r="K10" i="6"/>
  <c r="K18" i="6"/>
  <c r="K26" i="6"/>
  <c r="K34" i="6"/>
  <c r="K42" i="6"/>
  <c r="K7" i="6"/>
  <c r="K15" i="6"/>
  <c r="K23" i="6"/>
  <c r="K31" i="6"/>
  <c r="K39" i="6"/>
  <c r="K47" i="6"/>
  <c r="K44" i="6"/>
  <c r="K12" i="6"/>
  <c r="K20" i="6"/>
  <c r="K28" i="6"/>
  <c r="K36" i="6"/>
  <c r="K6" i="6"/>
  <c r="K14" i="6"/>
  <c r="K22" i="6"/>
  <c r="K30" i="6"/>
  <c r="K38" i="6"/>
  <c r="K46" i="6"/>
  <c r="K3" i="6"/>
  <c r="K25" i="6"/>
  <c r="K45" i="6"/>
  <c r="K17" i="6"/>
  <c r="K40" i="6"/>
  <c r="K41" i="6"/>
  <c r="K48" i="6"/>
  <c r="K49" i="6"/>
  <c r="K33" i="6"/>
  <c r="K4" i="6"/>
  <c r="K9" i="6"/>
  <c r="B2" i="6"/>
  <c r="C2" i="6" s="1"/>
  <c r="C3" i="6"/>
  <c r="A239" i="1"/>
  <c r="V239" i="1" s="1"/>
  <c r="W239" i="1" l="1"/>
  <c r="AK239" i="1"/>
  <c r="R239" i="1"/>
  <c r="S239" i="1"/>
  <c r="Z239" i="1"/>
  <c r="L26" i="11"/>
  <c r="K27" i="11"/>
  <c r="I5" i="6"/>
  <c r="I13" i="6"/>
  <c r="I21" i="6"/>
  <c r="I29" i="6"/>
  <c r="I37" i="6"/>
  <c r="I10" i="6"/>
  <c r="I18" i="6"/>
  <c r="I26" i="6"/>
  <c r="I34" i="6"/>
  <c r="I7" i="6"/>
  <c r="I15" i="6"/>
  <c r="I23" i="6"/>
  <c r="I31" i="6"/>
  <c r="I12" i="6"/>
  <c r="I20" i="6"/>
  <c r="I28" i="6"/>
  <c r="I36" i="6"/>
  <c r="I44" i="6"/>
  <c r="I9" i="6"/>
  <c r="I17" i="6"/>
  <c r="I25" i="6"/>
  <c r="I33" i="6"/>
  <c r="I41" i="6"/>
  <c r="I49" i="6"/>
  <c r="I38" i="6"/>
  <c r="I46" i="6"/>
  <c r="I6" i="6"/>
  <c r="I14" i="6"/>
  <c r="I22" i="6"/>
  <c r="I30" i="6"/>
  <c r="I8" i="6"/>
  <c r="I16" i="6"/>
  <c r="I24" i="6"/>
  <c r="I32" i="6"/>
  <c r="I40" i="6"/>
  <c r="I48" i="6"/>
  <c r="I45" i="6"/>
  <c r="I35" i="6"/>
  <c r="I42" i="6"/>
  <c r="I11" i="6"/>
  <c r="I39" i="6"/>
  <c r="I27" i="6"/>
  <c r="I4" i="6"/>
  <c r="I47" i="6"/>
  <c r="I3" i="6"/>
  <c r="I43" i="6"/>
  <c r="I19" i="6"/>
  <c r="J8" i="6"/>
  <c r="J16" i="6"/>
  <c r="J24" i="6"/>
  <c r="J32" i="6"/>
  <c r="J5" i="6"/>
  <c r="J13" i="6"/>
  <c r="J21" i="6"/>
  <c r="J29" i="6"/>
  <c r="J37" i="6"/>
  <c r="J10" i="6"/>
  <c r="J18" i="6"/>
  <c r="J26" i="6"/>
  <c r="J34" i="6"/>
  <c r="J7" i="6"/>
  <c r="J15" i="6"/>
  <c r="J23" i="6"/>
  <c r="J31" i="6"/>
  <c r="J39" i="6"/>
  <c r="J47" i="6"/>
  <c r="J12" i="6"/>
  <c r="J20" i="6"/>
  <c r="J28" i="6"/>
  <c r="J36" i="6"/>
  <c r="J44" i="6"/>
  <c r="J41" i="6"/>
  <c r="J9" i="6"/>
  <c r="J17" i="6"/>
  <c r="J25" i="6"/>
  <c r="J33" i="6"/>
  <c r="J11" i="6"/>
  <c r="J19" i="6"/>
  <c r="J27" i="6"/>
  <c r="J35" i="6"/>
  <c r="J43" i="6"/>
  <c r="J40" i="6"/>
  <c r="J30" i="6"/>
  <c r="J42" i="6"/>
  <c r="J6" i="6"/>
  <c r="J22" i="6"/>
  <c r="J46" i="6"/>
  <c r="J48" i="6"/>
  <c r="J49" i="6"/>
  <c r="J4" i="6"/>
  <c r="J3" i="6"/>
  <c r="J38" i="6"/>
  <c r="J45" i="6"/>
  <c r="J14" i="6"/>
  <c r="C12" i="9"/>
  <c r="L27" i="11" l="1"/>
  <c r="K28" i="11"/>
  <c r="A282" i="1"/>
  <c r="V282" i="1" s="1"/>
  <c r="A265" i="1"/>
  <c r="V265" i="1" s="1"/>
  <c r="W265" i="1" l="1"/>
  <c r="AK265" i="1"/>
  <c r="W282" i="1"/>
  <c r="AK282" i="1"/>
  <c r="C23" i="9"/>
  <c r="R265" i="1"/>
  <c r="Z265" i="1"/>
  <c r="S265" i="1"/>
  <c r="R282" i="1"/>
  <c r="Z282" i="1"/>
  <c r="S282" i="1"/>
  <c r="L28" i="11"/>
  <c r="K29" i="11"/>
  <c r="A591" i="1"/>
  <c r="V591" i="1" s="1"/>
  <c r="A592" i="1"/>
  <c r="V592" i="1" s="1"/>
  <c r="A106" i="1"/>
  <c r="V106" i="1" s="1"/>
  <c r="A394" i="1"/>
  <c r="V394" i="1" s="1"/>
  <c r="W394" i="1" l="1"/>
  <c r="AK394" i="1"/>
  <c r="W106" i="1"/>
  <c r="AK106" i="1"/>
  <c r="W592" i="1"/>
  <c r="AK592" i="1"/>
  <c r="W591" i="1"/>
  <c r="AK591" i="1"/>
  <c r="R394" i="1"/>
  <c r="Z394" i="1"/>
  <c r="S394" i="1"/>
  <c r="Z106" i="1"/>
  <c r="R106" i="1"/>
  <c r="S106" i="1"/>
  <c r="R592" i="1"/>
  <c r="S592" i="1"/>
  <c r="Z592" i="1"/>
  <c r="R591" i="1"/>
  <c r="S591" i="1"/>
  <c r="Z591" i="1"/>
  <c r="C45" i="9"/>
  <c r="L29" i="11"/>
  <c r="K30" i="11"/>
  <c r="L30" i="11" l="1"/>
  <c r="K31" i="11"/>
  <c r="A660" i="1"/>
  <c r="V660" i="1" s="1"/>
  <c r="A668" i="1"/>
  <c r="V668" i="1" s="1"/>
  <c r="A125" i="1"/>
  <c r="V125" i="1" s="1"/>
  <c r="A963" i="1"/>
  <c r="V963" i="1" s="1"/>
  <c r="W963" i="1" l="1"/>
  <c r="AK963" i="1"/>
  <c r="W125" i="1"/>
  <c r="AK125" i="1"/>
  <c r="W668" i="1"/>
  <c r="AK668" i="1"/>
  <c r="W660" i="1"/>
  <c r="AK660" i="1"/>
  <c r="R963" i="1"/>
  <c r="S963" i="1"/>
  <c r="R125" i="1"/>
  <c r="S125" i="1"/>
  <c r="Z125" i="1"/>
  <c r="R668" i="1"/>
  <c r="S668" i="1"/>
  <c r="Z668" i="1"/>
  <c r="R660" i="1"/>
  <c r="S660" i="1"/>
  <c r="L31" i="11"/>
  <c r="K32" i="11"/>
  <c r="L32" i="11" l="1"/>
  <c r="K33" i="11"/>
  <c r="A87" i="1"/>
  <c r="A478" i="1"/>
  <c r="V478" i="1" s="1"/>
  <c r="AK87" i="1" l="1"/>
  <c r="V87" i="1"/>
  <c r="W478" i="1"/>
  <c r="AK478" i="1"/>
  <c r="W87" i="1"/>
  <c r="R478" i="1"/>
  <c r="S478" i="1"/>
  <c r="R87" i="1"/>
  <c r="S87" i="1"/>
  <c r="L33" i="11"/>
  <c r="K34" i="11"/>
  <c r="A781" i="1"/>
  <c r="V781" i="1" s="1"/>
  <c r="A649" i="1"/>
  <c r="V649" i="1" s="1"/>
  <c r="C24" i="9"/>
  <c r="A1039" i="1"/>
  <c r="V1039" i="1" s="1"/>
  <c r="A674" i="1"/>
  <c r="V674" i="1" s="1"/>
  <c r="A614" i="1"/>
  <c r="V614" i="1" s="1"/>
  <c r="C25" i="9"/>
  <c r="A705" i="1"/>
  <c r="V705" i="1" s="1"/>
  <c r="A854" i="1"/>
  <c r="V854" i="1" s="1"/>
  <c r="A719" i="1"/>
  <c r="V719" i="1" s="1"/>
  <c r="A396" i="1"/>
  <c r="V396" i="1" s="1"/>
  <c r="A791" i="1"/>
  <c r="V791" i="1" s="1"/>
  <c r="A666" i="1"/>
  <c r="V666" i="1" s="1"/>
  <c r="W666" i="1" l="1"/>
  <c r="AK666" i="1"/>
  <c r="W791" i="1"/>
  <c r="AK791" i="1"/>
  <c r="W396" i="1"/>
  <c r="AK396" i="1"/>
  <c r="W719" i="1"/>
  <c r="AK719" i="1"/>
  <c r="W854" i="1"/>
  <c r="AK854" i="1"/>
  <c r="W705" i="1"/>
  <c r="AK705" i="1"/>
  <c r="W614" i="1"/>
  <c r="AK614" i="1"/>
  <c r="W674" i="1"/>
  <c r="AK674" i="1"/>
  <c r="W1039" i="1"/>
  <c r="AK1039" i="1"/>
  <c r="W649" i="1"/>
  <c r="AK649" i="1"/>
  <c r="W781" i="1"/>
  <c r="AK781" i="1"/>
  <c r="R666" i="1"/>
  <c r="Z666" i="1"/>
  <c r="S666" i="1"/>
  <c r="R791" i="1"/>
  <c r="Z791" i="1"/>
  <c r="S791" i="1"/>
  <c r="R396" i="1"/>
  <c r="S396" i="1"/>
  <c r="Z396" i="1"/>
  <c r="R719" i="1"/>
  <c r="S719" i="1"/>
  <c r="R854" i="1"/>
  <c r="Z854" i="1"/>
  <c r="S854" i="1"/>
  <c r="R705" i="1"/>
  <c r="S705" i="1"/>
  <c r="R614" i="1"/>
  <c r="S614" i="1"/>
  <c r="R674" i="1"/>
  <c r="S674" i="1"/>
  <c r="R1039" i="1"/>
  <c r="Z1039" i="1"/>
  <c r="S1039" i="1"/>
  <c r="R649" i="1"/>
  <c r="S649" i="1"/>
  <c r="R781" i="1"/>
  <c r="Z781" i="1"/>
  <c r="S781" i="1"/>
  <c r="L34" i="11"/>
  <c r="K35" i="11"/>
  <c r="L791" i="1"/>
  <c r="L35" i="11" l="1"/>
  <c r="K36" i="11"/>
  <c r="A417" i="1"/>
  <c r="V417" i="1" s="1"/>
  <c r="C33" i="9"/>
  <c r="A922" i="1"/>
  <c r="A330" i="1"/>
  <c r="V330" i="1" s="1"/>
  <c r="A964" i="1"/>
  <c r="V964" i="1" s="1"/>
  <c r="A1085" i="1"/>
  <c r="V1085" i="1" s="1"/>
  <c r="C34" i="9"/>
  <c r="A830" i="1"/>
  <c r="V830" i="1" s="1"/>
  <c r="A877" i="1"/>
  <c r="V877" i="1" s="1"/>
  <c r="A820" i="1"/>
  <c r="V820" i="1" s="1"/>
  <c r="A1084" i="1"/>
  <c r="V1084" i="1" s="1"/>
  <c r="A1056" i="1"/>
  <c r="V1056" i="1" s="1"/>
  <c r="A1083" i="1"/>
  <c r="V1083" i="1" s="1"/>
  <c r="A832" i="1"/>
  <c r="V832" i="1" s="1"/>
  <c r="A743" i="1"/>
  <c r="V743" i="1" s="1"/>
  <c r="A246" i="1"/>
  <c r="A214" i="1"/>
  <c r="A323" i="1"/>
  <c r="V323" i="1" s="1"/>
  <c r="C35" i="9"/>
  <c r="C17" i="9"/>
  <c r="V246" i="1" l="1"/>
  <c r="Z246" i="1" s="1"/>
  <c r="V214" i="1"/>
  <c r="Z214" i="1" s="1"/>
  <c r="Y1077" i="1"/>
  <c r="V922" i="1"/>
  <c r="AK922" i="1"/>
  <c r="W323" i="1"/>
  <c r="AK323" i="1"/>
  <c r="W214" i="1"/>
  <c r="AK214" i="1"/>
  <c r="W246" i="1"/>
  <c r="AK246" i="1"/>
  <c r="W743" i="1"/>
  <c r="AK743" i="1"/>
  <c r="W832" i="1"/>
  <c r="AK832" i="1"/>
  <c r="W1083" i="1"/>
  <c r="AK1083" i="1"/>
  <c r="W1056" i="1"/>
  <c r="AK1056" i="1"/>
  <c r="W1084" i="1"/>
  <c r="AK1084" i="1"/>
  <c r="W820" i="1"/>
  <c r="AK820" i="1"/>
  <c r="W877" i="1"/>
  <c r="AK877" i="1"/>
  <c r="W830" i="1"/>
  <c r="AK830" i="1"/>
  <c r="W1085" i="1"/>
  <c r="AK1085" i="1"/>
  <c r="W964" i="1"/>
  <c r="AK964" i="1"/>
  <c r="W330" i="1"/>
  <c r="AK330" i="1"/>
  <c r="W417" i="1"/>
  <c r="AK417" i="1"/>
  <c r="W922" i="1"/>
  <c r="R323" i="1"/>
  <c r="S323" i="1"/>
  <c r="R214" i="1"/>
  <c r="S214" i="1"/>
  <c r="R246" i="1"/>
  <c r="S246" i="1"/>
  <c r="R743" i="1"/>
  <c r="S743" i="1"/>
  <c r="R832" i="1"/>
  <c r="S832" i="1"/>
  <c r="R1083" i="1"/>
  <c r="S1083" i="1"/>
  <c r="R1056" i="1"/>
  <c r="S1056" i="1"/>
  <c r="R1084" i="1"/>
  <c r="S1084" i="1"/>
  <c r="R820" i="1"/>
  <c r="S820" i="1"/>
  <c r="Z820" i="1"/>
  <c r="R877" i="1"/>
  <c r="Z877" i="1"/>
  <c r="S877" i="1"/>
  <c r="R830" i="1"/>
  <c r="S830" i="1"/>
  <c r="R1085" i="1"/>
  <c r="Z1085" i="1"/>
  <c r="S1085" i="1"/>
  <c r="R964" i="1"/>
  <c r="S964" i="1"/>
  <c r="R330" i="1"/>
  <c r="S330" i="1"/>
  <c r="R922" i="1"/>
  <c r="S922" i="1"/>
  <c r="R417" i="1"/>
  <c r="S417" i="1"/>
  <c r="L36" i="11"/>
  <c r="K37" i="11"/>
  <c r="C21" i="9"/>
  <c r="A97" i="1"/>
  <c r="V97" i="1" l="1"/>
  <c r="W97" i="1"/>
  <c r="AK97" i="1"/>
  <c r="R97" i="1"/>
  <c r="S97" i="1"/>
  <c r="L37" i="11"/>
  <c r="K38" i="11"/>
  <c r="A730" i="1"/>
  <c r="V730" i="1" s="1"/>
  <c r="A32" i="1"/>
  <c r="Y156" i="1" l="1"/>
  <c r="Y157" i="1"/>
  <c r="Y160" i="1"/>
  <c r="Y161" i="1"/>
  <c r="Y159" i="1"/>
  <c r="Y158" i="1"/>
  <c r="Y147" i="1"/>
  <c r="Y155" i="1"/>
  <c r="Y148" i="1"/>
  <c r="Y145" i="1"/>
  <c r="Y152" i="1"/>
  <c r="Y151" i="1"/>
  <c r="Y149" i="1"/>
  <c r="Y150" i="1"/>
  <c r="Y144" i="1"/>
  <c r="Y154" i="1"/>
  <c r="Y153" i="1"/>
  <c r="Y146" i="1"/>
  <c r="Y52" i="1"/>
  <c r="Y1125" i="1"/>
  <c r="Y98" i="1"/>
  <c r="Y124" i="1"/>
  <c r="Y1270" i="1"/>
  <c r="Y104" i="1"/>
  <c r="Y86" i="1"/>
  <c r="Y63" i="1"/>
  <c r="Y123" i="1"/>
  <c r="Y94" i="1"/>
  <c r="Y824" i="1"/>
  <c r="Y690" i="1"/>
  <c r="Y763" i="1"/>
  <c r="V32" i="1"/>
  <c r="W32" i="1"/>
  <c r="AK32" i="1"/>
  <c r="W730" i="1"/>
  <c r="AK730" i="1"/>
  <c r="R32" i="1"/>
  <c r="S32" i="1"/>
  <c r="R730" i="1"/>
  <c r="S730" i="1"/>
  <c r="L38" i="11"/>
  <c r="K39" i="11"/>
  <c r="L39" i="11" l="1"/>
  <c r="K40" i="11"/>
  <c r="A554" i="1"/>
  <c r="V554" i="1" s="1"/>
  <c r="W554" i="1" l="1"/>
  <c r="AK554" i="1"/>
  <c r="R554" i="1"/>
  <c r="S554" i="1"/>
  <c r="Z554" i="1"/>
  <c r="L40" i="11"/>
  <c r="K41" i="11"/>
  <c r="A875" i="1"/>
  <c r="V875" i="1" s="1"/>
  <c r="A1099" i="1"/>
  <c r="V1099" i="1" s="1"/>
  <c r="A1196" i="1"/>
  <c r="V1196" i="1" s="1"/>
  <c r="A973" i="1"/>
  <c r="V973" i="1" s="1"/>
  <c r="A876" i="1"/>
  <c r="V876" i="1" s="1"/>
  <c r="W876" i="1" l="1"/>
  <c r="AK876" i="1"/>
  <c r="W973" i="1"/>
  <c r="AK973" i="1"/>
  <c r="W1196" i="1"/>
  <c r="AK1196" i="1"/>
  <c r="W1099" i="1"/>
  <c r="AK1099" i="1"/>
  <c r="W875" i="1"/>
  <c r="AK875" i="1"/>
  <c r="R876" i="1"/>
  <c r="S876" i="1"/>
  <c r="R973" i="1"/>
  <c r="S973" i="1"/>
  <c r="R1196" i="1"/>
  <c r="S1196" i="1"/>
  <c r="Z1196" i="1"/>
  <c r="R1099" i="1"/>
  <c r="S1099" i="1"/>
  <c r="R875" i="1"/>
  <c r="S875" i="1"/>
  <c r="L41" i="11"/>
  <c r="K42" i="11"/>
  <c r="L42" i="11" l="1"/>
  <c r="K43" i="11"/>
  <c r="A987" i="1"/>
  <c r="V987" i="1" s="1"/>
  <c r="A694" i="1"/>
  <c r="V694" i="1" s="1"/>
  <c r="A233" i="1"/>
  <c r="V233" i="1" s="1"/>
  <c r="C5" i="9"/>
  <c r="A589" i="1"/>
  <c r="V589" i="1" s="1"/>
  <c r="A695" i="1"/>
  <c r="V695" i="1" s="1"/>
  <c r="A771" i="1"/>
  <c r="V771" i="1" s="1"/>
  <c r="A370" i="1"/>
  <c r="V370" i="1" s="1"/>
  <c r="A769" i="1"/>
  <c r="V769" i="1" s="1"/>
  <c r="A696" i="1"/>
  <c r="V696" i="1" s="1"/>
  <c r="A736" i="1"/>
  <c r="V736" i="1" s="1"/>
  <c r="W736" i="1" l="1"/>
  <c r="AK736" i="1"/>
  <c r="W696" i="1"/>
  <c r="AK696" i="1"/>
  <c r="W769" i="1"/>
  <c r="AK769" i="1"/>
  <c r="W370" i="1"/>
  <c r="AK370" i="1"/>
  <c r="W771" i="1"/>
  <c r="AK771" i="1"/>
  <c r="W695" i="1"/>
  <c r="AK695" i="1"/>
  <c r="W589" i="1"/>
  <c r="AK589" i="1"/>
  <c r="W233" i="1"/>
  <c r="AK233" i="1"/>
  <c r="W694" i="1"/>
  <c r="AK694" i="1"/>
  <c r="W987" i="1"/>
  <c r="AK987" i="1"/>
  <c r="R736" i="1"/>
  <c r="S736" i="1"/>
  <c r="R696" i="1"/>
  <c r="S696" i="1"/>
  <c r="R769" i="1"/>
  <c r="Z769" i="1"/>
  <c r="S769" i="1"/>
  <c r="R370" i="1"/>
  <c r="S370" i="1"/>
  <c r="R771" i="1"/>
  <c r="S771" i="1"/>
  <c r="R695" i="1"/>
  <c r="S695" i="1"/>
  <c r="R589" i="1"/>
  <c r="S589" i="1"/>
  <c r="R233" i="1"/>
  <c r="S233" i="1"/>
  <c r="R694" i="1"/>
  <c r="Z694" i="1"/>
  <c r="S694" i="1"/>
  <c r="R987" i="1"/>
  <c r="S987" i="1"/>
  <c r="C39" i="9"/>
  <c r="C41" i="9"/>
  <c r="L43" i="11"/>
  <c r="A624" i="1"/>
  <c r="V624" i="1" s="1"/>
  <c r="C29" i="9"/>
  <c r="A749" i="1"/>
  <c r="V749" i="1" s="1"/>
  <c r="W749" i="1" l="1"/>
  <c r="AK749" i="1"/>
  <c r="W624" i="1"/>
  <c r="AK624" i="1"/>
  <c r="R749" i="1"/>
  <c r="S749" i="1"/>
  <c r="R624" i="1"/>
  <c r="S624" i="1"/>
  <c r="A671" i="1"/>
  <c r="AK671" i="1" l="1"/>
  <c r="V671" i="1"/>
  <c r="W671" i="1"/>
  <c r="R671" i="1"/>
  <c r="S671" i="1"/>
  <c r="A874" i="1"/>
  <c r="V874" i="1" s="1"/>
  <c r="A698" i="1"/>
  <c r="V698" i="1" s="1"/>
  <c r="A357" i="1"/>
  <c r="V357" i="1" s="1"/>
  <c r="A923" i="1"/>
  <c r="V923" i="1" s="1"/>
  <c r="A770" i="1"/>
  <c r="V770" i="1" s="1"/>
  <c r="A477" i="1"/>
  <c r="V477" i="1" s="1"/>
  <c r="C22" i="9"/>
  <c r="A1292" i="1"/>
  <c r="Y558" i="1" l="1"/>
  <c r="Y762" i="1"/>
  <c r="Y93" i="1"/>
  <c r="Y672" i="1"/>
  <c r="Y823" i="1"/>
  <c r="Y327" i="1"/>
  <c r="Y64" i="1"/>
  <c r="Y525" i="1"/>
  <c r="Y70" i="1"/>
  <c r="Y218" i="1"/>
  <c r="Y71" i="1"/>
  <c r="Y362" i="1"/>
  <c r="Y220" i="1"/>
  <c r="Y606" i="1"/>
  <c r="Y532" i="1"/>
  <c r="Y472" i="1"/>
  <c r="Y69" i="1"/>
  <c r="Y607" i="1"/>
  <c r="V1292" i="1"/>
  <c r="W1292" i="1"/>
  <c r="AK1292" i="1"/>
  <c r="W477" i="1"/>
  <c r="AK477" i="1"/>
  <c r="W770" i="1"/>
  <c r="AK770" i="1"/>
  <c r="W923" i="1"/>
  <c r="AK923" i="1"/>
  <c r="W357" i="1"/>
  <c r="AK357" i="1"/>
  <c r="W698" i="1"/>
  <c r="AK698" i="1"/>
  <c r="W874" i="1"/>
  <c r="AK874" i="1"/>
  <c r="R1292" i="1"/>
  <c r="S1292" i="1"/>
  <c r="R477" i="1"/>
  <c r="S477" i="1"/>
  <c r="R770" i="1"/>
  <c r="Z770" i="1"/>
  <c r="S770" i="1"/>
  <c r="R923" i="1"/>
  <c r="S923" i="1"/>
  <c r="R357" i="1"/>
  <c r="S357" i="1"/>
  <c r="R698" i="1"/>
  <c r="S698" i="1"/>
  <c r="R874" i="1"/>
  <c r="S874" i="1"/>
  <c r="Z874" i="1"/>
  <c r="A794" i="1"/>
  <c r="V794" i="1" s="1"/>
  <c r="A628" i="1"/>
  <c r="V628" i="1" s="1"/>
  <c r="W628" i="1" l="1"/>
  <c r="AK628" i="1"/>
  <c r="W794" i="1"/>
  <c r="AK794" i="1"/>
  <c r="R628" i="1"/>
  <c r="S628" i="1"/>
  <c r="R794" i="1"/>
  <c r="S794" i="1"/>
  <c r="C48" i="9"/>
  <c r="C51" i="9"/>
  <c r="A470" i="1"/>
  <c r="V470" i="1" s="1"/>
  <c r="A829" i="1"/>
  <c r="V829" i="1" s="1"/>
  <c r="A562" i="1"/>
  <c r="V562" i="1" s="1"/>
  <c r="C30" i="9"/>
  <c r="C2" i="9"/>
  <c r="C7" i="9"/>
  <c r="C18" i="9"/>
  <c r="C20" i="9"/>
  <c r="C40" i="9"/>
  <c r="C27" i="9"/>
  <c r="A735" i="1"/>
  <c r="V735" i="1" s="1"/>
  <c r="A164" i="1"/>
  <c r="A1158" i="1"/>
  <c r="V1158" i="1" s="1"/>
  <c r="A620" i="1"/>
  <c r="V620" i="1" s="1"/>
  <c r="A855" i="1"/>
  <c r="V855" i="1" s="1"/>
  <c r="A639" i="1"/>
  <c r="V639" i="1" s="1"/>
  <c r="A560" i="1"/>
  <c r="V560" i="1" s="1"/>
  <c r="A567" i="1"/>
  <c r="V567" i="1" s="1"/>
  <c r="A772" i="1"/>
  <c r="V772" i="1" s="1"/>
  <c r="A427" i="1"/>
  <c r="V427" i="1" s="1"/>
  <c r="A377" i="1"/>
  <c r="V377" i="1" s="1"/>
  <c r="A312" i="1"/>
  <c r="V312" i="1" s="1"/>
  <c r="A947" i="1"/>
  <c r="V947" i="1" s="1"/>
  <c r="A1199" i="1"/>
  <c r="A540" i="1"/>
  <c r="V540" i="1" s="1"/>
  <c r="A632" i="1"/>
  <c r="V632" i="1" s="1"/>
  <c r="A238" i="1"/>
  <c r="V238" i="1" s="1"/>
  <c r="A555" i="1"/>
  <c r="V555" i="1" s="1"/>
  <c r="A580" i="1"/>
  <c r="V580" i="1" s="1"/>
  <c r="A1003" i="1"/>
  <c r="V1003" i="1" s="1"/>
  <c r="A1079" i="1"/>
  <c r="V1079" i="1" s="1"/>
  <c r="A857" i="1"/>
  <c r="V857" i="1" s="1"/>
  <c r="A880" i="1"/>
  <c r="V880" i="1" s="1"/>
  <c r="A367" i="1"/>
  <c r="V367" i="1" s="1"/>
  <c r="A486" i="1"/>
  <c r="V486" i="1" s="1"/>
  <c r="A631" i="1"/>
  <c r="V631" i="1" s="1"/>
  <c r="A1189" i="1"/>
  <c r="V1189" i="1" s="1"/>
  <c r="A502" i="1"/>
  <c r="V502" i="1" s="1"/>
  <c r="A368" i="1"/>
  <c r="V368" i="1" s="1"/>
  <c r="A197" i="1"/>
  <c r="A180" i="1"/>
  <c r="V180" i="1" s="1"/>
  <c r="A497" i="1"/>
  <c r="V497" i="1" s="1"/>
  <c r="A1110" i="1"/>
  <c r="V1110" i="1" s="1"/>
  <c r="A640" i="1"/>
  <c r="A664" i="1"/>
  <c r="V664" i="1" s="1"/>
  <c r="A1021" i="1"/>
  <c r="V1021" i="1" s="1"/>
  <c r="A505" i="1"/>
  <c r="V505" i="1" s="1"/>
  <c r="A916" i="1"/>
  <c r="V916" i="1" s="1"/>
  <c r="A861" i="1"/>
  <c r="V861" i="1" s="1"/>
  <c r="A1194" i="1"/>
  <c r="A1195" i="1"/>
  <c r="A1157" i="1"/>
  <c r="V1157" i="1" s="1"/>
  <c r="A569" i="1"/>
  <c r="V569" i="1" s="1"/>
  <c r="A865" i="1"/>
  <c r="V865" i="1" s="1"/>
  <c r="A590" i="1"/>
  <c r="V590" i="1" s="1"/>
  <c r="A732" i="1"/>
  <c r="V732" i="1" s="1"/>
  <c r="A1022" i="1"/>
  <c r="V1022" i="1" s="1"/>
  <c r="A974" i="1"/>
  <c r="V974" i="1" s="1"/>
  <c r="A1318" i="1"/>
  <c r="A1319" i="1"/>
  <c r="A1320" i="1"/>
  <c r="A519" i="1"/>
  <c r="V519" i="1" s="1"/>
  <c r="L2" i="2" l="1"/>
  <c r="X160" i="1"/>
  <c r="X157" i="1"/>
  <c r="X158" i="1"/>
  <c r="X159" i="1"/>
  <c r="X161" i="1"/>
  <c r="X156" i="1"/>
  <c r="X155" i="1"/>
  <c r="X145" i="1"/>
  <c r="X148" i="1"/>
  <c r="X147" i="1"/>
  <c r="X146" i="1"/>
  <c r="X149" i="1"/>
  <c r="X152" i="1"/>
  <c r="X154" i="1"/>
  <c r="X144" i="1"/>
  <c r="X153" i="1"/>
  <c r="X151" i="1"/>
  <c r="X150" i="1"/>
  <c r="X277" i="1"/>
  <c r="X275" i="1"/>
  <c r="X270" i="1"/>
  <c r="X273" i="1"/>
  <c r="X274" i="1"/>
  <c r="X267" i="1"/>
  <c r="X276" i="1"/>
  <c r="X271" i="1"/>
  <c r="X278" i="1"/>
  <c r="X269" i="1"/>
  <c r="X272" i="1"/>
  <c r="X268" i="1"/>
  <c r="X252" i="1"/>
  <c r="X245" i="1"/>
  <c r="X244" i="1"/>
  <c r="X249" i="1"/>
  <c r="X240" i="1"/>
  <c r="X243" i="1"/>
  <c r="X242" i="1"/>
  <c r="X250" i="1"/>
  <c r="X241" i="1"/>
  <c r="X251" i="1"/>
  <c r="X343" i="1"/>
  <c r="X340" i="1"/>
  <c r="X344" i="1"/>
  <c r="X348" i="1"/>
  <c r="X341" i="1"/>
  <c r="X337" i="1"/>
  <c r="X342" i="1"/>
  <c r="X346" i="1"/>
  <c r="X338" i="1"/>
  <c r="X345" i="1"/>
  <c r="X347" i="1"/>
  <c r="X339" i="1"/>
  <c r="L3" i="2"/>
  <c r="L4" i="2"/>
  <c r="L5" i="2"/>
  <c r="L6" i="2"/>
  <c r="L7" i="2"/>
  <c r="L14" i="2"/>
  <c r="L9" i="2"/>
  <c r="L8" i="2"/>
  <c r="L10" i="2"/>
  <c r="L11" i="2"/>
  <c r="L13" i="2"/>
  <c r="L12" i="2"/>
  <c r="X955" i="1"/>
  <c r="X954" i="1"/>
  <c r="X956" i="1"/>
  <c r="Y954" i="1"/>
  <c r="Y953" i="1"/>
  <c r="Y956" i="1"/>
  <c r="X953" i="1"/>
  <c r="Y955" i="1"/>
  <c r="X700" i="1"/>
  <c r="X701" i="1"/>
  <c r="X699" i="1"/>
  <c r="X899" i="1"/>
  <c r="X893" i="1"/>
  <c r="X898" i="1"/>
  <c r="X901" i="1"/>
  <c r="X904" i="1"/>
  <c r="Y901" i="1"/>
  <c r="X897" i="1"/>
  <c r="X900" i="1"/>
  <c r="X896" i="1"/>
  <c r="X903" i="1"/>
  <c r="X895" i="1"/>
  <c r="X902" i="1"/>
  <c r="X894" i="1"/>
  <c r="L15" i="2"/>
  <c r="X887" i="1"/>
  <c r="X891" i="1"/>
  <c r="X890" i="1"/>
  <c r="X888" i="1"/>
  <c r="X892" i="1"/>
  <c r="X889" i="1"/>
  <c r="X886" i="1"/>
  <c r="X884" i="1"/>
  <c r="Y465" i="1"/>
  <c r="Y464" i="1"/>
  <c r="X465" i="1"/>
  <c r="X882" i="1"/>
  <c r="X885" i="1"/>
  <c r="X463" i="1"/>
  <c r="X883" i="1"/>
  <c r="X461" i="1"/>
  <c r="X457" i="1"/>
  <c r="X458" i="1"/>
  <c r="Y458" i="1"/>
  <c r="X462" i="1"/>
  <c r="X466" i="1"/>
  <c r="X460" i="1"/>
  <c r="X467" i="1"/>
  <c r="Y457" i="1"/>
  <c r="X456" i="1"/>
  <c r="X464" i="1"/>
  <c r="X459" i="1"/>
  <c r="L16" i="2"/>
  <c r="X449" i="1"/>
  <c r="X450" i="1"/>
  <c r="X451" i="1"/>
  <c r="X448" i="1"/>
  <c r="Y449" i="1"/>
  <c r="L17" i="2"/>
  <c r="L18" i="2"/>
  <c r="X453" i="1"/>
  <c r="X447" i="1"/>
  <c r="X443" i="1"/>
  <c r="X444" i="1"/>
  <c r="X445" i="1"/>
  <c r="X446" i="1"/>
  <c r="X455" i="1"/>
  <c r="X454" i="1"/>
  <c r="X452" i="1"/>
  <c r="L19" i="2"/>
  <c r="L20" i="2"/>
  <c r="Y906" i="1"/>
  <c r="Y1124" i="1"/>
  <c r="L21" i="2"/>
  <c r="L22" i="2"/>
  <c r="L23" i="2"/>
  <c r="X934" i="1"/>
  <c r="X728" i="1"/>
  <c r="X501" i="1"/>
  <c r="X841" i="1"/>
  <c r="X1047" i="1"/>
  <c r="X658" i="1"/>
  <c r="X200" i="1"/>
  <c r="X199" i="1"/>
  <c r="X129" i="1"/>
  <c r="X130" i="1"/>
  <c r="X13" i="1"/>
  <c r="X131" i="1"/>
  <c r="X703" i="1"/>
  <c r="X566" i="1"/>
  <c r="X835" i="1"/>
  <c r="X381" i="1"/>
  <c r="X1302" i="1"/>
  <c r="Y1107" i="1"/>
  <c r="X1107" i="1"/>
  <c r="X810" i="1"/>
  <c r="X102" i="1"/>
  <c r="X422" i="1"/>
  <c r="X191" i="1"/>
  <c r="X423" i="1"/>
  <c r="X316" i="1"/>
  <c r="X517" i="1"/>
  <c r="X132" i="1"/>
  <c r="X1289" i="1"/>
  <c r="L24" i="2"/>
  <c r="L25" i="2"/>
  <c r="L26" i="2"/>
  <c r="L27" i="2"/>
  <c r="X293" i="1"/>
  <c r="L29" i="2"/>
  <c r="L32" i="2"/>
  <c r="L31" i="2"/>
  <c r="L34" i="2"/>
  <c r="L30" i="2"/>
  <c r="L35" i="2"/>
  <c r="L28" i="2"/>
  <c r="L33" i="2"/>
  <c r="Y918" i="1"/>
  <c r="Y970" i="1"/>
  <c r="Y1223" i="1"/>
  <c r="Y1248" i="1"/>
  <c r="Y1133" i="1"/>
  <c r="Y1066" i="1"/>
  <c r="Y980" i="1"/>
  <c r="Y1260" i="1"/>
  <c r="Y1239" i="1"/>
  <c r="Y281" i="1"/>
  <c r="Y279" i="1"/>
  <c r="Y1070" i="1"/>
  <c r="Y1278" i="1"/>
  <c r="Y1123" i="1"/>
  <c r="Y1282" i="1"/>
  <c r="Y1191" i="1"/>
  <c r="Y1253" i="1"/>
  <c r="Y1218" i="1"/>
  <c r="Y1224" i="1"/>
  <c r="Y814" i="1"/>
  <c r="Y1232" i="1"/>
  <c r="Y1226" i="1"/>
  <c r="Y288" i="1"/>
  <c r="Y1297" i="1"/>
  <c r="Y509" i="1"/>
  <c r="Y1298" i="1"/>
  <c r="Y917" i="1"/>
  <c r="Y1072" i="1"/>
  <c r="Y1174" i="1"/>
  <c r="Y1159" i="1"/>
  <c r="Y1283" i="1"/>
  <c r="X918" i="1"/>
  <c r="X1232" i="1"/>
  <c r="X1278" i="1"/>
  <c r="X1253" i="1"/>
  <c r="X1133" i="1"/>
  <c r="X1239" i="1"/>
  <c r="X1218" i="1"/>
  <c r="X1174" i="1"/>
  <c r="X1066" i="1"/>
  <c r="X970" i="1"/>
  <c r="X1123" i="1"/>
  <c r="Y809" i="1"/>
  <c r="Y975" i="1"/>
  <c r="Y741" i="1"/>
  <c r="Y1129" i="1"/>
  <c r="Y1069" i="1"/>
  <c r="X1219" i="1"/>
  <c r="X1142" i="1"/>
  <c r="X373" i="1"/>
  <c r="X480" i="1"/>
  <c r="X550" i="1"/>
  <c r="X235" i="1"/>
  <c r="X752" i="1"/>
  <c r="X551" i="1"/>
  <c r="X236" i="1"/>
  <c r="X372" i="1"/>
  <c r="X481" i="1"/>
  <c r="X625" i="1"/>
  <c r="X1063" i="1"/>
  <c r="X881" i="1"/>
  <c r="X1298" i="1"/>
  <c r="X1226" i="1"/>
  <c r="X980" i="1"/>
  <c r="X1282" i="1"/>
  <c r="X1310" i="1"/>
  <c r="X279" i="1"/>
  <c r="X281" i="1"/>
  <c r="X1224" i="1"/>
  <c r="X52" i="1"/>
  <c r="X234" i="1"/>
  <c r="X1182" i="1"/>
  <c r="X509" i="1"/>
  <c r="X9" i="1"/>
  <c r="X1144" i="1"/>
  <c r="X1091" i="1"/>
  <c r="X1173" i="1"/>
  <c r="X907" i="1"/>
  <c r="X1159" i="1"/>
  <c r="X288" i="1"/>
  <c r="X1070" i="1"/>
  <c r="X1260" i="1"/>
  <c r="X1223" i="1"/>
  <c r="X917" i="1"/>
  <c r="X1240" i="1"/>
  <c r="Y512" i="1"/>
  <c r="Y979" i="1"/>
  <c r="X512" i="1"/>
  <c r="X1074" i="1"/>
  <c r="X1190" i="1"/>
  <c r="X979" i="1"/>
  <c r="X1062" i="1"/>
  <c r="X378" i="1"/>
  <c r="X1193" i="1"/>
  <c r="X1238" i="1"/>
  <c r="X1261" i="1"/>
  <c r="X514" i="1"/>
  <c r="X1236" i="1"/>
  <c r="X634" i="1"/>
  <c r="X1237" i="1"/>
  <c r="X761" i="1"/>
  <c r="X120" i="1"/>
  <c r="X121" i="1"/>
  <c r="X741" i="1"/>
  <c r="X914" i="1"/>
  <c r="X1145" i="1"/>
  <c r="X1092" i="1"/>
  <c r="X822" i="1"/>
  <c r="X689" i="1"/>
  <c r="X1283" i="1"/>
  <c r="X28" i="1"/>
  <c r="X140" i="1"/>
  <c r="X137" i="1"/>
  <c r="X139" i="1"/>
  <c r="X296" i="1"/>
  <c r="X136" i="1"/>
  <c r="X405" i="1"/>
  <c r="X135" i="1"/>
  <c r="X133" i="1"/>
  <c r="X134" i="1"/>
  <c r="X138" i="1"/>
  <c r="X1297" i="1"/>
  <c r="X1248" i="1"/>
  <c r="X1191" i="1"/>
  <c r="X1072" i="1"/>
  <c r="X1200" i="1"/>
  <c r="X1065" i="1"/>
  <c r="X1246" i="1"/>
  <c r="X1028" i="1"/>
  <c r="X1143" i="1"/>
  <c r="X1122" i="1"/>
  <c r="X1215" i="1"/>
  <c r="X1252" i="1"/>
  <c r="X280" i="1"/>
  <c r="X969" i="1"/>
  <c r="X1064" i="1"/>
  <c r="X1217" i="1"/>
  <c r="X1231" i="1"/>
  <c r="X1171" i="1"/>
  <c r="X395" i="1"/>
  <c r="X1121" i="1"/>
  <c r="X1245" i="1"/>
  <c r="X506" i="1"/>
  <c r="X1216" i="1"/>
  <c r="X1029" i="1"/>
  <c r="X1090" i="1"/>
  <c r="X1172" i="1"/>
  <c r="X991" i="1"/>
  <c r="X843" i="1"/>
  <c r="X383" i="1"/>
  <c r="X645" i="1"/>
  <c r="X935" i="1"/>
  <c r="X708" i="1"/>
  <c r="X778" i="1"/>
  <c r="X258" i="1"/>
  <c r="X707" i="1"/>
  <c r="X779" i="1"/>
  <c r="X1111" i="1"/>
  <c r="X1139" i="1"/>
  <c r="X1112" i="1"/>
  <c r="X1048" i="1"/>
  <c r="X936" i="1"/>
  <c r="X842" i="1"/>
  <c r="X1049" i="1"/>
  <c r="X644" i="1"/>
  <c r="X257" i="1"/>
  <c r="X1076" i="1"/>
  <c r="X256" i="1"/>
  <c r="X493" i="1"/>
  <c r="X384" i="1"/>
  <c r="X573" i="1"/>
  <c r="X572" i="1"/>
  <c r="X571" i="1"/>
  <c r="X385" i="1"/>
  <c r="X492" i="1"/>
  <c r="X643" i="1"/>
  <c r="X665" i="1"/>
  <c r="X114" i="1"/>
  <c r="X814" i="1"/>
  <c r="X429" i="1"/>
  <c r="X523" i="1"/>
  <c r="X524" i="1"/>
  <c r="X603" i="1"/>
  <c r="X428" i="1"/>
  <c r="X326" i="1"/>
  <c r="L36" i="2"/>
  <c r="L37" i="2"/>
  <c r="Y1057" i="1"/>
  <c r="Y803" i="1"/>
  <c r="X1312" i="1"/>
  <c r="Y1287" i="1"/>
  <c r="X226" i="1"/>
  <c r="X1242" i="1"/>
  <c r="Y1243" i="1"/>
  <c r="X1305" i="1"/>
  <c r="Y1242" i="1"/>
  <c r="X198" i="1"/>
  <c r="X1164" i="1"/>
  <c r="X1311" i="1"/>
  <c r="X1243" i="1"/>
  <c r="X285" i="1"/>
  <c r="X1287" i="1"/>
  <c r="X12" i="1"/>
  <c r="Y1311" i="1"/>
  <c r="Y1306" i="1"/>
  <c r="X1286" i="1"/>
  <c r="Y1305" i="1"/>
  <c r="Y1165" i="1"/>
  <c r="Y1312" i="1"/>
  <c r="Y1286" i="1"/>
  <c r="X1306" i="1"/>
  <c r="X225" i="1"/>
  <c r="X189" i="1"/>
  <c r="X1165" i="1"/>
  <c r="Y1164" i="1"/>
  <c r="Y982" i="1"/>
  <c r="Y983" i="1"/>
  <c r="X983" i="1"/>
  <c r="X982" i="1"/>
  <c r="X751" i="1"/>
  <c r="X1262" i="1"/>
  <c r="X224" i="1"/>
  <c r="X677" i="1"/>
  <c r="X818" i="1"/>
  <c r="Y818" i="1"/>
  <c r="Y677" i="1"/>
  <c r="Y224" i="1"/>
  <c r="Y616" i="1"/>
  <c r="Y751" i="1"/>
  <c r="Y1262" i="1"/>
  <c r="X616" i="1"/>
  <c r="Y1186" i="1"/>
  <c r="X1186" i="1"/>
  <c r="X81" i="1"/>
  <c r="X766" i="1"/>
  <c r="X693" i="1"/>
  <c r="X490" i="1"/>
  <c r="X636" i="1"/>
  <c r="X827" i="1"/>
  <c r="X253" i="1"/>
  <c r="X1277" i="1"/>
  <c r="X1315" i="1"/>
  <c r="Y1212" i="1"/>
  <c r="Y1307" i="1"/>
  <c r="X1075" i="1"/>
  <c r="X1307" i="1"/>
  <c r="Y1277" i="1"/>
  <c r="Y1315" i="1"/>
  <c r="Y1075" i="1"/>
  <c r="Y290" i="1"/>
  <c r="X290" i="1"/>
  <c r="X1212" i="1"/>
  <c r="X188" i="1"/>
  <c r="X41" i="1"/>
  <c r="X75" i="1"/>
  <c r="X74" i="1"/>
  <c r="X91" i="1"/>
  <c r="X76" i="1"/>
  <c r="X109" i="1"/>
  <c r="X25" i="1"/>
  <c r="X247" i="1"/>
  <c r="X40" i="1"/>
  <c r="X26" i="1"/>
  <c r="X518" i="1"/>
  <c r="X192" i="1"/>
  <c r="X317" i="1"/>
  <c r="X57" i="1"/>
  <c r="X420" i="1"/>
  <c r="Y421" i="1"/>
  <c r="X309" i="1"/>
  <c r="X421" i="1"/>
  <c r="Y308" i="1"/>
  <c r="Y190" i="1"/>
  <c r="Y51" i="1"/>
  <c r="Y307" i="1"/>
  <c r="Y314" i="1"/>
  <c r="Y309" i="1"/>
  <c r="X307" i="1"/>
  <c r="Y1102" i="1"/>
  <c r="Y420" i="1"/>
  <c r="Y913" i="1"/>
  <c r="X176" i="1"/>
  <c r="Y1156" i="1"/>
  <c r="Y177" i="1"/>
  <c r="X314" i="1"/>
  <c r="X1179" i="1"/>
  <c r="Y113" i="1"/>
  <c r="X190" i="1"/>
  <c r="Y176" i="1"/>
  <c r="X669" i="1"/>
  <c r="Y43" i="1"/>
  <c r="X315" i="1"/>
  <c r="Y175" i="1"/>
  <c r="X43" i="1"/>
  <c r="X308" i="1"/>
  <c r="X1102" i="1"/>
  <c r="Y292" i="1"/>
  <c r="Y669" i="1"/>
  <c r="Y42" i="1"/>
  <c r="X1156" i="1"/>
  <c r="X177" i="1"/>
  <c r="X175" i="1"/>
  <c r="X1018" i="1"/>
  <c r="Y315" i="1"/>
  <c r="Y1179" i="1"/>
  <c r="Y1018" i="1"/>
  <c r="X774" i="1"/>
  <c r="X1187" i="1"/>
  <c r="X978" i="1"/>
  <c r="X1071" i="1"/>
  <c r="Y596" i="1"/>
  <c r="Y1187" i="1"/>
  <c r="Y1071" i="1"/>
  <c r="Y978" i="1"/>
  <c r="X1299" i="1"/>
  <c r="X596" i="1"/>
  <c r="Y1263" i="1"/>
  <c r="X403" i="1"/>
  <c r="Y1299" i="1"/>
  <c r="X128" i="1"/>
  <c r="X670" i="1"/>
  <c r="X1061" i="1"/>
  <c r="X600" i="1"/>
  <c r="X1273" i="1"/>
  <c r="X1263" i="1"/>
  <c r="Y1120" i="1"/>
  <c r="X817" i="1"/>
  <c r="X1294" i="1"/>
  <c r="Y115" i="1"/>
  <c r="X601" i="1"/>
  <c r="X7" i="1"/>
  <c r="X1043" i="1"/>
  <c r="Y1061" i="1"/>
  <c r="Y1207" i="1"/>
  <c r="X1244" i="1"/>
  <c r="X921" i="1"/>
  <c r="X1214" i="1"/>
  <c r="X1120" i="1"/>
  <c r="X1108" i="1"/>
  <c r="X294" i="1"/>
  <c r="X1290" i="1"/>
  <c r="X1166" i="1"/>
  <c r="Y1228" i="1"/>
  <c r="X295" i="1"/>
  <c r="X404" i="1"/>
  <c r="X748" i="1"/>
  <c r="X127" i="1"/>
  <c r="X515" i="1"/>
  <c r="X254" i="1"/>
  <c r="X113" i="1"/>
  <c r="X516" i="1"/>
  <c r="X1207" i="1"/>
  <c r="X1228" i="1"/>
  <c r="X115" i="1"/>
  <c r="X292" i="1"/>
  <c r="X42" i="1"/>
  <c r="X913" i="1"/>
  <c r="X51" i="1"/>
  <c r="X6" i="1"/>
  <c r="X60" i="1"/>
  <c r="X29" i="1"/>
  <c r="X31" i="1"/>
  <c r="X4" i="1"/>
  <c r="X126" i="1"/>
  <c r="X30" i="1"/>
  <c r="X82" i="1"/>
  <c r="X83" i="1"/>
  <c r="X8" i="1"/>
  <c r="X61" i="1"/>
  <c r="X5" i="1"/>
  <c r="X84" i="1"/>
  <c r="X53" i="1"/>
  <c r="X85" i="1"/>
  <c r="X325" i="1"/>
  <c r="X201" i="1"/>
  <c r="X203" i="1"/>
  <c r="Y62" i="1"/>
  <c r="Y325" i="1"/>
  <c r="X202" i="1"/>
  <c r="Y203" i="1"/>
  <c r="Y201" i="1"/>
  <c r="X62" i="1"/>
  <c r="Y202" i="1"/>
  <c r="X1125" i="1"/>
  <c r="X124" i="1"/>
  <c r="X1270" i="1"/>
  <c r="X803" i="1"/>
  <c r="X906" i="1"/>
  <c r="X1124" i="1"/>
  <c r="X117" i="1"/>
  <c r="X1057" i="1"/>
  <c r="X98" i="1"/>
  <c r="X104" i="1"/>
  <c r="X103" i="1"/>
  <c r="X123" i="1"/>
  <c r="X86" i="1"/>
  <c r="X63" i="1"/>
  <c r="L38" i="2"/>
  <c r="Y597" i="1"/>
  <c r="X597" i="1"/>
  <c r="X79" i="1"/>
  <c r="X850" i="1"/>
  <c r="Y850" i="1"/>
  <c r="Y112" i="1"/>
  <c r="L40" i="2"/>
  <c r="L39" i="2"/>
  <c r="Y1068" i="1"/>
  <c r="X1127" i="1"/>
  <c r="X78" i="1"/>
  <c r="X1068" i="1"/>
  <c r="X1176" i="1"/>
  <c r="Y1127" i="1"/>
  <c r="X284" i="1"/>
  <c r="Y284" i="1"/>
  <c r="Y1176" i="1"/>
  <c r="X80" i="1"/>
  <c r="X615" i="1"/>
  <c r="Y522" i="1"/>
  <c r="X522" i="1"/>
  <c r="Y92" i="1"/>
  <c r="Y59" i="1"/>
  <c r="X59" i="1"/>
  <c r="Y401" i="1"/>
  <c r="Y1126" i="1"/>
  <c r="X1146" i="1"/>
  <c r="X1093" i="1"/>
  <c r="Y1175" i="1"/>
  <c r="X1185" i="1"/>
  <c r="Y1185" i="1"/>
  <c r="Y1093" i="1"/>
  <c r="X1175" i="1"/>
  <c r="X401" i="1"/>
  <c r="Y122" i="1"/>
  <c r="X1067" i="1"/>
  <c r="X1126" i="1"/>
  <c r="Y1146" i="1"/>
  <c r="Y1067" i="1"/>
  <c r="Y1205" i="1"/>
  <c r="X1205" i="1"/>
  <c r="Y1259" i="1"/>
  <c r="X1233" i="1"/>
  <c r="X1296" i="1"/>
  <c r="X1201" i="1"/>
  <c r="X1254" i="1"/>
  <c r="X1279" i="1"/>
  <c r="X1255" i="1"/>
  <c r="Y1132" i="1"/>
  <c r="X3" i="1"/>
  <c r="X1259" i="1"/>
  <c r="X58" i="1"/>
  <c r="X2" i="1"/>
  <c r="X92" i="1"/>
  <c r="Y1183" i="1"/>
  <c r="Y287" i="1"/>
  <c r="X27" i="1"/>
  <c r="X112" i="1"/>
  <c r="X118" i="1"/>
  <c r="X122" i="1"/>
  <c r="X77" i="1"/>
  <c r="X1132" i="1"/>
  <c r="X1183" i="1"/>
  <c r="X287" i="1"/>
  <c r="L41" i="2"/>
  <c r="L42" i="2"/>
  <c r="X825" i="1"/>
  <c r="X780" i="1"/>
  <c r="Y780" i="1"/>
  <c r="X764" i="1"/>
  <c r="Y99" i="1"/>
  <c r="Y993" i="1"/>
  <c r="X939" i="1"/>
  <c r="Y846" i="1"/>
  <c r="Y691" i="1"/>
  <c r="X993" i="1"/>
  <c r="X846" i="1"/>
  <c r="Y845" i="1"/>
  <c r="X938" i="1"/>
  <c r="X99" i="1"/>
  <c r="Y939" i="1"/>
  <c r="Y992" i="1"/>
  <c r="X691" i="1"/>
  <c r="Y110" i="1"/>
  <c r="Y764" i="1"/>
  <c r="Y938" i="1"/>
  <c r="X845" i="1"/>
  <c r="Y825" i="1"/>
  <c r="X992" i="1"/>
  <c r="X110" i="1"/>
  <c r="L43" i="2"/>
  <c r="L44" i="2"/>
  <c r="L45" i="2"/>
  <c r="L46" i="2"/>
  <c r="X1051" i="1"/>
  <c r="Y940" i="1"/>
  <c r="X847" i="1"/>
  <c r="Y709" i="1"/>
  <c r="Y1051" i="1"/>
  <c r="X940" i="1"/>
  <c r="Y111" i="1"/>
  <c r="X782" i="1"/>
  <c r="Y847" i="1"/>
  <c r="Y782" i="1"/>
  <c r="X709" i="1"/>
  <c r="X111" i="1"/>
  <c r="Y683" i="1"/>
  <c r="Y89" i="1"/>
  <c r="X1069" i="1"/>
  <c r="X809" i="1"/>
  <c r="X975" i="1"/>
  <c r="X683" i="1"/>
  <c r="X1129" i="1"/>
  <c r="X89" i="1"/>
  <c r="L47" i="2"/>
  <c r="L48" i="2"/>
  <c r="L50" i="2"/>
  <c r="L49" i="2"/>
  <c r="L51" i="2"/>
  <c r="L52" i="2"/>
  <c r="L53" i="2"/>
  <c r="L55" i="2"/>
  <c r="L54" i="2"/>
  <c r="L56" i="2"/>
  <c r="X763" i="1"/>
  <c r="X824" i="1"/>
  <c r="X690" i="1"/>
  <c r="X94" i="1"/>
  <c r="X684" i="1"/>
  <c r="X753" i="1"/>
  <c r="X482" i="1"/>
  <c r="X626" i="1"/>
  <c r="X237" i="1"/>
  <c r="L57" i="2"/>
  <c r="L58" i="2"/>
  <c r="L59" i="2"/>
  <c r="L61" i="2"/>
  <c r="L60" i="2"/>
  <c r="X635" i="1"/>
  <c r="X986" i="1"/>
  <c r="X826" i="1"/>
  <c r="Y986" i="1"/>
  <c r="X559" i="1"/>
  <c r="Y692" i="1"/>
  <c r="X489" i="1"/>
  <c r="X765" i="1"/>
  <c r="Y248" i="1"/>
  <c r="Y826" i="1"/>
  <c r="Y559" i="1"/>
  <c r="X692" i="1"/>
  <c r="X1045" i="1"/>
  <c r="Y100" i="1"/>
  <c r="X926" i="1"/>
  <c r="X248" i="1"/>
  <c r="Y489" i="1"/>
  <c r="Y1045" i="1"/>
  <c r="X380" i="1"/>
  <c r="Y926" i="1"/>
  <c r="X100" i="1"/>
  <c r="X804" i="1"/>
  <c r="X266" i="1"/>
  <c r="X879" i="1"/>
  <c r="X663" i="1"/>
  <c r="X504" i="1"/>
  <c r="X1059" i="1"/>
  <c r="L62" i="2"/>
  <c r="L63" i="2"/>
  <c r="L64" i="2"/>
  <c r="Y617" i="1"/>
  <c r="X617" i="1"/>
  <c r="X544" i="1"/>
  <c r="Y88" i="1"/>
  <c r="Y544" i="1"/>
  <c r="X678" i="1"/>
  <c r="Y678" i="1"/>
  <c r="X88" i="1"/>
  <c r="X525" i="1"/>
  <c r="X327" i="1"/>
  <c r="X672" i="1"/>
  <c r="X558" i="1"/>
  <c r="X762" i="1"/>
  <c r="X823" i="1"/>
  <c r="X93" i="1"/>
  <c r="X64" i="1"/>
  <c r="X828" i="1"/>
  <c r="X1046" i="1"/>
  <c r="X101" i="1"/>
  <c r="L65" i="2"/>
  <c r="X760" i="1"/>
  <c r="X633" i="1"/>
  <c r="X925" i="1"/>
  <c r="X821" i="1"/>
  <c r="X688" i="1"/>
  <c r="L66" i="2"/>
  <c r="L67" i="2"/>
  <c r="L68" i="2"/>
  <c r="X23" i="1"/>
  <c r="X90" i="1"/>
  <c r="X22" i="1"/>
  <c r="X24" i="1"/>
  <c r="X119" i="1"/>
  <c r="Y119" i="1"/>
  <c r="X802" i="1"/>
  <c r="X783" i="1"/>
  <c r="X849" i="1"/>
  <c r="X784" i="1"/>
  <c r="X657" i="1"/>
  <c r="X941" i="1"/>
  <c r="X848" i="1"/>
  <c r="L172" i="2"/>
  <c r="L171" i="2"/>
  <c r="L170" i="2"/>
  <c r="L174" i="2"/>
  <c r="L173" i="2"/>
  <c r="X354" i="1"/>
  <c r="X353" i="1"/>
  <c r="X994" i="1"/>
  <c r="H33" i="8" s="1"/>
  <c r="X364" i="1"/>
  <c r="L72" i="2"/>
  <c r="L70" i="2"/>
  <c r="L69" i="2"/>
  <c r="L71" i="2"/>
  <c r="L77" i="2"/>
  <c r="L73" i="2"/>
  <c r="L74" i="2"/>
  <c r="L75" i="2"/>
  <c r="L76" i="2"/>
  <c r="X1225" i="1"/>
  <c r="X1220" i="1"/>
  <c r="X813" i="1"/>
  <c r="Y1134" i="1"/>
  <c r="X289" i="1"/>
  <c r="Y1225" i="1"/>
  <c r="X508" i="1"/>
  <c r="X1134" i="1"/>
  <c r="X811" i="1"/>
  <c r="X286" i="1"/>
  <c r="X801" i="1"/>
  <c r="X859" i="1"/>
  <c r="X1052" i="1"/>
  <c r="X943" i="1"/>
  <c r="X727" i="1"/>
  <c r="V1199" i="1"/>
  <c r="Z1199" i="1" s="1"/>
  <c r="X259" i="1"/>
  <c r="X937" i="1"/>
  <c r="X844" i="1"/>
  <c r="X1050" i="1"/>
  <c r="X54" i="1"/>
  <c r="X174" i="1"/>
  <c r="X1267" i="1"/>
  <c r="X1301" i="1"/>
  <c r="X1227" i="1"/>
  <c r="X836" i="1"/>
  <c r="X929" i="1"/>
  <c r="X775" i="1"/>
  <c r="L79" i="2"/>
  <c r="L78" i="2"/>
  <c r="L82" i="2"/>
  <c r="L80" i="2"/>
  <c r="L81" i="2"/>
  <c r="X997" i="1"/>
  <c r="X1177" i="1"/>
  <c r="Y1177" i="1"/>
  <c r="Y1030" i="1"/>
  <c r="X1188" i="1"/>
  <c r="X1300" i="1"/>
  <c r="X1030" i="1"/>
  <c r="X545" i="1"/>
  <c r="X173" i="1"/>
  <c r="X260" i="1"/>
  <c r="X1264" i="1"/>
  <c r="X1103" i="1"/>
  <c r="X1209" i="1"/>
  <c r="L85" i="2"/>
  <c r="L83" i="2"/>
  <c r="L84" i="2"/>
  <c r="X300" i="1"/>
  <c r="X38" i="1"/>
  <c r="X168" i="1"/>
  <c r="X37" i="1"/>
  <c r="X301" i="1"/>
  <c r="X39" i="1"/>
  <c r="X167" i="1"/>
  <c r="X166" i="1"/>
  <c r="L86" i="2"/>
  <c r="L87" i="2"/>
  <c r="L90" i="2"/>
  <c r="L88" i="2"/>
  <c r="L89" i="2"/>
  <c r="L91" i="2"/>
  <c r="L92" i="2"/>
  <c r="C14" i="9"/>
  <c r="C43" i="9"/>
  <c r="L98" i="2"/>
  <c r="L93" i="2"/>
  <c r="L97" i="2"/>
  <c r="L99" i="2"/>
  <c r="L96" i="2"/>
  <c r="L94" i="2"/>
  <c r="L95" i="2"/>
  <c r="X17" i="1"/>
  <c r="Y406" i="1"/>
  <c r="X297" i="1"/>
  <c r="X141" i="1"/>
  <c r="X996" i="1"/>
  <c r="Y142" i="1"/>
  <c r="X16" i="1"/>
  <c r="X143" i="1"/>
  <c r="X18" i="1"/>
  <c r="X406" i="1"/>
  <c r="Y141" i="1"/>
  <c r="Y15" i="1"/>
  <c r="X142" i="1"/>
  <c r="V1195" i="1"/>
  <c r="Z1195" i="1" s="1"/>
  <c r="X646" i="1"/>
  <c r="X785" i="1"/>
  <c r="X15" i="1"/>
  <c r="L101" i="2"/>
  <c r="L100" i="2"/>
  <c r="L102" i="2"/>
  <c r="L103" i="2"/>
  <c r="L104" i="2"/>
  <c r="L105" i="2"/>
  <c r="X212" i="1"/>
  <c r="Y619" i="1"/>
  <c r="Y335" i="1"/>
  <c r="Y232" i="1"/>
  <c r="X435" i="1"/>
  <c r="X336" i="1"/>
  <c r="X211" i="1"/>
  <c r="Y531" i="1"/>
  <c r="Y435" i="1"/>
  <c r="Y546" i="1"/>
  <c r="Y475" i="1"/>
  <c r="Y211" i="1"/>
  <c r="Y618" i="1"/>
  <c r="Y530" i="1"/>
  <c r="Y222" i="1"/>
  <c r="Y436" i="1"/>
  <c r="Y547" i="1"/>
  <c r="Y336" i="1"/>
  <c r="X531" i="1"/>
  <c r="Y476" i="1"/>
  <c r="X335" i="1"/>
  <c r="Y231" i="1"/>
  <c r="X222" i="1"/>
  <c r="X436" i="1"/>
  <c r="Y212" i="1"/>
  <c r="Y366" i="1"/>
  <c r="X530" i="1"/>
  <c r="Y365" i="1"/>
  <c r="L106" i="2"/>
  <c r="L107" i="2"/>
  <c r="L108" i="2"/>
  <c r="X618" i="1"/>
  <c r="X546" i="1"/>
  <c r="X475" i="1"/>
  <c r="X476" i="1"/>
  <c r="X232" i="1"/>
  <c r="X619" i="1"/>
  <c r="X366" i="1"/>
  <c r="X231" i="1"/>
  <c r="X365" i="1"/>
  <c r="X547" i="1"/>
  <c r="L111" i="2"/>
  <c r="L110" i="2"/>
  <c r="L109" i="2"/>
  <c r="X105" i="1"/>
  <c r="L112" i="2"/>
  <c r="X362" i="1"/>
  <c r="X532" i="1"/>
  <c r="X218" i="1"/>
  <c r="X70" i="1"/>
  <c r="X472" i="1"/>
  <c r="X606" i="1"/>
  <c r="X220" i="1"/>
  <c r="X71" i="1"/>
  <c r="X607" i="1"/>
  <c r="X69" i="1"/>
  <c r="L113" i="2"/>
  <c r="X1274" i="1"/>
  <c r="Y1131" i="1"/>
  <c r="X1222" i="1"/>
  <c r="X1131" i="1"/>
  <c r="X667" i="1"/>
  <c r="X976" i="1"/>
  <c r="Y1222" i="1"/>
  <c r="Y1274" i="1"/>
  <c r="Y667" i="1"/>
  <c r="Y976" i="1"/>
  <c r="X1118" i="1"/>
  <c r="Y734" i="1"/>
  <c r="X967" i="1"/>
  <c r="X734" i="1"/>
  <c r="Y967" i="1"/>
  <c r="Y1118" i="1"/>
  <c r="X1087" i="1"/>
  <c r="Y1168" i="1"/>
  <c r="X1168" i="1"/>
  <c r="Y1087" i="1"/>
  <c r="L115" i="2"/>
  <c r="L114" i="2"/>
  <c r="L116" i="2"/>
  <c r="L117" i="2"/>
  <c r="L118" i="2"/>
  <c r="L119" i="2"/>
  <c r="L120" i="2"/>
  <c r="L121" i="2"/>
  <c r="L122" i="2"/>
  <c r="L123" i="2"/>
  <c r="L124" i="2"/>
  <c r="L127" i="2"/>
  <c r="L126" i="2"/>
  <c r="L125" i="2"/>
  <c r="L128" i="2"/>
  <c r="Y321" i="1"/>
  <c r="Y14" i="1"/>
  <c r="Y95" i="1"/>
  <c r="Y369" i="1"/>
  <c r="X14" i="1"/>
  <c r="X369" i="1"/>
  <c r="X95" i="1"/>
  <c r="X321" i="1"/>
  <c r="X196" i="1"/>
  <c r="X324" i="1"/>
  <c r="V1194" i="1"/>
  <c r="Z1194" i="1" s="1"/>
  <c r="L130" i="2"/>
  <c r="L131" i="2"/>
  <c r="L129" i="2"/>
  <c r="L132" i="2"/>
  <c r="L136" i="2"/>
  <c r="L133" i="2"/>
  <c r="L134" i="2"/>
  <c r="L135" i="2"/>
  <c r="X647" i="1"/>
  <c r="X1115" i="1"/>
  <c r="X283" i="1"/>
  <c r="X1058" i="1"/>
  <c r="X609" i="1"/>
  <c r="X416" i="1"/>
  <c r="X720" i="1"/>
  <c r="X574" i="1"/>
  <c r="X46" i="1"/>
  <c r="X44" i="1"/>
  <c r="X47" i="1"/>
  <c r="X438" i="1"/>
  <c r="X942" i="1"/>
  <c r="X507" i="1"/>
  <c r="X45" i="1"/>
  <c r="X65" i="1"/>
  <c r="X50" i="1"/>
  <c r="X595" i="1"/>
  <c r="X712" i="1"/>
  <c r="X1114" i="1"/>
  <c r="X1053" i="1"/>
  <c r="X786" i="1"/>
  <c r="X411" i="1"/>
  <c r="X995" i="1"/>
  <c r="X965" i="1"/>
  <c r="Y786" i="1"/>
  <c r="Y998" i="1"/>
  <c r="Y712" i="1"/>
  <c r="X808" i="1"/>
  <c r="X20" i="1"/>
  <c r="Y647" i="1"/>
  <c r="X998" i="1"/>
  <c r="Y851" i="1"/>
  <c r="X19" i="1"/>
  <c r="X399" i="1"/>
  <c r="X739" i="1"/>
  <c r="X851" i="1"/>
  <c r="X602" i="1"/>
  <c r="V640" i="1"/>
  <c r="L137" i="2"/>
  <c r="X862" i="1"/>
  <c r="X948" i="1"/>
  <c r="X1004" i="1"/>
  <c r="L138" i="2"/>
  <c r="L139" i="2"/>
  <c r="L140" i="2"/>
  <c r="L141" i="2"/>
  <c r="L142" i="2"/>
  <c r="L143" i="2"/>
  <c r="L144" i="2"/>
  <c r="L145" i="2"/>
  <c r="L146" i="2"/>
  <c r="L147" i="2"/>
  <c r="L149" i="2"/>
  <c r="L150" i="2"/>
  <c r="L148" i="2"/>
  <c r="X792" i="1"/>
  <c r="X1005" i="1"/>
  <c r="Y792" i="1"/>
  <c r="X863" i="1"/>
  <c r="X717" i="1"/>
  <c r="X949" i="1"/>
  <c r="X578" i="1"/>
  <c r="Y863" i="1"/>
  <c r="Y717" i="1"/>
  <c r="Y389" i="1"/>
  <c r="Y578" i="1"/>
  <c r="Y1005" i="1"/>
  <c r="X389" i="1"/>
  <c r="Y949" i="1"/>
  <c r="L151" i="2"/>
  <c r="L152" i="2"/>
  <c r="L153" i="2"/>
  <c r="X1081" i="1"/>
  <c r="Y961" i="1"/>
  <c r="X961" i="1"/>
  <c r="X729" i="1"/>
  <c r="Y729" i="1"/>
  <c r="Y1081" i="1"/>
  <c r="L154" i="2"/>
  <c r="L155" i="2"/>
  <c r="L156" i="2"/>
  <c r="X687" i="1"/>
  <c r="X759" i="1"/>
  <c r="X487" i="1"/>
  <c r="Y487" i="1"/>
  <c r="Y759" i="1"/>
  <c r="Y687" i="1"/>
  <c r="L157" i="2"/>
  <c r="L158" i="2"/>
  <c r="L160" i="2"/>
  <c r="L159" i="2"/>
  <c r="X1094" i="1"/>
  <c r="X1178" i="1"/>
  <c r="X908" i="1"/>
  <c r="X116" i="1"/>
  <c r="L161" i="2"/>
  <c r="L162" i="2"/>
  <c r="L163" i="2"/>
  <c r="X49" i="1"/>
  <c r="X1017" i="1"/>
  <c r="Y586" i="1"/>
  <c r="X873" i="1"/>
  <c r="Y957" i="1"/>
  <c r="X586" i="1"/>
  <c r="X957" i="1"/>
  <c r="Y1017" i="1"/>
  <c r="Y873" i="1"/>
  <c r="X797" i="1"/>
  <c r="Y797" i="1"/>
  <c r="X679" i="1"/>
  <c r="X227" i="1"/>
  <c r="Y679" i="1"/>
  <c r="L164" i="2"/>
  <c r="L165" i="2"/>
  <c r="L166" i="2"/>
  <c r="L167" i="2"/>
  <c r="L168" i="2"/>
  <c r="L169" i="2"/>
  <c r="X178" i="1"/>
  <c r="X310" i="1"/>
  <c r="Y310" i="1"/>
  <c r="Y178" i="1"/>
  <c r="X1011" i="1"/>
  <c r="X799" i="1"/>
  <c r="Y1011" i="1"/>
  <c r="X588" i="1"/>
  <c r="Y588" i="1"/>
  <c r="Y799" i="1"/>
  <c r="Y360" i="1"/>
  <c r="X675" i="1"/>
  <c r="Y675" i="1"/>
  <c r="X360" i="1"/>
  <c r="X494" i="1"/>
  <c r="Y1180" i="1"/>
  <c r="Y35" i="1"/>
  <c r="X485" i="1"/>
  <c r="X755" i="1"/>
  <c r="X788" i="1"/>
  <c r="X386" i="1"/>
  <c r="X1180" i="1"/>
  <c r="X303" i="1"/>
  <c r="Y915" i="1"/>
  <c r="Y303" i="1"/>
  <c r="X915" i="1"/>
  <c r="X648" i="1"/>
  <c r="Y36" i="1"/>
  <c r="Y263" i="1"/>
  <c r="X263" i="1"/>
  <c r="Y868" i="1"/>
  <c r="X35" i="1"/>
  <c r="X713" i="1"/>
  <c r="X36" i="1"/>
  <c r="X576" i="1"/>
  <c r="X868" i="1"/>
  <c r="X852" i="1"/>
  <c r="X630" i="1"/>
  <c r="X388" i="1"/>
  <c r="X107" i="1"/>
  <c r="X807" i="1"/>
  <c r="X1095" i="1"/>
  <c r="Y807" i="1"/>
  <c r="Y1095" i="1"/>
  <c r="L175" i="2"/>
  <c r="L176" i="2"/>
  <c r="L178" i="2"/>
  <c r="L177" i="2"/>
  <c r="L179" i="2"/>
  <c r="L180" i="2"/>
  <c r="L181" i="2"/>
  <c r="L182" i="2"/>
  <c r="L183" i="2"/>
  <c r="L187" i="2"/>
  <c r="L184" i="2"/>
  <c r="L185" i="2"/>
  <c r="L186" i="2"/>
  <c r="L188" i="2"/>
  <c r="L189" i="2"/>
  <c r="L190" i="2"/>
  <c r="L191" i="2"/>
  <c r="L192" i="2"/>
  <c r="L193" i="2"/>
  <c r="L194" i="2"/>
  <c r="L195" i="2"/>
  <c r="L200" i="2"/>
  <c r="L197" i="2"/>
  <c r="L198" i="2"/>
  <c r="L199" i="2"/>
  <c r="L201" i="2"/>
  <c r="L196" i="2"/>
  <c r="L202" i="2"/>
  <c r="Y10" i="1"/>
  <c r="X10" i="1"/>
  <c r="Y561" i="1"/>
  <c r="X561" i="1"/>
  <c r="Y96" i="1"/>
  <c r="X96" i="1"/>
  <c r="X66" i="1"/>
  <c r="X228" i="1"/>
  <c r="L204" i="2"/>
  <c r="L203" i="2"/>
  <c r="X742" i="1"/>
  <c r="X1206" i="1"/>
  <c r="Y1206" i="1"/>
  <c r="Y742" i="1"/>
  <c r="H264" i="13"/>
  <c r="X33" i="1"/>
  <c r="X800" i="1"/>
  <c r="X656" i="1"/>
  <c r="X21" i="1"/>
  <c r="X48" i="1"/>
  <c r="X1152" i="1"/>
  <c r="X911" i="1"/>
  <c r="Y656" i="1"/>
  <c r="X34" i="1"/>
  <c r="Y800" i="1"/>
  <c r="X1026" i="1"/>
  <c r="Y1026" i="1"/>
  <c r="X733" i="1"/>
  <c r="Y733" i="1"/>
  <c r="X313" i="1"/>
  <c r="X1077" i="1"/>
  <c r="X878" i="1"/>
  <c r="X1258" i="1"/>
  <c r="Y1258" i="1"/>
  <c r="L205" i="2"/>
  <c r="L212" i="2"/>
  <c r="L213" i="2"/>
  <c r="L206" i="2"/>
  <c r="L207" i="2"/>
  <c r="L208" i="2"/>
  <c r="L209" i="2"/>
  <c r="L210" i="2"/>
  <c r="L211" i="2"/>
  <c r="G255" i="13"/>
  <c r="G266" i="13"/>
  <c r="G262" i="13"/>
  <c r="G260" i="13"/>
  <c r="G256" i="13"/>
  <c r="G261" i="13"/>
  <c r="G263" i="13"/>
  <c r="G259" i="13"/>
  <c r="G264" i="13"/>
  <c r="G254" i="13"/>
  <c r="G257" i="13"/>
  <c r="G265" i="13"/>
  <c r="G258" i="13"/>
  <c r="I252" i="15"/>
  <c r="I256" i="15"/>
  <c r="I258" i="15"/>
  <c r="I257" i="15"/>
  <c r="I261" i="15"/>
  <c r="I255" i="15"/>
  <c r="I266" i="15"/>
  <c r="I260" i="15"/>
  <c r="I253" i="15"/>
  <c r="I259" i="15"/>
  <c r="I254" i="15"/>
  <c r="I262" i="15"/>
  <c r="I263" i="15"/>
  <c r="I265" i="15"/>
  <c r="I264" i="15"/>
  <c r="Y322" i="1"/>
  <c r="Y195" i="1"/>
  <c r="X673" i="1"/>
  <c r="X534" i="1"/>
  <c r="Y215" i="1"/>
  <c r="H262" i="13" s="1"/>
  <c r="K262" i="13" s="1"/>
  <c r="Y673" i="1"/>
  <c r="Y349" i="1"/>
  <c r="X349" i="1"/>
  <c r="Y439" i="1"/>
  <c r="X611" i="1"/>
  <c r="Y534" i="1"/>
  <c r="X439" i="1"/>
  <c r="Y611" i="1"/>
  <c r="Y610" i="1"/>
  <c r="X610" i="1"/>
  <c r="X215" i="1"/>
  <c r="AK197" i="1"/>
  <c r="V197" i="1"/>
  <c r="Z197" i="1" s="1"/>
  <c r="AK164" i="1"/>
  <c r="V164" i="1"/>
  <c r="Z164" i="1" s="1"/>
  <c r="X776" i="1"/>
  <c r="X837" i="1"/>
  <c r="X988" i="1"/>
  <c r="Y181" i="1"/>
  <c r="H266" i="13" s="1"/>
  <c r="K266" i="13" s="1"/>
  <c r="X931" i="1"/>
  <c r="X932" i="1"/>
  <c r="X930" i="1"/>
  <c r="Y182" i="1"/>
  <c r="X182" i="1"/>
  <c r="X181" i="1"/>
  <c r="X951" i="1"/>
  <c r="X872" i="1"/>
  <c r="X795" i="1"/>
  <c r="X726" i="1"/>
  <c r="X1015" i="1"/>
  <c r="X653" i="1"/>
  <c r="L215" i="2"/>
  <c r="L216" i="2"/>
  <c r="L214" i="2"/>
  <c r="X424" i="1"/>
  <c r="X318" i="1"/>
  <c r="Y424" i="1"/>
  <c r="X193" i="1"/>
  <c r="Y318" i="1"/>
  <c r="Y193" i="1"/>
  <c r="L217" i="2"/>
  <c r="L218" i="2"/>
  <c r="X358" i="1"/>
  <c r="X469" i="1"/>
  <c r="L219" i="2"/>
  <c r="X1016" i="1"/>
  <c r="X853" i="1"/>
  <c r="Y790" i="1"/>
  <c r="Y1140" i="1"/>
  <c r="Y108" i="1"/>
  <c r="H259" i="13" s="1"/>
  <c r="K259" i="13" s="1"/>
  <c r="X856" i="1"/>
  <c r="Y1016" i="1"/>
  <c r="Y714" i="1"/>
  <c r="X496" i="1"/>
  <c r="H255" i="13"/>
  <c r="K255" i="13" s="1"/>
  <c r="X1000" i="1"/>
  <c r="Y1000" i="1"/>
  <c r="Y853" i="1"/>
  <c r="Y496" i="1"/>
  <c r="H257" i="13" s="1"/>
  <c r="K257" i="13" s="1"/>
  <c r="X1009" i="1"/>
  <c r="X651" i="1"/>
  <c r="Y495" i="1"/>
  <c r="H258" i="13" s="1"/>
  <c r="K258" i="13" s="1"/>
  <c r="Y1009" i="1"/>
  <c r="X1140" i="1"/>
  <c r="X1078" i="1"/>
  <c r="X495" i="1"/>
  <c r="Y1078" i="1"/>
  <c r="X108" i="1"/>
  <c r="X790" i="1"/>
  <c r="X833" i="1"/>
  <c r="X946" i="1"/>
  <c r="Y651" i="1"/>
  <c r="X714" i="1"/>
  <c r="Y856" i="1"/>
  <c r="Y946" i="1"/>
  <c r="X710" i="1"/>
  <c r="Y710" i="1"/>
  <c r="X704" i="1"/>
  <c r="Y833" i="1"/>
  <c r="H254" i="13" s="1"/>
  <c r="K254" i="13" s="1"/>
  <c r="Y704" i="1"/>
  <c r="H265" i="13" s="1"/>
  <c r="Y1203" i="1"/>
  <c r="X737" i="1"/>
  <c r="X1151" i="1"/>
  <c r="X1032" i="1"/>
  <c r="Y910" i="1"/>
  <c r="X398" i="1"/>
  <c r="Y1150" i="1"/>
  <c r="X1235" i="1"/>
  <c r="Y1098" i="1"/>
  <c r="Y1280" i="1"/>
  <c r="Y398" i="1"/>
  <c r="X1257" i="1"/>
  <c r="X909" i="1"/>
  <c r="Y909" i="1"/>
  <c r="Y1097" i="1"/>
  <c r="Y1033" i="1"/>
  <c r="X1234" i="1"/>
  <c r="X1280" i="1"/>
  <c r="Y737" i="1"/>
  <c r="Y1032" i="1"/>
  <c r="Y593" i="1"/>
  <c r="X1098" i="1"/>
  <c r="X1033" i="1"/>
  <c r="X1256" i="1"/>
  <c r="Y738" i="1"/>
  <c r="Y1234" i="1"/>
  <c r="X1202" i="1"/>
  <c r="X738" i="1"/>
  <c r="X593" i="1"/>
  <c r="Y594" i="1"/>
  <c r="Y1151" i="1"/>
  <c r="Y1281" i="1"/>
  <c r="X397" i="1"/>
  <c r="X594" i="1"/>
  <c r="X1097" i="1"/>
  <c r="Y1202" i="1"/>
  <c r="Y1235" i="1"/>
  <c r="Y1256" i="1"/>
  <c r="X1203" i="1"/>
  <c r="X1281" i="1"/>
  <c r="X910" i="1"/>
  <c r="X1150" i="1"/>
  <c r="Y1257" i="1"/>
  <c r="Y397" i="1"/>
  <c r="H261" i="13" s="1"/>
  <c r="K261" i="13" s="1"/>
  <c r="L220" i="2"/>
  <c r="L221" i="2"/>
  <c r="X1006" i="1"/>
  <c r="X718" i="1"/>
  <c r="X548" i="1"/>
  <c r="Y479" i="1"/>
  <c r="H263" i="13" s="1"/>
  <c r="Y261" i="1"/>
  <c r="H256" i="13" s="1"/>
  <c r="K256" i="13" s="1"/>
  <c r="Y718" i="1"/>
  <c r="X864" i="1"/>
  <c r="Y864" i="1"/>
  <c r="X623" i="1"/>
  <c r="Y623" i="1"/>
  <c r="X261" i="1"/>
  <c r="Y1006" i="1"/>
  <c r="X479" i="1"/>
  <c r="Y548" i="1"/>
  <c r="I243" i="15"/>
  <c r="G245" i="13"/>
  <c r="I249" i="15"/>
  <c r="G242" i="13"/>
  <c r="I246" i="15"/>
  <c r="I245" i="15"/>
  <c r="G249" i="13"/>
  <c r="I247" i="15"/>
  <c r="I251" i="15"/>
  <c r="I242" i="15"/>
  <c r="I248" i="15"/>
  <c r="G253" i="13"/>
  <c r="I244" i="15"/>
  <c r="I250" i="15"/>
  <c r="G244" i="13"/>
  <c r="G248" i="13"/>
  <c r="G250" i="13"/>
  <c r="G247" i="13"/>
  <c r="G246" i="13"/>
  <c r="G251" i="13"/>
  <c r="G243" i="13"/>
  <c r="G252" i="13"/>
  <c r="W519" i="1"/>
  <c r="AK519" i="1"/>
  <c r="W974" i="1"/>
  <c r="AK974" i="1"/>
  <c r="W1022" i="1"/>
  <c r="AK1022" i="1"/>
  <c r="W732" i="1"/>
  <c r="AK732" i="1"/>
  <c r="W590" i="1"/>
  <c r="AK590" i="1"/>
  <c r="W865" i="1"/>
  <c r="AK865" i="1"/>
  <c r="W569" i="1"/>
  <c r="AK569" i="1"/>
  <c r="W1157" i="1"/>
  <c r="AK1157" i="1"/>
  <c r="W1195" i="1"/>
  <c r="AK1195" i="1"/>
  <c r="W1194" i="1"/>
  <c r="AK1194" i="1"/>
  <c r="W861" i="1"/>
  <c r="AK861" i="1"/>
  <c r="W916" i="1"/>
  <c r="AK916" i="1"/>
  <c r="W505" i="1"/>
  <c r="AK505" i="1"/>
  <c r="W1021" i="1"/>
  <c r="AK1021" i="1"/>
  <c r="W664" i="1"/>
  <c r="AK664" i="1"/>
  <c r="W640" i="1"/>
  <c r="AK640" i="1"/>
  <c r="W1110" i="1"/>
  <c r="AK1110" i="1"/>
  <c r="W497" i="1"/>
  <c r="AK497" i="1"/>
  <c r="W180" i="1"/>
  <c r="AK180" i="1"/>
  <c r="W368" i="1"/>
  <c r="AK368" i="1"/>
  <c r="W502" i="1"/>
  <c r="AK502" i="1"/>
  <c r="W1189" i="1"/>
  <c r="AK1189" i="1"/>
  <c r="W631" i="1"/>
  <c r="AK631" i="1"/>
  <c r="W486" i="1"/>
  <c r="AK486" i="1"/>
  <c r="W367" i="1"/>
  <c r="AK367" i="1"/>
  <c r="W880" i="1"/>
  <c r="AK880" i="1"/>
  <c r="W857" i="1"/>
  <c r="AK857" i="1"/>
  <c r="W1079" i="1"/>
  <c r="AK1079" i="1"/>
  <c r="W1003" i="1"/>
  <c r="AK1003" i="1"/>
  <c r="W580" i="1"/>
  <c r="AK580" i="1"/>
  <c r="W555" i="1"/>
  <c r="AK555" i="1"/>
  <c r="W238" i="1"/>
  <c r="AK238" i="1"/>
  <c r="W632" i="1"/>
  <c r="AK632" i="1"/>
  <c r="W540" i="1"/>
  <c r="AK540" i="1"/>
  <c r="W1199" i="1"/>
  <c r="AK1199" i="1"/>
  <c r="W947" i="1"/>
  <c r="AK947" i="1"/>
  <c r="W312" i="1"/>
  <c r="AK312" i="1"/>
  <c r="W377" i="1"/>
  <c r="AK377" i="1"/>
  <c r="W427" i="1"/>
  <c r="AK427" i="1"/>
  <c r="W772" i="1"/>
  <c r="AK772" i="1"/>
  <c r="W567" i="1"/>
  <c r="AK567" i="1"/>
  <c r="W560" i="1"/>
  <c r="AK560" i="1"/>
  <c r="W639" i="1"/>
  <c r="AK639" i="1"/>
  <c r="W855" i="1"/>
  <c r="AK855" i="1"/>
  <c r="W620" i="1"/>
  <c r="AK620" i="1"/>
  <c r="W1158" i="1"/>
  <c r="AK1158" i="1"/>
  <c r="W735" i="1"/>
  <c r="AK735" i="1"/>
  <c r="W562" i="1"/>
  <c r="AK562" i="1"/>
  <c r="W829" i="1"/>
  <c r="AK829" i="1"/>
  <c r="W470" i="1"/>
  <c r="AK470" i="1"/>
  <c r="L230" i="2"/>
  <c r="L225" i="2"/>
  <c r="L222" i="2"/>
  <c r="L229" i="2"/>
  <c r="L223" i="2"/>
  <c r="L228" i="2"/>
  <c r="L224" i="2"/>
  <c r="L227" i="2"/>
  <c r="L226" i="2"/>
  <c r="L234" i="2"/>
  <c r="L231" i="2"/>
  <c r="L235" i="2"/>
  <c r="L232" i="2"/>
  <c r="L236" i="2"/>
  <c r="L233" i="2"/>
  <c r="L237" i="2"/>
  <c r="X1208" i="1"/>
  <c r="X1104" i="1"/>
  <c r="X1160" i="1"/>
  <c r="X510" i="1"/>
  <c r="X977" i="1"/>
  <c r="X542" i="1"/>
  <c r="X72" i="1"/>
  <c r="X1167" i="1"/>
  <c r="X474" i="1"/>
  <c r="X73" i="1"/>
  <c r="X676" i="1"/>
  <c r="X221" i="1"/>
  <c r="X1109" i="1"/>
  <c r="X543" i="1"/>
  <c r="X361" i="1"/>
  <c r="X471" i="1"/>
  <c r="X924" i="1"/>
  <c r="X1044" i="1"/>
  <c r="X223" i="1"/>
  <c r="X219" i="1"/>
  <c r="X984" i="1"/>
  <c r="X473" i="1"/>
  <c r="X985" i="1"/>
  <c r="L238" i="2"/>
  <c r="L302" i="2"/>
  <c r="L366" i="2"/>
  <c r="L430" i="2"/>
  <c r="L494" i="2"/>
  <c r="L287" i="2"/>
  <c r="L351" i="2"/>
  <c r="L415" i="2"/>
  <c r="L479" i="2"/>
  <c r="L436" i="2"/>
  <c r="L272" i="2"/>
  <c r="L336" i="2"/>
  <c r="L400" i="2"/>
  <c r="L464" i="2"/>
  <c r="L257" i="2"/>
  <c r="L321" i="2"/>
  <c r="L385" i="2"/>
  <c r="L449" i="2"/>
  <c r="L242" i="2"/>
  <c r="L306" i="2"/>
  <c r="L370" i="2"/>
  <c r="L434" i="2"/>
  <c r="L498" i="2"/>
  <c r="L267" i="2"/>
  <c r="L331" i="2"/>
  <c r="L395" i="2"/>
  <c r="L459" i="2"/>
  <c r="L252" i="2"/>
  <c r="L316" i="2"/>
  <c r="L412" i="2"/>
  <c r="L269" i="2"/>
  <c r="L333" i="2"/>
  <c r="L397" i="2"/>
  <c r="L461" i="2"/>
  <c r="L246" i="2"/>
  <c r="L310" i="2"/>
  <c r="L374" i="2"/>
  <c r="L438" i="2"/>
  <c r="L502" i="2"/>
  <c r="L295" i="2"/>
  <c r="L359" i="2"/>
  <c r="L423" i="2"/>
  <c r="L487" i="2"/>
  <c r="L460" i="2"/>
  <c r="L280" i="2"/>
  <c r="L344" i="2"/>
  <c r="L408" i="2"/>
  <c r="L472" i="2"/>
  <c r="L265" i="2"/>
  <c r="L329" i="2"/>
  <c r="L393" i="2"/>
  <c r="L457" i="2"/>
  <c r="L250" i="2"/>
  <c r="L314" i="2"/>
  <c r="L378" i="2"/>
  <c r="L442" i="2"/>
  <c r="L506" i="2"/>
  <c r="L275" i="2"/>
  <c r="L339" i="2"/>
  <c r="L403" i="2"/>
  <c r="L467" i="2"/>
  <c r="L260" i="2"/>
  <c r="L324" i="2"/>
  <c r="L428" i="2"/>
  <c r="L277" i="2"/>
  <c r="L341" i="2"/>
  <c r="L405" i="2"/>
  <c r="L469" i="2"/>
  <c r="L262" i="2"/>
  <c r="L326" i="2"/>
  <c r="L390" i="2"/>
  <c r="L454" i="2"/>
  <c r="L247" i="2"/>
  <c r="L311" i="2"/>
  <c r="L375" i="2"/>
  <c r="L439" i="2"/>
  <c r="L503" i="2"/>
  <c r="L500" i="2"/>
  <c r="L296" i="2"/>
  <c r="L360" i="2"/>
  <c r="L424" i="2"/>
  <c r="L488" i="2"/>
  <c r="L281" i="2"/>
  <c r="L345" i="2"/>
  <c r="L409" i="2"/>
  <c r="L473" i="2"/>
  <c r="L266" i="2"/>
  <c r="L330" i="2"/>
  <c r="L394" i="2"/>
  <c r="L458" i="2"/>
  <c r="L444" i="2"/>
  <c r="L291" i="2"/>
  <c r="L355" i="2"/>
  <c r="L419" i="2"/>
  <c r="L483" i="2"/>
  <c r="L276" i="2"/>
  <c r="L340" i="2"/>
  <c r="L468" i="2"/>
  <c r="L293" i="2"/>
  <c r="L357" i="2"/>
  <c r="L421" i="2"/>
  <c r="L334" i="2"/>
  <c r="L255" i="2"/>
  <c r="L383" i="2"/>
  <c r="L356" i="2"/>
  <c r="L304" i="2"/>
  <c r="L432" i="2"/>
  <c r="L289" i="2"/>
  <c r="L417" i="2"/>
  <c r="L274" i="2"/>
  <c r="L402" i="2"/>
  <c r="L476" i="2"/>
  <c r="L363" i="2"/>
  <c r="L491" i="2"/>
  <c r="L348" i="2"/>
  <c r="L301" i="2"/>
  <c r="L429" i="2"/>
  <c r="L313" i="2"/>
  <c r="L441" i="2"/>
  <c r="L254" i="2"/>
  <c r="L318" i="2"/>
  <c r="L382" i="2"/>
  <c r="L446" i="2"/>
  <c r="L239" i="2"/>
  <c r="L303" i="2"/>
  <c r="L367" i="2"/>
  <c r="L431" i="2"/>
  <c r="L495" i="2"/>
  <c r="L484" i="2"/>
  <c r="L288" i="2"/>
  <c r="L352" i="2"/>
  <c r="L416" i="2"/>
  <c r="L480" i="2"/>
  <c r="L273" i="2"/>
  <c r="L337" i="2"/>
  <c r="L401" i="2"/>
  <c r="L465" i="2"/>
  <c r="L258" i="2"/>
  <c r="L322" i="2"/>
  <c r="L386" i="2"/>
  <c r="L450" i="2"/>
  <c r="L372" i="2"/>
  <c r="L283" i="2"/>
  <c r="L347" i="2"/>
  <c r="L411" i="2"/>
  <c r="L475" i="2"/>
  <c r="L268" i="2"/>
  <c r="L332" i="2"/>
  <c r="L452" i="2"/>
  <c r="L285" i="2"/>
  <c r="L349" i="2"/>
  <c r="L413" i="2"/>
  <c r="L477" i="2"/>
  <c r="L485" i="2"/>
  <c r="L270" i="2"/>
  <c r="L398" i="2"/>
  <c r="L462" i="2"/>
  <c r="L319" i="2"/>
  <c r="L447" i="2"/>
  <c r="L240" i="2"/>
  <c r="L368" i="2"/>
  <c r="L496" i="2"/>
  <c r="L353" i="2"/>
  <c r="L481" i="2"/>
  <c r="L338" i="2"/>
  <c r="L466" i="2"/>
  <c r="L299" i="2"/>
  <c r="L427" i="2"/>
  <c r="L284" i="2"/>
  <c r="L492" i="2"/>
  <c r="L365" i="2"/>
  <c r="L493" i="2"/>
  <c r="L505" i="2"/>
  <c r="L278" i="2"/>
  <c r="L342" i="2"/>
  <c r="L406" i="2"/>
  <c r="L470" i="2"/>
  <c r="L263" i="2"/>
  <c r="L327" i="2"/>
  <c r="L391" i="2"/>
  <c r="L455" i="2"/>
  <c r="L388" i="2"/>
  <c r="L248" i="2"/>
  <c r="L312" i="2"/>
  <c r="L376" i="2"/>
  <c r="L440" i="2"/>
  <c r="L504" i="2"/>
  <c r="L297" i="2"/>
  <c r="L361" i="2"/>
  <c r="L425" i="2"/>
  <c r="L489" i="2"/>
  <c r="L282" i="2"/>
  <c r="L346" i="2"/>
  <c r="L410" i="2"/>
  <c r="L474" i="2"/>
  <c r="L243" i="2"/>
  <c r="L307" i="2"/>
  <c r="L371" i="2"/>
  <c r="L435" i="2"/>
  <c r="L499" i="2"/>
  <c r="L292" i="2"/>
  <c r="L364" i="2"/>
  <c r="L245" i="2"/>
  <c r="L309" i="2"/>
  <c r="L373" i="2"/>
  <c r="L437" i="2"/>
  <c r="L501" i="2"/>
  <c r="L286" i="2"/>
  <c r="L350" i="2"/>
  <c r="L414" i="2"/>
  <c r="L478" i="2"/>
  <c r="L271" i="2"/>
  <c r="L335" i="2"/>
  <c r="L399" i="2"/>
  <c r="L463" i="2"/>
  <c r="L404" i="2"/>
  <c r="L256" i="2"/>
  <c r="L320" i="2"/>
  <c r="L384" i="2"/>
  <c r="L448" i="2"/>
  <c r="L241" i="2"/>
  <c r="L305" i="2"/>
  <c r="L369" i="2"/>
  <c r="L433" i="2"/>
  <c r="L497" i="2"/>
  <c r="L290" i="2"/>
  <c r="L354" i="2"/>
  <c r="L418" i="2"/>
  <c r="L482" i="2"/>
  <c r="L251" i="2"/>
  <c r="L315" i="2"/>
  <c r="L379" i="2"/>
  <c r="L443" i="2"/>
  <c r="L507" i="2"/>
  <c r="L300" i="2"/>
  <c r="L380" i="2"/>
  <c r="L253" i="2"/>
  <c r="L381" i="2"/>
  <c r="L445" i="2"/>
  <c r="L422" i="2"/>
  <c r="L279" i="2"/>
  <c r="L343" i="2"/>
  <c r="L407" i="2"/>
  <c r="L471" i="2"/>
  <c r="L420" i="2"/>
  <c r="L264" i="2"/>
  <c r="L328" i="2"/>
  <c r="L392" i="2"/>
  <c r="L456" i="2"/>
  <c r="L249" i="2"/>
  <c r="L377" i="2"/>
  <c r="L298" i="2"/>
  <c r="L317" i="2"/>
  <c r="L294" i="2"/>
  <c r="L358" i="2"/>
  <c r="L486" i="2"/>
  <c r="L426" i="2"/>
  <c r="L396" i="2"/>
  <c r="L325" i="2"/>
  <c r="L323" i="2"/>
  <c r="L362" i="2"/>
  <c r="L490" i="2"/>
  <c r="L261" i="2"/>
  <c r="L259" i="2"/>
  <c r="L389" i="2"/>
  <c r="L387" i="2"/>
  <c r="L453" i="2"/>
  <c r="L451" i="2"/>
  <c r="L244" i="2"/>
  <c r="L308" i="2"/>
  <c r="X1100" i="1"/>
  <c r="Y1269" i="1"/>
  <c r="X1197" i="1"/>
  <c r="Y1313" i="1"/>
  <c r="Y1284" i="1"/>
  <c r="Y1197" i="1"/>
  <c r="X1284" i="1"/>
  <c r="X1313" i="1"/>
  <c r="Y1100" i="1"/>
  <c r="X1269" i="1"/>
  <c r="Y1230" i="1"/>
  <c r="H252" i="13" s="1"/>
  <c r="K252" i="13" s="1"/>
  <c r="X1230" i="1"/>
  <c r="X1293" i="1"/>
  <c r="Y1293" i="1"/>
  <c r="X1250" i="1"/>
  <c r="Y1250" i="1"/>
  <c r="X1162" i="1"/>
  <c r="X1192" i="1"/>
  <c r="X746" i="1"/>
  <c r="X1073" i="1"/>
  <c r="X1249" i="1"/>
  <c r="X1037" i="1"/>
  <c r="X920" i="1"/>
  <c r="X1210" i="1"/>
  <c r="X1136" i="1"/>
  <c r="X1106" i="1"/>
  <c r="X981" i="1"/>
  <c r="X1229" i="1"/>
  <c r="Y413" i="1"/>
  <c r="X756" i="1"/>
  <c r="Y521" i="1"/>
  <c r="X541" i="1"/>
  <c r="Y650" i="1"/>
  <c r="Y541" i="1"/>
  <c r="X521" i="1"/>
  <c r="Y756" i="1"/>
  <c r="X413" i="1"/>
  <c r="Y556" i="1"/>
  <c r="W197" i="1"/>
  <c r="W164" i="1"/>
  <c r="X556" i="1"/>
  <c r="X650" i="1"/>
  <c r="H220" i="13"/>
  <c r="K220" i="13" s="1"/>
  <c r="H195" i="13"/>
  <c r="H216" i="13"/>
  <c r="K216" i="13" s="1"/>
  <c r="L216" i="13" s="1"/>
  <c r="I238" i="15"/>
  <c r="I68" i="15"/>
  <c r="I155" i="15"/>
  <c r="H237" i="13"/>
  <c r="K237" i="13" s="1"/>
  <c r="I215" i="15"/>
  <c r="I107" i="15"/>
  <c r="I202" i="15"/>
  <c r="I24" i="15"/>
  <c r="I157" i="15"/>
  <c r="I49" i="15"/>
  <c r="I182" i="15"/>
  <c r="I99" i="15"/>
  <c r="I20" i="15"/>
  <c r="I108" i="15"/>
  <c r="I195" i="15"/>
  <c r="I41" i="15"/>
  <c r="I77" i="15"/>
  <c r="I74" i="15"/>
  <c r="I183" i="15"/>
  <c r="G232" i="13"/>
  <c r="I100" i="15"/>
  <c r="I114" i="15"/>
  <c r="I23" i="15"/>
  <c r="I89" i="15"/>
  <c r="I222" i="15"/>
  <c r="I22" i="15"/>
  <c r="I139" i="15"/>
  <c r="G239" i="13"/>
  <c r="I223" i="15"/>
  <c r="I59" i="15"/>
  <c r="I55" i="15"/>
  <c r="I172" i="15"/>
  <c r="I105" i="15"/>
  <c r="I141" i="15"/>
  <c r="G236" i="13"/>
  <c r="I82" i="15"/>
  <c r="I191" i="15"/>
  <c r="I129" i="15"/>
  <c r="I34" i="15"/>
  <c r="I97" i="15"/>
  <c r="I230" i="15"/>
  <c r="I60" i="15"/>
  <c r="I239" i="15"/>
  <c r="I85" i="15"/>
  <c r="I156" i="15"/>
  <c r="I26" i="15"/>
  <c r="I181" i="15"/>
  <c r="I27" i="15"/>
  <c r="I122" i="15"/>
  <c r="I231" i="15"/>
  <c r="I169" i="15"/>
  <c r="I240" i="15"/>
  <c r="I40" i="15"/>
  <c r="I173" i="15"/>
  <c r="I19" i="15"/>
  <c r="I199" i="15"/>
  <c r="I116" i="15"/>
  <c r="G237" i="13"/>
  <c r="I125" i="15"/>
  <c r="I196" i="15"/>
  <c r="I66" i="15"/>
  <c r="G235" i="13"/>
  <c r="I189" i="15"/>
  <c r="G227" i="13"/>
  <c r="I91" i="15"/>
  <c r="I186" i="15"/>
  <c r="I8" i="15"/>
  <c r="I44" i="15"/>
  <c r="I177" i="15"/>
  <c r="G226" i="13"/>
  <c r="I110" i="15"/>
  <c r="I163" i="15"/>
  <c r="I200" i="15"/>
  <c r="H240" i="13"/>
  <c r="K240" i="13" s="1"/>
  <c r="L240" i="13" s="1"/>
  <c r="I133" i="15"/>
  <c r="I194" i="15"/>
  <c r="I158" i="15"/>
  <c r="G233" i="13"/>
  <c r="I75" i="15"/>
  <c r="I192" i="15"/>
  <c r="I84" i="15"/>
  <c r="I217" i="15"/>
  <c r="I17" i="15"/>
  <c r="I150" i="15"/>
  <c r="I83" i="15"/>
  <c r="I159" i="15"/>
  <c r="G222" i="13"/>
  <c r="I76" i="15"/>
  <c r="I209" i="15"/>
  <c r="I21" i="15"/>
  <c r="I128" i="15"/>
  <c r="I198" i="15"/>
  <c r="I28" i="15"/>
  <c r="I115" i="15"/>
  <c r="I232" i="15"/>
  <c r="I175" i="15"/>
  <c r="I11" i="15"/>
  <c r="I31" i="15"/>
  <c r="I148" i="15"/>
  <c r="I235" i="15"/>
  <c r="I81" i="15"/>
  <c r="I214" i="15"/>
  <c r="G223" i="13"/>
  <c r="I80" i="15"/>
  <c r="I167" i="15"/>
  <c r="I13" i="15"/>
  <c r="I10" i="15"/>
  <c r="I119" i="15"/>
  <c r="I206" i="15"/>
  <c r="I36" i="15"/>
  <c r="I61" i="15"/>
  <c r="I132" i="15"/>
  <c r="I111" i="15"/>
  <c r="I3" i="15"/>
  <c r="I120" i="15"/>
  <c r="I207" i="15"/>
  <c r="I53" i="15"/>
  <c r="I117" i="15"/>
  <c r="I78" i="15"/>
  <c r="I149" i="15"/>
  <c r="H239" i="13"/>
  <c r="K239" i="13" s="1"/>
  <c r="L239" i="13" s="1"/>
  <c r="I174" i="15"/>
  <c r="I138" i="15"/>
  <c r="I47" i="15"/>
  <c r="I101" i="15"/>
  <c r="I2" i="15"/>
  <c r="I42" i="15"/>
  <c r="I151" i="15"/>
  <c r="G238" i="13"/>
  <c r="I201" i="15"/>
  <c r="I32" i="15"/>
  <c r="I67" i="15"/>
  <c r="I162" i="15"/>
  <c r="I221" i="15"/>
  <c r="I153" i="15"/>
  <c r="G240" i="13"/>
  <c r="I86" i="15"/>
  <c r="I203" i="15"/>
  <c r="I176" i="15"/>
  <c r="I38" i="15"/>
  <c r="I109" i="15"/>
  <c r="G241" i="13"/>
  <c r="I25" i="15"/>
  <c r="I51" i="15"/>
  <c r="I168" i="15"/>
  <c r="I30" i="15"/>
  <c r="I193" i="15"/>
  <c r="I39" i="15"/>
  <c r="I126" i="15"/>
  <c r="H241" i="13"/>
  <c r="K241" i="13" s="1"/>
  <c r="I135" i="15"/>
  <c r="G230" i="13"/>
  <c r="I52" i="15"/>
  <c r="I185" i="15"/>
  <c r="I142" i="15"/>
  <c r="I140" i="15"/>
  <c r="I4" i="15"/>
  <c r="I137" i="15"/>
  <c r="I208" i="15"/>
  <c r="I70" i="15"/>
  <c r="I9" i="15"/>
  <c r="I213" i="15"/>
  <c r="I90" i="15"/>
  <c r="G231" i="13"/>
  <c r="I57" i="15"/>
  <c r="I190" i="15"/>
  <c r="I50" i="15"/>
  <c r="I56" i="15"/>
  <c r="I143" i="15"/>
  <c r="I130" i="15"/>
  <c r="I95" i="15"/>
  <c r="I212" i="15"/>
  <c r="I12" i="15"/>
  <c r="I145" i="15"/>
  <c r="I234" i="15"/>
  <c r="I178" i="15"/>
  <c r="I241" i="15"/>
  <c r="I87" i="15"/>
  <c r="H228" i="13"/>
  <c r="I96" i="15"/>
  <c r="I229" i="15"/>
  <c r="I29" i="15"/>
  <c r="I170" i="15"/>
  <c r="I54" i="15"/>
  <c r="I171" i="15"/>
  <c r="G228" i="13"/>
  <c r="I88" i="15"/>
  <c r="I164" i="15"/>
  <c r="I45" i="15"/>
  <c r="I152" i="15"/>
  <c r="I218" i="15"/>
  <c r="I18" i="15"/>
  <c r="I127" i="15"/>
  <c r="I118" i="15"/>
  <c r="I35" i="15"/>
  <c r="I43" i="15"/>
  <c r="I160" i="15"/>
  <c r="I93" i="15"/>
  <c r="I37" i="15"/>
  <c r="I62" i="15"/>
  <c r="I179" i="15"/>
  <c r="I112" i="15"/>
  <c r="I14" i="15"/>
  <c r="I131" i="15"/>
  <c r="I226" i="15"/>
  <c r="I48" i="15"/>
  <c r="I227" i="15"/>
  <c r="I73" i="15"/>
  <c r="I144" i="15"/>
  <c r="I6" i="15"/>
  <c r="I72" i="15"/>
  <c r="I15" i="15"/>
  <c r="I102" i="15"/>
  <c r="I219" i="15"/>
  <c r="I65" i="15"/>
  <c r="I228" i="15"/>
  <c r="I98" i="15"/>
  <c r="I161" i="15"/>
  <c r="I7" i="15"/>
  <c r="I94" i="15"/>
  <c r="I92" i="15"/>
  <c r="I123" i="15"/>
  <c r="I113" i="15"/>
  <c r="I184" i="15"/>
  <c r="I46" i="15"/>
  <c r="I124" i="15"/>
  <c r="I211" i="15"/>
  <c r="I225" i="15"/>
  <c r="I233" i="15"/>
  <c r="I79" i="15"/>
  <c r="I166" i="15"/>
  <c r="I71" i="15"/>
  <c r="I165" i="15"/>
  <c r="I236" i="15"/>
  <c r="I106" i="15"/>
  <c r="I204" i="15"/>
  <c r="I188" i="15"/>
  <c r="I58" i="15"/>
  <c r="I121" i="15"/>
  <c r="G224" i="13"/>
  <c r="I154" i="15"/>
  <c r="G229" i="13"/>
  <c r="I63" i="15"/>
  <c r="I180" i="15"/>
  <c r="I224" i="15"/>
  <c r="I205" i="15"/>
  <c r="I5" i="15"/>
  <c r="I146" i="15"/>
  <c r="I147" i="15"/>
  <c r="G234" i="13"/>
  <c r="I64" i="15"/>
  <c r="I197" i="15"/>
  <c r="I187" i="15"/>
  <c r="I104" i="15"/>
  <c r="I134" i="15"/>
  <c r="I16" i="15"/>
  <c r="I103" i="15"/>
  <c r="I220" i="15"/>
  <c r="I216" i="15"/>
  <c r="I33" i="15"/>
  <c r="I237" i="15"/>
  <c r="I136" i="15"/>
  <c r="H238" i="13"/>
  <c r="K238" i="13" s="1"/>
  <c r="L238" i="13" s="1"/>
  <c r="I69" i="15"/>
  <c r="I210" i="15"/>
  <c r="Y1082" i="1"/>
  <c r="Y962" i="1"/>
  <c r="X1082" i="1"/>
  <c r="Y659" i="1"/>
  <c r="H232" i="13" s="1"/>
  <c r="K232" i="13" s="1"/>
  <c r="X962" i="1"/>
  <c r="X659" i="1"/>
  <c r="H217" i="13"/>
  <c r="K217" i="13" s="1"/>
  <c r="L217" i="13" s="1"/>
  <c r="H218" i="13"/>
  <c r="H212" i="13"/>
  <c r="Y919" i="1"/>
  <c r="Y1135" i="1"/>
  <c r="X919" i="1"/>
  <c r="X1241" i="1"/>
  <c r="Y1241" i="1"/>
  <c r="Y511" i="1"/>
  <c r="H231" i="13" s="1"/>
  <c r="K231" i="13" s="1"/>
  <c r="X1135" i="1"/>
  <c r="X511" i="1"/>
  <c r="X1137" i="1"/>
  <c r="X715" i="1"/>
  <c r="X1080" i="1"/>
  <c r="Y715" i="1"/>
  <c r="H224" i="13" s="1"/>
  <c r="K224" i="13" s="1"/>
  <c r="X858" i="1"/>
  <c r="X1130" i="1"/>
  <c r="Y1080" i="1"/>
  <c r="X1291" i="1"/>
  <c r="X581" i="1"/>
  <c r="Y1291" i="1"/>
  <c r="Y1031" i="1"/>
  <c r="Y1275" i="1"/>
  <c r="Y581" i="1"/>
  <c r="X1275" i="1"/>
  <c r="Y1268" i="1"/>
  <c r="X1096" i="1"/>
  <c r="Y306" i="1"/>
  <c r="Y1149" i="1"/>
  <c r="Y1035" i="1"/>
  <c r="Y812" i="1"/>
  <c r="X1266" i="1"/>
  <c r="X1149" i="1"/>
  <c r="Y1105" i="1"/>
  <c r="X866" i="1"/>
  <c r="Y866" i="1"/>
  <c r="X306" i="1"/>
  <c r="X744" i="1"/>
  <c r="X1002" i="1"/>
  <c r="X1221" i="1"/>
  <c r="X812" i="1"/>
  <c r="Y1137" i="1"/>
  <c r="Y1096" i="1"/>
  <c r="Y1002" i="1"/>
  <c r="X1272" i="1"/>
  <c r="X1268" i="1"/>
  <c r="X1161" i="1"/>
  <c r="X1035" i="1"/>
  <c r="X1031" i="1"/>
  <c r="Y1161" i="1"/>
  <c r="X1314" i="1"/>
  <c r="Y513" i="1"/>
  <c r="H226" i="13" s="1"/>
  <c r="K226" i="13" s="1"/>
  <c r="X1105" i="1"/>
  <c r="X513" i="1"/>
  <c r="Y1266" i="1"/>
  <c r="Y744" i="1"/>
  <c r="Y1221" i="1"/>
  <c r="Y1130" i="1"/>
  <c r="Y858" i="1"/>
  <c r="H227" i="13"/>
  <c r="K227" i="13" s="1"/>
  <c r="Y745" i="1"/>
  <c r="H234" i="13" s="1"/>
  <c r="K234" i="13" s="1"/>
  <c r="X747" i="1"/>
  <c r="H222" i="13"/>
  <c r="K222" i="13" s="1"/>
  <c r="Y1008" i="1"/>
  <c r="X402" i="1"/>
  <c r="X1036" i="1"/>
  <c r="X745" i="1"/>
  <c r="Y747" i="1"/>
  <c r="H235" i="13" s="1"/>
  <c r="K235" i="13" s="1"/>
  <c r="Y1036" i="1"/>
  <c r="H236" i="13" s="1"/>
  <c r="K236" i="13" s="1"/>
  <c r="X1042" i="1"/>
  <c r="Y402" i="1"/>
  <c r="H230" i="13" s="1"/>
  <c r="K230" i="13" s="1"/>
  <c r="X1008" i="1"/>
  <c r="H186" i="13"/>
  <c r="K186" i="13" s="1"/>
  <c r="L186" i="13" s="1"/>
  <c r="H213" i="13"/>
  <c r="H219" i="13"/>
  <c r="K219" i="13" s="1"/>
  <c r="H177" i="13"/>
  <c r="Y838" i="1"/>
  <c r="Y952" i="1"/>
  <c r="Y553" i="1"/>
  <c r="Y796" i="1"/>
  <c r="Y1055" i="1"/>
  <c r="Y563" i="1"/>
  <c r="Y654" i="1"/>
  <c r="Y1304" i="1"/>
  <c r="Y860" i="1"/>
  <c r="Y583" i="1"/>
  <c r="Y1101" i="1"/>
  <c r="Y927" i="1"/>
  <c r="Y1213" i="1"/>
  <c r="Y912" i="1"/>
  <c r="Y870" i="1"/>
  <c r="Y959" i="1"/>
  <c r="Y950" i="1"/>
  <c r="Y1170" i="1"/>
  <c r="Y414" i="1"/>
  <c r="Y171" i="1"/>
  <c r="Y311" i="1"/>
  <c r="Y391" i="1"/>
  <c r="H223" i="13"/>
  <c r="K223" i="13" s="1"/>
  <c r="Y1013" i="1"/>
  <c r="Y1155" i="1"/>
  <c r="Y686" i="1"/>
  <c r="Y1295" i="1"/>
  <c r="Y740" i="1"/>
  <c r="Y374" i="1"/>
  <c r="Y731" i="1"/>
  <c r="Y1316" i="1"/>
  <c r="Y716" i="1"/>
  <c r="Y375" i="1"/>
  <c r="Y499" i="1"/>
  <c r="Y577" i="1"/>
  <c r="Y724" i="1"/>
  <c r="Y638" i="1"/>
  <c r="Y1034" i="1"/>
  <c r="Y1317" i="1"/>
  <c r="Y867" i="1"/>
  <c r="Y483" i="1"/>
  <c r="Y484" i="1"/>
  <c r="Y1308" i="1"/>
  <c r="Y1020" i="1"/>
  <c r="Y768" i="1"/>
  <c r="Y400" i="1"/>
  <c r="Y791" i="1"/>
  <c r="Y179" i="1"/>
  <c r="Y1153" i="1"/>
  <c r="Y754" i="1"/>
  <c r="Y767" i="1"/>
  <c r="Y627" i="1"/>
  <c r="Y599" i="1"/>
  <c r="Y722" i="1"/>
  <c r="Y1010" i="1"/>
  <c r="Y1116" i="1"/>
  <c r="Y1251" i="1"/>
  <c r="Y488" i="1"/>
  <c r="Y1041" i="1"/>
  <c r="Y568" i="1"/>
  <c r="Y805" i="1"/>
  <c r="Y815" i="1"/>
  <c r="Y928" i="1"/>
  <c r="Y1288" i="1"/>
  <c r="Y1138" i="1"/>
  <c r="Y1204" i="1"/>
  <c r="Y291" i="1"/>
  <c r="Y629" i="1"/>
  <c r="R519" i="1"/>
  <c r="Z519" i="1"/>
  <c r="S519" i="1"/>
  <c r="R974" i="1"/>
  <c r="S974" i="1"/>
  <c r="R1022" i="1"/>
  <c r="S1022" i="1"/>
  <c r="R732" i="1"/>
  <c r="S732" i="1"/>
  <c r="R590" i="1"/>
  <c r="S590" i="1"/>
  <c r="R865" i="1"/>
  <c r="Z865" i="1"/>
  <c r="S865" i="1"/>
  <c r="R569" i="1"/>
  <c r="Z569" i="1"/>
  <c r="S569" i="1"/>
  <c r="R1157" i="1"/>
  <c r="Z1157" i="1"/>
  <c r="S1157" i="1"/>
  <c r="R1195" i="1"/>
  <c r="S1195" i="1"/>
  <c r="R1194" i="1"/>
  <c r="S1194" i="1"/>
  <c r="R861" i="1"/>
  <c r="S861" i="1"/>
  <c r="Z861" i="1"/>
  <c r="R916" i="1"/>
  <c r="S916" i="1"/>
  <c r="Z916" i="1"/>
  <c r="R505" i="1"/>
  <c r="Z505" i="1"/>
  <c r="S505" i="1"/>
  <c r="R1021" i="1"/>
  <c r="Z1021" i="1"/>
  <c r="S1021" i="1"/>
  <c r="R664" i="1"/>
  <c r="Z664" i="1"/>
  <c r="S664" i="1"/>
  <c r="R640" i="1"/>
  <c r="S640" i="1"/>
  <c r="R1110" i="1"/>
  <c r="S1110" i="1"/>
  <c r="R497" i="1"/>
  <c r="S497" i="1"/>
  <c r="Z497" i="1"/>
  <c r="R180" i="1"/>
  <c r="Z180" i="1"/>
  <c r="S180" i="1"/>
  <c r="R197" i="1"/>
  <c r="S197" i="1"/>
  <c r="R368" i="1"/>
  <c r="S368" i="1"/>
  <c r="Z368" i="1"/>
  <c r="R502" i="1"/>
  <c r="Z502" i="1"/>
  <c r="S502" i="1"/>
  <c r="R1189" i="1"/>
  <c r="Z1189" i="1"/>
  <c r="S1189" i="1"/>
  <c r="R631" i="1"/>
  <c r="S631" i="1"/>
  <c r="R486" i="1"/>
  <c r="S486" i="1"/>
  <c r="R367" i="1"/>
  <c r="S367" i="1"/>
  <c r="R880" i="1"/>
  <c r="Z880" i="1"/>
  <c r="S880" i="1"/>
  <c r="R857" i="1"/>
  <c r="Z857" i="1"/>
  <c r="S857" i="1"/>
  <c r="R1079" i="1"/>
  <c r="Z1079" i="1"/>
  <c r="S1079" i="1"/>
  <c r="R1003" i="1"/>
  <c r="Z1003" i="1"/>
  <c r="S1003" i="1"/>
  <c r="R580" i="1"/>
  <c r="Z580" i="1"/>
  <c r="S580" i="1"/>
  <c r="R555" i="1"/>
  <c r="S555" i="1"/>
  <c r="Z555" i="1"/>
  <c r="R238" i="1"/>
  <c r="Z238" i="1"/>
  <c r="S238" i="1"/>
  <c r="R632" i="1"/>
  <c r="Z632" i="1"/>
  <c r="S632" i="1"/>
  <c r="R540" i="1"/>
  <c r="Z540" i="1"/>
  <c r="S540" i="1"/>
  <c r="R1199" i="1"/>
  <c r="S1199" i="1"/>
  <c r="R947" i="1"/>
  <c r="Z947" i="1"/>
  <c r="S947" i="1"/>
  <c r="R312" i="1"/>
  <c r="S312" i="1"/>
  <c r="R377" i="1"/>
  <c r="Z377" i="1"/>
  <c r="S377" i="1"/>
  <c r="R427" i="1"/>
  <c r="Z427" i="1"/>
  <c r="S427" i="1"/>
  <c r="R772" i="1"/>
  <c r="S772" i="1"/>
  <c r="Z772" i="1"/>
  <c r="R567" i="1"/>
  <c r="Z567" i="1"/>
  <c r="S567" i="1"/>
  <c r="R560" i="1"/>
  <c r="Z560" i="1"/>
  <c r="S560" i="1"/>
  <c r="R639" i="1"/>
  <c r="Z639" i="1"/>
  <c r="S639" i="1"/>
  <c r="R855" i="1"/>
  <c r="Z855" i="1"/>
  <c r="S855" i="1"/>
  <c r="R620" i="1"/>
  <c r="S620" i="1"/>
  <c r="Z620" i="1"/>
  <c r="R1158" i="1"/>
  <c r="Z1158" i="1"/>
  <c r="S1158" i="1"/>
  <c r="R164" i="1"/>
  <c r="S164" i="1"/>
  <c r="R735" i="1"/>
  <c r="Z735" i="1"/>
  <c r="S735" i="1"/>
  <c r="R562" i="1"/>
  <c r="S562" i="1"/>
  <c r="R829" i="1"/>
  <c r="S829" i="1"/>
  <c r="R470" i="1"/>
  <c r="S470" i="1"/>
  <c r="C44" i="9"/>
  <c r="X1163" i="1"/>
  <c r="X409" i="1"/>
  <c r="X302" i="1"/>
  <c r="X169" i="1"/>
  <c r="C46" i="9"/>
  <c r="C49" i="9"/>
  <c r="C50" i="9"/>
  <c r="X952" i="1"/>
  <c r="X654" i="1"/>
  <c r="X796" i="1"/>
  <c r="B279" i="3"/>
  <c r="B332" i="3"/>
  <c r="B218" i="3"/>
  <c r="B236" i="3"/>
  <c r="B198" i="3"/>
  <c r="B189" i="3"/>
  <c r="B186" i="3"/>
  <c r="B277" i="3"/>
  <c r="B254" i="3"/>
  <c r="B290" i="3"/>
  <c r="B276" i="3"/>
  <c r="B177" i="3"/>
  <c r="B304" i="3"/>
  <c r="B200" i="3"/>
  <c r="B219" i="3"/>
  <c r="B258" i="3"/>
  <c r="B283" i="3"/>
  <c r="B323" i="3"/>
  <c r="B262" i="3"/>
  <c r="B306" i="3"/>
  <c r="B324" i="3"/>
  <c r="B266" i="3"/>
  <c r="B208" i="3"/>
  <c r="B327" i="3"/>
  <c r="B223" i="3"/>
  <c r="B251" i="3"/>
  <c r="B284" i="3"/>
  <c r="B313" i="3"/>
  <c r="B316" i="3"/>
  <c r="B282" i="3"/>
  <c r="B263" i="3"/>
  <c r="B308" i="3"/>
  <c r="B272" i="3"/>
  <c r="B203" i="3"/>
  <c r="B260" i="3"/>
  <c r="B234" i="3"/>
  <c r="B220" i="3"/>
  <c r="B232" i="3"/>
  <c r="B215" i="3"/>
  <c r="B297" i="3"/>
  <c r="B291" i="3"/>
  <c r="B178" i="3"/>
  <c r="B180" i="3"/>
  <c r="B295" i="3"/>
  <c r="B273" i="3"/>
  <c r="B183" i="3"/>
  <c r="B252" i="3"/>
  <c r="B181" i="3"/>
  <c r="B194" i="3"/>
  <c r="B294" i="3"/>
  <c r="B281" i="3"/>
  <c r="B312" i="3"/>
  <c r="B244" i="3"/>
  <c r="B298" i="3"/>
  <c r="B302" i="3"/>
  <c r="B204" i="3"/>
  <c r="B211" i="3"/>
  <c r="B264" i="3"/>
  <c r="B191" i="3"/>
  <c r="B239" i="3"/>
  <c r="B250" i="3"/>
  <c r="B179" i="3"/>
  <c r="B319" i="3"/>
  <c r="B303" i="3"/>
  <c r="B286" i="3"/>
  <c r="B310" i="3"/>
  <c r="B245" i="3"/>
  <c r="B216" i="3"/>
  <c r="B275" i="3"/>
  <c r="B228" i="3"/>
  <c r="B237" i="3"/>
  <c r="B289" i="3"/>
  <c r="B296" i="3"/>
  <c r="B256" i="3"/>
  <c r="B196" i="3"/>
  <c r="B206" i="3"/>
  <c r="B207" i="3"/>
  <c r="B315" i="3"/>
  <c r="B225" i="3"/>
  <c r="B278" i="3"/>
  <c r="B269" i="3"/>
  <c r="B307" i="3"/>
  <c r="B267" i="3"/>
  <c r="B274" i="3"/>
  <c r="B182" i="3"/>
  <c r="B176" i="3"/>
  <c r="B261" i="3"/>
  <c r="B226" i="3"/>
  <c r="B222" i="3"/>
  <c r="B217" i="3"/>
  <c r="B230" i="3"/>
  <c r="B187" i="3"/>
  <c r="B193" i="3"/>
  <c r="B330" i="3"/>
  <c r="B265" i="3"/>
  <c r="B212" i="3"/>
  <c r="B195" i="3"/>
  <c r="B227" i="3"/>
  <c r="B213" i="3"/>
  <c r="B326" i="3"/>
  <c r="B247" i="3"/>
  <c r="B293" i="3"/>
  <c r="B210" i="3"/>
  <c r="B209" i="3"/>
  <c r="B231" i="3"/>
  <c r="B243" i="3"/>
  <c r="B268" i="3"/>
  <c r="B233" i="3"/>
  <c r="B199" i="3"/>
  <c r="B311" i="3"/>
  <c r="B288" i="3"/>
  <c r="B321" i="3"/>
  <c r="B331" i="3"/>
  <c r="B292" i="3"/>
  <c r="B270" i="3"/>
  <c r="B248" i="3"/>
  <c r="B242" i="3"/>
  <c r="B235" i="3"/>
  <c r="B249" i="3"/>
  <c r="B280" i="3"/>
  <c r="B238" i="3"/>
  <c r="B328" i="3"/>
  <c r="B329" i="3"/>
  <c r="B320" i="3"/>
  <c r="B317" i="3"/>
  <c r="B314" i="3"/>
  <c r="B246" i="3"/>
  <c r="B285" i="3"/>
  <c r="B318" i="3"/>
  <c r="B224" i="3"/>
  <c r="B197" i="3"/>
  <c r="B240" i="3"/>
  <c r="B205" i="3"/>
  <c r="B202" i="3"/>
  <c r="B188" i="3"/>
  <c r="B229" i="3"/>
  <c r="B301" i="3"/>
  <c r="B201" i="3"/>
  <c r="B192" i="3"/>
  <c r="B190" i="3"/>
  <c r="B309" i="3"/>
  <c r="B300" i="3"/>
  <c r="B241" i="3"/>
  <c r="B287" i="3"/>
  <c r="B214" i="3"/>
  <c r="B255" i="3"/>
  <c r="B299" i="3"/>
  <c r="B259" i="3"/>
  <c r="B257" i="3"/>
  <c r="B253" i="3"/>
  <c r="B184" i="3"/>
  <c r="B322" i="3"/>
  <c r="B271" i="3"/>
  <c r="B325" i="3"/>
  <c r="B185" i="3"/>
  <c r="B305" i="3"/>
  <c r="B221" i="3"/>
  <c r="G75" i="13"/>
  <c r="X731" i="1"/>
  <c r="X1020" i="1"/>
  <c r="C13" i="9"/>
  <c r="G145" i="13"/>
  <c r="G184" i="13"/>
  <c r="X217" i="1"/>
  <c r="X67" i="1"/>
  <c r="X68" i="1"/>
  <c r="X355" i="1"/>
  <c r="X356" i="1"/>
  <c r="X374" i="1"/>
  <c r="X538" i="1"/>
  <c r="X216" i="1"/>
  <c r="X627" i="1"/>
  <c r="X468" i="1"/>
  <c r="X431" i="1"/>
  <c r="X329" i="1"/>
  <c r="X328" i="1"/>
  <c r="X205" i="1"/>
  <c r="X204" i="1"/>
  <c r="X526" i="1"/>
  <c r="G89" i="13"/>
  <c r="G138" i="13"/>
  <c r="G216" i="13"/>
  <c r="G9" i="13"/>
  <c r="G27" i="13"/>
  <c r="G26" i="13"/>
  <c r="G23" i="13"/>
  <c r="G174" i="13"/>
  <c r="G54" i="13"/>
  <c r="G148" i="13"/>
  <c r="G136" i="13"/>
  <c r="G6" i="13"/>
  <c r="G60" i="13"/>
  <c r="G218" i="13"/>
  <c r="G43" i="13"/>
  <c r="G219" i="13"/>
  <c r="G127" i="13"/>
  <c r="G165" i="13"/>
  <c r="G46" i="13"/>
  <c r="G101" i="13"/>
  <c r="G198" i="13"/>
  <c r="G155" i="13"/>
  <c r="G25" i="13"/>
  <c r="G50" i="13"/>
  <c r="G39" i="13"/>
  <c r="G199" i="13"/>
  <c r="G107" i="13"/>
  <c r="G154" i="13"/>
  <c r="G190" i="13"/>
  <c r="G64" i="13"/>
  <c r="G111" i="13"/>
  <c r="G28" i="13"/>
  <c r="G149" i="13"/>
  <c r="G24" i="13"/>
  <c r="G152" i="13"/>
  <c r="G163" i="13"/>
  <c r="G180" i="13"/>
  <c r="G177" i="13"/>
  <c r="G118" i="13"/>
  <c r="G29" i="13"/>
  <c r="G83" i="13"/>
  <c r="G71" i="13"/>
  <c r="G160" i="13"/>
  <c r="G4" i="13"/>
  <c r="G181" i="13"/>
  <c r="G62" i="13"/>
  <c r="G117" i="13"/>
  <c r="G55" i="13"/>
  <c r="G123" i="13"/>
  <c r="G112" i="13"/>
  <c r="G201" i="13"/>
  <c r="G36" i="13"/>
  <c r="G84" i="13"/>
  <c r="G95" i="13"/>
  <c r="G205" i="13"/>
  <c r="G202" i="13"/>
  <c r="G142" i="13"/>
  <c r="G197" i="13"/>
  <c r="G69" i="13"/>
  <c r="G171" i="13"/>
  <c r="G61" i="13"/>
  <c r="G116" i="13"/>
  <c r="G121" i="13"/>
  <c r="G193" i="13"/>
  <c r="G76" i="13"/>
  <c r="G178" i="13"/>
  <c r="G87" i="13"/>
  <c r="G141" i="13"/>
  <c r="G196" i="13"/>
  <c r="G146" i="13"/>
  <c r="G53" i="13"/>
  <c r="G114" i="13"/>
  <c r="G18" i="13"/>
  <c r="G15" i="13"/>
  <c r="G166" i="13"/>
  <c r="G119" i="13"/>
  <c r="G139" i="13"/>
  <c r="G128" i="13"/>
  <c r="G217" i="13"/>
  <c r="G52" i="13"/>
  <c r="G108" i="13"/>
  <c r="G58" i="13"/>
  <c r="G47" i="13"/>
  <c r="G207" i="13"/>
  <c r="G42" i="13"/>
  <c r="G185" i="13"/>
  <c r="G67" i="13"/>
  <c r="G78" i="13"/>
  <c r="G32" i="13"/>
  <c r="G159" i="13"/>
  <c r="G91" i="13"/>
  <c r="G125" i="13"/>
  <c r="G203" i="13"/>
  <c r="G214" i="13"/>
  <c r="G153" i="13"/>
  <c r="G22" i="13"/>
  <c r="G77" i="13"/>
  <c r="G3" i="13"/>
  <c r="G140" i="13"/>
  <c r="G81" i="13"/>
  <c r="G122" i="13"/>
  <c r="G208" i="13"/>
  <c r="G220" i="13"/>
  <c r="G172" i="13"/>
  <c r="G169" i="13"/>
  <c r="G110" i="13"/>
  <c r="G74" i="13"/>
  <c r="G63" i="13"/>
  <c r="G35" i="13"/>
  <c r="G209" i="13"/>
  <c r="G213" i="13"/>
  <c r="G210" i="13"/>
  <c r="G151" i="13"/>
  <c r="G134" i="13"/>
  <c r="G109" i="13"/>
  <c r="G105" i="13"/>
  <c r="G13" i="13"/>
  <c r="G33" i="13"/>
  <c r="G85" i="13"/>
  <c r="G168" i="13"/>
  <c r="G70" i="13"/>
  <c r="G192" i="13"/>
  <c r="G104" i="13"/>
  <c r="G99" i="13"/>
  <c r="G88" i="13"/>
  <c r="G176" i="13"/>
  <c r="G12" i="13"/>
  <c r="G98" i="13"/>
  <c r="G59" i="13"/>
  <c r="G16" i="13"/>
  <c r="G143" i="13"/>
  <c r="G137" i="13"/>
  <c r="G45" i="13"/>
  <c r="G94" i="13"/>
  <c r="G10" i="13"/>
  <c r="G7" i="13"/>
  <c r="G157" i="13"/>
  <c r="G173" i="13"/>
  <c r="G183" i="13"/>
  <c r="G86" i="13"/>
  <c r="G97" i="13"/>
  <c r="G5" i="13"/>
  <c r="G92" i="13"/>
  <c r="G40" i="13"/>
  <c r="G41" i="13"/>
  <c r="G167" i="13"/>
  <c r="G179" i="13"/>
  <c r="G31" i="13"/>
  <c r="G191" i="13"/>
  <c r="G194" i="13"/>
  <c r="G130" i="13"/>
  <c r="G56" i="13"/>
  <c r="G90" i="13"/>
  <c r="G115" i="13"/>
  <c r="G34" i="13"/>
  <c r="G182" i="13"/>
  <c r="G206" i="13"/>
  <c r="G170" i="13"/>
  <c r="G79" i="13"/>
  <c r="G133" i="13"/>
  <c r="G124" i="13"/>
  <c r="G72" i="13"/>
  <c r="G106" i="13"/>
  <c r="G200" i="13"/>
  <c r="G164" i="13"/>
  <c r="G161" i="13"/>
  <c r="G102" i="13"/>
  <c r="G131" i="13"/>
  <c r="G65" i="13"/>
  <c r="G113" i="13"/>
  <c r="G21" i="13"/>
  <c r="G49" i="13"/>
  <c r="G187" i="13"/>
  <c r="G150" i="13"/>
  <c r="G11" i="13"/>
  <c r="G195" i="13"/>
  <c r="G103" i="13"/>
  <c r="G158" i="13"/>
  <c r="G147" i="13"/>
  <c r="G73" i="13"/>
  <c r="G162" i="13"/>
  <c r="G204" i="13"/>
  <c r="G44" i="13"/>
  <c r="G189" i="13"/>
  <c r="G186" i="13"/>
  <c r="G126" i="13"/>
  <c r="G120" i="13"/>
  <c r="G156" i="13"/>
  <c r="G144" i="13"/>
  <c r="G14" i="13"/>
  <c r="G68" i="13"/>
  <c r="G212" i="13"/>
  <c r="G51" i="13"/>
  <c r="G8" i="13"/>
  <c r="G135" i="13"/>
  <c r="G221" i="13"/>
  <c r="G215" i="13"/>
  <c r="G129" i="13"/>
  <c r="G37" i="13"/>
  <c r="G82" i="13"/>
  <c r="G66" i="13"/>
  <c r="G100" i="13"/>
  <c r="G48" i="13"/>
  <c r="G57" i="13"/>
  <c r="G175" i="13"/>
  <c r="G188" i="13"/>
  <c r="G96" i="13"/>
  <c r="G20" i="13"/>
  <c r="G2" i="13"/>
  <c r="G38" i="13"/>
  <c r="G93" i="13"/>
  <c r="G132" i="13"/>
  <c r="G17" i="13"/>
  <c r="G80" i="13"/>
  <c r="G211" i="13"/>
  <c r="G19" i="13"/>
  <c r="G30" i="13"/>
  <c r="X55" i="1"/>
  <c r="X319" i="1"/>
  <c r="X425" i="1"/>
  <c r="K212" i="13"/>
  <c r="C6" i="9"/>
  <c r="C28" i="9"/>
  <c r="C36" i="9"/>
  <c r="C3" i="9"/>
  <c r="C47" i="9"/>
  <c r="C8" i="9"/>
  <c r="C38" i="9"/>
  <c r="C10" i="9"/>
  <c r="C16" i="9"/>
  <c r="C9" i="9"/>
  <c r="C11" i="9"/>
  <c r="C42" i="9"/>
  <c r="X1116" i="1"/>
  <c r="X805" i="1"/>
  <c r="X791" i="1"/>
  <c r="X959" i="1"/>
  <c r="X1055" i="1"/>
  <c r="X162" i="1"/>
  <c r="K121" i="13"/>
  <c r="X11" i="1"/>
  <c r="X56" i="1"/>
  <c r="X179" i="1"/>
  <c r="X311" i="1"/>
  <c r="X414" i="1"/>
  <c r="X322" i="1"/>
  <c r="X195" i="1"/>
  <c r="X352" i="1"/>
  <c r="X441" i="1"/>
  <c r="X351" i="1"/>
  <c r="X537" i="1"/>
  <c r="X229" i="1"/>
  <c r="X536" i="1"/>
  <c r="X442" i="1"/>
  <c r="X613" i="1"/>
  <c r="X230" i="1"/>
  <c r="X968" i="1"/>
  <c r="X1119" i="1"/>
  <c r="X1089" i="1"/>
  <c r="X662" i="1"/>
  <c r="H83" i="8" s="1"/>
  <c r="X563" i="1"/>
  <c r="X927" i="1"/>
  <c r="X375" i="1"/>
  <c r="X484" i="1"/>
  <c r="X686" i="1"/>
  <c r="X629" i="1"/>
  <c r="X483" i="1"/>
  <c r="X754" i="1"/>
  <c r="X553" i="1"/>
  <c r="X359" i="1"/>
  <c r="X838" i="1"/>
  <c r="X488" i="1"/>
  <c r="X1295" i="1"/>
  <c r="X171" i="1"/>
  <c r="X768" i="1"/>
  <c r="X1170" i="1"/>
  <c r="X568" i="1"/>
  <c r="H2" i="8"/>
  <c r="X1088" i="1"/>
  <c r="X503" i="1"/>
  <c r="H132" i="8"/>
  <c r="H53" i="8"/>
  <c r="H4" i="8"/>
  <c r="X499" i="1"/>
  <c r="X1034" i="1"/>
  <c r="X740" i="1"/>
  <c r="X950" i="1"/>
  <c r="I40" i="8"/>
  <c r="X724" i="1"/>
  <c r="X870" i="1"/>
  <c r="X400" i="1"/>
  <c r="I75" i="8" s="1"/>
  <c r="X1013" i="1"/>
  <c r="X1155" i="1"/>
  <c r="X207" i="1"/>
  <c r="X432" i="1"/>
  <c r="X333" i="1"/>
  <c r="X434" i="1"/>
  <c r="X331" i="1"/>
  <c r="X334" i="1"/>
  <c r="X209" i="1"/>
  <c r="X433" i="1"/>
  <c r="X332" i="1"/>
  <c r="X210" i="1"/>
  <c r="X208" i="1"/>
  <c r="X570" i="1"/>
  <c r="X255" i="1"/>
  <c r="X933" i="1"/>
  <c r="I9" i="8" s="1"/>
  <c r="X840" i="1"/>
  <c r="X642" i="1"/>
  <c r="I34" i="8"/>
  <c r="X583" i="1"/>
  <c r="X777" i="1"/>
  <c r="X1010" i="1"/>
  <c r="X382" i="1"/>
  <c r="X722" i="1"/>
  <c r="X867" i="1"/>
  <c r="X641" i="1"/>
  <c r="X706" i="1"/>
  <c r="X391" i="1"/>
  <c r="X491" i="1"/>
  <c r="X1316" i="1"/>
  <c r="X1317" i="1"/>
  <c r="X767" i="1"/>
  <c r="X1213" i="1"/>
  <c r="X1288" i="1"/>
  <c r="X928" i="1"/>
  <c r="X1041" i="1"/>
  <c r="X638" i="1"/>
  <c r="X1138" i="1"/>
  <c r="X815" i="1"/>
  <c r="X1251" i="1"/>
  <c r="X599" i="1"/>
  <c r="X291" i="1"/>
  <c r="I66" i="8" s="1"/>
  <c r="X1308" i="1"/>
  <c r="X1304" i="1"/>
  <c r="I46" i="8"/>
  <c r="X185" i="1"/>
  <c r="I5" i="8"/>
  <c r="X183" i="1"/>
  <c r="X184" i="1"/>
  <c r="X912" i="1"/>
  <c r="X1153" i="1"/>
  <c r="X1204" i="1"/>
  <c r="X1101" i="1"/>
  <c r="X871" i="1"/>
  <c r="X585" i="1"/>
  <c r="X725" i="1"/>
  <c r="X299" i="1"/>
  <c r="X163" i="1"/>
  <c r="X187" i="1"/>
  <c r="X408" i="1"/>
  <c r="X418" i="1"/>
  <c r="G7" i="8"/>
  <c r="X298" i="1"/>
  <c r="X407" i="1"/>
  <c r="X577" i="1"/>
  <c r="X860" i="1"/>
  <c r="I47" i="8"/>
  <c r="X716" i="1"/>
  <c r="L363" i="1"/>
  <c r="Y363" i="1" s="1"/>
  <c r="L535" i="1"/>
  <c r="Y535" i="1" s="1"/>
  <c r="L750" i="1"/>
  <c r="Y750" i="1" s="1"/>
  <c r="L552" i="1"/>
  <c r="Y552" i="1" s="1"/>
  <c r="L390" i="1"/>
  <c r="Y390" i="1" s="1"/>
  <c r="L723" i="1"/>
  <c r="Y723" i="1" s="1"/>
  <c r="L604" i="1"/>
  <c r="Y604" i="1" s="1"/>
  <c r="L989" i="1"/>
  <c r="Y989" i="1" s="1"/>
  <c r="L1154" i="1"/>
  <c r="Y1154" i="1" s="1"/>
  <c r="L419" i="1"/>
  <c r="Y419" i="1" s="1"/>
  <c r="L579" i="1"/>
  <c r="Y579" i="1" s="1"/>
  <c r="L1128" i="1"/>
  <c r="Y1128" i="1" s="1"/>
  <c r="L1148" i="1"/>
  <c r="Y1148" i="1" s="1"/>
  <c r="L1309" i="1"/>
  <c r="L1019" i="1"/>
  <c r="Y1019" i="1" s="1"/>
  <c r="L440" i="1"/>
  <c r="Y440" i="1" s="1"/>
  <c r="L415" i="1"/>
  <c r="Y415" i="1" s="1"/>
  <c r="L533" i="1"/>
  <c r="Y533" i="1" s="1"/>
  <c r="L1141" i="1"/>
  <c r="Y1141" i="1" s="1"/>
  <c r="L1184" i="1"/>
  <c r="Y1184" i="1" s="1"/>
  <c r="L806" i="1"/>
  <c r="Y806" i="1" s="1"/>
  <c r="L1007" i="1"/>
  <c r="Y1007" i="1" s="1"/>
  <c r="L371" i="1"/>
  <c r="Y371" i="1" s="1"/>
  <c r="L721" i="1"/>
  <c r="Y721" i="1" s="1"/>
  <c r="L1247" i="1"/>
  <c r="Y1247" i="1" s="1"/>
  <c r="L1012" i="1"/>
  <c r="Y1012" i="1" s="1"/>
  <c r="L637" i="1"/>
  <c r="Y637" i="1" s="1"/>
  <c r="L194" i="1"/>
  <c r="Y194" i="1" s="1"/>
  <c r="L757" i="1"/>
  <c r="Y757" i="1" s="1"/>
  <c r="L582" i="1"/>
  <c r="Y582" i="1" s="1"/>
  <c r="L622" i="1"/>
  <c r="Y622" i="1" s="1"/>
  <c r="L621" i="1"/>
  <c r="Y621" i="1" s="1"/>
  <c r="L1169" i="1"/>
  <c r="Y1169" i="1" s="1"/>
  <c r="L905" i="1"/>
  <c r="Y905" i="1" s="1"/>
  <c r="L819" i="1"/>
  <c r="Y819" i="1" s="1"/>
  <c r="L972" i="1"/>
  <c r="Y972" i="1" s="1"/>
  <c r="L1117" i="1"/>
  <c r="Y1117" i="1" s="1"/>
  <c r="L966" i="1"/>
  <c r="Y966" i="1" s="1"/>
  <c r="L1027" i="1"/>
  <c r="Y1027" i="1" s="1"/>
  <c r="L652" i="1"/>
  <c r="Y652" i="1" s="1"/>
  <c r="L793" i="1"/>
  <c r="Y793" i="1" s="1"/>
  <c r="L971" i="1"/>
  <c r="Y971" i="1" s="1"/>
  <c r="L1265" i="1"/>
  <c r="Y1265" i="1" s="1"/>
  <c r="L1211" i="1"/>
  <c r="Y1211" i="1" s="1"/>
  <c r="L412" i="1"/>
  <c r="Y412" i="1" s="1"/>
  <c r="L426" i="1"/>
  <c r="Y426" i="1" s="1"/>
  <c r="L789" i="1"/>
  <c r="Y789" i="1" s="1"/>
  <c r="L170" i="1"/>
  <c r="Y170" i="1" s="1"/>
  <c r="L1025" i="1"/>
  <c r="Y1025" i="1" s="1"/>
  <c r="L685" i="1"/>
  <c r="Y685" i="1" s="1"/>
  <c r="H211" i="13"/>
  <c r="L376" i="1"/>
  <c r="Y376" i="1" s="1"/>
  <c r="L186" i="1"/>
  <c r="Y186" i="1" s="1"/>
  <c r="L206" i="1"/>
  <c r="Y206" i="1" s="1"/>
  <c r="L564" i="1"/>
  <c r="Y564" i="1" s="1"/>
  <c r="L584" i="1"/>
  <c r="Y584" i="1" s="1"/>
  <c r="L1001" i="1"/>
  <c r="Y1001" i="1" s="1"/>
  <c r="L430" i="1"/>
  <c r="Y430" i="1" s="1"/>
  <c r="L612" i="1"/>
  <c r="Y612" i="1" s="1"/>
  <c r="L1276" i="1"/>
  <c r="Y1276" i="1" s="1"/>
  <c r="L1147" i="1"/>
  <c r="Y1147" i="1" s="1"/>
  <c r="L539" i="1"/>
  <c r="Y539" i="1" s="1"/>
  <c r="L520" i="1"/>
  <c r="Y520" i="1" s="1"/>
  <c r="L1040" i="1"/>
  <c r="Y1040" i="1" s="1"/>
  <c r="L960" i="1"/>
  <c r="Y960" i="1" s="1"/>
  <c r="L1285" i="1"/>
  <c r="Y1285" i="1" s="1"/>
  <c r="L1303" i="1"/>
  <c r="Y1303" i="1" s="1"/>
  <c r="L681" i="1"/>
  <c r="Y681" i="1" s="1"/>
  <c r="L392" i="1"/>
  <c r="Y392" i="1" s="1"/>
  <c r="L1198" i="1"/>
  <c r="Y1198" i="1" s="1"/>
  <c r="L680" i="1"/>
  <c r="Y680" i="1" s="1"/>
  <c r="L697" i="1"/>
  <c r="Y697" i="1" s="1"/>
  <c r="L262" i="1"/>
  <c r="Y262" i="1" s="1"/>
  <c r="L1023" i="1"/>
  <c r="Y1023" i="1" s="1"/>
  <c r="L1181" i="1"/>
  <c r="Y1181" i="1" s="1"/>
  <c r="L682" i="1"/>
  <c r="Y682" i="1" s="1"/>
  <c r="L816" i="1"/>
  <c r="Y816" i="1" s="1"/>
  <c r="L990" i="1"/>
  <c r="Y990" i="1" s="1"/>
  <c r="L661" i="1"/>
  <c r="Y661" i="1" s="1"/>
  <c r="L1271" i="1"/>
  <c r="Y1271" i="1" s="1"/>
  <c r="L869" i="1"/>
  <c r="Y869" i="1" s="1"/>
  <c r="L1024" i="1"/>
  <c r="Y1024" i="1" s="1"/>
  <c r="L1038" i="1"/>
  <c r="Y1038" i="1" s="1"/>
  <c r="L945" i="1"/>
  <c r="Y945" i="1" s="1"/>
  <c r="L498" i="1"/>
  <c r="Y498" i="1" s="1"/>
  <c r="L999" i="1"/>
  <c r="Y999" i="1" s="1"/>
  <c r="L1014" i="1"/>
  <c r="Y1014" i="1" s="1"/>
  <c r="L839" i="1"/>
  <c r="Y839" i="1" s="1"/>
  <c r="L549" i="1"/>
  <c r="Y549" i="1" s="1"/>
  <c r="L1086" i="1"/>
  <c r="Y1086" i="1" s="1"/>
  <c r="L320" i="1"/>
  <c r="Y320" i="1" s="1"/>
  <c r="L350" i="1"/>
  <c r="Y350" i="1" s="1"/>
  <c r="L831" i="1"/>
  <c r="Y831" i="1" s="1"/>
  <c r="X681" i="1"/>
  <c r="X621" i="1"/>
  <c r="X789" i="1"/>
  <c r="X999" i="1"/>
  <c r="X637" i="1"/>
  <c r="X1027" i="1"/>
  <c r="X945" i="1"/>
  <c r="X415" i="1"/>
  <c r="X1169" i="1"/>
  <c r="X831" i="1"/>
  <c r="X960" i="1"/>
  <c r="X1141" i="1"/>
  <c r="X1024" i="1"/>
  <c r="X1128" i="1"/>
  <c r="X1247" i="1"/>
  <c r="X972" i="1"/>
  <c r="X1148" i="1"/>
  <c r="X905" i="1"/>
  <c r="X1086" i="1"/>
  <c r="X1025" i="1"/>
  <c r="X1184" i="1"/>
  <c r="X1276" i="1"/>
  <c r="X990" i="1"/>
  <c r="X1023" i="1"/>
  <c r="X1147" i="1"/>
  <c r="X1019" i="1"/>
  <c r="X839" i="1"/>
  <c r="X971" i="1"/>
  <c r="X1014" i="1"/>
  <c r="X680" i="1"/>
  <c r="X1001" i="1"/>
  <c r="X622" i="1"/>
  <c r="X757" i="1"/>
  <c r="X1040" i="1"/>
  <c r="X869" i="1"/>
  <c r="X376" i="1"/>
  <c r="X1285" i="1"/>
  <c r="X723" i="1"/>
  <c r="X819" i="1"/>
  <c r="X1271" i="1"/>
  <c r="X1303" i="1"/>
  <c r="X584" i="1"/>
  <c r="X392" i="1"/>
  <c r="X552" i="1"/>
  <c r="X1012" i="1"/>
  <c r="X1309" i="1"/>
  <c r="X1211" i="1"/>
  <c r="X1038" i="1"/>
  <c r="X1154" i="1"/>
  <c r="X1198" i="1"/>
  <c r="X533" i="1"/>
  <c r="X750" i="1"/>
  <c r="X539" i="1"/>
  <c r="X989" i="1"/>
  <c r="X685" i="1"/>
  <c r="X564" i="1"/>
  <c r="X1007" i="1"/>
  <c r="X793" i="1"/>
  <c r="X1181" i="1"/>
  <c r="X806" i="1"/>
  <c r="X579" i="1"/>
  <c r="X816" i="1"/>
  <c r="H43" i="8" s="1"/>
  <c r="X697" i="1"/>
  <c r="X1265" i="1"/>
  <c r="X652" i="1"/>
  <c r="X582" i="1"/>
  <c r="X498" i="1"/>
  <c r="X390" i="1"/>
  <c r="X262" i="1"/>
  <c r="X721" i="1"/>
  <c r="X440" i="1"/>
  <c r="X612" i="1"/>
  <c r="X535" i="1"/>
  <c r="X350" i="1"/>
  <c r="X426" i="1"/>
  <c r="X194" i="1"/>
  <c r="X520" i="1"/>
  <c r="X320" i="1"/>
  <c r="X549" i="1"/>
  <c r="X371" i="1"/>
  <c r="X682" i="1"/>
  <c r="X186" i="1"/>
  <c r="X412" i="1"/>
  <c r="X206" i="1"/>
  <c r="X419" i="1"/>
  <c r="X363" i="1"/>
  <c r="X604" i="1"/>
  <c r="X430" i="1"/>
  <c r="X170" i="1"/>
  <c r="X661" i="1"/>
  <c r="X1117" i="1"/>
  <c r="X966" i="1"/>
  <c r="L736" i="1"/>
  <c r="Y736" i="1" s="1"/>
  <c r="L865" i="1"/>
  <c r="Y865" i="1" s="1"/>
  <c r="L554" i="1"/>
  <c r="Y554" i="1" s="1"/>
  <c r="L974" i="1"/>
  <c r="Y974" i="1" s="1"/>
  <c r="L598" i="1"/>
  <c r="Y598" i="1" s="1"/>
  <c r="L239" i="1"/>
  <c r="Y239" i="1" s="1"/>
  <c r="L305" i="1"/>
  <c r="Y305" i="1" s="1"/>
  <c r="L608" i="1"/>
  <c r="Y608" i="1" s="1"/>
  <c r="L213" i="1"/>
  <c r="Y213" i="1" s="1"/>
  <c r="L605" i="1"/>
  <c r="Y605" i="1" s="1"/>
  <c r="L393" i="1"/>
  <c r="Y393" i="1" s="1"/>
  <c r="L655" i="1"/>
  <c r="Y655" i="1" s="1"/>
  <c r="L773" i="1"/>
  <c r="Y773" i="1" s="1"/>
  <c r="L587" i="1"/>
  <c r="Y587" i="1" s="1"/>
  <c r="L834" i="1"/>
  <c r="Y834" i="1" s="1"/>
  <c r="L787" i="1"/>
  <c r="Y787" i="1" s="1"/>
  <c r="L958" i="1"/>
  <c r="Y958" i="1" s="1"/>
  <c r="L758" i="1"/>
  <c r="Y758" i="1" s="1"/>
  <c r="L379" i="1"/>
  <c r="Y379" i="1" s="1"/>
  <c r="L527" i="1"/>
  <c r="Y527" i="1" s="1"/>
  <c r="L264" i="1"/>
  <c r="Y264" i="1" s="1"/>
  <c r="H81" i="13" s="1"/>
  <c r="K81" i="13" s="1"/>
  <c r="L410" i="1"/>
  <c r="Y410" i="1" s="1"/>
  <c r="L798" i="1"/>
  <c r="Y798" i="1" s="1"/>
  <c r="L575" i="1"/>
  <c r="Y575" i="1" s="1"/>
  <c r="L557" i="1"/>
  <c r="Y557" i="1" s="1"/>
  <c r="L1054" i="1"/>
  <c r="Y1054" i="1" s="1"/>
  <c r="L165" i="1"/>
  <c r="Y165" i="1" s="1"/>
  <c r="L387" i="1"/>
  <c r="Y387" i="1" s="1"/>
  <c r="L529" i="1"/>
  <c r="Y529" i="1" s="1"/>
  <c r="L711" i="1"/>
  <c r="Y711" i="1" s="1"/>
  <c r="L1060" i="1"/>
  <c r="Y1060" i="1" s="1"/>
  <c r="L1113" i="1"/>
  <c r="Y1113" i="1" s="1"/>
  <c r="L172" i="1"/>
  <c r="Y172" i="1" s="1"/>
  <c r="L437" i="1"/>
  <c r="Y437" i="1" s="1"/>
  <c r="L304" i="1"/>
  <c r="Y304" i="1" s="1"/>
  <c r="L944" i="1"/>
  <c r="Y944" i="1" s="1"/>
  <c r="L565" i="1"/>
  <c r="Y565" i="1" s="1"/>
  <c r="L500" i="1"/>
  <c r="Y500" i="1" s="1"/>
  <c r="L702" i="1"/>
  <c r="Y702" i="1" s="1"/>
  <c r="L528" i="1"/>
  <c r="Y528" i="1" s="1"/>
  <c r="L265" i="1"/>
  <c r="Y265" i="1" s="1"/>
  <c r="L282" i="1"/>
  <c r="Y282" i="1" s="1"/>
  <c r="L592" i="1"/>
  <c r="Y592" i="1" s="1"/>
  <c r="L591" i="1"/>
  <c r="Y591" i="1" s="1"/>
  <c r="L106" i="1"/>
  <c r="Y106" i="1" s="1"/>
  <c r="L660" i="1"/>
  <c r="Y660" i="1" s="1"/>
  <c r="L394" i="1"/>
  <c r="Y394" i="1" s="1"/>
  <c r="L125" i="1"/>
  <c r="Y125" i="1" s="1"/>
  <c r="L963" i="1"/>
  <c r="Y963" i="1" s="1"/>
  <c r="L668" i="1"/>
  <c r="Y668" i="1" s="1"/>
  <c r="L478" i="1"/>
  <c r="Y478" i="1" s="1"/>
  <c r="L87" i="1"/>
  <c r="Y87" i="1" s="1"/>
  <c r="L705" i="1"/>
  <c r="Y705" i="1" s="1"/>
  <c r="H121" i="13" s="1"/>
  <c r="L649" i="1"/>
  <c r="Y649" i="1" s="1"/>
  <c r="L854" i="1"/>
  <c r="Y854" i="1" s="1"/>
  <c r="L1039" i="1"/>
  <c r="Y1039" i="1" s="1"/>
  <c r="L666" i="1"/>
  <c r="Y666" i="1" s="1"/>
  <c r="L719" i="1"/>
  <c r="Y719" i="1" s="1"/>
  <c r="L781" i="1"/>
  <c r="Y781" i="1" s="1"/>
  <c r="L674" i="1"/>
  <c r="Y674" i="1" s="1"/>
  <c r="L614" i="1"/>
  <c r="Y614" i="1" s="1"/>
  <c r="L396" i="1"/>
  <c r="Y396" i="1" s="1"/>
  <c r="L1083" i="1"/>
  <c r="Y1083" i="1" s="1"/>
  <c r="L417" i="1"/>
  <c r="Y417" i="1" s="1"/>
  <c r="L1085" i="1"/>
  <c r="Y1085" i="1" s="1"/>
  <c r="L246" i="1"/>
  <c r="Y246" i="1" s="1"/>
  <c r="L832" i="1"/>
  <c r="Y832" i="1" s="1"/>
  <c r="L743" i="1"/>
  <c r="Y743" i="1" s="1"/>
  <c r="L877" i="1"/>
  <c r="Y877" i="1" s="1"/>
  <c r="L1056" i="1"/>
  <c r="Y1056" i="1" s="1"/>
  <c r="L922" i="1"/>
  <c r="Y922" i="1" s="1"/>
  <c r="L964" i="1"/>
  <c r="Y964" i="1" s="1"/>
  <c r="L1084" i="1"/>
  <c r="Y1084" i="1" s="1"/>
  <c r="L323" i="1"/>
  <c r="Y323" i="1" s="1"/>
  <c r="L820" i="1"/>
  <c r="Y820" i="1" s="1"/>
  <c r="L330" i="1"/>
  <c r="Y330" i="1" s="1"/>
  <c r="L214" i="1"/>
  <c r="Y214" i="1" s="1"/>
  <c r="L830" i="1"/>
  <c r="Y830" i="1" s="1"/>
  <c r="L32" i="1"/>
  <c r="Y32" i="1" s="1"/>
  <c r="L97" i="1"/>
  <c r="Y97" i="1" s="1"/>
  <c r="L730" i="1"/>
  <c r="Y730" i="1" s="1"/>
  <c r="L1099" i="1"/>
  <c r="Y1099" i="1" s="1"/>
  <c r="L916" i="1"/>
  <c r="Y916" i="1" s="1"/>
  <c r="L180" i="1"/>
  <c r="Y180" i="1" s="1"/>
  <c r="L367" i="1"/>
  <c r="Y367" i="1" s="1"/>
  <c r="L555" i="1"/>
  <c r="Y555" i="1" s="1"/>
  <c r="L855" i="1"/>
  <c r="Y855" i="1" s="1"/>
  <c r="L1196" i="1"/>
  <c r="Y1196" i="1" s="1"/>
  <c r="L624" i="1"/>
  <c r="Y624" i="1" s="1"/>
  <c r="L874" i="1"/>
  <c r="Y874" i="1" s="1"/>
  <c r="L233" i="1"/>
  <c r="Y233" i="1" s="1"/>
  <c r="L312" i="1"/>
  <c r="Y312" i="1" s="1"/>
  <c r="L698" i="1"/>
  <c r="Y698" i="1" s="1"/>
  <c r="L1022" i="1"/>
  <c r="Y1022" i="1" s="1"/>
  <c r="L1021" i="1"/>
  <c r="Y1021" i="1" s="1"/>
  <c r="L368" i="1"/>
  <c r="Y368" i="1" s="1"/>
  <c r="L880" i="1"/>
  <c r="Y880" i="1" s="1"/>
  <c r="L238" i="1"/>
  <c r="Y238" i="1" s="1"/>
  <c r="L377" i="1"/>
  <c r="Y377" i="1" s="1"/>
  <c r="L1158" i="1"/>
  <c r="Y1158" i="1" s="1"/>
  <c r="L770" i="1"/>
  <c r="Y770" i="1" s="1"/>
  <c r="L876" i="1"/>
  <c r="Y876" i="1" s="1"/>
  <c r="L696" i="1"/>
  <c r="Y696" i="1" s="1"/>
  <c r="H119" i="13" s="1"/>
  <c r="K119" i="13" s="1"/>
  <c r="L357" i="1"/>
  <c r="Y357" i="1" s="1"/>
  <c r="L620" i="1"/>
  <c r="Y620" i="1" s="1"/>
  <c r="L732" i="1"/>
  <c r="Y732" i="1" s="1"/>
  <c r="L569" i="1"/>
  <c r="Y569" i="1" s="1"/>
  <c r="L664" i="1"/>
  <c r="Y664" i="1" s="1"/>
  <c r="L502" i="1"/>
  <c r="Y502" i="1" s="1"/>
  <c r="L857" i="1"/>
  <c r="Y857" i="1" s="1"/>
  <c r="L427" i="1"/>
  <c r="Y427" i="1" s="1"/>
  <c r="L829" i="1"/>
  <c r="Y829" i="1" s="1"/>
  <c r="L628" i="1"/>
  <c r="Y628" i="1" s="1"/>
  <c r="L973" i="1"/>
  <c r="Y973" i="1" s="1"/>
  <c r="L370" i="1"/>
  <c r="Y370" i="1" s="1"/>
  <c r="H93" i="13" s="1"/>
  <c r="L771" i="1"/>
  <c r="Y771" i="1" s="1"/>
  <c r="L505" i="1"/>
  <c r="Y505" i="1" s="1"/>
  <c r="L590" i="1"/>
  <c r="Y590" i="1" s="1"/>
  <c r="L1157" i="1"/>
  <c r="Y1157" i="1" s="1"/>
  <c r="L640" i="1"/>
  <c r="Y640" i="1" s="1"/>
  <c r="L1189" i="1"/>
  <c r="Y1189" i="1" s="1"/>
  <c r="L1079" i="1"/>
  <c r="Y1079" i="1" s="1"/>
  <c r="L632" i="1"/>
  <c r="Y632" i="1" s="1"/>
  <c r="L772" i="1"/>
  <c r="Y772" i="1" s="1"/>
  <c r="L987" i="1"/>
  <c r="Y987" i="1" s="1"/>
  <c r="L671" i="1"/>
  <c r="Y671" i="1" s="1"/>
  <c r="L197" i="1"/>
  <c r="Y197" i="1" s="1"/>
  <c r="L519" i="1"/>
  <c r="Y519" i="1" s="1"/>
  <c r="L1195" i="1"/>
  <c r="Y1195" i="1" s="1"/>
  <c r="L1110" i="1"/>
  <c r="Y1110" i="1" s="1"/>
  <c r="L1003" i="1"/>
  <c r="Y1003" i="1" s="1"/>
  <c r="L540" i="1"/>
  <c r="Y540" i="1" s="1"/>
  <c r="L567" i="1"/>
  <c r="Y567" i="1" s="1"/>
  <c r="L164" i="1"/>
  <c r="Y164" i="1" s="1"/>
  <c r="L749" i="1"/>
  <c r="Y749" i="1" s="1"/>
  <c r="L769" i="1"/>
  <c r="Y769" i="1" s="1"/>
  <c r="L695" i="1"/>
  <c r="Y695" i="1" s="1"/>
  <c r="L1194" i="1"/>
  <c r="Y1194" i="1" s="1"/>
  <c r="L497" i="1"/>
  <c r="Y497" i="1" s="1"/>
  <c r="L631" i="1"/>
  <c r="Y631" i="1" s="1"/>
  <c r="L1199" i="1"/>
  <c r="Y1199" i="1" s="1"/>
  <c r="L560" i="1"/>
  <c r="Y560" i="1" s="1"/>
  <c r="H154" i="13" s="1"/>
  <c r="K154" i="13" s="1"/>
  <c r="L735" i="1"/>
  <c r="Y735" i="1" s="1"/>
  <c r="L470" i="1"/>
  <c r="Y470" i="1" s="1"/>
  <c r="L694" i="1"/>
  <c r="Y694" i="1" s="1"/>
  <c r="L589" i="1"/>
  <c r="Y589" i="1" s="1"/>
  <c r="L477" i="1"/>
  <c r="Y477" i="1" s="1"/>
  <c r="L562" i="1"/>
  <c r="Y562" i="1" s="1"/>
  <c r="L861" i="1"/>
  <c r="Y861" i="1" s="1"/>
  <c r="L486" i="1"/>
  <c r="Y486" i="1" s="1"/>
  <c r="H102" i="13" s="1"/>
  <c r="L580" i="1"/>
  <c r="Y580" i="1" s="1"/>
  <c r="L947" i="1"/>
  <c r="Y947" i="1" s="1"/>
  <c r="L639" i="1"/>
  <c r="Y639" i="1" s="1"/>
  <c r="H153" i="13" s="1"/>
  <c r="K153" i="13" s="1"/>
  <c r="L923" i="1"/>
  <c r="Y923" i="1" s="1"/>
  <c r="L875" i="1"/>
  <c r="Y875" i="1" s="1"/>
  <c r="L794" i="1"/>
  <c r="Y794" i="1" s="1"/>
  <c r="L1292" i="1"/>
  <c r="Y1292" i="1" s="1"/>
  <c r="X527" i="1"/>
  <c r="X500" i="1"/>
  <c r="X711" i="1"/>
  <c r="X410" i="1"/>
  <c r="X305" i="1"/>
  <c r="X565" i="1"/>
  <c r="X587" i="1"/>
  <c r="X213" i="1"/>
  <c r="H58" i="8" s="1"/>
  <c r="X605" i="1"/>
  <c r="X387" i="1"/>
  <c r="X528" i="1"/>
  <c r="X834" i="1"/>
  <c r="X702" i="1"/>
  <c r="X944" i="1"/>
  <c r="X758" i="1"/>
  <c r="X773" i="1"/>
  <c r="X557" i="1"/>
  <c r="H8" i="8" s="1"/>
  <c r="X655" i="1"/>
  <c r="X1054" i="1"/>
  <c r="X437" i="1"/>
  <c r="X787" i="1"/>
  <c r="X529" i="1"/>
  <c r="X608" i="1"/>
  <c r="X393" i="1"/>
  <c r="X575" i="1"/>
  <c r="X165" i="1"/>
  <c r="X172" i="1"/>
  <c r="X1113" i="1"/>
  <c r="X379" i="1"/>
  <c r="H35" i="8" s="1"/>
  <c r="X958" i="1"/>
  <c r="X798" i="1"/>
  <c r="X304" i="1"/>
  <c r="X598" i="1"/>
  <c r="H106" i="8" s="1"/>
  <c r="X264" i="1"/>
  <c r="X1060" i="1"/>
  <c r="X239" i="1"/>
  <c r="H39" i="8" s="1"/>
  <c r="X282" i="1"/>
  <c r="H48" i="8" s="1"/>
  <c r="X265" i="1"/>
  <c r="H63" i="8" s="1"/>
  <c r="X592" i="1"/>
  <c r="H104" i="8" s="1"/>
  <c r="X591" i="1"/>
  <c r="H103" i="8" s="1"/>
  <c r="X394" i="1"/>
  <c r="H50" i="8" s="1"/>
  <c r="X106" i="1"/>
  <c r="H42" i="8" s="1"/>
  <c r="X668" i="1"/>
  <c r="H107" i="8" s="1"/>
  <c r="X660" i="1"/>
  <c r="I6" i="8"/>
  <c r="X125" i="1"/>
  <c r="H49" i="8" s="1"/>
  <c r="X963" i="1"/>
  <c r="X478" i="1"/>
  <c r="X87" i="1"/>
  <c r="X781" i="1"/>
  <c r="X1039" i="1"/>
  <c r="H135" i="8" s="1"/>
  <c r="X649" i="1"/>
  <c r="X614" i="1"/>
  <c r="X674" i="1"/>
  <c r="X705" i="1"/>
  <c r="X854" i="1"/>
  <c r="X719" i="1"/>
  <c r="X396" i="1"/>
  <c r="H76" i="8" s="1"/>
  <c r="X666" i="1"/>
  <c r="X732" i="1"/>
  <c r="X417" i="1"/>
  <c r="X519" i="1"/>
  <c r="H136" i="8" s="1"/>
  <c r="X1022" i="1"/>
  <c r="X1079" i="1"/>
  <c r="X238" i="1"/>
  <c r="H60" i="8" s="1"/>
  <c r="X164" i="1"/>
  <c r="H51" i="8" s="1"/>
  <c r="X829" i="1"/>
  <c r="X861" i="1"/>
  <c r="H126" i="8" s="1"/>
  <c r="X916" i="1"/>
  <c r="H128" i="8" s="1"/>
  <c r="X497" i="1"/>
  <c r="H84" i="8" s="1"/>
  <c r="X631" i="1"/>
  <c r="X1003" i="1"/>
  <c r="X624" i="1"/>
  <c r="X749" i="1"/>
  <c r="X671" i="1"/>
  <c r="X832" i="1"/>
  <c r="X214" i="1"/>
  <c r="H56" i="8" s="1"/>
  <c r="X1099" i="1"/>
  <c r="X771" i="1"/>
  <c r="X922" i="1"/>
  <c r="X877" i="1"/>
  <c r="H10" i="8" s="1"/>
  <c r="X1084" i="1"/>
  <c r="X554" i="1"/>
  <c r="H91" i="8" s="1"/>
  <c r="X696" i="1"/>
  <c r="X695" i="1"/>
  <c r="X1085" i="1"/>
  <c r="X1083" i="1"/>
  <c r="X97" i="1"/>
  <c r="X589" i="1"/>
  <c r="X736" i="1"/>
  <c r="X330" i="1"/>
  <c r="X730" i="1"/>
  <c r="X973" i="1"/>
  <c r="X370" i="1"/>
  <c r="X694" i="1"/>
  <c r="H38" i="8" s="1"/>
  <c r="X820" i="1"/>
  <c r="X1056" i="1"/>
  <c r="X875" i="1"/>
  <c r="X987" i="1"/>
  <c r="X323" i="1"/>
  <c r="X743" i="1"/>
  <c r="H116" i="8"/>
  <c r="X830" i="1"/>
  <c r="X246" i="1"/>
  <c r="H61" i="8" s="1"/>
  <c r="X32" i="1"/>
  <c r="X1196" i="1"/>
  <c r="X769" i="1"/>
  <c r="X964" i="1"/>
  <c r="X876" i="1"/>
  <c r="X233" i="1"/>
  <c r="X923" i="1"/>
  <c r="X357" i="1"/>
  <c r="X698" i="1"/>
  <c r="X874" i="1"/>
  <c r="X1292" i="1"/>
  <c r="X477" i="1"/>
  <c r="X770" i="1"/>
  <c r="H120" i="8" s="1"/>
  <c r="X560" i="1"/>
  <c r="H122" i="8" s="1"/>
  <c r="X735" i="1"/>
  <c r="H134" i="8" s="1"/>
  <c r="X974" i="1"/>
  <c r="X865" i="1"/>
  <c r="H127" i="8" s="1"/>
  <c r="X505" i="1"/>
  <c r="H102" i="8" s="1"/>
  <c r="X486" i="1"/>
  <c r="X632" i="1"/>
  <c r="H113" i="8" s="1"/>
  <c r="X312" i="1"/>
  <c r="X639" i="1"/>
  <c r="H121" i="8" s="1"/>
  <c r="H20" i="8"/>
  <c r="X1021" i="1"/>
  <c r="H133" i="8" s="1"/>
  <c r="X180" i="1"/>
  <c r="H52" i="8" s="1"/>
  <c r="X367" i="1"/>
  <c r="X540" i="1"/>
  <c r="H90" i="8" s="1"/>
  <c r="X855" i="1"/>
  <c r="H129" i="8" s="1"/>
  <c r="X470" i="1"/>
  <c r="X569" i="1"/>
  <c r="H95" i="8" s="1"/>
  <c r="X197" i="1"/>
  <c r="H54" i="8" s="1"/>
  <c r="H19" i="8"/>
  <c r="X580" i="1"/>
  <c r="H89" i="8" s="1"/>
  <c r="X1199" i="1"/>
  <c r="X377" i="1"/>
  <c r="H108" i="8" s="1"/>
  <c r="X620" i="1"/>
  <c r="H111" i="8" s="1"/>
  <c r="X664" i="1"/>
  <c r="H114" i="8" s="1"/>
  <c r="X590" i="1"/>
  <c r="X1157" i="1"/>
  <c r="H138" i="8" s="1"/>
  <c r="X640" i="1"/>
  <c r="X368" i="1"/>
  <c r="H72" i="8" s="1"/>
  <c r="X880" i="1"/>
  <c r="H88" i="8" s="1"/>
  <c r="X427" i="1"/>
  <c r="H87" i="8" s="1"/>
  <c r="X1158" i="1"/>
  <c r="H137" i="8" s="1"/>
  <c r="X794" i="1"/>
  <c r="X1195" i="1"/>
  <c r="H140" i="8" s="1"/>
  <c r="X1110" i="1"/>
  <c r="X502" i="1"/>
  <c r="H85" i="8" s="1"/>
  <c r="X555" i="1"/>
  <c r="H92" i="8" s="1"/>
  <c r="X947" i="1"/>
  <c r="H130" i="8" s="1"/>
  <c r="X772" i="1"/>
  <c r="H77" i="8"/>
  <c r="X562" i="1"/>
  <c r="X628" i="1"/>
  <c r="X1194" i="1"/>
  <c r="X1189" i="1"/>
  <c r="H139" i="8" s="1"/>
  <c r="X857" i="1"/>
  <c r="H125" i="8" s="1"/>
  <c r="X567" i="1"/>
  <c r="H124" i="8" s="1"/>
  <c r="H110" i="8"/>
  <c r="I7" i="8"/>
  <c r="Z526" i="1"/>
  <c r="O467" i="2"/>
  <c r="O476" i="2"/>
  <c r="U1318" i="1"/>
  <c r="AC1318" i="1"/>
  <c r="AB1318" i="1" s="1"/>
  <c r="V1318" i="1"/>
  <c r="Y243" i="1" l="1"/>
  <c r="Y249" i="1"/>
  <c r="Y244" i="1"/>
  <c r="Y245" i="1"/>
  <c r="Y251" i="1"/>
  <c r="Y252" i="1"/>
  <c r="Y242" i="1"/>
  <c r="Y250" i="1"/>
  <c r="Y903" i="1"/>
  <c r="Y904" i="1"/>
  <c r="Y900" i="1"/>
  <c r="Y896" i="1"/>
  <c r="Y898" i="1"/>
  <c r="Y894" i="1"/>
  <c r="Y895" i="1"/>
  <c r="Y897" i="1"/>
  <c r="Y893" i="1"/>
  <c r="Y902" i="1"/>
  <c r="Y887" i="1"/>
  <c r="Y892" i="1"/>
  <c r="Y886" i="1"/>
  <c r="Y889" i="1"/>
  <c r="Y888" i="1"/>
  <c r="Y890" i="1"/>
  <c r="Y891" i="1"/>
  <c r="Y467" i="1"/>
  <c r="Y466" i="1"/>
  <c r="Y456" i="1"/>
  <c r="Y459" i="1"/>
  <c r="Y451" i="1"/>
  <c r="Y448" i="1"/>
  <c r="Y450" i="1"/>
  <c r="Y445" i="1"/>
  <c r="Y447" i="1"/>
  <c r="Y444" i="1"/>
  <c r="Y446" i="1"/>
  <c r="Y443" i="1"/>
  <c r="Y1302" i="1"/>
  <c r="Y810" i="1"/>
  <c r="Y293" i="1"/>
  <c r="Y1289" i="1"/>
  <c r="Y1145" i="1"/>
  <c r="Y1092" i="1"/>
  <c r="Y914" i="1"/>
  <c r="Y1190" i="1"/>
  <c r="Y634" i="1"/>
  <c r="Y378" i="1"/>
  <c r="Y1237" i="1"/>
  <c r="Y1238" i="1"/>
  <c r="Y514" i="1"/>
  <c r="Y1261" i="1"/>
  <c r="Y761" i="1"/>
  <c r="Y1074" i="1"/>
  <c r="Y1193" i="1"/>
  <c r="Y120" i="1"/>
  <c r="Y121" i="1"/>
  <c r="H260" i="13"/>
  <c r="K260" i="13" s="1"/>
  <c r="H82" i="8"/>
  <c r="Y118" i="1"/>
  <c r="Y81" i="1"/>
  <c r="Y635" i="1"/>
  <c r="Y765" i="1"/>
  <c r="Y380" i="1"/>
  <c r="Y802" i="1"/>
  <c r="Y688" i="1"/>
  <c r="Y821" i="1"/>
  <c r="Y925" i="1"/>
  <c r="Y760" i="1"/>
  <c r="Y684" i="1"/>
  <c r="Y633" i="1"/>
  <c r="Y813" i="1"/>
  <c r="Y1220" i="1"/>
  <c r="Y286" i="1"/>
  <c r="Y811" i="1"/>
  <c r="Y289" i="1"/>
  <c r="Y508" i="1"/>
  <c r="Y727" i="1"/>
  <c r="Y943" i="1"/>
  <c r="Y1052" i="1"/>
  <c r="Y859" i="1"/>
  <c r="Y801" i="1"/>
  <c r="Y1301" i="1"/>
  <c r="Y1227" i="1"/>
  <c r="Y1267" i="1"/>
  <c r="Y545" i="1"/>
  <c r="Y260" i="1"/>
  <c r="Y173" i="1"/>
  <c r="Y997" i="1"/>
  <c r="Y1209" i="1"/>
  <c r="Y1300" i="1"/>
  <c r="Y1264" i="1"/>
  <c r="Y1103" i="1"/>
  <c r="Y1188" i="1"/>
  <c r="Y167" i="1"/>
  <c r="Y166" i="1"/>
  <c r="Y38" i="1"/>
  <c r="Y168" i="1"/>
  <c r="Y39" i="1"/>
  <c r="Y301" i="1"/>
  <c r="Y37" i="1"/>
  <c r="Y785" i="1"/>
  <c r="Y17" i="1"/>
  <c r="Y18" i="1"/>
  <c r="Y996" i="1"/>
  <c r="Y16" i="1"/>
  <c r="Y646" i="1"/>
  <c r="Y297" i="1"/>
  <c r="Y143" i="1"/>
  <c r="G6" i="22"/>
  <c r="H253" i="13"/>
  <c r="K253" i="13" s="1"/>
  <c r="H251" i="13"/>
  <c r="K251" i="13" s="1"/>
  <c r="H249" i="13"/>
  <c r="K249" i="13" s="1"/>
  <c r="H52" i="13"/>
  <c r="K52" i="13" s="1"/>
  <c r="H245" i="13"/>
  <c r="K245" i="13" s="1"/>
  <c r="H36" i="13"/>
  <c r="K36" i="13" s="1"/>
  <c r="H247" i="13"/>
  <c r="K247" i="13" s="1"/>
  <c r="H244" i="13"/>
  <c r="K244" i="13" s="1"/>
  <c r="D259" i="13"/>
  <c r="C259" i="13"/>
  <c r="F259" i="13"/>
  <c r="E259" i="13"/>
  <c r="B259" i="13"/>
  <c r="L259" i="13" s="1"/>
  <c r="H172" i="13"/>
  <c r="K172" i="13" s="1"/>
  <c r="C263" i="13"/>
  <c r="B263" i="13"/>
  <c r="L263" i="13" s="1"/>
  <c r="F263" i="13"/>
  <c r="E263" i="13"/>
  <c r="D263" i="13"/>
  <c r="C261" i="13"/>
  <c r="E261" i="13"/>
  <c r="D261" i="13"/>
  <c r="B261" i="13"/>
  <c r="L261" i="13" s="1"/>
  <c r="F261" i="13"/>
  <c r="H250" i="13"/>
  <c r="K250" i="13" s="1"/>
  <c r="F258" i="13"/>
  <c r="E258" i="13"/>
  <c r="B258" i="13"/>
  <c r="L258" i="13" s="1"/>
  <c r="C258" i="13"/>
  <c r="D258" i="13"/>
  <c r="B256" i="13"/>
  <c r="L256" i="13" s="1"/>
  <c r="C256" i="13"/>
  <c r="E256" i="13"/>
  <c r="F256" i="13"/>
  <c r="D256" i="13"/>
  <c r="H242" i="13"/>
  <c r="K242" i="13" s="1"/>
  <c r="D265" i="13"/>
  <c r="F265" i="13"/>
  <c r="C265" i="13"/>
  <c r="B265" i="13"/>
  <c r="L265" i="13" s="1"/>
  <c r="E265" i="13"/>
  <c r="E260" i="13"/>
  <c r="D260" i="13"/>
  <c r="C260" i="13"/>
  <c r="B260" i="13"/>
  <c r="F260" i="13"/>
  <c r="H246" i="13"/>
  <c r="K246" i="13" s="1"/>
  <c r="H243" i="13"/>
  <c r="K243" i="13" s="1"/>
  <c r="C257" i="13"/>
  <c r="D257" i="13"/>
  <c r="B257" i="13"/>
  <c r="L257" i="13" s="1"/>
  <c r="F257" i="13"/>
  <c r="E257" i="13"/>
  <c r="E262" i="13"/>
  <c r="D262" i="13"/>
  <c r="C262" i="13"/>
  <c r="B262" i="13"/>
  <c r="L262" i="13" s="1"/>
  <c r="F262" i="13"/>
  <c r="H248" i="13"/>
  <c r="K248" i="13" s="1"/>
  <c r="F254" i="13"/>
  <c r="E254" i="13"/>
  <c r="C254" i="13"/>
  <c r="B254" i="13"/>
  <c r="L254" i="13" s="1"/>
  <c r="D254" i="13"/>
  <c r="D266" i="13"/>
  <c r="F266" i="13"/>
  <c r="E266" i="13"/>
  <c r="C266" i="13"/>
  <c r="B266" i="13"/>
  <c r="L266" i="13" s="1"/>
  <c r="B264" i="13"/>
  <c r="L264" i="13" s="1"/>
  <c r="E264" i="13"/>
  <c r="C264" i="13"/>
  <c r="F264" i="13"/>
  <c r="D264" i="13"/>
  <c r="B255" i="13"/>
  <c r="L255" i="13" s="1"/>
  <c r="F255" i="13"/>
  <c r="E255" i="13"/>
  <c r="C255" i="13"/>
  <c r="D255" i="13"/>
  <c r="F30" i="13"/>
  <c r="E30" i="13"/>
  <c r="B30" i="13"/>
  <c r="L30" i="13" s="1"/>
  <c r="C30" i="13"/>
  <c r="D30" i="13"/>
  <c r="F19" i="13"/>
  <c r="E19" i="13"/>
  <c r="B19" i="13"/>
  <c r="C19" i="13"/>
  <c r="D19" i="13"/>
  <c r="F211" i="13"/>
  <c r="E211" i="13"/>
  <c r="B211" i="13"/>
  <c r="L211" i="13" s="1"/>
  <c r="C211" i="13"/>
  <c r="D211" i="13"/>
  <c r="F80" i="13"/>
  <c r="B80" i="13"/>
  <c r="D80" i="13"/>
  <c r="E80" i="13"/>
  <c r="C80" i="13"/>
  <c r="F17" i="13"/>
  <c r="D17" i="13"/>
  <c r="E17" i="13"/>
  <c r="B17" i="13"/>
  <c r="C17" i="13"/>
  <c r="F132" i="13"/>
  <c r="D132" i="13"/>
  <c r="E132" i="13"/>
  <c r="B132" i="13"/>
  <c r="C132" i="13"/>
  <c r="F93" i="13"/>
  <c r="B93" i="13"/>
  <c r="L93" i="13" s="1"/>
  <c r="E93" i="13"/>
  <c r="C93" i="13"/>
  <c r="D93" i="13"/>
  <c r="F38" i="13"/>
  <c r="E38" i="13"/>
  <c r="B38" i="13"/>
  <c r="L38" i="13" s="1"/>
  <c r="C38" i="13"/>
  <c r="D38" i="13"/>
  <c r="F2" i="13"/>
  <c r="B2" i="13"/>
  <c r="C2" i="13"/>
  <c r="D2" i="13"/>
  <c r="F20" i="13"/>
  <c r="D20" i="13"/>
  <c r="E20" i="13"/>
  <c r="C20" i="13"/>
  <c r="B20" i="13"/>
  <c r="F96" i="13"/>
  <c r="B96" i="13"/>
  <c r="C96" i="13"/>
  <c r="D96" i="13"/>
  <c r="E96" i="13"/>
  <c r="F188" i="13"/>
  <c r="E188" i="13"/>
  <c r="B188" i="13"/>
  <c r="C188" i="13"/>
  <c r="D188" i="13"/>
  <c r="F175" i="13"/>
  <c r="E175" i="13"/>
  <c r="B175" i="13"/>
  <c r="C175" i="13"/>
  <c r="D175" i="13"/>
  <c r="F57" i="13"/>
  <c r="D57" i="13"/>
  <c r="B57" i="13"/>
  <c r="C57" i="13"/>
  <c r="E57" i="13"/>
  <c r="F48" i="13"/>
  <c r="B48" i="13"/>
  <c r="L48" i="13" s="1"/>
  <c r="C48" i="13"/>
  <c r="D48" i="13"/>
  <c r="E48" i="13"/>
  <c r="F100" i="13"/>
  <c r="D100" i="13"/>
  <c r="E100" i="13"/>
  <c r="B100" i="13"/>
  <c r="C100" i="13"/>
  <c r="F66" i="13"/>
  <c r="B66" i="13"/>
  <c r="C66" i="13"/>
  <c r="D66" i="13"/>
  <c r="E66" i="13"/>
  <c r="F82" i="13"/>
  <c r="B82" i="13"/>
  <c r="C82" i="13"/>
  <c r="D82" i="13"/>
  <c r="E82" i="13"/>
  <c r="F37" i="13"/>
  <c r="B37" i="13"/>
  <c r="E37" i="13"/>
  <c r="C37" i="13"/>
  <c r="D37" i="13"/>
  <c r="F129" i="13"/>
  <c r="C129" i="13"/>
  <c r="D129" i="13"/>
  <c r="B129" i="13"/>
  <c r="E129" i="13"/>
  <c r="F215" i="13"/>
  <c r="E215" i="13"/>
  <c r="B215" i="13"/>
  <c r="L215" i="13" s="1"/>
  <c r="C215" i="13"/>
  <c r="D215" i="13"/>
  <c r="F221" i="13"/>
  <c r="E221" i="13"/>
  <c r="B221" i="13"/>
  <c r="C221" i="13"/>
  <c r="D221" i="13"/>
  <c r="F135" i="13"/>
  <c r="C135" i="13"/>
  <c r="E135" i="13"/>
  <c r="B135" i="13"/>
  <c r="L135" i="13" s="1"/>
  <c r="D135" i="13"/>
  <c r="F8" i="13"/>
  <c r="B8" i="13"/>
  <c r="C8" i="13"/>
  <c r="D8" i="13"/>
  <c r="E8" i="13"/>
  <c r="F51" i="13"/>
  <c r="E51" i="13"/>
  <c r="B51" i="13"/>
  <c r="C51" i="13"/>
  <c r="D51" i="13"/>
  <c r="F212" i="13"/>
  <c r="E212" i="13"/>
  <c r="B212" i="13"/>
  <c r="L212" i="13" s="1"/>
  <c r="C212" i="13"/>
  <c r="D212" i="13"/>
  <c r="F68" i="13"/>
  <c r="D68" i="13"/>
  <c r="E68" i="13"/>
  <c r="B68" i="13"/>
  <c r="C68" i="13"/>
  <c r="F14" i="13"/>
  <c r="E14" i="13"/>
  <c r="B14" i="13"/>
  <c r="L14" i="13" s="1"/>
  <c r="C14" i="13"/>
  <c r="D14" i="13"/>
  <c r="F144" i="13"/>
  <c r="E144" i="13"/>
  <c r="B144" i="13"/>
  <c r="C144" i="13"/>
  <c r="D144" i="13"/>
  <c r="F156" i="13"/>
  <c r="E156" i="13"/>
  <c r="B156" i="13"/>
  <c r="C156" i="13"/>
  <c r="D156" i="13"/>
  <c r="F120" i="13"/>
  <c r="B120" i="13"/>
  <c r="C120" i="13"/>
  <c r="E120" i="13"/>
  <c r="D120" i="13"/>
  <c r="F126" i="13"/>
  <c r="E126" i="13"/>
  <c r="B126" i="13"/>
  <c r="L126" i="13" s="1"/>
  <c r="C126" i="13"/>
  <c r="D126" i="13"/>
  <c r="F186" i="13"/>
  <c r="E186" i="13"/>
  <c r="B186" i="13"/>
  <c r="C186" i="13"/>
  <c r="D186" i="13"/>
  <c r="F189" i="13"/>
  <c r="E189" i="13"/>
  <c r="B189" i="13"/>
  <c r="L189" i="13" s="1"/>
  <c r="C189" i="13"/>
  <c r="D189" i="13"/>
  <c r="F44" i="13"/>
  <c r="D44" i="13"/>
  <c r="E44" i="13"/>
  <c r="C44" i="13"/>
  <c r="B44" i="13"/>
  <c r="F204" i="13"/>
  <c r="E204" i="13"/>
  <c r="B204" i="13"/>
  <c r="C204" i="13"/>
  <c r="D204" i="13"/>
  <c r="F162" i="13"/>
  <c r="E162" i="13"/>
  <c r="B162" i="13"/>
  <c r="C162" i="13"/>
  <c r="D162" i="13"/>
  <c r="F73" i="13"/>
  <c r="E73" i="13"/>
  <c r="B73" i="13"/>
  <c r="L73" i="13" s="1"/>
  <c r="C73" i="13"/>
  <c r="D73" i="13"/>
  <c r="F147" i="13"/>
  <c r="E147" i="13"/>
  <c r="B147" i="13"/>
  <c r="C147" i="13"/>
  <c r="D147" i="13"/>
  <c r="F158" i="13"/>
  <c r="E158" i="13"/>
  <c r="D158" i="13"/>
  <c r="B158" i="13"/>
  <c r="C158" i="13"/>
  <c r="F103" i="13"/>
  <c r="C103" i="13"/>
  <c r="D103" i="13"/>
  <c r="E103" i="13"/>
  <c r="B103" i="13"/>
  <c r="L103" i="13" s="1"/>
  <c r="F195" i="13"/>
  <c r="E195" i="13"/>
  <c r="B195" i="13"/>
  <c r="L195" i="13" s="1"/>
  <c r="C195" i="13"/>
  <c r="D195" i="13"/>
  <c r="F11" i="13"/>
  <c r="E11" i="13"/>
  <c r="B11" i="13"/>
  <c r="L11" i="13" s="1"/>
  <c r="C11" i="13"/>
  <c r="D11" i="13"/>
  <c r="F150" i="13"/>
  <c r="E150" i="13"/>
  <c r="D150" i="13"/>
  <c r="C150" i="13"/>
  <c r="B150" i="13"/>
  <c r="F187" i="13"/>
  <c r="E187" i="13"/>
  <c r="B187" i="13"/>
  <c r="C187" i="13"/>
  <c r="D187" i="13"/>
  <c r="F49" i="13"/>
  <c r="D49" i="13"/>
  <c r="E49" i="13"/>
  <c r="B49" i="13"/>
  <c r="C49" i="13"/>
  <c r="F21" i="13"/>
  <c r="B21" i="13"/>
  <c r="E21" i="13"/>
  <c r="C21" i="13"/>
  <c r="D21" i="13"/>
  <c r="F113" i="13"/>
  <c r="E113" i="13"/>
  <c r="B113" i="13"/>
  <c r="C113" i="13"/>
  <c r="D113" i="13"/>
  <c r="F65" i="13"/>
  <c r="D65" i="13"/>
  <c r="B65" i="13"/>
  <c r="C65" i="13"/>
  <c r="E65" i="13"/>
  <c r="F131" i="13"/>
  <c r="E131" i="13"/>
  <c r="B131" i="13"/>
  <c r="C131" i="13"/>
  <c r="D131" i="13"/>
  <c r="F102" i="13"/>
  <c r="E102" i="13"/>
  <c r="B102" i="13"/>
  <c r="L102" i="13" s="1"/>
  <c r="C102" i="13"/>
  <c r="D102" i="13"/>
  <c r="F161" i="13"/>
  <c r="C161" i="13"/>
  <c r="D161" i="13"/>
  <c r="E161" i="13"/>
  <c r="B161" i="13"/>
  <c r="F164" i="13"/>
  <c r="E164" i="13"/>
  <c r="B164" i="13"/>
  <c r="C164" i="13"/>
  <c r="D164" i="13"/>
  <c r="F200" i="13"/>
  <c r="E200" i="13"/>
  <c r="C200" i="13"/>
  <c r="B200" i="13"/>
  <c r="L200" i="13" s="1"/>
  <c r="D200" i="13"/>
  <c r="F106" i="13"/>
  <c r="B106" i="13"/>
  <c r="C106" i="13"/>
  <c r="D106" i="13"/>
  <c r="E106" i="13"/>
  <c r="F72" i="13"/>
  <c r="B72" i="13"/>
  <c r="C72" i="13"/>
  <c r="E72" i="13"/>
  <c r="D72" i="13"/>
  <c r="F124" i="13"/>
  <c r="D124" i="13"/>
  <c r="E124" i="13"/>
  <c r="B124" i="13"/>
  <c r="C124" i="13"/>
  <c r="F133" i="13"/>
  <c r="E133" i="13"/>
  <c r="C133" i="13"/>
  <c r="B133" i="13"/>
  <c r="D133" i="13"/>
  <c r="F79" i="13"/>
  <c r="C79" i="13"/>
  <c r="D79" i="13"/>
  <c r="E79" i="13"/>
  <c r="B79" i="13"/>
  <c r="F170" i="13"/>
  <c r="E170" i="13"/>
  <c r="B170" i="13"/>
  <c r="C170" i="13"/>
  <c r="D170" i="13"/>
  <c r="F206" i="13"/>
  <c r="E206" i="13"/>
  <c r="D206" i="13"/>
  <c r="B206" i="13"/>
  <c r="C206" i="13"/>
  <c r="F182" i="13"/>
  <c r="E182" i="13"/>
  <c r="D182" i="13"/>
  <c r="C182" i="13"/>
  <c r="B182" i="13"/>
  <c r="F34" i="13"/>
  <c r="B34" i="13"/>
  <c r="C34" i="13"/>
  <c r="D34" i="13"/>
  <c r="E34" i="13"/>
  <c r="F115" i="13"/>
  <c r="E115" i="13"/>
  <c r="B115" i="13"/>
  <c r="L115" i="13" s="1"/>
  <c r="C115" i="13"/>
  <c r="D115" i="13"/>
  <c r="F90" i="13"/>
  <c r="B90" i="13"/>
  <c r="C90" i="13"/>
  <c r="D90" i="13"/>
  <c r="E90" i="13"/>
  <c r="F56" i="13"/>
  <c r="B56" i="13"/>
  <c r="C56" i="13"/>
  <c r="D56" i="13"/>
  <c r="E56" i="13"/>
  <c r="F130" i="13"/>
  <c r="B130" i="13"/>
  <c r="D130" i="13"/>
  <c r="E130" i="13"/>
  <c r="C130" i="13"/>
  <c r="F194" i="13"/>
  <c r="E194" i="13"/>
  <c r="B194" i="13"/>
  <c r="C194" i="13"/>
  <c r="D194" i="13"/>
  <c r="F191" i="13"/>
  <c r="E191" i="13"/>
  <c r="B191" i="13"/>
  <c r="L191" i="13" s="1"/>
  <c r="C191" i="13"/>
  <c r="D191" i="13"/>
  <c r="F31" i="13"/>
  <c r="C31" i="13"/>
  <c r="D31" i="13"/>
  <c r="E31" i="13"/>
  <c r="B31" i="13"/>
  <c r="L31" i="13" s="1"/>
  <c r="F179" i="13"/>
  <c r="E179" i="13"/>
  <c r="B179" i="13"/>
  <c r="C179" i="13"/>
  <c r="D179" i="13"/>
  <c r="F167" i="13"/>
  <c r="E167" i="13"/>
  <c r="B167" i="13"/>
  <c r="C167" i="13"/>
  <c r="D167" i="13"/>
  <c r="F41" i="13"/>
  <c r="D41" i="13"/>
  <c r="E41" i="13"/>
  <c r="C41" i="13"/>
  <c r="B41" i="13"/>
  <c r="F40" i="13"/>
  <c r="B40" i="13"/>
  <c r="C40" i="13"/>
  <c r="D40" i="13"/>
  <c r="E40" i="13"/>
  <c r="F92" i="13"/>
  <c r="D92" i="13"/>
  <c r="E92" i="13"/>
  <c r="C92" i="13"/>
  <c r="B92" i="13"/>
  <c r="L92" i="13" s="1"/>
  <c r="F5" i="13"/>
  <c r="B5" i="13"/>
  <c r="L5" i="13" s="1"/>
  <c r="E5" i="13"/>
  <c r="C5" i="13"/>
  <c r="D5" i="13"/>
  <c r="F97" i="13"/>
  <c r="C97" i="13"/>
  <c r="D97" i="13"/>
  <c r="B97" i="13"/>
  <c r="E97" i="13"/>
  <c r="F86" i="13"/>
  <c r="E86" i="13"/>
  <c r="B86" i="13"/>
  <c r="L86" i="13" s="1"/>
  <c r="C86" i="13"/>
  <c r="D86" i="13"/>
  <c r="F183" i="13"/>
  <c r="E183" i="13"/>
  <c r="B183" i="13"/>
  <c r="C183" i="13"/>
  <c r="D183" i="13"/>
  <c r="F173" i="13"/>
  <c r="E173" i="13"/>
  <c r="B173" i="13"/>
  <c r="C173" i="13"/>
  <c r="D173" i="13"/>
  <c r="F157" i="13"/>
  <c r="E157" i="13"/>
  <c r="B157" i="13"/>
  <c r="C157" i="13"/>
  <c r="D157" i="13"/>
  <c r="F7" i="13"/>
  <c r="C7" i="13"/>
  <c r="D7" i="13"/>
  <c r="E7" i="13"/>
  <c r="B7" i="13"/>
  <c r="F10" i="13"/>
  <c r="B10" i="13"/>
  <c r="C10" i="13"/>
  <c r="D10" i="13"/>
  <c r="E10" i="13"/>
  <c r="F94" i="13"/>
  <c r="E94" i="13"/>
  <c r="B94" i="13"/>
  <c r="C94" i="13"/>
  <c r="D94" i="13"/>
  <c r="F45" i="13"/>
  <c r="B45" i="13"/>
  <c r="E45" i="13"/>
  <c r="C45" i="13"/>
  <c r="D45" i="13"/>
  <c r="F137" i="13"/>
  <c r="E137" i="13"/>
  <c r="B137" i="13"/>
  <c r="C137" i="13"/>
  <c r="D137" i="13"/>
  <c r="F143" i="13"/>
  <c r="E143" i="13"/>
  <c r="B143" i="13"/>
  <c r="C143" i="13"/>
  <c r="D143" i="13"/>
  <c r="F16" i="13"/>
  <c r="B16" i="13"/>
  <c r="C16" i="13"/>
  <c r="D16" i="13"/>
  <c r="E16" i="13"/>
  <c r="F59" i="13"/>
  <c r="E59" i="13"/>
  <c r="B59" i="13"/>
  <c r="C59" i="13"/>
  <c r="D59" i="13"/>
  <c r="F98" i="13"/>
  <c r="B98" i="13"/>
  <c r="C98" i="13"/>
  <c r="D98" i="13"/>
  <c r="E98" i="13"/>
  <c r="F12" i="13"/>
  <c r="D12" i="13"/>
  <c r="E12" i="13"/>
  <c r="C12" i="13"/>
  <c r="B12" i="13"/>
  <c r="L12" i="13" s="1"/>
  <c r="F176" i="13"/>
  <c r="E176" i="13"/>
  <c r="B176" i="13"/>
  <c r="C176" i="13"/>
  <c r="D176" i="13"/>
  <c r="F88" i="13"/>
  <c r="B88" i="13"/>
  <c r="L88" i="13" s="1"/>
  <c r="E88" i="13"/>
  <c r="C88" i="13"/>
  <c r="D88" i="13"/>
  <c r="F99" i="13"/>
  <c r="E99" i="13"/>
  <c r="B99" i="13"/>
  <c r="C99" i="13"/>
  <c r="D99" i="13"/>
  <c r="F104" i="13"/>
  <c r="B104" i="13"/>
  <c r="E104" i="13"/>
  <c r="C104" i="13"/>
  <c r="D104" i="13"/>
  <c r="F192" i="13"/>
  <c r="C192" i="13"/>
  <c r="B192" i="13"/>
  <c r="E192" i="13"/>
  <c r="D192" i="13"/>
  <c r="F70" i="13"/>
  <c r="E70" i="13"/>
  <c r="C70" i="13"/>
  <c r="D70" i="13"/>
  <c r="B70" i="13"/>
  <c r="L70" i="13" s="1"/>
  <c r="F168" i="13"/>
  <c r="E168" i="13"/>
  <c r="B168" i="13"/>
  <c r="C168" i="13"/>
  <c r="D168" i="13"/>
  <c r="F85" i="13"/>
  <c r="B85" i="13"/>
  <c r="E85" i="13"/>
  <c r="C85" i="13"/>
  <c r="D85" i="13"/>
  <c r="F33" i="13"/>
  <c r="D33" i="13"/>
  <c r="B33" i="13"/>
  <c r="L33" i="13" s="1"/>
  <c r="C33" i="13"/>
  <c r="E33" i="13"/>
  <c r="F13" i="13"/>
  <c r="B13" i="13"/>
  <c r="L13" i="13" s="1"/>
  <c r="E13" i="13"/>
  <c r="C13" i="13"/>
  <c r="D13" i="13"/>
  <c r="F105" i="13"/>
  <c r="D105" i="13"/>
  <c r="E105" i="13"/>
  <c r="B105" i="13"/>
  <c r="L105" i="13" s="1"/>
  <c r="C105" i="13"/>
  <c r="F109" i="13"/>
  <c r="B109" i="13"/>
  <c r="E109" i="13"/>
  <c r="C109" i="13"/>
  <c r="D109" i="13"/>
  <c r="F134" i="13"/>
  <c r="E134" i="13"/>
  <c r="B134" i="13"/>
  <c r="C134" i="13"/>
  <c r="D134" i="13"/>
  <c r="F151" i="13"/>
  <c r="E151" i="13"/>
  <c r="B151" i="13"/>
  <c r="C151" i="13"/>
  <c r="D151" i="13"/>
  <c r="F210" i="13"/>
  <c r="E210" i="13"/>
  <c r="B210" i="13"/>
  <c r="C210" i="13"/>
  <c r="D210" i="13"/>
  <c r="F213" i="13"/>
  <c r="E213" i="13"/>
  <c r="D213" i="13"/>
  <c r="B213" i="13"/>
  <c r="L213" i="13" s="1"/>
  <c r="C213" i="13"/>
  <c r="F209" i="13"/>
  <c r="C209" i="13"/>
  <c r="D209" i="13"/>
  <c r="E209" i="13"/>
  <c r="B209" i="13"/>
  <c r="L209" i="13" s="1"/>
  <c r="F35" i="13"/>
  <c r="E35" i="13"/>
  <c r="B35" i="13"/>
  <c r="C35" i="13"/>
  <c r="D35" i="13"/>
  <c r="F63" i="13"/>
  <c r="C63" i="13"/>
  <c r="D63" i="13"/>
  <c r="E63" i="13"/>
  <c r="B63" i="13"/>
  <c r="F74" i="13"/>
  <c r="B74" i="13"/>
  <c r="C74" i="13"/>
  <c r="D74" i="13"/>
  <c r="E74" i="13"/>
  <c r="F110" i="13"/>
  <c r="E110" i="13"/>
  <c r="C110" i="13"/>
  <c r="D110" i="13"/>
  <c r="B110" i="13"/>
  <c r="F169" i="13"/>
  <c r="C169" i="13"/>
  <c r="E169" i="13"/>
  <c r="D169" i="13"/>
  <c r="B169" i="13"/>
  <c r="F172" i="13"/>
  <c r="E172" i="13"/>
  <c r="B172" i="13"/>
  <c r="C172" i="13"/>
  <c r="D172" i="13"/>
  <c r="F220" i="13"/>
  <c r="E220" i="13"/>
  <c r="B220" i="13"/>
  <c r="L220" i="13" s="1"/>
  <c r="C220" i="13"/>
  <c r="D220" i="13"/>
  <c r="F208" i="13"/>
  <c r="E208" i="13"/>
  <c r="C208" i="13"/>
  <c r="B208" i="13"/>
  <c r="D208" i="13"/>
  <c r="F122" i="13"/>
  <c r="B122" i="13"/>
  <c r="D122" i="13"/>
  <c r="E122" i="13"/>
  <c r="C122" i="13"/>
  <c r="F81" i="13"/>
  <c r="B81" i="13"/>
  <c r="L81" i="13" s="1"/>
  <c r="C81" i="13"/>
  <c r="E81" i="13"/>
  <c r="D81" i="13"/>
  <c r="F140" i="13"/>
  <c r="E140" i="13"/>
  <c r="B140" i="13"/>
  <c r="C140" i="13"/>
  <c r="D140" i="13"/>
  <c r="F3" i="13"/>
  <c r="E3" i="13"/>
  <c r="B3" i="13"/>
  <c r="C3" i="13"/>
  <c r="D3" i="13"/>
  <c r="F77" i="13"/>
  <c r="B77" i="13"/>
  <c r="E77" i="13"/>
  <c r="C77" i="13"/>
  <c r="D77" i="13"/>
  <c r="F22" i="13"/>
  <c r="E22" i="13"/>
  <c r="B22" i="13"/>
  <c r="L22" i="13" s="1"/>
  <c r="C22" i="13"/>
  <c r="D22" i="13"/>
  <c r="F153" i="13"/>
  <c r="C153" i="13"/>
  <c r="D153" i="13"/>
  <c r="E153" i="13"/>
  <c r="B153" i="13"/>
  <c r="L153" i="13" s="1"/>
  <c r="F214" i="13"/>
  <c r="E214" i="13"/>
  <c r="D214" i="13"/>
  <c r="C214" i="13"/>
  <c r="B214" i="13"/>
  <c r="L214" i="13" s="1"/>
  <c r="F203" i="13"/>
  <c r="E203" i="13"/>
  <c r="B203" i="13"/>
  <c r="D203" i="13"/>
  <c r="C203" i="13"/>
  <c r="F125" i="13"/>
  <c r="E125" i="13"/>
  <c r="C125" i="13"/>
  <c r="D125" i="13"/>
  <c r="B125" i="13"/>
  <c r="F91" i="13"/>
  <c r="E91" i="13"/>
  <c r="B91" i="13"/>
  <c r="L91" i="13" s="1"/>
  <c r="C91" i="13"/>
  <c r="D91" i="13"/>
  <c r="F159" i="13"/>
  <c r="E159" i="13"/>
  <c r="B159" i="13"/>
  <c r="C159" i="13"/>
  <c r="D159" i="13"/>
  <c r="F32" i="13"/>
  <c r="B32" i="13"/>
  <c r="L32" i="13" s="1"/>
  <c r="C32" i="13"/>
  <c r="D32" i="13"/>
  <c r="E32" i="13"/>
  <c r="F78" i="13"/>
  <c r="E78" i="13"/>
  <c r="B78" i="13"/>
  <c r="C78" i="13"/>
  <c r="D78" i="13"/>
  <c r="F67" i="13"/>
  <c r="E67" i="13"/>
  <c r="B67" i="13"/>
  <c r="C67" i="13"/>
  <c r="D67" i="13"/>
  <c r="F185" i="13"/>
  <c r="C185" i="13"/>
  <c r="D185" i="13"/>
  <c r="E185" i="13"/>
  <c r="B185" i="13"/>
  <c r="L185" i="13" s="1"/>
  <c r="F42" i="13"/>
  <c r="B42" i="13"/>
  <c r="C42" i="13"/>
  <c r="D42" i="13"/>
  <c r="E42" i="13"/>
  <c r="F207" i="13"/>
  <c r="E207" i="13"/>
  <c r="B207" i="13"/>
  <c r="C207" i="13"/>
  <c r="D207" i="13"/>
  <c r="F47" i="13"/>
  <c r="C47" i="13"/>
  <c r="D47" i="13"/>
  <c r="E47" i="13"/>
  <c r="B47" i="13"/>
  <c r="F58" i="13"/>
  <c r="B58" i="13"/>
  <c r="C58" i="13"/>
  <c r="D58" i="13"/>
  <c r="E58" i="13"/>
  <c r="F108" i="13"/>
  <c r="D108" i="13"/>
  <c r="E108" i="13"/>
  <c r="B108" i="13"/>
  <c r="C108" i="13"/>
  <c r="F52" i="13"/>
  <c r="D52" i="13"/>
  <c r="E52" i="13"/>
  <c r="C52" i="13"/>
  <c r="B52" i="13"/>
  <c r="F217" i="13"/>
  <c r="C217" i="13"/>
  <c r="D217" i="13"/>
  <c r="E217" i="13"/>
  <c r="B217" i="13"/>
  <c r="F128" i="13"/>
  <c r="B128" i="13"/>
  <c r="L128" i="13" s="1"/>
  <c r="C128" i="13"/>
  <c r="D128" i="13"/>
  <c r="E128" i="13"/>
  <c r="F139" i="13"/>
  <c r="E139" i="13"/>
  <c r="B139" i="13"/>
  <c r="D139" i="13"/>
  <c r="C139" i="13"/>
  <c r="F119" i="13"/>
  <c r="C119" i="13"/>
  <c r="E119" i="13"/>
  <c r="B119" i="13"/>
  <c r="L119" i="13" s="1"/>
  <c r="D119" i="13"/>
  <c r="F166" i="13"/>
  <c r="E166" i="13"/>
  <c r="D166" i="13"/>
  <c r="C166" i="13"/>
  <c r="B166" i="13"/>
  <c r="F15" i="13"/>
  <c r="C15" i="13"/>
  <c r="D15" i="13"/>
  <c r="E15" i="13"/>
  <c r="B15" i="13"/>
  <c r="F18" i="13"/>
  <c r="B18" i="13"/>
  <c r="L18" i="13" s="1"/>
  <c r="C18" i="13"/>
  <c r="D18" i="13"/>
  <c r="E18" i="13"/>
  <c r="F114" i="13"/>
  <c r="B114" i="13"/>
  <c r="C114" i="13"/>
  <c r="D114" i="13"/>
  <c r="E114" i="13"/>
  <c r="F53" i="13"/>
  <c r="B53" i="13"/>
  <c r="E53" i="13"/>
  <c r="C53" i="13"/>
  <c r="D53" i="13"/>
  <c r="F146" i="13"/>
  <c r="E146" i="13"/>
  <c r="B146" i="13"/>
  <c r="C146" i="13"/>
  <c r="D146" i="13"/>
  <c r="F196" i="13"/>
  <c r="E196" i="13"/>
  <c r="B196" i="13"/>
  <c r="C196" i="13"/>
  <c r="D196" i="13"/>
  <c r="F141" i="13"/>
  <c r="E141" i="13"/>
  <c r="B141" i="13"/>
  <c r="L141" i="13" s="1"/>
  <c r="C141" i="13"/>
  <c r="D141" i="13"/>
  <c r="F87" i="13"/>
  <c r="C87" i="13"/>
  <c r="D87" i="13"/>
  <c r="E87" i="13"/>
  <c r="B87" i="13"/>
  <c r="F178" i="13"/>
  <c r="E178" i="13"/>
  <c r="B178" i="13"/>
  <c r="L178" i="13" s="1"/>
  <c r="C178" i="13"/>
  <c r="D178" i="13"/>
  <c r="F76" i="13"/>
  <c r="D76" i="13"/>
  <c r="E76" i="13"/>
  <c r="B76" i="13"/>
  <c r="C76" i="13"/>
  <c r="F193" i="13"/>
  <c r="C193" i="13"/>
  <c r="D193" i="13"/>
  <c r="B193" i="13"/>
  <c r="L193" i="13" s="1"/>
  <c r="E193" i="13"/>
  <c r="F121" i="13"/>
  <c r="E121" i="13"/>
  <c r="B121" i="13"/>
  <c r="L121" i="13" s="1"/>
  <c r="C121" i="13"/>
  <c r="D121" i="13"/>
  <c r="F116" i="13"/>
  <c r="D116" i="13"/>
  <c r="E116" i="13"/>
  <c r="B116" i="13"/>
  <c r="C116" i="13"/>
  <c r="F61" i="13"/>
  <c r="B61" i="13"/>
  <c r="E61" i="13"/>
  <c r="C61" i="13"/>
  <c r="D61" i="13"/>
  <c r="F171" i="13"/>
  <c r="E171" i="13"/>
  <c r="B171" i="13"/>
  <c r="D171" i="13"/>
  <c r="C171" i="13"/>
  <c r="F69" i="13"/>
  <c r="B69" i="13"/>
  <c r="E69" i="13"/>
  <c r="C69" i="13"/>
  <c r="D69" i="13"/>
  <c r="F197" i="13"/>
  <c r="E197" i="13"/>
  <c r="B197" i="13"/>
  <c r="C197" i="13"/>
  <c r="D197" i="13"/>
  <c r="F142" i="13"/>
  <c r="E142" i="13"/>
  <c r="D142" i="13"/>
  <c r="B142" i="13"/>
  <c r="C142" i="13"/>
  <c r="F202" i="13"/>
  <c r="E202" i="13"/>
  <c r="B202" i="13"/>
  <c r="C202" i="13"/>
  <c r="D202" i="13"/>
  <c r="F205" i="13"/>
  <c r="E205" i="13"/>
  <c r="D205" i="13"/>
  <c r="B205" i="13"/>
  <c r="C205" i="13"/>
  <c r="F95" i="13"/>
  <c r="C95" i="13"/>
  <c r="D95" i="13"/>
  <c r="E95" i="13"/>
  <c r="B95" i="13"/>
  <c r="F84" i="13"/>
  <c r="D84" i="13"/>
  <c r="E84" i="13"/>
  <c r="C84" i="13"/>
  <c r="B84" i="13"/>
  <c r="F36" i="13"/>
  <c r="D36" i="13"/>
  <c r="E36" i="13"/>
  <c r="C36" i="13"/>
  <c r="B36" i="13"/>
  <c r="F201" i="13"/>
  <c r="C201" i="13"/>
  <c r="E201" i="13"/>
  <c r="D201" i="13"/>
  <c r="B201" i="13"/>
  <c r="L201" i="13" s="1"/>
  <c r="F112" i="13"/>
  <c r="B112" i="13"/>
  <c r="E112" i="13"/>
  <c r="C112" i="13"/>
  <c r="D112" i="13"/>
  <c r="F123" i="13"/>
  <c r="E123" i="13"/>
  <c r="B123" i="13"/>
  <c r="C123" i="13"/>
  <c r="D123" i="13"/>
  <c r="F55" i="13"/>
  <c r="C55" i="13"/>
  <c r="D55" i="13"/>
  <c r="E55" i="13"/>
  <c r="B55" i="13"/>
  <c r="F117" i="13"/>
  <c r="B117" i="13"/>
  <c r="E117" i="13"/>
  <c r="C117" i="13"/>
  <c r="D117" i="13"/>
  <c r="F62" i="13"/>
  <c r="E62" i="13"/>
  <c r="B62" i="13"/>
  <c r="C62" i="13"/>
  <c r="D62" i="13"/>
  <c r="F181" i="13"/>
  <c r="E181" i="13"/>
  <c r="B181" i="13"/>
  <c r="C181" i="13"/>
  <c r="D181" i="13"/>
  <c r="F4" i="13"/>
  <c r="D4" i="13"/>
  <c r="E4" i="13"/>
  <c r="C4" i="13"/>
  <c r="B4" i="13"/>
  <c r="L4" i="13" s="1"/>
  <c r="F160" i="13"/>
  <c r="B160" i="13"/>
  <c r="C160" i="13"/>
  <c r="E160" i="13"/>
  <c r="D160" i="13"/>
  <c r="F71" i="13"/>
  <c r="C71" i="13"/>
  <c r="D71" i="13"/>
  <c r="E71" i="13"/>
  <c r="B71" i="13"/>
  <c r="F83" i="13"/>
  <c r="E83" i="13"/>
  <c r="B83" i="13"/>
  <c r="C83" i="13"/>
  <c r="D83" i="13"/>
  <c r="F29" i="13"/>
  <c r="B29" i="13"/>
  <c r="E29" i="13"/>
  <c r="C29" i="13"/>
  <c r="D29" i="13"/>
  <c r="F118" i="13"/>
  <c r="E118" i="13"/>
  <c r="D118" i="13"/>
  <c r="B118" i="13"/>
  <c r="L118" i="13" s="1"/>
  <c r="C118" i="13"/>
  <c r="F177" i="13"/>
  <c r="C177" i="13"/>
  <c r="D177" i="13"/>
  <c r="E177" i="13"/>
  <c r="B177" i="13"/>
  <c r="L177" i="13" s="1"/>
  <c r="F180" i="13"/>
  <c r="E180" i="13"/>
  <c r="B180" i="13"/>
  <c r="C180" i="13"/>
  <c r="D180" i="13"/>
  <c r="F163" i="13"/>
  <c r="E163" i="13"/>
  <c r="B163" i="13"/>
  <c r="C163" i="13"/>
  <c r="D163" i="13"/>
  <c r="F152" i="13"/>
  <c r="E152" i="13"/>
  <c r="B152" i="13"/>
  <c r="C152" i="13"/>
  <c r="D152" i="13"/>
  <c r="F24" i="13"/>
  <c r="B24" i="13"/>
  <c r="C24" i="13"/>
  <c r="D24" i="13"/>
  <c r="E24" i="13"/>
  <c r="F149" i="13"/>
  <c r="E149" i="13"/>
  <c r="B149" i="13"/>
  <c r="C149" i="13"/>
  <c r="D149" i="13"/>
  <c r="F28" i="13"/>
  <c r="D28" i="13"/>
  <c r="E28" i="13"/>
  <c r="C28" i="13"/>
  <c r="B28" i="13"/>
  <c r="F111" i="13"/>
  <c r="C111" i="13"/>
  <c r="D111" i="13"/>
  <c r="E111" i="13"/>
  <c r="B111" i="13"/>
  <c r="F64" i="13"/>
  <c r="B64" i="13"/>
  <c r="C64" i="13"/>
  <c r="D64" i="13"/>
  <c r="E64" i="13"/>
  <c r="F190" i="13"/>
  <c r="E190" i="13"/>
  <c r="D190" i="13"/>
  <c r="B190" i="13"/>
  <c r="L190" i="13" s="1"/>
  <c r="C190" i="13"/>
  <c r="F154" i="13"/>
  <c r="E154" i="13"/>
  <c r="B154" i="13"/>
  <c r="L154" i="13" s="1"/>
  <c r="C154" i="13"/>
  <c r="D154" i="13"/>
  <c r="F107" i="13"/>
  <c r="E107" i="13"/>
  <c r="B107" i="13"/>
  <c r="C107" i="13"/>
  <c r="D107" i="13"/>
  <c r="F199" i="13"/>
  <c r="E199" i="13"/>
  <c r="B199" i="13"/>
  <c r="C199" i="13"/>
  <c r="D199" i="13"/>
  <c r="F39" i="13"/>
  <c r="C39" i="13"/>
  <c r="D39" i="13"/>
  <c r="E39" i="13"/>
  <c r="B39" i="13"/>
  <c r="F50" i="13"/>
  <c r="B50" i="13"/>
  <c r="L50" i="13" s="1"/>
  <c r="C50" i="13"/>
  <c r="D50" i="13"/>
  <c r="E50" i="13"/>
  <c r="F25" i="13"/>
  <c r="D25" i="13"/>
  <c r="B25" i="13"/>
  <c r="L25" i="13" s="1"/>
  <c r="C25" i="13"/>
  <c r="E25" i="13"/>
  <c r="F155" i="13"/>
  <c r="E155" i="13"/>
  <c r="B155" i="13"/>
  <c r="C155" i="13"/>
  <c r="D155" i="13"/>
  <c r="F198" i="13"/>
  <c r="E198" i="13"/>
  <c r="D198" i="13"/>
  <c r="B198" i="13"/>
  <c r="C198" i="13"/>
  <c r="F101" i="13"/>
  <c r="B101" i="13"/>
  <c r="L101" i="13" s="1"/>
  <c r="E101" i="13"/>
  <c r="C101" i="13"/>
  <c r="D101" i="13"/>
  <c r="F46" i="13"/>
  <c r="E46" i="13"/>
  <c r="B46" i="13"/>
  <c r="L46" i="13" s="1"/>
  <c r="C46" i="13"/>
  <c r="D46" i="13"/>
  <c r="F165" i="13"/>
  <c r="E165" i="13"/>
  <c r="B165" i="13"/>
  <c r="C165" i="13"/>
  <c r="D165" i="13"/>
  <c r="F127" i="13"/>
  <c r="C127" i="13"/>
  <c r="E127" i="13"/>
  <c r="B127" i="13"/>
  <c r="D127" i="13"/>
  <c r="F219" i="13"/>
  <c r="E219" i="13"/>
  <c r="B219" i="13"/>
  <c r="L219" i="13" s="1"/>
  <c r="D219" i="13"/>
  <c r="C219" i="13"/>
  <c r="F43" i="13"/>
  <c r="E43" i="13"/>
  <c r="B43" i="13"/>
  <c r="L43" i="13" s="1"/>
  <c r="C43" i="13"/>
  <c r="D43" i="13"/>
  <c r="F218" i="13"/>
  <c r="E218" i="13"/>
  <c r="B218" i="13"/>
  <c r="C218" i="13"/>
  <c r="D218" i="13"/>
  <c r="F60" i="13"/>
  <c r="D60" i="13"/>
  <c r="E60" i="13"/>
  <c r="C60" i="13"/>
  <c r="B60" i="13"/>
  <c r="F6" i="13"/>
  <c r="E6" i="13"/>
  <c r="B6" i="13"/>
  <c r="C6" i="13"/>
  <c r="D6" i="13"/>
  <c r="F136" i="13"/>
  <c r="B136" i="13"/>
  <c r="E136" i="13"/>
  <c r="D136" i="13"/>
  <c r="C136" i="13"/>
  <c r="F148" i="13"/>
  <c r="E148" i="13"/>
  <c r="B148" i="13"/>
  <c r="L148" i="13" s="1"/>
  <c r="C148" i="13"/>
  <c r="D148" i="13"/>
  <c r="F54" i="13"/>
  <c r="E54" i="13"/>
  <c r="B54" i="13"/>
  <c r="C54" i="13"/>
  <c r="D54" i="13"/>
  <c r="F174" i="13"/>
  <c r="E174" i="13"/>
  <c r="D174" i="13"/>
  <c r="B174" i="13"/>
  <c r="C174" i="13"/>
  <c r="F23" i="13"/>
  <c r="C23" i="13"/>
  <c r="D23" i="13"/>
  <c r="E23" i="13"/>
  <c r="B23" i="13"/>
  <c r="F26" i="13"/>
  <c r="B26" i="13"/>
  <c r="C26" i="13"/>
  <c r="D26" i="13"/>
  <c r="E26" i="13"/>
  <c r="F27" i="13"/>
  <c r="E27" i="13"/>
  <c r="B27" i="13"/>
  <c r="C27" i="13"/>
  <c r="D27" i="13"/>
  <c r="F9" i="13"/>
  <c r="D9" i="13"/>
  <c r="E9" i="13"/>
  <c r="B9" i="13"/>
  <c r="C9" i="13"/>
  <c r="F216" i="13"/>
  <c r="C216" i="13"/>
  <c r="E216" i="13"/>
  <c r="B216" i="13"/>
  <c r="D216" i="13"/>
  <c r="F138" i="13"/>
  <c r="B138" i="13"/>
  <c r="D138" i="13"/>
  <c r="E138" i="13"/>
  <c r="C138" i="13"/>
  <c r="F89" i="13"/>
  <c r="B89" i="13"/>
  <c r="L89" i="13" s="1"/>
  <c r="C89" i="13"/>
  <c r="D89" i="13"/>
  <c r="E89" i="13"/>
  <c r="F184" i="13"/>
  <c r="C184" i="13"/>
  <c r="E184" i="13"/>
  <c r="B184" i="13"/>
  <c r="D184" i="13"/>
  <c r="F145" i="13"/>
  <c r="C145" i="13"/>
  <c r="D145" i="13"/>
  <c r="E145" i="13"/>
  <c r="B145" i="13"/>
  <c r="F75" i="13"/>
  <c r="E75" i="13"/>
  <c r="B75" i="13"/>
  <c r="D75" i="13"/>
  <c r="C75" i="13"/>
  <c r="E234" i="13"/>
  <c r="B234" i="13"/>
  <c r="L234" i="13" s="1"/>
  <c r="C234" i="13"/>
  <c r="D234" i="13"/>
  <c r="E229" i="13"/>
  <c r="D229" i="13"/>
  <c r="B229" i="13"/>
  <c r="C229" i="13"/>
  <c r="C224" i="13"/>
  <c r="B224" i="13"/>
  <c r="E224" i="13"/>
  <c r="D224" i="13"/>
  <c r="E228" i="13"/>
  <c r="B228" i="13"/>
  <c r="L228" i="13" s="1"/>
  <c r="C228" i="13"/>
  <c r="D228" i="13"/>
  <c r="E231" i="13"/>
  <c r="B231" i="13"/>
  <c r="C231" i="13"/>
  <c r="D231" i="13"/>
  <c r="E230" i="13"/>
  <c r="D230" i="13"/>
  <c r="B230" i="13"/>
  <c r="C230" i="13"/>
  <c r="C241" i="13"/>
  <c r="D241" i="13"/>
  <c r="E241" i="13"/>
  <c r="B241" i="13"/>
  <c r="L241" i="13" s="1"/>
  <c r="E240" i="13"/>
  <c r="B240" i="13"/>
  <c r="C240" i="13"/>
  <c r="D240" i="13"/>
  <c r="E238" i="13"/>
  <c r="D238" i="13"/>
  <c r="B238" i="13"/>
  <c r="C238" i="13"/>
  <c r="E223" i="13"/>
  <c r="B223" i="13"/>
  <c r="C223" i="13"/>
  <c r="D223" i="13"/>
  <c r="E222" i="13"/>
  <c r="D222" i="13"/>
  <c r="B222" i="13"/>
  <c r="C222" i="13"/>
  <c r="C233" i="13"/>
  <c r="E233" i="13"/>
  <c r="D233" i="13"/>
  <c r="B233" i="13"/>
  <c r="E226" i="13"/>
  <c r="B226" i="13"/>
  <c r="C226" i="13"/>
  <c r="D226" i="13"/>
  <c r="E227" i="13"/>
  <c r="B227" i="13"/>
  <c r="L227" i="13" s="1"/>
  <c r="C227" i="13"/>
  <c r="D227" i="13"/>
  <c r="E235" i="13"/>
  <c r="B235" i="13"/>
  <c r="L235" i="13" s="1"/>
  <c r="D235" i="13"/>
  <c r="C235" i="13"/>
  <c r="E237" i="13"/>
  <c r="B237" i="13"/>
  <c r="L237" i="13" s="1"/>
  <c r="C237" i="13"/>
  <c r="D237" i="13"/>
  <c r="E236" i="13"/>
  <c r="B236" i="13"/>
  <c r="L236" i="13" s="1"/>
  <c r="C236" i="13"/>
  <c r="D236" i="13"/>
  <c r="E239" i="13"/>
  <c r="B239" i="13"/>
  <c r="C239" i="13"/>
  <c r="D239" i="13"/>
  <c r="E232" i="13"/>
  <c r="B232" i="13"/>
  <c r="L232" i="13" s="1"/>
  <c r="C232" i="13"/>
  <c r="D232" i="13"/>
  <c r="E252" i="13"/>
  <c r="D252" i="13"/>
  <c r="B252" i="13"/>
  <c r="L252" i="13" s="1"/>
  <c r="C252" i="13"/>
  <c r="E243" i="13"/>
  <c r="D243" i="13"/>
  <c r="C243" i="13"/>
  <c r="B243" i="13"/>
  <c r="E251" i="13"/>
  <c r="B251" i="13"/>
  <c r="C251" i="13"/>
  <c r="D251" i="13"/>
  <c r="E246" i="13"/>
  <c r="D246" i="13"/>
  <c r="C246" i="13"/>
  <c r="B246" i="13"/>
  <c r="E247" i="13"/>
  <c r="B247" i="13"/>
  <c r="C247" i="13"/>
  <c r="D247" i="13"/>
  <c r="E250" i="13"/>
  <c r="B250" i="13"/>
  <c r="C250" i="13"/>
  <c r="D250" i="13"/>
  <c r="E248" i="13"/>
  <c r="B248" i="13"/>
  <c r="C248" i="13"/>
  <c r="D248" i="13"/>
  <c r="E244" i="13"/>
  <c r="B244" i="13"/>
  <c r="C244" i="13"/>
  <c r="D244" i="13"/>
  <c r="E253" i="13"/>
  <c r="C253" i="13"/>
  <c r="B253" i="13"/>
  <c r="D253" i="13"/>
  <c r="E249" i="13"/>
  <c r="B249" i="13"/>
  <c r="C249" i="13"/>
  <c r="D249" i="13"/>
  <c r="E242" i="13"/>
  <c r="B242" i="13"/>
  <c r="C242" i="13"/>
  <c r="D242" i="13"/>
  <c r="E245" i="13"/>
  <c r="B245" i="13"/>
  <c r="C245" i="13"/>
  <c r="D245" i="13"/>
  <c r="E260" i="15"/>
  <c r="L260" i="15"/>
  <c r="K260" i="15"/>
  <c r="D260" i="15"/>
  <c r="C260" i="15"/>
  <c r="C264" i="15"/>
  <c r="D264" i="15"/>
  <c r="E264" i="15"/>
  <c r="L264" i="15"/>
  <c r="K264" i="15"/>
  <c r="D266" i="15"/>
  <c r="E266" i="15"/>
  <c r="C266" i="15"/>
  <c r="K266" i="15"/>
  <c r="L266" i="15"/>
  <c r="K265" i="15"/>
  <c r="C265" i="15"/>
  <c r="L265" i="15"/>
  <c r="D265" i="15"/>
  <c r="E265" i="15"/>
  <c r="K255" i="15"/>
  <c r="E255" i="15"/>
  <c r="L255" i="15"/>
  <c r="C255" i="15"/>
  <c r="D255" i="15"/>
  <c r="E263" i="15"/>
  <c r="C263" i="15"/>
  <c r="D263" i="15"/>
  <c r="L263" i="15"/>
  <c r="K263" i="15"/>
  <c r="C261" i="15"/>
  <c r="D261" i="15"/>
  <c r="E261" i="15"/>
  <c r="L261" i="15"/>
  <c r="K261" i="15"/>
  <c r="L262" i="15"/>
  <c r="D262" i="15"/>
  <c r="E262" i="15"/>
  <c r="K262" i="15"/>
  <c r="C262" i="15"/>
  <c r="K257" i="15"/>
  <c r="C257" i="15"/>
  <c r="L257" i="15"/>
  <c r="D257" i="15"/>
  <c r="E257" i="15"/>
  <c r="L254" i="15"/>
  <c r="D254" i="15"/>
  <c r="E254" i="15"/>
  <c r="K254" i="15"/>
  <c r="C254" i="15"/>
  <c r="E258" i="15"/>
  <c r="C258" i="15"/>
  <c r="K258" i="15"/>
  <c r="D258" i="15"/>
  <c r="L258" i="15"/>
  <c r="K259" i="15"/>
  <c r="C259" i="15"/>
  <c r="L259" i="15"/>
  <c r="D259" i="15"/>
  <c r="E259" i="15"/>
  <c r="D256" i="15"/>
  <c r="K256" i="15"/>
  <c r="E256" i="15"/>
  <c r="L256" i="15"/>
  <c r="C256" i="15"/>
  <c r="K253" i="15"/>
  <c r="D253" i="15"/>
  <c r="E253" i="15"/>
  <c r="C253" i="15"/>
  <c r="L253" i="15"/>
  <c r="L252" i="15"/>
  <c r="D252" i="15"/>
  <c r="K252" i="15"/>
  <c r="C252" i="15"/>
  <c r="E252" i="15"/>
  <c r="F231" i="13"/>
  <c r="L231" i="13"/>
  <c r="F250" i="13"/>
  <c r="F253" i="13"/>
  <c r="F242" i="13"/>
  <c r="F236" i="13"/>
  <c r="F239" i="13"/>
  <c r="F232" i="13"/>
  <c r="F248" i="13"/>
  <c r="F234" i="13"/>
  <c r="F229" i="13"/>
  <c r="F228" i="13"/>
  <c r="F237" i="13"/>
  <c r="F244" i="13"/>
  <c r="F245" i="13"/>
  <c r="F238" i="13"/>
  <c r="F252" i="13"/>
  <c r="F224" i="13"/>
  <c r="L224" i="13"/>
  <c r="F230" i="13"/>
  <c r="L230" i="13"/>
  <c r="F240" i="13"/>
  <c r="F227" i="13"/>
  <c r="F243" i="13"/>
  <c r="F223" i="13"/>
  <c r="L223" i="13"/>
  <c r="F222" i="13"/>
  <c r="L222" i="13"/>
  <c r="F251" i="13"/>
  <c r="F249" i="13"/>
  <c r="F241" i="13"/>
  <c r="F233" i="13"/>
  <c r="F226" i="13"/>
  <c r="L226" i="13"/>
  <c r="F235" i="13"/>
  <c r="F246" i="13"/>
  <c r="F247" i="13"/>
  <c r="D242" i="15"/>
  <c r="K242" i="15"/>
  <c r="E242" i="15"/>
  <c r="L242" i="15"/>
  <c r="C242" i="15"/>
  <c r="C245" i="15"/>
  <c r="D245" i="15"/>
  <c r="K245" i="15"/>
  <c r="L245" i="15"/>
  <c r="E245" i="15"/>
  <c r="E246" i="15"/>
  <c r="K246" i="15"/>
  <c r="L246" i="15"/>
  <c r="C246" i="15"/>
  <c r="D246" i="15"/>
  <c r="D251" i="15"/>
  <c r="E251" i="15"/>
  <c r="L251" i="15"/>
  <c r="C251" i="15"/>
  <c r="K251" i="15"/>
  <c r="C249" i="15"/>
  <c r="E249" i="15"/>
  <c r="L249" i="15"/>
  <c r="D249" i="15"/>
  <c r="K249" i="15"/>
  <c r="C250" i="15"/>
  <c r="L250" i="15"/>
  <c r="K250" i="15"/>
  <c r="E250" i="15"/>
  <c r="D250" i="15"/>
  <c r="K247" i="15"/>
  <c r="C247" i="15"/>
  <c r="D247" i="15"/>
  <c r="E247" i="15"/>
  <c r="L247" i="15"/>
  <c r="L244" i="15"/>
  <c r="E244" i="15"/>
  <c r="D244" i="15"/>
  <c r="C244" i="15"/>
  <c r="K244" i="15"/>
  <c r="L243" i="15"/>
  <c r="D243" i="15"/>
  <c r="K243" i="15"/>
  <c r="C243" i="15"/>
  <c r="E243" i="15"/>
  <c r="E248" i="15"/>
  <c r="C248" i="15"/>
  <c r="L248" i="15"/>
  <c r="K248" i="15"/>
  <c r="D248" i="15"/>
  <c r="H95" i="13"/>
  <c r="K95" i="13" s="1"/>
  <c r="C40" i="4"/>
  <c r="E40" i="4" s="1"/>
  <c r="C38" i="4"/>
  <c r="E38" i="4" s="1"/>
  <c r="C39" i="4"/>
  <c r="E39" i="4" s="1"/>
  <c r="H229" i="13"/>
  <c r="K229" i="13" s="1"/>
  <c r="H97" i="8"/>
  <c r="C188" i="15"/>
  <c r="D188" i="15"/>
  <c r="E188" i="15"/>
  <c r="C45" i="15"/>
  <c r="D45" i="15"/>
  <c r="E45" i="15"/>
  <c r="C109" i="15"/>
  <c r="D109" i="15"/>
  <c r="E109" i="15"/>
  <c r="C81" i="15"/>
  <c r="D81" i="15"/>
  <c r="E81" i="15"/>
  <c r="C66" i="15"/>
  <c r="D66" i="15"/>
  <c r="E66" i="15"/>
  <c r="C108" i="15"/>
  <c r="D108" i="15"/>
  <c r="E108" i="15"/>
  <c r="C180" i="15"/>
  <c r="D180" i="15"/>
  <c r="E180" i="15"/>
  <c r="C131" i="15"/>
  <c r="D131" i="15"/>
  <c r="E131" i="15"/>
  <c r="C140" i="15"/>
  <c r="D140" i="15"/>
  <c r="E140" i="15"/>
  <c r="C47" i="15"/>
  <c r="D47" i="15"/>
  <c r="E47" i="15"/>
  <c r="C198" i="15"/>
  <c r="D198" i="15"/>
  <c r="E198" i="15"/>
  <c r="C85" i="15"/>
  <c r="D85" i="15"/>
  <c r="E85" i="15"/>
  <c r="C210" i="15"/>
  <c r="D210" i="15"/>
  <c r="E210" i="15"/>
  <c r="C46" i="15"/>
  <c r="D46" i="15"/>
  <c r="E46" i="15"/>
  <c r="C5" i="15"/>
  <c r="D5" i="15"/>
  <c r="E5" i="15"/>
  <c r="C121" i="15"/>
  <c r="D121" i="15"/>
  <c r="E121" i="15"/>
  <c r="C166" i="15"/>
  <c r="D166" i="15"/>
  <c r="E166" i="15"/>
  <c r="C113" i="15"/>
  <c r="D113" i="15"/>
  <c r="E113" i="15"/>
  <c r="C65" i="15"/>
  <c r="D65" i="15"/>
  <c r="E65" i="15"/>
  <c r="C227" i="15"/>
  <c r="D227" i="15"/>
  <c r="E227" i="15"/>
  <c r="C37" i="15"/>
  <c r="D37" i="15"/>
  <c r="E37" i="15"/>
  <c r="C218" i="15"/>
  <c r="D218" i="15"/>
  <c r="E218" i="15"/>
  <c r="C170" i="15"/>
  <c r="D170" i="15"/>
  <c r="E170" i="15"/>
  <c r="C234" i="15"/>
  <c r="D234" i="15"/>
  <c r="E234" i="15"/>
  <c r="C50" i="15"/>
  <c r="D50" i="15"/>
  <c r="E50" i="15"/>
  <c r="C208" i="15"/>
  <c r="D208" i="15"/>
  <c r="E208" i="15"/>
  <c r="C135" i="15"/>
  <c r="D135" i="15"/>
  <c r="E135" i="15"/>
  <c r="C25" i="15"/>
  <c r="D25" i="15"/>
  <c r="E25" i="15"/>
  <c r="C153" i="15"/>
  <c r="D153" i="15"/>
  <c r="E153" i="15"/>
  <c r="C42" i="15"/>
  <c r="D42" i="15"/>
  <c r="E42" i="15"/>
  <c r="C78" i="15"/>
  <c r="D78" i="15"/>
  <c r="E78" i="15"/>
  <c r="C61" i="15"/>
  <c r="D61" i="15"/>
  <c r="E61" i="15"/>
  <c r="C232" i="15"/>
  <c r="D232" i="15"/>
  <c r="E232" i="15"/>
  <c r="C75" i="15"/>
  <c r="D75" i="15"/>
  <c r="E75" i="15"/>
  <c r="C110" i="15"/>
  <c r="D110" i="15"/>
  <c r="E110" i="15"/>
  <c r="C189" i="15"/>
  <c r="D189" i="15"/>
  <c r="E189" i="15"/>
  <c r="C19" i="15"/>
  <c r="D19" i="15"/>
  <c r="E19" i="15"/>
  <c r="C181" i="15"/>
  <c r="D181" i="15"/>
  <c r="E181" i="15"/>
  <c r="C34" i="15"/>
  <c r="D34" i="15"/>
  <c r="E34" i="15"/>
  <c r="C172" i="15"/>
  <c r="D172" i="15"/>
  <c r="E172" i="15"/>
  <c r="C89" i="15"/>
  <c r="D89" i="15"/>
  <c r="E89" i="15"/>
  <c r="C41" i="15"/>
  <c r="D41" i="15"/>
  <c r="E41" i="15"/>
  <c r="C24" i="15"/>
  <c r="D24" i="15"/>
  <c r="E24" i="15"/>
  <c r="C237" i="15"/>
  <c r="D237" i="15"/>
  <c r="E237" i="15"/>
  <c r="C102" i="15"/>
  <c r="D102" i="15"/>
  <c r="E102" i="15"/>
  <c r="C12" i="15"/>
  <c r="D12" i="15"/>
  <c r="E12" i="15"/>
  <c r="C162" i="15"/>
  <c r="D162" i="15"/>
  <c r="E162" i="15"/>
  <c r="C83" i="15"/>
  <c r="D83" i="15"/>
  <c r="E83" i="15"/>
  <c r="C40" i="15"/>
  <c r="D40" i="15"/>
  <c r="E40" i="15"/>
  <c r="C107" i="15"/>
  <c r="D107" i="15"/>
  <c r="E107" i="15"/>
  <c r="C225" i="15"/>
  <c r="D225" i="15"/>
  <c r="E225" i="15"/>
  <c r="C164" i="15"/>
  <c r="D164" i="15"/>
  <c r="E164" i="15"/>
  <c r="C39" i="15"/>
  <c r="D39" i="15"/>
  <c r="E39" i="15"/>
  <c r="C119" i="15"/>
  <c r="D119" i="15"/>
  <c r="E119" i="15"/>
  <c r="C44" i="15"/>
  <c r="D44" i="15"/>
  <c r="E44" i="15"/>
  <c r="C220" i="15"/>
  <c r="D220" i="15"/>
  <c r="E220" i="15"/>
  <c r="C154" i="15"/>
  <c r="D154" i="15"/>
  <c r="E154" i="15"/>
  <c r="C134" i="15"/>
  <c r="D134" i="15"/>
  <c r="E134" i="15"/>
  <c r="C136" i="15"/>
  <c r="D136" i="15"/>
  <c r="E136" i="15"/>
  <c r="C104" i="15"/>
  <c r="D104" i="15"/>
  <c r="E104" i="15"/>
  <c r="C205" i="15"/>
  <c r="D205" i="15"/>
  <c r="E205" i="15"/>
  <c r="C58" i="15"/>
  <c r="D58" i="15"/>
  <c r="E58" i="15"/>
  <c r="C79" i="15"/>
  <c r="D79" i="15"/>
  <c r="E79" i="15"/>
  <c r="C123" i="15"/>
  <c r="D123" i="15"/>
  <c r="E123" i="15"/>
  <c r="C219" i="15"/>
  <c r="D219" i="15"/>
  <c r="E219" i="15"/>
  <c r="C48" i="15"/>
  <c r="D48" i="15"/>
  <c r="E48" i="15"/>
  <c r="C93" i="15"/>
  <c r="D93" i="15"/>
  <c r="E93" i="15"/>
  <c r="C152" i="15"/>
  <c r="D152" i="15"/>
  <c r="E152" i="15"/>
  <c r="C29" i="15"/>
  <c r="D29" i="15"/>
  <c r="E29" i="15"/>
  <c r="C145" i="15"/>
  <c r="D145" i="15"/>
  <c r="E145" i="15"/>
  <c r="C190" i="15"/>
  <c r="D190" i="15"/>
  <c r="E190" i="15"/>
  <c r="C137" i="15"/>
  <c r="D137" i="15"/>
  <c r="E137" i="15"/>
  <c r="C221" i="15"/>
  <c r="D221" i="15"/>
  <c r="E221" i="15"/>
  <c r="C2" i="15"/>
  <c r="E2" i="15"/>
  <c r="D2" i="15"/>
  <c r="C117" i="15"/>
  <c r="D117" i="15"/>
  <c r="E117" i="15"/>
  <c r="C36" i="15"/>
  <c r="D36" i="15"/>
  <c r="E36" i="15"/>
  <c r="C214" i="15"/>
  <c r="D214" i="15"/>
  <c r="E214" i="15"/>
  <c r="C115" i="15"/>
  <c r="D115" i="15"/>
  <c r="E115" i="15"/>
  <c r="C159" i="15"/>
  <c r="D159" i="15"/>
  <c r="E159" i="15"/>
  <c r="C173" i="15"/>
  <c r="D173" i="15"/>
  <c r="E173" i="15"/>
  <c r="C26" i="15"/>
  <c r="D26" i="15"/>
  <c r="E26" i="15"/>
  <c r="C129" i="15"/>
  <c r="D129" i="15"/>
  <c r="E129" i="15"/>
  <c r="C55" i="15"/>
  <c r="D55" i="15"/>
  <c r="E55" i="15"/>
  <c r="C23" i="15"/>
  <c r="D23" i="15"/>
  <c r="E23" i="15"/>
  <c r="C195" i="15"/>
  <c r="D195" i="15"/>
  <c r="E195" i="15"/>
  <c r="C202" i="15"/>
  <c r="D202" i="15"/>
  <c r="E202" i="15"/>
  <c r="C187" i="15"/>
  <c r="D187" i="15"/>
  <c r="E187" i="15"/>
  <c r="C226" i="15"/>
  <c r="D226" i="15"/>
  <c r="E226" i="15"/>
  <c r="C57" i="15"/>
  <c r="D57" i="15"/>
  <c r="E57" i="15"/>
  <c r="C101" i="15"/>
  <c r="D101" i="15"/>
  <c r="E101" i="15"/>
  <c r="C158" i="15"/>
  <c r="D158" i="15"/>
  <c r="E158" i="15"/>
  <c r="C59" i="15"/>
  <c r="D59" i="15"/>
  <c r="E59" i="15"/>
  <c r="C33" i="15"/>
  <c r="D33" i="15"/>
  <c r="E33" i="15"/>
  <c r="C94" i="15"/>
  <c r="D94" i="15"/>
  <c r="E94" i="15"/>
  <c r="C96" i="15"/>
  <c r="D96" i="15"/>
  <c r="E96" i="15"/>
  <c r="C67" i="15"/>
  <c r="D67" i="15"/>
  <c r="E67" i="15"/>
  <c r="C235" i="15"/>
  <c r="D235" i="15"/>
  <c r="E235" i="15"/>
  <c r="C196" i="15"/>
  <c r="D196" i="15"/>
  <c r="E196" i="15"/>
  <c r="C223" i="15"/>
  <c r="D223" i="15"/>
  <c r="E223" i="15"/>
  <c r="C100" i="15"/>
  <c r="D100" i="15"/>
  <c r="E100" i="15"/>
  <c r="C20" i="15"/>
  <c r="D20" i="15"/>
  <c r="E20" i="15"/>
  <c r="C215" i="15"/>
  <c r="D215" i="15"/>
  <c r="E215" i="15"/>
  <c r="C216" i="15"/>
  <c r="D216" i="15"/>
  <c r="E216" i="15"/>
  <c r="C64" i="15"/>
  <c r="D64" i="15"/>
  <c r="E64" i="15"/>
  <c r="C63" i="15"/>
  <c r="D63" i="15"/>
  <c r="E63" i="15"/>
  <c r="C106" i="15"/>
  <c r="D106" i="15"/>
  <c r="E106" i="15"/>
  <c r="C211" i="15"/>
  <c r="D211" i="15"/>
  <c r="E211" i="15"/>
  <c r="C7" i="15"/>
  <c r="D7" i="15"/>
  <c r="E7" i="15"/>
  <c r="C72" i="15"/>
  <c r="D72" i="15"/>
  <c r="E72" i="15"/>
  <c r="C14" i="15"/>
  <c r="D14" i="15"/>
  <c r="E14" i="15"/>
  <c r="C35" i="15"/>
  <c r="D35" i="15"/>
  <c r="E35" i="15"/>
  <c r="C88" i="15"/>
  <c r="D88" i="15"/>
  <c r="E88" i="15"/>
  <c r="C95" i="15"/>
  <c r="D95" i="15"/>
  <c r="E95" i="15"/>
  <c r="C90" i="15"/>
  <c r="D90" i="15"/>
  <c r="E90" i="15"/>
  <c r="C142" i="15"/>
  <c r="D142" i="15"/>
  <c r="E142" i="15"/>
  <c r="C193" i="15"/>
  <c r="D193" i="15"/>
  <c r="E193" i="15"/>
  <c r="D176" i="15"/>
  <c r="E176" i="15"/>
  <c r="C32" i="15"/>
  <c r="D32" i="15"/>
  <c r="E32" i="15"/>
  <c r="C138" i="15"/>
  <c r="D138" i="15"/>
  <c r="E138" i="15"/>
  <c r="C120" i="15"/>
  <c r="D120" i="15"/>
  <c r="E120" i="15"/>
  <c r="C10" i="15"/>
  <c r="D10" i="15"/>
  <c r="E10" i="15"/>
  <c r="C148" i="15"/>
  <c r="D148" i="15"/>
  <c r="E148" i="15"/>
  <c r="C128" i="15"/>
  <c r="D128" i="15"/>
  <c r="E128" i="15"/>
  <c r="C17" i="15"/>
  <c r="D17" i="15"/>
  <c r="E17" i="15"/>
  <c r="C133" i="15"/>
  <c r="D133" i="15"/>
  <c r="E133" i="15"/>
  <c r="C8" i="15"/>
  <c r="D8" i="15"/>
  <c r="E8" i="15"/>
  <c r="C125" i="15"/>
  <c r="D125" i="15"/>
  <c r="E125" i="15"/>
  <c r="C169" i="15"/>
  <c r="D169" i="15"/>
  <c r="E169" i="15"/>
  <c r="C239" i="15"/>
  <c r="D239" i="15"/>
  <c r="E239" i="15"/>
  <c r="C99" i="15"/>
  <c r="D99" i="15"/>
  <c r="E99" i="15"/>
  <c r="C224" i="15"/>
  <c r="D224" i="15"/>
  <c r="E224" i="15"/>
  <c r="C229" i="15"/>
  <c r="D229" i="15"/>
  <c r="E229" i="15"/>
  <c r="C53" i="15"/>
  <c r="D53" i="15"/>
  <c r="E53" i="15"/>
  <c r="C156" i="15"/>
  <c r="D156" i="15"/>
  <c r="E156" i="15"/>
  <c r="C43" i="15"/>
  <c r="D43" i="15"/>
  <c r="E43" i="15"/>
  <c r="C38" i="15"/>
  <c r="D38" i="15"/>
  <c r="E38" i="15"/>
  <c r="C194" i="15"/>
  <c r="D194" i="15"/>
  <c r="E194" i="15"/>
  <c r="C236" i="15"/>
  <c r="D236" i="15"/>
  <c r="E236" i="15"/>
  <c r="C124" i="15"/>
  <c r="D124" i="15"/>
  <c r="E124" i="15"/>
  <c r="C161" i="15"/>
  <c r="D161" i="15"/>
  <c r="E161" i="15"/>
  <c r="C6" i="15"/>
  <c r="D6" i="15"/>
  <c r="E6" i="15"/>
  <c r="C112" i="15"/>
  <c r="D112" i="15"/>
  <c r="E112" i="15"/>
  <c r="C118" i="15"/>
  <c r="D118" i="15"/>
  <c r="E118" i="15"/>
  <c r="C87" i="15"/>
  <c r="D87" i="15"/>
  <c r="E87" i="15"/>
  <c r="C130" i="15"/>
  <c r="D130" i="15"/>
  <c r="E130" i="15"/>
  <c r="C213" i="15"/>
  <c r="D213" i="15"/>
  <c r="E213" i="15"/>
  <c r="C185" i="15"/>
  <c r="D185" i="15"/>
  <c r="E185" i="15"/>
  <c r="C30" i="15"/>
  <c r="D30" i="15"/>
  <c r="E30" i="15"/>
  <c r="C203" i="15"/>
  <c r="D203" i="15"/>
  <c r="E203" i="15"/>
  <c r="C201" i="15"/>
  <c r="D201" i="15"/>
  <c r="E201" i="15"/>
  <c r="C174" i="15"/>
  <c r="D174" i="15"/>
  <c r="E174" i="15"/>
  <c r="C3" i="15"/>
  <c r="D3" i="15"/>
  <c r="E3" i="15"/>
  <c r="C13" i="15"/>
  <c r="D13" i="15"/>
  <c r="E13" i="15"/>
  <c r="C31" i="15"/>
  <c r="D31" i="15"/>
  <c r="E31" i="15"/>
  <c r="C21" i="15"/>
  <c r="D21" i="15"/>
  <c r="E21" i="15"/>
  <c r="C217" i="15"/>
  <c r="D217" i="15"/>
  <c r="E217" i="15"/>
  <c r="C186" i="15"/>
  <c r="D186" i="15"/>
  <c r="E186" i="15"/>
  <c r="C231" i="15"/>
  <c r="D231" i="15"/>
  <c r="E231" i="15"/>
  <c r="C60" i="15"/>
  <c r="D60" i="15"/>
  <c r="E60" i="15"/>
  <c r="C141" i="15"/>
  <c r="D141" i="15"/>
  <c r="E141" i="15"/>
  <c r="C139" i="15"/>
  <c r="D139" i="15"/>
  <c r="E139" i="15"/>
  <c r="C183" i="15"/>
  <c r="D183" i="15"/>
  <c r="E183" i="15"/>
  <c r="C182" i="15"/>
  <c r="D182" i="15"/>
  <c r="E182" i="15"/>
  <c r="C155" i="15"/>
  <c r="D155" i="15"/>
  <c r="E155" i="15"/>
  <c r="C92" i="15"/>
  <c r="D92" i="15"/>
  <c r="E92" i="15"/>
  <c r="D4" i="15"/>
  <c r="E4" i="15"/>
  <c r="C28" i="15"/>
  <c r="D28" i="15"/>
  <c r="E28" i="15"/>
  <c r="C191" i="15"/>
  <c r="D191" i="15"/>
  <c r="E191" i="15"/>
  <c r="C204" i="15"/>
  <c r="D204" i="15"/>
  <c r="E204" i="15"/>
  <c r="C240" i="15"/>
  <c r="D240" i="15"/>
  <c r="E240" i="15"/>
  <c r="C147" i="15"/>
  <c r="D147" i="15"/>
  <c r="E147" i="15"/>
  <c r="C98" i="15"/>
  <c r="D98" i="15"/>
  <c r="E98" i="15"/>
  <c r="C144" i="15"/>
  <c r="D144" i="15"/>
  <c r="E144" i="15"/>
  <c r="C179" i="15"/>
  <c r="D179" i="15"/>
  <c r="E179" i="15"/>
  <c r="C127" i="15"/>
  <c r="D127" i="15"/>
  <c r="E127" i="15"/>
  <c r="C171" i="15"/>
  <c r="D171" i="15"/>
  <c r="E171" i="15"/>
  <c r="C241" i="15"/>
  <c r="D241" i="15"/>
  <c r="E241" i="15"/>
  <c r="C143" i="15"/>
  <c r="D143" i="15"/>
  <c r="E143" i="15"/>
  <c r="C9" i="15"/>
  <c r="D9" i="15"/>
  <c r="E9" i="15"/>
  <c r="C52" i="15"/>
  <c r="D52" i="15"/>
  <c r="E52" i="15"/>
  <c r="C168" i="15"/>
  <c r="D168" i="15"/>
  <c r="E168" i="15"/>
  <c r="C86" i="15"/>
  <c r="D86" i="15"/>
  <c r="E86" i="15"/>
  <c r="C111" i="15"/>
  <c r="D111" i="15"/>
  <c r="E111" i="15"/>
  <c r="C167" i="15"/>
  <c r="D167" i="15"/>
  <c r="E167" i="15"/>
  <c r="C11" i="15"/>
  <c r="D11" i="15"/>
  <c r="E11" i="15"/>
  <c r="C209" i="15"/>
  <c r="D209" i="15"/>
  <c r="E209" i="15"/>
  <c r="C84" i="15"/>
  <c r="D84" i="15"/>
  <c r="E84" i="15"/>
  <c r="C200" i="15"/>
  <c r="D200" i="15"/>
  <c r="E200" i="15"/>
  <c r="C91" i="15"/>
  <c r="D91" i="15"/>
  <c r="E91" i="15"/>
  <c r="C116" i="15"/>
  <c r="D116" i="15"/>
  <c r="E116" i="15"/>
  <c r="C122" i="15"/>
  <c r="D122" i="15"/>
  <c r="E122" i="15"/>
  <c r="C230" i="15"/>
  <c r="D230" i="15"/>
  <c r="E230" i="15"/>
  <c r="C105" i="15"/>
  <c r="D105" i="15"/>
  <c r="E105" i="15"/>
  <c r="C22" i="15"/>
  <c r="D22" i="15"/>
  <c r="E22" i="15"/>
  <c r="C74" i="15"/>
  <c r="D74" i="15"/>
  <c r="E74" i="15"/>
  <c r="C49" i="15"/>
  <c r="D49" i="15"/>
  <c r="E49" i="15"/>
  <c r="C68" i="15"/>
  <c r="D68" i="15"/>
  <c r="E68" i="15"/>
  <c r="C233" i="15"/>
  <c r="D233" i="15"/>
  <c r="E233" i="15"/>
  <c r="C160" i="15"/>
  <c r="D160" i="15"/>
  <c r="E160" i="15"/>
  <c r="C126" i="15"/>
  <c r="D126" i="15"/>
  <c r="E126" i="15"/>
  <c r="C206" i="15"/>
  <c r="D206" i="15"/>
  <c r="E206" i="15"/>
  <c r="C177" i="15"/>
  <c r="D177" i="15"/>
  <c r="E177" i="15"/>
  <c r="C114" i="15"/>
  <c r="D114" i="15"/>
  <c r="E114" i="15"/>
  <c r="C197" i="15"/>
  <c r="D197" i="15"/>
  <c r="E197" i="15"/>
  <c r="C15" i="15"/>
  <c r="D15" i="15"/>
  <c r="E15" i="15"/>
  <c r="C212" i="15"/>
  <c r="D212" i="15"/>
  <c r="E212" i="15"/>
  <c r="C207" i="15"/>
  <c r="D207" i="15"/>
  <c r="E207" i="15"/>
  <c r="C150" i="15"/>
  <c r="D150" i="15"/>
  <c r="E150" i="15"/>
  <c r="C82" i="15"/>
  <c r="D82" i="15"/>
  <c r="E82" i="15"/>
  <c r="C103" i="15"/>
  <c r="D103" i="15"/>
  <c r="E103" i="15"/>
  <c r="C165" i="15"/>
  <c r="D165" i="15"/>
  <c r="E165" i="15"/>
  <c r="C69" i="15"/>
  <c r="D69" i="15"/>
  <c r="E69" i="15"/>
  <c r="C16" i="15"/>
  <c r="D16" i="15"/>
  <c r="E16" i="15"/>
  <c r="C146" i="15"/>
  <c r="D146" i="15"/>
  <c r="E146" i="15"/>
  <c r="C71" i="15"/>
  <c r="D71" i="15"/>
  <c r="E71" i="15"/>
  <c r="C184" i="15"/>
  <c r="D184" i="15"/>
  <c r="E184" i="15"/>
  <c r="C228" i="15"/>
  <c r="D228" i="15"/>
  <c r="E228" i="15"/>
  <c r="C73" i="15"/>
  <c r="D73" i="15"/>
  <c r="E73" i="15"/>
  <c r="C62" i="15"/>
  <c r="D62" i="15"/>
  <c r="E62" i="15"/>
  <c r="C18" i="15"/>
  <c r="D18" i="15"/>
  <c r="E18" i="15"/>
  <c r="C54" i="15"/>
  <c r="D54" i="15"/>
  <c r="E54" i="15"/>
  <c r="C178" i="15"/>
  <c r="D178" i="15"/>
  <c r="E178" i="15"/>
  <c r="C56" i="15"/>
  <c r="D56" i="15"/>
  <c r="E56" i="15"/>
  <c r="C70" i="15"/>
  <c r="D70" i="15"/>
  <c r="E70" i="15"/>
  <c r="C51" i="15"/>
  <c r="D51" i="15"/>
  <c r="E51" i="15"/>
  <c r="C151" i="15"/>
  <c r="D151" i="15"/>
  <c r="E151" i="15"/>
  <c r="C149" i="15"/>
  <c r="D149" i="15"/>
  <c r="E149" i="15"/>
  <c r="C132" i="15"/>
  <c r="D132" i="15"/>
  <c r="E132" i="15"/>
  <c r="C80" i="15"/>
  <c r="D80" i="15"/>
  <c r="E80" i="15"/>
  <c r="C175" i="15"/>
  <c r="D175" i="15"/>
  <c r="E175" i="15"/>
  <c r="C76" i="15"/>
  <c r="D76" i="15"/>
  <c r="E76" i="15"/>
  <c r="C192" i="15"/>
  <c r="D192" i="15"/>
  <c r="E192" i="15"/>
  <c r="C163" i="15"/>
  <c r="D163" i="15"/>
  <c r="E163" i="15"/>
  <c r="C199" i="15"/>
  <c r="D199" i="15"/>
  <c r="E199" i="15"/>
  <c r="C27" i="15"/>
  <c r="D27" i="15"/>
  <c r="E27" i="15"/>
  <c r="C97" i="15"/>
  <c r="D97" i="15"/>
  <c r="E97" i="15"/>
  <c r="C222" i="15"/>
  <c r="D222" i="15"/>
  <c r="E222" i="15"/>
  <c r="C77" i="15"/>
  <c r="D77" i="15"/>
  <c r="E77" i="15"/>
  <c r="C157" i="15"/>
  <c r="D157" i="15"/>
  <c r="E157" i="15"/>
  <c r="C238" i="15"/>
  <c r="D238" i="15"/>
  <c r="E238" i="15"/>
  <c r="L4" i="15"/>
  <c r="C4" i="15"/>
  <c r="K176" i="15"/>
  <c r="C176" i="15"/>
  <c r="L220" i="15"/>
  <c r="K220" i="15"/>
  <c r="I267" i="15"/>
  <c r="L63" i="15"/>
  <c r="K63" i="15"/>
  <c r="K106" i="15"/>
  <c r="L106" i="15"/>
  <c r="L225" i="15"/>
  <c r="K225" i="15"/>
  <c r="L94" i="15"/>
  <c r="K94" i="15"/>
  <c r="L15" i="15"/>
  <c r="L131" i="15"/>
  <c r="K131" i="15"/>
  <c r="L218" i="15"/>
  <c r="K218" i="15"/>
  <c r="K170" i="15"/>
  <c r="L170" i="15"/>
  <c r="K234" i="15"/>
  <c r="L234" i="15"/>
  <c r="L56" i="15"/>
  <c r="K56" i="15"/>
  <c r="L70" i="15"/>
  <c r="K70" i="15"/>
  <c r="L52" i="15"/>
  <c r="K52" i="15"/>
  <c r="L168" i="15"/>
  <c r="K168" i="15"/>
  <c r="K203" i="15"/>
  <c r="L203" i="15"/>
  <c r="L32" i="15"/>
  <c r="K138" i="15"/>
  <c r="L138" i="15"/>
  <c r="L120" i="15"/>
  <c r="K120" i="15"/>
  <c r="L206" i="15"/>
  <c r="K206" i="15"/>
  <c r="L81" i="15"/>
  <c r="K81" i="15"/>
  <c r="K28" i="15"/>
  <c r="L28" i="15"/>
  <c r="L83" i="15"/>
  <c r="K83" i="15"/>
  <c r="L158" i="15"/>
  <c r="K158" i="15"/>
  <c r="L177" i="15"/>
  <c r="K177" i="15"/>
  <c r="K173" i="15"/>
  <c r="L173" i="15"/>
  <c r="L26" i="15"/>
  <c r="L129" i="15"/>
  <c r="K129" i="15"/>
  <c r="K55" i="15"/>
  <c r="L55" i="15"/>
  <c r="K23" i="15"/>
  <c r="L23" i="15"/>
  <c r="L195" i="15"/>
  <c r="K195" i="15"/>
  <c r="L24" i="15"/>
  <c r="K24" i="15"/>
  <c r="L210" i="15"/>
  <c r="K210" i="15"/>
  <c r="L103" i="15"/>
  <c r="L147" i="15"/>
  <c r="L236" i="15"/>
  <c r="K236" i="15"/>
  <c r="L211" i="15"/>
  <c r="K211" i="15"/>
  <c r="L7" i="15"/>
  <c r="L72" i="15"/>
  <c r="K72" i="15"/>
  <c r="L14" i="15"/>
  <c r="L160" i="15"/>
  <c r="K160" i="15"/>
  <c r="L152" i="15"/>
  <c r="K152" i="15"/>
  <c r="K29" i="15"/>
  <c r="L29" i="15"/>
  <c r="L145" i="15"/>
  <c r="K145" i="15"/>
  <c r="K50" i="15"/>
  <c r="L50" i="15"/>
  <c r="L208" i="15"/>
  <c r="K208" i="15"/>
  <c r="L51" i="15"/>
  <c r="K51" i="15"/>
  <c r="L86" i="15"/>
  <c r="L201" i="15"/>
  <c r="K201" i="15"/>
  <c r="L174" i="15"/>
  <c r="K174" i="15"/>
  <c r="L3" i="15"/>
  <c r="K3" i="15"/>
  <c r="L119" i="15"/>
  <c r="K235" i="15"/>
  <c r="L235" i="15"/>
  <c r="K198" i="15"/>
  <c r="L198" i="15"/>
  <c r="L150" i="15"/>
  <c r="K150" i="15"/>
  <c r="L194" i="15"/>
  <c r="K194" i="15"/>
  <c r="L44" i="15"/>
  <c r="K44" i="15"/>
  <c r="L66" i="15"/>
  <c r="K66" i="15"/>
  <c r="L40" i="15"/>
  <c r="L156" i="15"/>
  <c r="K156" i="15"/>
  <c r="L191" i="15"/>
  <c r="K191" i="15"/>
  <c r="K59" i="15"/>
  <c r="L59" i="15"/>
  <c r="K114" i="15"/>
  <c r="L114" i="15"/>
  <c r="L108" i="15"/>
  <c r="K108" i="15"/>
  <c r="K202" i="15"/>
  <c r="L202" i="15"/>
  <c r="L69" i="15"/>
  <c r="K69" i="15"/>
  <c r="K16" i="15"/>
  <c r="L16" i="15"/>
  <c r="L154" i="15"/>
  <c r="K154" i="15"/>
  <c r="L165" i="15"/>
  <c r="K165" i="15"/>
  <c r="K124" i="15"/>
  <c r="L124" i="15"/>
  <c r="K161" i="15"/>
  <c r="L161" i="15"/>
  <c r="L6" i="15"/>
  <c r="K6" i="15"/>
  <c r="L112" i="15"/>
  <c r="K112" i="15"/>
  <c r="L43" i="15"/>
  <c r="K43" i="15"/>
  <c r="L45" i="15"/>
  <c r="K45" i="15"/>
  <c r="L229" i="15"/>
  <c r="K229" i="15"/>
  <c r="L12" i="15"/>
  <c r="L190" i="15"/>
  <c r="K190" i="15"/>
  <c r="L137" i="15"/>
  <c r="K137" i="15"/>
  <c r="L135" i="15"/>
  <c r="L111" i="15"/>
  <c r="K111" i="15"/>
  <c r="L10" i="15"/>
  <c r="L148" i="15"/>
  <c r="L128" i="15"/>
  <c r="L17" i="15"/>
  <c r="K17" i="15"/>
  <c r="L133" i="15"/>
  <c r="K133" i="15"/>
  <c r="L8" i="15"/>
  <c r="K196" i="15"/>
  <c r="L196" i="15"/>
  <c r="L240" i="15"/>
  <c r="K240" i="15"/>
  <c r="L85" i="15"/>
  <c r="K82" i="15"/>
  <c r="L82" i="15"/>
  <c r="L223" i="15"/>
  <c r="K223" i="15"/>
  <c r="K100" i="15"/>
  <c r="L100" i="15"/>
  <c r="L20" i="15"/>
  <c r="K20" i="15"/>
  <c r="L107" i="15"/>
  <c r="K107" i="15"/>
  <c r="L134" i="15"/>
  <c r="K134" i="15"/>
  <c r="K146" i="15"/>
  <c r="L146" i="15"/>
  <c r="K71" i="15"/>
  <c r="L71" i="15"/>
  <c r="L46" i="15"/>
  <c r="L98" i="15"/>
  <c r="K98" i="15"/>
  <c r="L144" i="15"/>
  <c r="K179" i="15"/>
  <c r="L179" i="15"/>
  <c r="L35" i="15"/>
  <c r="K35" i="15"/>
  <c r="K164" i="15"/>
  <c r="L164" i="15"/>
  <c r="L96" i="15"/>
  <c r="K96" i="15"/>
  <c r="L212" i="15"/>
  <c r="K212" i="15"/>
  <c r="L57" i="15"/>
  <c r="K4" i="15"/>
  <c r="L25" i="15"/>
  <c r="L153" i="15"/>
  <c r="K153" i="15"/>
  <c r="L151" i="15"/>
  <c r="K151" i="15"/>
  <c r="L149" i="15"/>
  <c r="L13" i="15"/>
  <c r="K13" i="15"/>
  <c r="L31" i="15"/>
  <c r="K31" i="15"/>
  <c r="L21" i="15"/>
  <c r="K21" i="15"/>
  <c r="L217" i="15"/>
  <c r="K217" i="15"/>
  <c r="L186" i="15"/>
  <c r="K186" i="15"/>
  <c r="L125" i="15"/>
  <c r="L169" i="15"/>
  <c r="K169" i="15"/>
  <c r="L239" i="15"/>
  <c r="K239" i="15"/>
  <c r="L99" i="15"/>
  <c r="K99" i="15"/>
  <c r="L215" i="15"/>
  <c r="K215" i="15"/>
  <c r="L136" i="15"/>
  <c r="K136" i="15"/>
  <c r="L104" i="15"/>
  <c r="K104" i="15"/>
  <c r="L5" i="15"/>
  <c r="K5" i="15"/>
  <c r="L121" i="15"/>
  <c r="L184" i="15"/>
  <c r="K184" i="15"/>
  <c r="K228" i="15"/>
  <c r="L228" i="15"/>
  <c r="L73" i="15"/>
  <c r="L62" i="15"/>
  <c r="L118" i="15"/>
  <c r="L88" i="15"/>
  <c r="L95" i="15"/>
  <c r="L140" i="15"/>
  <c r="K140" i="15"/>
  <c r="L126" i="15"/>
  <c r="K221" i="15"/>
  <c r="L221" i="15"/>
  <c r="K42" i="15"/>
  <c r="L42" i="15"/>
  <c r="L78" i="15"/>
  <c r="K78" i="15"/>
  <c r="L132" i="15"/>
  <c r="K167" i="15"/>
  <c r="L167" i="15"/>
  <c r="L11" i="15"/>
  <c r="L209" i="15"/>
  <c r="K209" i="15"/>
  <c r="L84" i="15"/>
  <c r="K84" i="15"/>
  <c r="L200" i="15"/>
  <c r="K200" i="15"/>
  <c r="L91" i="15"/>
  <c r="L231" i="15"/>
  <c r="K231" i="15"/>
  <c r="K60" i="15"/>
  <c r="L60" i="15"/>
  <c r="L141" i="15"/>
  <c r="L139" i="15"/>
  <c r="L183" i="15"/>
  <c r="K183" i="15"/>
  <c r="L237" i="15"/>
  <c r="K237" i="15"/>
  <c r="K187" i="15"/>
  <c r="L187" i="15"/>
  <c r="L205" i="15"/>
  <c r="K205" i="15"/>
  <c r="L58" i="15"/>
  <c r="K58" i="15"/>
  <c r="K166" i="15"/>
  <c r="L166" i="15"/>
  <c r="L113" i="15"/>
  <c r="K113" i="15"/>
  <c r="L65" i="15"/>
  <c r="K65" i="15"/>
  <c r="L227" i="15"/>
  <c r="K227" i="15"/>
  <c r="L87" i="15"/>
  <c r="K87" i="15"/>
  <c r="L130" i="15"/>
  <c r="K130" i="15"/>
  <c r="L90" i="15"/>
  <c r="K90" i="15"/>
  <c r="L142" i="15"/>
  <c r="K142" i="15"/>
  <c r="L39" i="15"/>
  <c r="L109" i="15"/>
  <c r="L2" i="15"/>
  <c r="K2" i="15"/>
  <c r="L117" i="15"/>
  <c r="K117" i="15"/>
  <c r="K61" i="15"/>
  <c r="L61" i="15"/>
  <c r="K80" i="15"/>
  <c r="L80" i="15"/>
  <c r="L175" i="15"/>
  <c r="K175" i="15"/>
  <c r="L76" i="15"/>
  <c r="K76" i="15"/>
  <c r="L192" i="15"/>
  <c r="K192" i="15"/>
  <c r="L163" i="15"/>
  <c r="K163" i="15"/>
  <c r="L116" i="15"/>
  <c r="K116" i="15"/>
  <c r="L122" i="15"/>
  <c r="K122" i="15"/>
  <c r="K230" i="15"/>
  <c r="L230" i="15"/>
  <c r="L105" i="15"/>
  <c r="L22" i="15"/>
  <c r="K22" i="15"/>
  <c r="K74" i="15"/>
  <c r="L74" i="15"/>
  <c r="L182" i="15"/>
  <c r="K182" i="15"/>
  <c r="K155" i="15"/>
  <c r="L155" i="15"/>
  <c r="L33" i="15"/>
  <c r="L197" i="15"/>
  <c r="K197" i="15"/>
  <c r="L224" i="15"/>
  <c r="K224" i="15"/>
  <c r="L188" i="15"/>
  <c r="K188" i="15"/>
  <c r="L79" i="15"/>
  <c r="K123" i="15"/>
  <c r="L123" i="15"/>
  <c r="K219" i="15"/>
  <c r="L219" i="15"/>
  <c r="K48" i="15"/>
  <c r="L48" i="15"/>
  <c r="L37" i="15"/>
  <c r="L127" i="15"/>
  <c r="L171" i="15"/>
  <c r="K171" i="15"/>
  <c r="L241" i="15"/>
  <c r="K241" i="15"/>
  <c r="L213" i="15"/>
  <c r="L193" i="15"/>
  <c r="K193" i="15"/>
  <c r="L38" i="15"/>
  <c r="L162" i="15"/>
  <c r="K162" i="15"/>
  <c r="L101" i="15"/>
  <c r="L53" i="15"/>
  <c r="K53" i="15"/>
  <c r="L232" i="15"/>
  <c r="K232" i="15"/>
  <c r="L75" i="15"/>
  <c r="L110" i="15"/>
  <c r="L199" i="15"/>
  <c r="K199" i="15"/>
  <c r="L27" i="15"/>
  <c r="K97" i="15"/>
  <c r="L97" i="15"/>
  <c r="L222" i="15"/>
  <c r="K222" i="15"/>
  <c r="L77" i="15"/>
  <c r="L49" i="15"/>
  <c r="K49" i="15"/>
  <c r="K68" i="15"/>
  <c r="L68" i="15"/>
  <c r="L216" i="15"/>
  <c r="K216" i="15"/>
  <c r="L64" i="15"/>
  <c r="K64" i="15"/>
  <c r="L180" i="15"/>
  <c r="K180" i="15"/>
  <c r="L204" i="15"/>
  <c r="K204" i="15"/>
  <c r="L233" i="15"/>
  <c r="K233" i="15"/>
  <c r="L92" i="15"/>
  <c r="L102" i="15"/>
  <c r="L226" i="15"/>
  <c r="K226" i="15"/>
  <c r="L93" i="15"/>
  <c r="L18" i="15"/>
  <c r="L54" i="15"/>
  <c r="K178" i="15"/>
  <c r="L178" i="15"/>
  <c r="L143" i="15"/>
  <c r="K143" i="15"/>
  <c r="L9" i="15"/>
  <c r="K9" i="15"/>
  <c r="L185" i="15"/>
  <c r="K185" i="15"/>
  <c r="L30" i="15"/>
  <c r="K30" i="15"/>
  <c r="L176" i="15"/>
  <c r="L67" i="15"/>
  <c r="K67" i="15"/>
  <c r="L47" i="15"/>
  <c r="K47" i="15"/>
  <c r="L207" i="15"/>
  <c r="K207" i="15"/>
  <c r="K36" i="15"/>
  <c r="L36" i="15"/>
  <c r="L214" i="15"/>
  <c r="K214" i="15"/>
  <c r="L115" i="15"/>
  <c r="K115" i="15"/>
  <c r="L159" i="15"/>
  <c r="K159" i="15"/>
  <c r="K189" i="15"/>
  <c r="L189" i="15"/>
  <c r="L19" i="15"/>
  <c r="K181" i="15"/>
  <c r="L181" i="15"/>
  <c r="L34" i="15"/>
  <c r="L172" i="15"/>
  <c r="K172" i="15"/>
  <c r="L89" i="15"/>
  <c r="L41" i="15"/>
  <c r="K157" i="15"/>
  <c r="L157" i="15"/>
  <c r="L238" i="15"/>
  <c r="K238" i="15"/>
  <c r="K218" i="13"/>
  <c r="L218" i="13" s="1"/>
  <c r="Z312" i="1"/>
  <c r="K88" i="15" s="1"/>
  <c r="Z1110" i="1"/>
  <c r="Z486" i="1"/>
  <c r="K102" i="15" s="1"/>
  <c r="H34" i="13"/>
  <c r="K34" i="13" s="1"/>
  <c r="H26" i="13"/>
  <c r="K26" i="13" s="1"/>
  <c r="H137" i="13"/>
  <c r="K137" i="13" s="1"/>
  <c r="H107" i="13"/>
  <c r="K107" i="13" s="1"/>
  <c r="H203" i="13"/>
  <c r="K203" i="13" s="1"/>
  <c r="H48" i="13"/>
  <c r="H16" i="13"/>
  <c r="K16" i="13" s="1"/>
  <c r="H9" i="13"/>
  <c r="K9" i="13" s="1"/>
  <c r="H68" i="13"/>
  <c r="K68" i="13" s="1"/>
  <c r="H170" i="13"/>
  <c r="K170" i="13" s="1"/>
  <c r="H10" i="13"/>
  <c r="K10" i="13" s="1"/>
  <c r="H79" i="13"/>
  <c r="K79" i="13" s="1"/>
  <c r="H123" i="13"/>
  <c r="K123" i="13" s="1"/>
  <c r="H28" i="13"/>
  <c r="K28" i="13" s="1"/>
  <c r="H66" i="13"/>
  <c r="K66" i="13" s="1"/>
  <c r="H45" i="13"/>
  <c r="K45" i="13" s="1"/>
  <c r="H136" i="13"/>
  <c r="K136" i="13" s="1"/>
  <c r="H125" i="13"/>
  <c r="K125" i="13" s="1"/>
  <c r="H130" i="13"/>
  <c r="K130" i="13" s="1"/>
  <c r="H64" i="13"/>
  <c r="K64" i="13" s="1"/>
  <c r="H112" i="13"/>
  <c r="K112" i="13" s="1"/>
  <c r="H63" i="13"/>
  <c r="K63" i="13" s="1"/>
  <c r="H127" i="13"/>
  <c r="K127" i="13" s="1"/>
  <c r="H72" i="13"/>
  <c r="K72" i="13" s="1"/>
  <c r="H117" i="13"/>
  <c r="K117" i="13" s="1"/>
  <c r="H44" i="13"/>
  <c r="K44" i="13" s="1"/>
  <c r="H205" i="13"/>
  <c r="K205" i="13" s="1"/>
  <c r="H174" i="13"/>
  <c r="K174" i="13" s="1"/>
  <c r="H97" i="13"/>
  <c r="K97" i="13" s="1"/>
  <c r="H19" i="13"/>
  <c r="K19" i="13" s="1"/>
  <c r="H109" i="13"/>
  <c r="K109" i="13" s="1"/>
  <c r="H41" i="13"/>
  <c r="K41" i="13" s="1"/>
  <c r="H49" i="13"/>
  <c r="K49" i="13" s="1"/>
  <c r="H38" i="13"/>
  <c r="H128" i="13"/>
  <c r="H111" i="13"/>
  <c r="K111" i="13" s="1"/>
  <c r="H5" i="13"/>
  <c r="H106" i="13"/>
  <c r="K106" i="13" s="1"/>
  <c r="H99" i="13"/>
  <c r="K99" i="13" s="1"/>
  <c r="H144" i="13"/>
  <c r="K144" i="13" s="1"/>
  <c r="H198" i="13"/>
  <c r="K198" i="13" s="1"/>
  <c r="L198" i="13" s="1"/>
  <c r="H199" i="13"/>
  <c r="K199" i="13" s="1"/>
  <c r="H85" i="13"/>
  <c r="K85" i="13" s="1"/>
  <c r="H54" i="13"/>
  <c r="K54" i="13" s="1"/>
  <c r="H208" i="13"/>
  <c r="K208" i="13" s="1"/>
  <c r="L208" i="13" s="1"/>
  <c r="H164" i="13"/>
  <c r="K164" i="13" s="1"/>
  <c r="H181" i="13"/>
  <c r="K181" i="13" s="1"/>
  <c r="L181" i="13" s="1"/>
  <c r="H6" i="13"/>
  <c r="K6" i="13" s="1"/>
  <c r="H179" i="13"/>
  <c r="H90" i="13"/>
  <c r="K90" i="13" s="1"/>
  <c r="H58" i="13"/>
  <c r="K58" i="13" s="1"/>
  <c r="H188" i="13"/>
  <c r="K188" i="13" s="1"/>
  <c r="L188" i="13" s="1"/>
  <c r="H132" i="13"/>
  <c r="K132" i="13" s="1"/>
  <c r="H182" i="13"/>
  <c r="K182" i="13" s="1"/>
  <c r="H194" i="13"/>
  <c r="K194" i="13" s="1"/>
  <c r="H98" i="13"/>
  <c r="K98" i="13" s="1"/>
  <c r="H65" i="13"/>
  <c r="K65" i="13" s="1"/>
  <c r="H21" i="13"/>
  <c r="K21" i="13" s="1"/>
  <c r="H176" i="13"/>
  <c r="K176" i="13" s="1"/>
  <c r="H71" i="13"/>
  <c r="K71" i="13" s="1"/>
  <c r="H96" i="13"/>
  <c r="K96" i="13" s="1"/>
  <c r="H39" i="13"/>
  <c r="K39" i="13" s="1"/>
  <c r="H69" i="13"/>
  <c r="K69" i="13" s="1"/>
  <c r="H40" i="13"/>
  <c r="K40" i="13" s="1"/>
  <c r="H76" i="13"/>
  <c r="K76" i="13" s="1"/>
  <c r="H165" i="13"/>
  <c r="K165" i="13" s="1"/>
  <c r="H134" i="13"/>
  <c r="K134" i="13" s="1"/>
  <c r="H2" i="13"/>
  <c r="K2" i="13" s="1"/>
  <c r="L2" i="13" s="1"/>
  <c r="H207" i="13"/>
  <c r="K207" i="13" s="1"/>
  <c r="L207" i="13" s="1"/>
  <c r="H143" i="13"/>
  <c r="K143" i="13" s="1"/>
  <c r="H73" i="13"/>
  <c r="H197" i="13"/>
  <c r="K197" i="13" s="1"/>
  <c r="H183" i="13"/>
  <c r="K183" i="13" s="1"/>
  <c r="H204" i="13"/>
  <c r="K204" i="13" s="1"/>
  <c r="H47" i="13"/>
  <c r="K47" i="13" s="1"/>
  <c r="H24" i="13"/>
  <c r="K24" i="13" s="1"/>
  <c r="H187" i="13"/>
  <c r="H14" i="13"/>
  <c r="H201" i="13"/>
  <c r="H152" i="13"/>
  <c r="K152" i="13" s="1"/>
  <c r="H8" i="13"/>
  <c r="K8" i="13" s="1"/>
  <c r="H33" i="13"/>
  <c r="H53" i="13"/>
  <c r="K53" i="13" s="1"/>
  <c r="H129" i="13"/>
  <c r="K129" i="13" s="1"/>
  <c r="H142" i="13"/>
  <c r="K142" i="13" s="1"/>
  <c r="H12" i="13"/>
  <c r="H105" i="13"/>
  <c r="H32" i="13"/>
  <c r="H62" i="13"/>
  <c r="K62" i="13" s="1"/>
  <c r="H15" i="13"/>
  <c r="K15" i="13" s="1"/>
  <c r="H147" i="13"/>
  <c r="K147" i="13" s="1"/>
  <c r="H133" i="13"/>
  <c r="K133" i="13" s="1"/>
  <c r="H221" i="13"/>
  <c r="K221" i="13" s="1"/>
  <c r="H29" i="13"/>
  <c r="K29" i="13" s="1"/>
  <c r="H83" i="13"/>
  <c r="K83" i="13" s="1"/>
  <c r="H31" i="13"/>
  <c r="H189" i="13"/>
  <c r="H50" i="13"/>
  <c r="H25" i="13"/>
  <c r="H151" i="13"/>
  <c r="K151" i="13" s="1"/>
  <c r="H13" i="13"/>
  <c r="H145" i="13"/>
  <c r="K145" i="13" s="1"/>
  <c r="L145" i="13" s="1"/>
  <c r="H169" i="13"/>
  <c r="K169" i="13" s="1"/>
  <c r="H46" i="13"/>
  <c r="H185" i="13"/>
  <c r="H163" i="13"/>
  <c r="K163" i="13" s="1"/>
  <c r="H94" i="13"/>
  <c r="K94" i="13" s="1"/>
  <c r="H51" i="13"/>
  <c r="K51" i="13" s="1"/>
  <c r="H171" i="13"/>
  <c r="K171" i="13" s="1"/>
  <c r="H215" i="13"/>
  <c r="H175" i="13"/>
  <c r="K175" i="13" s="1"/>
  <c r="H149" i="13"/>
  <c r="K149" i="13" s="1"/>
  <c r="H150" i="13"/>
  <c r="K150" i="13" s="1"/>
  <c r="L150" i="13" s="1"/>
  <c r="H43" i="13"/>
  <c r="H67" i="13"/>
  <c r="K67" i="13" s="1"/>
  <c r="H118" i="13"/>
  <c r="H159" i="13"/>
  <c r="K159" i="13" s="1"/>
  <c r="H156" i="13"/>
  <c r="K156" i="13" s="1"/>
  <c r="H202" i="13"/>
  <c r="K202" i="13" s="1"/>
  <c r="L202" i="13" s="1"/>
  <c r="H138" i="13"/>
  <c r="K138" i="13" s="1"/>
  <c r="H80" i="13"/>
  <c r="K80" i="13" s="1"/>
  <c r="H88" i="13"/>
  <c r="H42" i="13"/>
  <c r="K42" i="13" s="1"/>
  <c r="H87" i="13"/>
  <c r="K87" i="13" s="1"/>
  <c r="H60" i="13"/>
  <c r="K60" i="13" s="1"/>
  <c r="H104" i="13"/>
  <c r="K104" i="13" s="1"/>
  <c r="H101" i="13"/>
  <c r="H78" i="13"/>
  <c r="K78" i="13" s="1"/>
  <c r="H110" i="13"/>
  <c r="K110" i="13" s="1"/>
  <c r="H166" i="13"/>
  <c r="K166" i="13" s="1"/>
  <c r="H27" i="13"/>
  <c r="K27" i="13" s="1"/>
  <c r="H115" i="13"/>
  <c r="H124" i="13"/>
  <c r="K124" i="13" s="1"/>
  <c r="H57" i="13"/>
  <c r="K57" i="13" s="1"/>
  <c r="H161" i="13"/>
  <c r="K161" i="13" s="1"/>
  <c r="H148" i="13"/>
  <c r="H59" i="13"/>
  <c r="K59" i="13" s="1"/>
  <c r="H141" i="13"/>
  <c r="H91" i="13"/>
  <c r="H84" i="13"/>
  <c r="K84" i="13" s="1"/>
  <c r="H173" i="13"/>
  <c r="K173" i="13" s="1"/>
  <c r="H160" i="13"/>
  <c r="K160" i="13" s="1"/>
  <c r="H82" i="13"/>
  <c r="K82" i="13" s="1"/>
  <c r="H196" i="13"/>
  <c r="K196" i="13" s="1"/>
  <c r="L196" i="13" s="1"/>
  <c r="H23" i="13"/>
  <c r="K23" i="13" s="1"/>
  <c r="L23" i="13" s="1"/>
  <c r="H178" i="13"/>
  <c r="H209" i="13"/>
  <c r="H37" i="13"/>
  <c r="K37" i="13" s="1"/>
  <c r="H22" i="13"/>
  <c r="H193" i="13"/>
  <c r="H120" i="13"/>
  <c r="K120" i="13" s="1"/>
  <c r="H17" i="13"/>
  <c r="K17" i="13" s="1"/>
  <c r="L17" i="13" s="1"/>
  <c r="H103" i="13"/>
  <c r="H140" i="13"/>
  <c r="K140" i="13" s="1"/>
  <c r="H75" i="13"/>
  <c r="K75" i="13" s="1"/>
  <c r="H206" i="13"/>
  <c r="K206" i="13" s="1"/>
  <c r="L206" i="13" s="1"/>
  <c r="H100" i="13"/>
  <c r="K100" i="13" s="1"/>
  <c r="H18" i="13"/>
  <c r="H122" i="13"/>
  <c r="K122" i="13" s="1"/>
  <c r="H192" i="13"/>
  <c r="K192" i="13" s="1"/>
  <c r="H155" i="13"/>
  <c r="K155" i="13" s="1"/>
  <c r="H3" i="13"/>
  <c r="K3" i="13" s="1"/>
  <c r="L3" i="13" s="1"/>
  <c r="H35" i="13"/>
  <c r="K35" i="13" s="1"/>
  <c r="H135" i="13"/>
  <c r="H168" i="13"/>
  <c r="K168" i="13" s="1"/>
  <c r="H56" i="13"/>
  <c r="K56" i="13" s="1"/>
  <c r="L56" i="13" s="1"/>
  <c r="H7" i="13"/>
  <c r="K7" i="13" s="1"/>
  <c r="H86" i="13"/>
  <c r="H74" i="13"/>
  <c r="K74" i="13" s="1"/>
  <c r="H139" i="13"/>
  <c r="K139" i="13" s="1"/>
  <c r="H4" i="13"/>
  <c r="H167" i="13"/>
  <c r="K167" i="13" s="1"/>
  <c r="H77" i="13"/>
  <c r="K77" i="13" s="1"/>
  <c r="H191" i="13"/>
  <c r="H116" i="13"/>
  <c r="K116" i="13" s="1"/>
  <c r="H162" i="13"/>
  <c r="K162" i="13" s="1"/>
  <c r="H55" i="13"/>
  <c r="K55" i="13" s="1"/>
  <c r="H214" i="13"/>
  <c r="H158" i="13"/>
  <c r="K158" i="13" s="1"/>
  <c r="H180" i="13"/>
  <c r="K180" i="13" s="1"/>
  <c r="H190" i="13"/>
  <c r="H113" i="13"/>
  <c r="K113" i="13" s="1"/>
  <c r="H114" i="13"/>
  <c r="K114" i="13" s="1"/>
  <c r="H210" i="13"/>
  <c r="K210" i="13" s="1"/>
  <c r="L210" i="13" s="1"/>
  <c r="H92" i="13"/>
  <c r="H89" i="13"/>
  <c r="H200" i="13"/>
  <c r="H70" i="13"/>
  <c r="H131" i="13"/>
  <c r="K131" i="13" s="1"/>
  <c r="H157" i="13"/>
  <c r="K157" i="13" s="1"/>
  <c r="H30" i="13"/>
  <c r="H126" i="13"/>
  <c r="Z367" i="1"/>
  <c r="K92" i="15" s="1"/>
  <c r="H184" i="13"/>
  <c r="K184" i="13" s="1"/>
  <c r="L184" i="13" s="1"/>
  <c r="H108" i="13"/>
  <c r="K108" i="13" s="1"/>
  <c r="H20" i="13"/>
  <c r="K20" i="13" s="1"/>
  <c r="Y1309" i="1"/>
  <c r="Y1163" i="1"/>
  <c r="H146" i="13" s="1"/>
  <c r="K146" i="13" s="1"/>
  <c r="H6" i="8"/>
  <c r="H44" i="8"/>
  <c r="N18" i="11"/>
  <c r="H79" i="8"/>
  <c r="H5" i="8"/>
  <c r="H7" i="8"/>
  <c r="H34" i="8"/>
  <c r="H47" i="8"/>
  <c r="H27" i="8"/>
  <c r="H67" i="8"/>
  <c r="H46" i="8"/>
  <c r="H123" i="8"/>
  <c r="H131" i="8"/>
  <c r="H11" i="8"/>
  <c r="H66" i="8"/>
  <c r="H75" i="8"/>
  <c r="H68" i="8"/>
  <c r="H40" i="8"/>
  <c r="H9" i="8"/>
  <c r="G5" i="8"/>
  <c r="K179" i="13"/>
  <c r="Z328" i="1"/>
  <c r="Z329" i="1"/>
  <c r="Z431" i="1"/>
  <c r="Z204" i="1"/>
  <c r="Z205" i="1"/>
  <c r="E2" i="13"/>
  <c r="G47" i="8"/>
  <c r="C4" i="9"/>
  <c r="C19" i="9"/>
  <c r="G68" i="8"/>
  <c r="G67" i="8"/>
  <c r="G79" i="8"/>
  <c r="G27" i="8"/>
  <c r="F9" i="8"/>
  <c r="J9" i="8" s="1"/>
  <c r="F40" i="8"/>
  <c r="J40" i="8" s="1"/>
  <c r="G121" i="8"/>
  <c r="G134" i="8"/>
  <c r="G84" i="8"/>
  <c r="G132" i="8"/>
  <c r="G19" i="8"/>
  <c r="G33" i="8"/>
  <c r="G136" i="8"/>
  <c r="G110" i="8"/>
  <c r="G123" i="8"/>
  <c r="G113" i="8"/>
  <c r="G138" i="8"/>
  <c r="G102" i="8"/>
  <c r="G87" i="8"/>
  <c r="G125" i="8"/>
  <c r="G85" i="8"/>
  <c r="G95" i="8"/>
  <c r="G60" i="8"/>
  <c r="G20" i="8"/>
  <c r="G129" i="8"/>
  <c r="G52" i="8"/>
  <c r="G135" i="8"/>
  <c r="G97" i="8"/>
  <c r="G107" i="8"/>
  <c r="G49" i="8"/>
  <c r="G50" i="8"/>
  <c r="G104" i="8"/>
  <c r="G48" i="8"/>
  <c r="G43" i="8"/>
  <c r="G35" i="8"/>
  <c r="G44" i="8"/>
  <c r="G39" i="8"/>
  <c r="G127" i="8"/>
  <c r="I140" i="8"/>
  <c r="I95" i="8"/>
  <c r="I121" i="8"/>
  <c r="F4" i="8"/>
  <c r="J4" i="8" s="1"/>
  <c r="F130" i="8"/>
  <c r="J130" i="8" s="1"/>
  <c r="F38" i="8"/>
  <c r="J38" i="8" s="1"/>
  <c r="F54" i="8"/>
  <c r="J54" i="8" s="1"/>
  <c r="F115" i="8"/>
  <c r="J115" i="8" s="1"/>
  <c r="F114" i="8"/>
  <c r="J114" i="8" s="1"/>
  <c r="F137" i="8"/>
  <c r="J137" i="8" s="1"/>
  <c r="F117" i="8"/>
  <c r="J117" i="8" s="1"/>
  <c r="F27" i="8"/>
  <c r="J27" i="8" s="1"/>
  <c r="F6" i="8"/>
  <c r="J6" i="8" s="1"/>
  <c r="G114" i="8"/>
  <c r="G38" i="8"/>
  <c r="G137" i="8"/>
  <c r="I110" i="8"/>
  <c r="I114" i="8"/>
  <c r="I68" i="8"/>
  <c r="I51" i="8"/>
  <c r="F89" i="8"/>
  <c r="J89" i="8" s="1"/>
  <c r="F78" i="8"/>
  <c r="J78" i="8" s="1"/>
  <c r="F18" i="8"/>
  <c r="J18" i="8" s="1"/>
  <c r="F51" i="8"/>
  <c r="J51" i="8" s="1"/>
  <c r="F55" i="8"/>
  <c r="J55" i="8" s="1"/>
  <c r="F139" i="8"/>
  <c r="J139" i="8" s="1"/>
  <c r="F112" i="8"/>
  <c r="J112" i="8" s="1"/>
  <c r="F95" i="8"/>
  <c r="J95" i="8" s="1"/>
  <c r="F108" i="8"/>
  <c r="J108" i="8" s="1"/>
  <c r="F68" i="8"/>
  <c r="J68" i="8" s="1"/>
  <c r="F92" i="8"/>
  <c r="J92" i="8" s="1"/>
  <c r="F118" i="8"/>
  <c r="J118" i="8" s="1"/>
  <c r="F31" i="8"/>
  <c r="J31" i="8" s="1"/>
  <c r="F28" i="8"/>
  <c r="J28" i="8" s="1"/>
  <c r="F15" i="8"/>
  <c r="J15" i="8" s="1"/>
  <c r="F66" i="8"/>
  <c r="J66" i="8" s="1"/>
  <c r="G51" i="8"/>
  <c r="I124" i="8"/>
  <c r="I77" i="8"/>
  <c r="I137" i="8"/>
  <c r="I111" i="8"/>
  <c r="I129" i="8"/>
  <c r="I113" i="8"/>
  <c r="I134" i="8"/>
  <c r="I60" i="8"/>
  <c r="F79" i="8"/>
  <c r="J79" i="8" s="1"/>
  <c r="F134" i="8"/>
  <c r="J134" i="8" s="1"/>
  <c r="F132" i="8"/>
  <c r="J132" i="8" s="1"/>
  <c r="F124" i="8"/>
  <c r="J124" i="8" s="1"/>
  <c r="F81" i="8"/>
  <c r="J81" i="8" s="1"/>
  <c r="F60" i="8"/>
  <c r="J60" i="8" s="1"/>
  <c r="F59" i="8"/>
  <c r="J59" i="8" s="1"/>
  <c r="F67" i="8"/>
  <c r="J67" i="8" s="1"/>
  <c r="F37" i="8"/>
  <c r="J37" i="8" s="1"/>
  <c r="F11" i="8"/>
  <c r="J11" i="8" s="1"/>
  <c r="F29" i="8"/>
  <c r="J29" i="8" s="1"/>
  <c r="G58" i="8"/>
  <c r="G40" i="8"/>
  <c r="G124" i="8"/>
  <c r="G63" i="8"/>
  <c r="G11" i="8"/>
  <c r="I27" i="8"/>
  <c r="I123" i="8"/>
  <c r="I87" i="8"/>
  <c r="I108" i="8"/>
  <c r="I90" i="8"/>
  <c r="I122" i="8"/>
  <c r="I33" i="8"/>
  <c r="F99" i="8"/>
  <c r="J99" i="8" s="1"/>
  <c r="F53" i="8"/>
  <c r="J53" i="8" s="1"/>
  <c r="F122" i="8"/>
  <c r="J122" i="8" s="1"/>
  <c r="F19" i="8"/>
  <c r="J19" i="8" s="1"/>
  <c r="F90" i="8"/>
  <c r="J90" i="8" s="1"/>
  <c r="F14" i="8"/>
  <c r="J14" i="8" s="1"/>
  <c r="F138" i="8"/>
  <c r="J138" i="8" s="1"/>
  <c r="F77" i="8"/>
  <c r="J77" i="8" s="1"/>
  <c r="F111" i="8"/>
  <c r="J111" i="8" s="1"/>
  <c r="F88" i="8"/>
  <c r="J88" i="8" s="1"/>
  <c r="F52" i="8"/>
  <c r="J52" i="8" s="1"/>
  <c r="F21" i="8"/>
  <c r="J21" i="8" s="1"/>
  <c r="F83" i="8"/>
  <c r="J83" i="8" s="1"/>
  <c r="F75" i="8"/>
  <c r="J75" i="8" s="1"/>
  <c r="G61" i="8"/>
  <c r="F45" i="8"/>
  <c r="J45" i="8" s="1"/>
  <c r="F36" i="8"/>
  <c r="J36" i="8" s="1"/>
  <c r="I11" i="8"/>
  <c r="I130" i="8"/>
  <c r="I88" i="8"/>
  <c r="I131" i="8"/>
  <c r="I67" i="8"/>
  <c r="I79" i="8"/>
  <c r="I120" i="8"/>
  <c r="I84" i="8"/>
  <c r="I4" i="8"/>
  <c r="F116" i="8"/>
  <c r="J116" i="8" s="1"/>
  <c r="F126" i="8"/>
  <c r="J126" i="8" s="1"/>
  <c r="F131" i="8"/>
  <c r="J131" i="8" s="1"/>
  <c r="F119" i="8"/>
  <c r="J119" i="8" s="1"/>
  <c r="F17" i="8"/>
  <c r="J17" i="8" s="1"/>
  <c r="F100" i="8"/>
  <c r="J100" i="8" s="1"/>
  <c r="F87" i="8"/>
  <c r="J87" i="8" s="1"/>
  <c r="F70" i="8"/>
  <c r="J70" i="8" s="1"/>
  <c r="F72" i="8"/>
  <c r="J72" i="8" s="1"/>
  <c r="F109" i="8"/>
  <c r="J109" i="8" s="1"/>
  <c r="F128" i="8"/>
  <c r="J128" i="8" s="1"/>
  <c r="F2" i="8"/>
  <c r="J2" i="8" s="1"/>
  <c r="G2" i="8"/>
  <c r="F46" i="8"/>
  <c r="J46" i="8" s="1"/>
  <c r="G54" i="8"/>
  <c r="G108" i="8"/>
  <c r="G89" i="8"/>
  <c r="F5" i="8"/>
  <c r="J5" i="8" s="1"/>
  <c r="G75" i="8"/>
  <c r="G122" i="8"/>
  <c r="G116" i="8"/>
  <c r="G106" i="8"/>
  <c r="I125" i="8"/>
  <c r="I92" i="8"/>
  <c r="I72" i="8"/>
  <c r="I89" i="8"/>
  <c r="I52" i="8"/>
  <c r="I53" i="8"/>
  <c r="I128" i="8"/>
  <c r="F80" i="8"/>
  <c r="J80" i="8" s="1"/>
  <c r="F13" i="8"/>
  <c r="J13" i="8" s="1"/>
  <c r="F22" i="8"/>
  <c r="J22" i="8" s="1"/>
  <c r="F110" i="8"/>
  <c r="J110" i="8" s="1"/>
  <c r="F102" i="8"/>
  <c r="J102" i="8" s="1"/>
  <c r="F94" i="8"/>
  <c r="J94" i="8" s="1"/>
  <c r="F133" i="8"/>
  <c r="J133" i="8" s="1"/>
  <c r="F23" i="8"/>
  <c r="J23" i="8" s="1"/>
  <c r="F25" i="8"/>
  <c r="J25" i="8" s="1"/>
  <c r="F97" i="8"/>
  <c r="J97" i="8" s="1"/>
  <c r="F26" i="8"/>
  <c r="J26" i="8" s="1"/>
  <c r="F32" i="8"/>
  <c r="J32" i="8" s="1"/>
  <c r="F127" i="8"/>
  <c r="J127" i="8" s="1"/>
  <c r="G126" i="8"/>
  <c r="G53" i="8"/>
  <c r="G131" i="8"/>
  <c r="G77" i="8"/>
  <c r="G128" i="8"/>
  <c r="G130" i="8"/>
  <c r="I139" i="8"/>
  <c r="I85" i="8"/>
  <c r="I19" i="8"/>
  <c r="I133" i="8"/>
  <c r="I102" i="8"/>
  <c r="I116" i="8"/>
  <c r="I136" i="8"/>
  <c r="F33" i="8"/>
  <c r="J33" i="8" s="1"/>
  <c r="F140" i="8"/>
  <c r="J140" i="8" s="1"/>
  <c r="F123" i="8"/>
  <c r="J123" i="8" s="1"/>
  <c r="F93" i="8"/>
  <c r="J93" i="8" s="1"/>
  <c r="F125" i="8"/>
  <c r="J125" i="8" s="1"/>
  <c r="F101" i="8"/>
  <c r="J101" i="8" s="1"/>
  <c r="F20" i="8"/>
  <c r="J20" i="8" s="1"/>
  <c r="F64" i="8"/>
  <c r="J64" i="8" s="1"/>
  <c r="F47" i="8"/>
  <c r="J47" i="8" s="1"/>
  <c r="G139" i="8"/>
  <c r="G66" i="8"/>
  <c r="G83" i="8"/>
  <c r="G111" i="8"/>
  <c r="G91" i="8"/>
  <c r="F7" i="8"/>
  <c r="J7" i="8" s="1"/>
  <c r="G133" i="8"/>
  <c r="G140" i="8"/>
  <c r="G88" i="8"/>
  <c r="G42" i="8"/>
  <c r="I138" i="8"/>
  <c r="I54" i="8"/>
  <c r="I20" i="8"/>
  <c r="I127" i="8"/>
  <c r="I38" i="8"/>
  <c r="I126" i="8"/>
  <c r="I132" i="8"/>
  <c r="F121" i="8"/>
  <c r="J121" i="8" s="1"/>
  <c r="F98" i="8"/>
  <c r="J98" i="8" s="1"/>
  <c r="F84" i="8"/>
  <c r="J84" i="8" s="1"/>
  <c r="F136" i="8"/>
  <c r="J136" i="8" s="1"/>
  <c r="F113" i="8"/>
  <c r="J113" i="8" s="1"/>
  <c r="F71" i="8"/>
  <c r="J71" i="8" s="1"/>
  <c r="F85" i="8"/>
  <c r="J85" i="8" s="1"/>
  <c r="F120" i="8"/>
  <c r="J120" i="8" s="1"/>
  <c r="F129" i="8"/>
  <c r="J129" i="8" s="1"/>
  <c r="F16" i="8"/>
  <c r="J16" i="8" s="1"/>
  <c r="F65" i="8"/>
  <c r="J65" i="8" s="1"/>
  <c r="F96" i="8"/>
  <c r="J96" i="8" s="1"/>
  <c r="F105" i="8"/>
  <c r="J105" i="8" s="1"/>
  <c r="F34" i="8"/>
  <c r="J34" i="8" s="1"/>
  <c r="G9" i="8"/>
  <c r="G56" i="8"/>
  <c r="G103" i="8"/>
  <c r="G72" i="8"/>
  <c r="G92" i="8"/>
  <c r="G34" i="8"/>
  <c r="G76" i="8"/>
  <c r="G90" i="8"/>
  <c r="G10" i="8"/>
  <c r="G46" i="8"/>
  <c r="G8" i="8"/>
  <c r="G82" i="8"/>
  <c r="G120" i="8"/>
  <c r="Z1153" i="1"/>
  <c r="Z1101" i="1"/>
  <c r="Z912" i="1"/>
  <c r="H105" i="8" s="1"/>
  <c r="Z1204" i="1"/>
  <c r="Z871" i="1"/>
  <c r="Z725" i="1"/>
  <c r="Z585" i="1"/>
  <c r="H45" i="8" s="1"/>
  <c r="Z163" i="1"/>
  <c r="K19" i="15" s="1"/>
  <c r="Z418" i="1"/>
  <c r="Z187" i="1"/>
  <c r="H36" i="8" s="1"/>
  <c r="Z604" i="1"/>
  <c r="Z206" i="1"/>
  <c r="Z430" i="1"/>
  <c r="H23" i="8"/>
  <c r="Z789" i="1"/>
  <c r="Z945" i="1"/>
  <c r="Z999" i="1"/>
  <c r="Z649" i="1"/>
  <c r="H74" i="8" s="1"/>
  <c r="Z323" i="1"/>
  <c r="H69" i="8" s="1"/>
  <c r="Z839" i="1"/>
  <c r="Z990" i="1"/>
  <c r="Z705" i="1"/>
  <c r="H96" i="8" s="1"/>
  <c r="Z419" i="1"/>
  <c r="Z562" i="1"/>
  <c r="H80" i="8" s="1"/>
  <c r="Z681" i="1"/>
  <c r="Z370" i="1"/>
  <c r="H71" i="8" s="1"/>
  <c r="Z165" i="1"/>
  <c r="H14" i="8"/>
  <c r="Z170" i="1"/>
  <c r="H17" i="8"/>
  <c r="Z711" i="1"/>
  <c r="H32" i="8"/>
  <c r="Z387" i="1"/>
  <c r="Z1113" i="1"/>
  <c r="Z787" i="1"/>
  <c r="Z944" i="1"/>
  <c r="Z575" i="1"/>
  <c r="Z1054" i="1"/>
  <c r="Z415" i="1"/>
  <c r="Z1198" i="1"/>
  <c r="Z989" i="1"/>
  <c r="Z186" i="1"/>
  <c r="H25" i="8"/>
  <c r="Z417" i="1"/>
  <c r="Z831" i="1"/>
  <c r="Z696" i="1"/>
  <c r="H94" i="8" s="1"/>
  <c r="Z987" i="1"/>
  <c r="Z1025" i="1"/>
  <c r="Z1086" i="1"/>
  <c r="Z963" i="1"/>
  <c r="Z660" i="1"/>
  <c r="H62" i="8" s="1"/>
  <c r="Z622" i="1"/>
  <c r="Z233" i="1"/>
  <c r="H59" i="8" s="1"/>
  <c r="Z477" i="1"/>
  <c r="Z640" i="1"/>
  <c r="H81" i="8" s="1"/>
  <c r="Z960" i="1"/>
  <c r="Z1056" i="1"/>
  <c r="Z589" i="1"/>
  <c r="H98" i="8" s="1"/>
  <c r="Z32" i="1"/>
  <c r="H21" i="8" s="1"/>
  <c r="Z1265" i="1"/>
  <c r="Z743" i="1"/>
  <c r="H65" i="8" s="1"/>
  <c r="Z1292" i="1"/>
  <c r="N27" i="11" s="1"/>
  <c r="Z549" i="1"/>
  <c r="Z371" i="1"/>
  <c r="Z682" i="1"/>
  <c r="H26" i="8"/>
  <c r="Z412" i="1"/>
  <c r="H24" i="8"/>
  <c r="K62" i="15"/>
  <c r="Z363" i="1"/>
  <c r="H3" i="8"/>
  <c r="Z590" i="1"/>
  <c r="H100" i="8" s="1"/>
  <c r="Z628" i="1"/>
  <c r="H112" i="8" s="1"/>
  <c r="Z1099" i="1"/>
  <c r="Z973" i="1"/>
  <c r="H115" i="8" s="1"/>
  <c r="Z621" i="1"/>
  <c r="Z1024" i="1"/>
  <c r="Z1084" i="1"/>
  <c r="Z876" i="1"/>
  <c r="H101" i="8" s="1"/>
  <c r="Z749" i="1"/>
  <c r="Z671" i="1"/>
  <c r="H55" i="8" s="1"/>
  <c r="Z923" i="1"/>
  <c r="H16" i="8"/>
  <c r="Z832" i="1"/>
  <c r="Z771" i="1"/>
  <c r="H93" i="8" s="1"/>
  <c r="Z719" i="1"/>
  <c r="H118" i="8" s="1"/>
  <c r="Z806" i="1"/>
  <c r="Z1154" i="1"/>
  <c r="Z736" i="1"/>
  <c r="H64" i="8" s="1"/>
  <c r="Z1014" i="1"/>
  <c r="Z470" i="1"/>
  <c r="H78" i="8" s="1"/>
  <c r="Z829" i="1"/>
  <c r="Z637" i="1"/>
  <c r="H73" i="8" s="1"/>
  <c r="Z830" i="1"/>
  <c r="Z564" i="1"/>
  <c r="Z97" i="1"/>
  <c r="H37" i="8" s="1"/>
  <c r="H13" i="8"/>
  <c r="Z695" i="1"/>
  <c r="H119" i="8" s="1"/>
  <c r="Z698" i="1"/>
  <c r="H117" i="8" s="1"/>
  <c r="Z757" i="1"/>
  <c r="Z539" i="1"/>
  <c r="Z357" i="1"/>
  <c r="H70" i="8" s="1"/>
  <c r="Z624" i="1"/>
  <c r="H109" i="8" s="1"/>
  <c r="Z750" i="1"/>
  <c r="Z330" i="1"/>
  <c r="H57" i="8" s="1"/>
  <c r="Z922" i="1"/>
  <c r="H12" i="8" s="1"/>
  <c r="Z680" i="1"/>
  <c r="Z87" i="1"/>
  <c r="H31" i="8" s="1"/>
  <c r="Z478" i="1"/>
  <c r="Z320" i="1"/>
  <c r="Z194" i="1"/>
  <c r="K34" i="15" s="1"/>
  <c r="Z520" i="1"/>
  <c r="Z426" i="1"/>
  <c r="Z393" i="1"/>
  <c r="Z500" i="1"/>
  <c r="Z587" i="1"/>
  <c r="Z798" i="1"/>
  <c r="Z958" i="1"/>
  <c r="Z655" i="1"/>
  <c r="H41" i="8"/>
  <c r="Z631" i="1"/>
  <c r="Z732" i="1"/>
  <c r="H15" i="8"/>
  <c r="Z1023" i="1"/>
  <c r="Z1083" i="1"/>
  <c r="Z875" i="1"/>
  <c r="H99" i="8" s="1"/>
  <c r="Z964" i="1"/>
  <c r="Z730" i="1"/>
  <c r="H86" i="8" s="1"/>
  <c r="H29" i="8"/>
  <c r="Z498" i="1"/>
  <c r="Z582" i="1"/>
  <c r="Z390" i="1"/>
  <c r="Z721" i="1"/>
  <c r="Z262" i="1"/>
  <c r="Z652" i="1"/>
  <c r="Z794" i="1"/>
  <c r="G6" i="8"/>
  <c r="Z440" i="1"/>
  <c r="Z350" i="1"/>
  <c r="Z612" i="1"/>
  <c r="Z535" i="1"/>
  <c r="H28" i="8"/>
  <c r="Z614" i="1"/>
  <c r="Z674" i="1"/>
  <c r="Z527" i="1"/>
  <c r="Z528" i="1"/>
  <c r="Z529" i="1"/>
  <c r="Z605" i="1"/>
  <c r="H30" i="8"/>
  <c r="Z974" i="1"/>
  <c r="Z1022" i="1"/>
  <c r="H18" i="8"/>
  <c r="I58" i="8"/>
  <c r="I8" i="8"/>
  <c r="I44" i="8"/>
  <c r="I83" i="8"/>
  <c r="I106" i="8"/>
  <c r="I39" i="8"/>
  <c r="I35" i="8"/>
  <c r="I2" i="8"/>
  <c r="I43" i="8"/>
  <c r="I48" i="8"/>
  <c r="I3" i="8"/>
  <c r="I63" i="8"/>
  <c r="I41" i="8"/>
  <c r="I30" i="8"/>
  <c r="I104" i="8"/>
  <c r="I103" i="8"/>
  <c r="I50" i="8"/>
  <c r="I42" i="8"/>
  <c r="I62" i="8"/>
  <c r="I107" i="8"/>
  <c r="I10" i="8"/>
  <c r="I49" i="8"/>
  <c r="I74" i="8"/>
  <c r="I135" i="8"/>
  <c r="I82" i="8"/>
  <c r="I76" i="8"/>
  <c r="I97" i="8"/>
  <c r="I57" i="8"/>
  <c r="I12" i="8"/>
  <c r="I69" i="8"/>
  <c r="I56" i="8"/>
  <c r="I61" i="8"/>
  <c r="I86" i="8"/>
  <c r="I91" i="8"/>
  <c r="L54" i="13" l="1"/>
  <c r="L260" i="13"/>
  <c r="L57" i="13"/>
  <c r="L96" i="13"/>
  <c r="L37" i="13"/>
  <c r="L163" i="13"/>
  <c r="N16" i="11"/>
  <c r="L156" i="13"/>
  <c r="L67" i="13"/>
  <c r="L58" i="13"/>
  <c r="L161" i="13"/>
  <c r="L99" i="13"/>
  <c r="L100" i="13"/>
  <c r="L203" i="13"/>
  <c r="L162" i="13"/>
  <c r="L40" i="13"/>
  <c r="L98" i="13"/>
  <c r="L144" i="13"/>
  <c r="G11" i="22"/>
  <c r="G10" i="22"/>
  <c r="G9" i="22"/>
  <c r="G8" i="22"/>
  <c r="G7" i="22"/>
  <c r="G12" i="22" s="1"/>
  <c r="G13" i="22" s="1"/>
  <c r="L124" i="13"/>
  <c r="L85" i="13"/>
  <c r="L130" i="13"/>
  <c r="L10" i="13"/>
  <c r="L137" i="13"/>
  <c r="L114" i="13"/>
  <c r="L82" i="13"/>
  <c r="L175" i="13"/>
  <c r="L16" i="13"/>
  <c r="L253" i="13"/>
  <c r="B2" i="17"/>
  <c r="L6" i="13"/>
  <c r="L127" i="13"/>
  <c r="L171" i="13"/>
  <c r="L142" i="13"/>
  <c r="L108" i="13"/>
  <c r="L53" i="13"/>
  <c r="L76" i="13"/>
  <c r="L117" i="13"/>
  <c r="L164" i="13"/>
  <c r="L79" i="13"/>
  <c r="L245" i="13"/>
  <c r="L158" i="13"/>
  <c r="L35" i="13"/>
  <c r="L139" i="13"/>
  <c r="L44" i="13"/>
  <c r="L95" i="13"/>
  <c r="L8" i="13"/>
  <c r="L49" i="13"/>
  <c r="L41" i="13"/>
  <c r="L72" i="13"/>
  <c r="L249" i="13"/>
  <c r="L74" i="13"/>
  <c r="L110" i="13"/>
  <c r="L34" i="13"/>
  <c r="L136" i="13"/>
  <c r="L138" i="13"/>
  <c r="L9" i="13"/>
  <c r="L169" i="13"/>
  <c r="L39" i="13"/>
  <c r="L112" i="13"/>
  <c r="L24" i="13"/>
  <c r="L157" i="13"/>
  <c r="L77" i="13"/>
  <c r="L60" i="13"/>
  <c r="L84" i="13"/>
  <c r="L133" i="13"/>
  <c r="L174" i="13"/>
  <c r="L64" i="13"/>
  <c r="L107" i="13"/>
  <c r="L247" i="13"/>
  <c r="L143" i="13"/>
  <c r="L19" i="13"/>
  <c r="L179" i="13"/>
  <c r="L147" i="13"/>
  <c r="L140" i="13"/>
  <c r="L26" i="13"/>
  <c r="L183" i="13"/>
  <c r="L152" i="13"/>
  <c r="L29" i="13"/>
  <c r="L180" i="13"/>
  <c r="L111" i="13"/>
  <c r="L27" i="13"/>
  <c r="L42" i="13"/>
  <c r="L134" i="13"/>
  <c r="L205" i="13"/>
  <c r="L59" i="13"/>
  <c r="L65" i="13"/>
  <c r="L123" i="13"/>
  <c r="L87" i="13"/>
  <c r="L51" i="13"/>
  <c r="L151" i="13"/>
  <c r="L129" i="13"/>
  <c r="L47" i="13"/>
  <c r="L166" i="13"/>
  <c r="L149" i="13"/>
  <c r="L116" i="13"/>
  <c r="L83" i="13"/>
  <c r="L146" i="13"/>
  <c r="L28" i="13"/>
  <c r="L75" i="13"/>
  <c r="L94" i="13"/>
  <c r="L176" i="13"/>
  <c r="L204" i="13"/>
  <c r="L90" i="13"/>
  <c r="L170" i="13"/>
  <c r="L55" i="13"/>
  <c r="L155" i="13"/>
  <c r="L80" i="13"/>
  <c r="L62" i="13"/>
  <c r="L52" i="13"/>
  <c r="L20" i="13"/>
  <c r="L7" i="13"/>
  <c r="L194" i="13"/>
  <c r="L66" i="13"/>
  <c r="L36" i="13"/>
  <c r="L251" i="13"/>
  <c r="L246" i="13"/>
  <c r="L243" i="13"/>
  <c r="L244" i="13"/>
  <c r="L250" i="13"/>
  <c r="L167" i="13"/>
  <c r="F254" i="15"/>
  <c r="L165" i="13"/>
  <c r="L199" i="13"/>
  <c r="L125" i="13"/>
  <c r="L68" i="13"/>
  <c r="L192" i="13"/>
  <c r="L197" i="13"/>
  <c r="L45" i="13"/>
  <c r="L122" i="13"/>
  <c r="L242" i="13"/>
  <c r="L113" i="13"/>
  <c r="L182" i="13"/>
  <c r="L63" i="13"/>
  <c r="L173" i="13"/>
  <c r="L159" i="13"/>
  <c r="L132" i="13"/>
  <c r="L78" i="13"/>
  <c r="H11" i="13"/>
  <c r="L120" i="13"/>
  <c r="L69" i="13"/>
  <c r="L109" i="13"/>
  <c r="L160" i="13"/>
  <c r="L104" i="13"/>
  <c r="L106" i="13"/>
  <c r="F262" i="15"/>
  <c r="L97" i="13"/>
  <c r="L131" i="13"/>
  <c r="L168" i="13"/>
  <c r="L71" i="13"/>
  <c r="L15" i="13"/>
  <c r="L21" i="13"/>
  <c r="G260" i="15"/>
  <c r="F260" i="15"/>
  <c r="L172" i="13"/>
  <c r="G252" i="15"/>
  <c r="G254" i="15"/>
  <c r="F252" i="15"/>
  <c r="M259" i="15"/>
  <c r="N259" i="15"/>
  <c r="G262" i="15"/>
  <c r="F255" i="15"/>
  <c r="G255" i="15"/>
  <c r="M265" i="15"/>
  <c r="N265" i="15"/>
  <c r="M262" i="15"/>
  <c r="N262" i="15"/>
  <c r="F261" i="15"/>
  <c r="G261" i="15"/>
  <c r="N256" i="15"/>
  <c r="M256" i="15"/>
  <c r="N263" i="15"/>
  <c r="M263" i="15"/>
  <c r="N266" i="15"/>
  <c r="M266" i="15"/>
  <c r="G264" i="15"/>
  <c r="F264" i="15"/>
  <c r="F253" i="15"/>
  <c r="G253" i="15"/>
  <c r="N258" i="15"/>
  <c r="M258" i="15"/>
  <c r="N255" i="15"/>
  <c r="M255" i="15"/>
  <c r="F266" i="15"/>
  <c r="G266" i="15"/>
  <c r="F258" i="15"/>
  <c r="G258" i="15"/>
  <c r="F259" i="15"/>
  <c r="N261" i="15"/>
  <c r="M261" i="15"/>
  <c r="F263" i="15"/>
  <c r="G263" i="15"/>
  <c r="N260" i="15"/>
  <c r="M260" i="15"/>
  <c r="M253" i="15"/>
  <c r="N253" i="15"/>
  <c r="G257" i="15"/>
  <c r="F257" i="15"/>
  <c r="N264" i="15"/>
  <c r="M264" i="15"/>
  <c r="M252" i="15"/>
  <c r="N252" i="15"/>
  <c r="G256" i="15"/>
  <c r="F256" i="15"/>
  <c r="G259" i="15"/>
  <c r="M254" i="15"/>
  <c r="N254" i="15"/>
  <c r="M257" i="15"/>
  <c r="N257" i="15"/>
  <c r="G265" i="15"/>
  <c r="F265" i="15"/>
  <c r="V305" i="1"/>
  <c r="Z305" i="1" s="1"/>
  <c r="V172" i="1"/>
  <c r="Z172" i="1" s="1"/>
  <c r="V304" i="1"/>
  <c r="Z304" i="1" s="1"/>
  <c r="V410" i="1"/>
  <c r="Z410" i="1" s="1"/>
  <c r="N6" i="11" s="1"/>
  <c r="H22" i="8"/>
  <c r="L229" i="13"/>
  <c r="B247" i="18"/>
  <c r="B250" i="18"/>
  <c r="B243" i="18"/>
  <c r="B245" i="18"/>
  <c r="B251" i="18"/>
  <c r="B252" i="18"/>
  <c r="B249" i="18"/>
  <c r="B244" i="18"/>
  <c r="G247" i="15"/>
  <c r="F247" i="15"/>
  <c r="A248" i="18"/>
  <c r="A249" i="18"/>
  <c r="F248" i="15"/>
  <c r="G248" i="15"/>
  <c r="F244" i="15"/>
  <c r="G244" i="15"/>
  <c r="A245" i="18"/>
  <c r="N247" i="15"/>
  <c r="M247" i="15"/>
  <c r="B246" i="18"/>
  <c r="G246" i="15"/>
  <c r="F246" i="15"/>
  <c r="A247" i="18"/>
  <c r="F245" i="15"/>
  <c r="G245" i="15"/>
  <c r="A246" i="18"/>
  <c r="N245" i="15"/>
  <c r="O245" i="15" s="1"/>
  <c r="M245" i="15"/>
  <c r="G249" i="15"/>
  <c r="F249" i="15"/>
  <c r="A250" i="18"/>
  <c r="F242" i="15"/>
  <c r="G242" i="15"/>
  <c r="A243" i="18"/>
  <c r="F243" i="15"/>
  <c r="G243" i="15"/>
  <c r="A244" i="18"/>
  <c r="N250" i="15"/>
  <c r="M250" i="15"/>
  <c r="M251" i="15"/>
  <c r="N251" i="15"/>
  <c r="M246" i="15"/>
  <c r="N246" i="15"/>
  <c r="M244" i="15"/>
  <c r="N244" i="15"/>
  <c r="M243" i="15"/>
  <c r="N243" i="15"/>
  <c r="F251" i="15"/>
  <c r="G251" i="15"/>
  <c r="A252" i="18"/>
  <c r="G250" i="15"/>
  <c r="A251" i="18"/>
  <c r="F250" i="15"/>
  <c r="M242" i="15"/>
  <c r="N242" i="15"/>
  <c r="M248" i="15"/>
  <c r="N248" i="15"/>
  <c r="B248" i="18"/>
  <c r="M249" i="15"/>
  <c r="N249" i="15"/>
  <c r="K39" i="4"/>
  <c r="I39" i="4"/>
  <c r="J39" i="4"/>
  <c r="J38" i="4"/>
  <c r="K38" i="4"/>
  <c r="I38" i="4"/>
  <c r="J40" i="4"/>
  <c r="K40" i="4"/>
  <c r="I40" i="4"/>
  <c r="N20" i="11"/>
  <c r="N21" i="11"/>
  <c r="N23" i="11"/>
  <c r="F4" i="15"/>
  <c r="F176" i="15"/>
  <c r="F162" i="15"/>
  <c r="F34" i="15"/>
  <c r="F97" i="15"/>
  <c r="F200" i="15"/>
  <c r="F52" i="15"/>
  <c r="F98" i="15"/>
  <c r="F139" i="15"/>
  <c r="F13" i="15"/>
  <c r="F130" i="15"/>
  <c r="F194" i="15"/>
  <c r="F239" i="15"/>
  <c r="F10" i="15"/>
  <c r="F14" i="15"/>
  <c r="F215" i="15"/>
  <c r="F94" i="15"/>
  <c r="F202" i="15"/>
  <c r="F115" i="15"/>
  <c r="F145" i="15"/>
  <c r="F58" i="15"/>
  <c r="F119" i="15"/>
  <c r="F78" i="15"/>
  <c r="F132" i="15"/>
  <c r="F18" i="15"/>
  <c r="F69" i="15"/>
  <c r="F197" i="15"/>
  <c r="F49" i="15"/>
  <c r="F222" i="15"/>
  <c r="F80" i="15"/>
  <c r="F54" i="15"/>
  <c r="F16" i="15"/>
  <c r="F15" i="15"/>
  <c r="F68" i="15"/>
  <c r="F91" i="15"/>
  <c r="F168" i="15"/>
  <c r="F144" i="15"/>
  <c r="F183" i="15"/>
  <c r="F31" i="15"/>
  <c r="F213" i="15"/>
  <c r="F236" i="15"/>
  <c r="F148" i="15"/>
  <c r="F35" i="15"/>
  <c r="F216" i="15"/>
  <c r="F96" i="15"/>
  <c r="F187" i="15"/>
  <c r="F159" i="15"/>
  <c r="F190" i="15"/>
  <c r="F79" i="15"/>
  <c r="F44" i="15"/>
  <c r="F157" i="15"/>
  <c r="F76" i="15"/>
  <c r="F56" i="15"/>
  <c r="F71" i="15"/>
  <c r="F207" i="15"/>
  <c r="F160" i="15"/>
  <c r="F122" i="15"/>
  <c r="F111" i="15"/>
  <c r="F127" i="15"/>
  <c r="F28" i="15"/>
  <c r="F155" i="15"/>
  <c r="F217" i="15"/>
  <c r="F30" i="15"/>
  <c r="F161" i="15"/>
  <c r="F229" i="15"/>
  <c r="F17" i="15"/>
  <c r="F95" i="15"/>
  <c r="F63" i="15"/>
  <c r="F235" i="15"/>
  <c r="F188" i="15"/>
  <c r="F12" i="15"/>
  <c r="F181" i="15"/>
  <c r="F42" i="15"/>
  <c r="F218" i="15"/>
  <c r="F46" i="15"/>
  <c r="F108" i="15"/>
  <c r="F170" i="15"/>
  <c r="F45" i="15"/>
  <c r="F5" i="15"/>
  <c r="F238" i="15"/>
  <c r="F192" i="15"/>
  <c r="F70" i="15"/>
  <c r="F184" i="15"/>
  <c r="F150" i="15"/>
  <c r="F126" i="15"/>
  <c r="F230" i="15"/>
  <c r="F167" i="15"/>
  <c r="F171" i="15"/>
  <c r="F191" i="15"/>
  <c r="F92" i="15"/>
  <c r="F186" i="15"/>
  <c r="F203" i="15"/>
  <c r="F6" i="15"/>
  <c r="F53" i="15"/>
  <c r="F133" i="15"/>
  <c r="F90" i="15"/>
  <c r="F106" i="15"/>
  <c r="F196" i="15"/>
  <c r="F101" i="15"/>
  <c r="F129" i="15"/>
  <c r="F48" i="15"/>
  <c r="F134" i="15"/>
  <c r="F107" i="15"/>
  <c r="F208" i="15"/>
  <c r="F113" i="15"/>
  <c r="F47" i="15"/>
  <c r="F99" i="15"/>
  <c r="F180" i="15"/>
  <c r="F57" i="15"/>
  <c r="F26" i="15"/>
  <c r="F221" i="15"/>
  <c r="F219" i="15"/>
  <c r="F154" i="15"/>
  <c r="F40" i="15"/>
  <c r="F89" i="15"/>
  <c r="F232" i="15"/>
  <c r="F50" i="15"/>
  <c r="F166" i="15"/>
  <c r="F140" i="15"/>
  <c r="F163" i="15"/>
  <c r="F51" i="15"/>
  <c r="F228" i="15"/>
  <c r="F82" i="15"/>
  <c r="F206" i="15"/>
  <c r="F105" i="15"/>
  <c r="F11" i="15"/>
  <c r="F241" i="15"/>
  <c r="F204" i="15"/>
  <c r="F231" i="15"/>
  <c r="F201" i="15"/>
  <c r="F112" i="15"/>
  <c r="F156" i="15"/>
  <c r="F8" i="15"/>
  <c r="F32" i="15"/>
  <c r="F142" i="15"/>
  <c r="F211" i="15"/>
  <c r="F223" i="15"/>
  <c r="F158" i="15"/>
  <c r="F55" i="15"/>
  <c r="F117" i="15"/>
  <c r="F93" i="15"/>
  <c r="F136" i="15"/>
  <c r="F225" i="15"/>
  <c r="F24" i="15"/>
  <c r="F110" i="15"/>
  <c r="F135" i="15"/>
  <c r="F65" i="15"/>
  <c r="F198" i="15"/>
  <c r="F109" i="15"/>
  <c r="F77" i="15"/>
  <c r="F175" i="15"/>
  <c r="F178" i="15"/>
  <c r="F146" i="15"/>
  <c r="F212" i="15"/>
  <c r="F233" i="15"/>
  <c r="F116" i="15"/>
  <c r="F86" i="15"/>
  <c r="F179" i="15"/>
  <c r="F182" i="15"/>
  <c r="F21" i="15"/>
  <c r="F185" i="15"/>
  <c r="F124" i="15"/>
  <c r="F224" i="15"/>
  <c r="F128" i="15"/>
  <c r="F88" i="15"/>
  <c r="F64" i="15"/>
  <c r="F67" i="15"/>
  <c r="F226" i="15"/>
  <c r="F173" i="15"/>
  <c r="F137" i="15"/>
  <c r="F123" i="15"/>
  <c r="F220" i="15"/>
  <c r="F83" i="15"/>
  <c r="F172" i="15"/>
  <c r="F61" i="15"/>
  <c r="F234" i="15"/>
  <c r="F121" i="15"/>
  <c r="F131" i="15"/>
  <c r="F27" i="15"/>
  <c r="F149" i="15"/>
  <c r="F62" i="15"/>
  <c r="F165" i="15"/>
  <c r="F114" i="15"/>
  <c r="F74" i="15"/>
  <c r="F84" i="15"/>
  <c r="F9" i="15"/>
  <c r="F147" i="15"/>
  <c r="F141" i="15"/>
  <c r="F3" i="15"/>
  <c r="F87" i="15"/>
  <c r="F38" i="15"/>
  <c r="F169" i="15"/>
  <c r="F120" i="15"/>
  <c r="F72" i="15"/>
  <c r="F20" i="15"/>
  <c r="F33" i="15"/>
  <c r="F195" i="15"/>
  <c r="F214" i="15"/>
  <c r="F29" i="15"/>
  <c r="F205" i="15"/>
  <c r="F39" i="15"/>
  <c r="F102" i="15"/>
  <c r="F19" i="15"/>
  <c r="F153" i="15"/>
  <c r="F37" i="15"/>
  <c r="F210" i="15"/>
  <c r="F66" i="15"/>
  <c r="F2" i="15"/>
  <c r="F41" i="15"/>
  <c r="F75" i="15"/>
  <c r="F199" i="15"/>
  <c r="F151" i="15"/>
  <c r="F73" i="15"/>
  <c r="F103" i="15"/>
  <c r="F177" i="15"/>
  <c r="F22" i="15"/>
  <c r="F209" i="15"/>
  <c r="F143" i="15"/>
  <c r="F240" i="15"/>
  <c r="F60" i="15"/>
  <c r="F174" i="15"/>
  <c r="F118" i="15"/>
  <c r="F43" i="15"/>
  <c r="F125" i="15"/>
  <c r="F138" i="15"/>
  <c r="F193" i="15"/>
  <c r="F7" i="15"/>
  <c r="F100" i="15"/>
  <c r="F59" i="15"/>
  <c r="F23" i="15"/>
  <c r="F36" i="15"/>
  <c r="F152" i="15"/>
  <c r="F104" i="15"/>
  <c r="F164" i="15"/>
  <c r="F237" i="15"/>
  <c r="F189" i="15"/>
  <c r="F25" i="15"/>
  <c r="F227" i="15"/>
  <c r="F85" i="15"/>
  <c r="F81" i="15"/>
  <c r="G4" i="15"/>
  <c r="G176" i="15"/>
  <c r="B3" i="17"/>
  <c r="B4" i="17"/>
  <c r="B5" i="17"/>
  <c r="B6" i="17"/>
  <c r="B7" i="17"/>
  <c r="B8" i="17"/>
  <c r="B9" i="17"/>
  <c r="B10" i="17"/>
  <c r="G222" i="15"/>
  <c r="G80" i="15"/>
  <c r="G54" i="15"/>
  <c r="G16" i="15"/>
  <c r="G15" i="15"/>
  <c r="G68" i="15"/>
  <c r="G91" i="15"/>
  <c r="G168" i="15"/>
  <c r="G144" i="15"/>
  <c r="G183" i="15"/>
  <c r="G31" i="15"/>
  <c r="G213" i="15"/>
  <c r="G236" i="15"/>
  <c r="G99" i="15"/>
  <c r="G148" i="15"/>
  <c r="G35" i="15"/>
  <c r="G216" i="15"/>
  <c r="G96" i="15"/>
  <c r="G187" i="15"/>
  <c r="G159" i="15"/>
  <c r="G190" i="15"/>
  <c r="G79" i="15"/>
  <c r="G44" i="15"/>
  <c r="G162" i="15"/>
  <c r="G34" i="15"/>
  <c r="G78" i="15"/>
  <c r="G97" i="15"/>
  <c r="G132" i="15"/>
  <c r="G18" i="15"/>
  <c r="G69" i="15"/>
  <c r="G197" i="15"/>
  <c r="G49" i="15"/>
  <c r="G200" i="15"/>
  <c r="G52" i="15"/>
  <c r="G98" i="15"/>
  <c r="G139" i="15"/>
  <c r="G13" i="15"/>
  <c r="G130" i="15"/>
  <c r="G194" i="15"/>
  <c r="G239" i="15"/>
  <c r="G10" i="15"/>
  <c r="G14" i="15"/>
  <c r="G215" i="15"/>
  <c r="G94" i="15"/>
  <c r="G202" i="15"/>
  <c r="G115" i="15"/>
  <c r="G145" i="15"/>
  <c r="G58" i="15"/>
  <c r="G119" i="15"/>
  <c r="G12" i="15"/>
  <c r="G181" i="15"/>
  <c r="G42" i="15"/>
  <c r="G218" i="15"/>
  <c r="G46" i="15"/>
  <c r="G170" i="15"/>
  <c r="G5" i="15"/>
  <c r="G180" i="15"/>
  <c r="G108" i="15"/>
  <c r="G238" i="15"/>
  <c r="G192" i="15"/>
  <c r="G70" i="15"/>
  <c r="G184" i="15"/>
  <c r="G150" i="15"/>
  <c r="G126" i="15"/>
  <c r="G230" i="15"/>
  <c r="G167" i="15"/>
  <c r="G171" i="15"/>
  <c r="G191" i="15"/>
  <c r="G92" i="15"/>
  <c r="G186" i="15"/>
  <c r="G203" i="15"/>
  <c r="G6" i="15"/>
  <c r="G53" i="15"/>
  <c r="G133" i="15"/>
  <c r="G90" i="15"/>
  <c r="G106" i="15"/>
  <c r="G163" i="15"/>
  <c r="G51" i="15"/>
  <c r="G228" i="15"/>
  <c r="G82" i="15"/>
  <c r="G206" i="15"/>
  <c r="G105" i="15"/>
  <c r="G11" i="15"/>
  <c r="G241" i="15"/>
  <c r="G204" i="15"/>
  <c r="G231" i="15"/>
  <c r="G201" i="15"/>
  <c r="G112" i="15"/>
  <c r="G156" i="15"/>
  <c r="G8" i="15"/>
  <c r="G32" i="15"/>
  <c r="G142" i="15"/>
  <c r="G211" i="15"/>
  <c r="G223" i="15"/>
  <c r="G158" i="15"/>
  <c r="G55" i="15"/>
  <c r="G117" i="15"/>
  <c r="G93" i="15"/>
  <c r="G136" i="15"/>
  <c r="G225" i="15"/>
  <c r="G24" i="15"/>
  <c r="G110" i="15"/>
  <c r="G135" i="15"/>
  <c r="G65" i="15"/>
  <c r="G198" i="15"/>
  <c r="G109" i="15"/>
  <c r="G77" i="15"/>
  <c r="G175" i="15"/>
  <c r="G178" i="15"/>
  <c r="G146" i="15"/>
  <c r="G212" i="15"/>
  <c r="G233" i="15"/>
  <c r="G116" i="15"/>
  <c r="G86" i="15"/>
  <c r="G179" i="15"/>
  <c r="G182" i="15"/>
  <c r="G21" i="15"/>
  <c r="G185" i="15"/>
  <c r="G124" i="15"/>
  <c r="G224" i="15"/>
  <c r="G128" i="15"/>
  <c r="G88" i="15"/>
  <c r="G64" i="15"/>
  <c r="G67" i="15"/>
  <c r="G226" i="15"/>
  <c r="G173" i="15"/>
  <c r="G137" i="15"/>
  <c r="G123" i="15"/>
  <c r="G220" i="15"/>
  <c r="G83" i="15"/>
  <c r="G172" i="15"/>
  <c r="G61" i="15"/>
  <c r="G234" i="15"/>
  <c r="G121" i="15"/>
  <c r="G131" i="15"/>
  <c r="G27" i="15"/>
  <c r="G149" i="15"/>
  <c r="G62" i="15"/>
  <c r="G165" i="15"/>
  <c r="G114" i="15"/>
  <c r="G74" i="15"/>
  <c r="G84" i="15"/>
  <c r="G9" i="15"/>
  <c r="G147" i="15"/>
  <c r="G141" i="15"/>
  <c r="G3" i="15"/>
  <c r="G87" i="15"/>
  <c r="G38" i="15"/>
  <c r="G169" i="15"/>
  <c r="G120" i="15"/>
  <c r="G72" i="15"/>
  <c r="G20" i="15"/>
  <c r="G33" i="15"/>
  <c r="G195" i="15"/>
  <c r="G214" i="15"/>
  <c r="G29" i="15"/>
  <c r="G205" i="15"/>
  <c r="G39" i="15"/>
  <c r="G102" i="15"/>
  <c r="G19" i="15"/>
  <c r="G153" i="15"/>
  <c r="G37" i="15"/>
  <c r="G210" i="15"/>
  <c r="G66" i="15"/>
  <c r="G196" i="15"/>
  <c r="G101" i="15"/>
  <c r="G129" i="15"/>
  <c r="C3" i="17"/>
  <c r="C10" i="17"/>
  <c r="C4" i="17"/>
  <c r="C2" i="17"/>
  <c r="C5" i="17"/>
  <c r="C6" i="17"/>
  <c r="G2" i="15"/>
  <c r="C7" i="17"/>
  <c r="C8" i="17"/>
  <c r="C9" i="17"/>
  <c r="G48" i="15"/>
  <c r="G134" i="15"/>
  <c r="G107" i="15"/>
  <c r="G41" i="15"/>
  <c r="G75" i="15"/>
  <c r="G208" i="15"/>
  <c r="G113" i="15"/>
  <c r="G47" i="15"/>
  <c r="G45" i="15"/>
  <c r="G199" i="15"/>
  <c r="G151" i="15"/>
  <c r="G73" i="15"/>
  <c r="G103" i="15"/>
  <c r="G177" i="15"/>
  <c r="G22" i="15"/>
  <c r="G209" i="15"/>
  <c r="G143" i="15"/>
  <c r="G240" i="15"/>
  <c r="G60" i="15"/>
  <c r="G174" i="15"/>
  <c r="G118" i="15"/>
  <c r="G43" i="15"/>
  <c r="G125" i="15"/>
  <c r="G138" i="15"/>
  <c r="G193" i="15"/>
  <c r="G7" i="15"/>
  <c r="G100" i="15"/>
  <c r="G59" i="15"/>
  <c r="G23" i="15"/>
  <c r="G36" i="15"/>
  <c r="G152" i="15"/>
  <c r="G104" i="15"/>
  <c r="G164" i="15"/>
  <c r="G237" i="15"/>
  <c r="G189" i="15"/>
  <c r="G25" i="15"/>
  <c r="G227" i="15"/>
  <c r="G85" i="15"/>
  <c r="G81" i="15"/>
  <c r="G157" i="15"/>
  <c r="G76" i="15"/>
  <c r="G56" i="15"/>
  <c r="G71" i="15"/>
  <c r="G207" i="15"/>
  <c r="G160" i="15"/>
  <c r="G122" i="15"/>
  <c r="G111" i="15"/>
  <c r="G127" i="15"/>
  <c r="G28" i="15"/>
  <c r="G155" i="15"/>
  <c r="G217" i="15"/>
  <c r="G30" i="15"/>
  <c r="G161" i="15"/>
  <c r="G229" i="15"/>
  <c r="G17" i="15"/>
  <c r="G95" i="15"/>
  <c r="G63" i="15"/>
  <c r="G235" i="15"/>
  <c r="G57" i="15"/>
  <c r="G26" i="15"/>
  <c r="G221" i="15"/>
  <c r="G219" i="15"/>
  <c r="G154" i="15"/>
  <c r="G40" i="15"/>
  <c r="G89" i="15"/>
  <c r="G232" i="15"/>
  <c r="G50" i="15"/>
  <c r="G166" i="15"/>
  <c r="G140" i="15"/>
  <c r="G188" i="15"/>
  <c r="L267" i="15"/>
  <c r="Q267" i="15" s="1"/>
  <c r="K93" i="15"/>
  <c r="N93" i="15" s="1"/>
  <c r="O93" i="15" s="1"/>
  <c r="K91" i="15"/>
  <c r="N91" i="15" s="1"/>
  <c r="O91" i="15" s="1"/>
  <c r="K73" i="15"/>
  <c r="N73" i="15" s="1"/>
  <c r="O73" i="15" s="1"/>
  <c r="K75" i="15"/>
  <c r="M75" i="15" s="1"/>
  <c r="K109" i="15"/>
  <c r="M109" i="15" s="1"/>
  <c r="K119" i="15"/>
  <c r="M119" i="15" s="1"/>
  <c r="K86" i="15"/>
  <c r="M86" i="15" s="1"/>
  <c r="K14" i="15"/>
  <c r="N14" i="15" s="1"/>
  <c r="O14" i="15" s="1"/>
  <c r="N62" i="15"/>
  <c r="O62" i="15" s="1"/>
  <c r="M62" i="15"/>
  <c r="M102" i="15"/>
  <c r="N102" i="15"/>
  <c r="O102" i="15" s="1"/>
  <c r="M92" i="15"/>
  <c r="N92" i="15"/>
  <c r="O92" i="15" s="1"/>
  <c r="M19" i="15"/>
  <c r="N19" i="15"/>
  <c r="O19" i="15" s="1"/>
  <c r="N146" i="15"/>
  <c r="O146" i="15" s="1"/>
  <c r="M146" i="15"/>
  <c r="M55" i="15"/>
  <c r="N55" i="15"/>
  <c r="O55" i="15" s="1"/>
  <c r="H61" i="13"/>
  <c r="K61" i="13" s="1"/>
  <c r="L61" i="13" s="1"/>
  <c r="H233" i="13"/>
  <c r="K233" i="13" s="1"/>
  <c r="L233" i="13" s="1"/>
  <c r="N159" i="15"/>
  <c r="O159" i="15" s="1"/>
  <c r="M159" i="15"/>
  <c r="M241" i="15"/>
  <c r="N241" i="15"/>
  <c r="O241" i="15" s="1"/>
  <c r="M188" i="15"/>
  <c r="N188" i="15"/>
  <c r="O188" i="15" s="1"/>
  <c r="M163" i="15"/>
  <c r="N163" i="15"/>
  <c r="O163" i="15" s="1"/>
  <c r="M200" i="15"/>
  <c r="N200" i="15"/>
  <c r="O200" i="15" s="1"/>
  <c r="N104" i="15"/>
  <c r="O104" i="15" s="1"/>
  <c r="M104" i="15"/>
  <c r="M217" i="15"/>
  <c r="N217" i="15"/>
  <c r="O217" i="15" s="1"/>
  <c r="M98" i="15"/>
  <c r="N98" i="15"/>
  <c r="O98" i="15" s="1"/>
  <c r="N223" i="15"/>
  <c r="O223" i="15" s="1"/>
  <c r="M223" i="15"/>
  <c r="K128" i="15"/>
  <c r="M229" i="15"/>
  <c r="N229" i="15"/>
  <c r="O229" i="15" s="1"/>
  <c r="M6" i="15"/>
  <c r="N6" i="15"/>
  <c r="O6" i="15" s="1"/>
  <c r="M154" i="15"/>
  <c r="N154" i="15"/>
  <c r="O154" i="15" s="1"/>
  <c r="N108" i="15"/>
  <c r="O108" i="15" s="1"/>
  <c r="M108" i="15"/>
  <c r="M194" i="15"/>
  <c r="N194" i="15"/>
  <c r="O194" i="15" s="1"/>
  <c r="M145" i="15"/>
  <c r="N145" i="15"/>
  <c r="O145" i="15" s="1"/>
  <c r="N236" i="15"/>
  <c r="O236" i="15" s="1"/>
  <c r="M236" i="15"/>
  <c r="M24" i="15"/>
  <c r="N24" i="15"/>
  <c r="O24" i="15" s="1"/>
  <c r="M129" i="15"/>
  <c r="N129" i="15"/>
  <c r="O129" i="15" s="1"/>
  <c r="M158" i="15"/>
  <c r="N158" i="15"/>
  <c r="O158" i="15" s="1"/>
  <c r="N206" i="15"/>
  <c r="O206" i="15" s="1"/>
  <c r="M206" i="15"/>
  <c r="M56" i="15"/>
  <c r="N56" i="15"/>
  <c r="O56" i="15" s="1"/>
  <c r="M131" i="15"/>
  <c r="N131" i="15"/>
  <c r="O131" i="15" s="1"/>
  <c r="N157" i="15"/>
  <c r="O157" i="15" s="1"/>
  <c r="M157" i="15"/>
  <c r="N178" i="15"/>
  <c r="O178" i="15" s="1"/>
  <c r="M178" i="15"/>
  <c r="M68" i="15"/>
  <c r="N68" i="15"/>
  <c r="O68" i="15" s="1"/>
  <c r="M97" i="15"/>
  <c r="N97" i="15"/>
  <c r="O97" i="15" s="1"/>
  <c r="N48" i="15"/>
  <c r="O48" i="15" s="1"/>
  <c r="M48" i="15"/>
  <c r="N155" i="15"/>
  <c r="O155" i="15" s="1"/>
  <c r="M155" i="15"/>
  <c r="N80" i="15"/>
  <c r="O80" i="15" s="1"/>
  <c r="M80" i="15"/>
  <c r="N187" i="15"/>
  <c r="O187" i="15" s="1"/>
  <c r="M187" i="15"/>
  <c r="M167" i="15"/>
  <c r="N167" i="15"/>
  <c r="O167" i="15" s="1"/>
  <c r="M221" i="15"/>
  <c r="N221" i="15"/>
  <c r="O221" i="15" s="1"/>
  <c r="M228" i="15"/>
  <c r="N228" i="15"/>
  <c r="O228" i="15" s="1"/>
  <c r="M4" i="15"/>
  <c r="N4" i="15"/>
  <c r="O4" i="15" s="1"/>
  <c r="M164" i="15"/>
  <c r="N164" i="15"/>
  <c r="O164" i="15" s="1"/>
  <c r="M196" i="15"/>
  <c r="N196" i="15"/>
  <c r="O196" i="15" s="1"/>
  <c r="M203" i="15"/>
  <c r="N203" i="15"/>
  <c r="O203" i="15" s="1"/>
  <c r="M106" i="15"/>
  <c r="N106" i="15"/>
  <c r="O106" i="15" s="1"/>
  <c r="N189" i="15"/>
  <c r="O189" i="15" s="1"/>
  <c r="M189" i="15"/>
  <c r="M100" i="15"/>
  <c r="N100" i="15"/>
  <c r="O100" i="15" s="1"/>
  <c r="M202" i="15"/>
  <c r="N202" i="15"/>
  <c r="O202" i="15" s="1"/>
  <c r="M50" i="15"/>
  <c r="N50" i="15"/>
  <c r="O50" i="15" s="1"/>
  <c r="M30" i="15"/>
  <c r="N30" i="15"/>
  <c r="O30" i="15" s="1"/>
  <c r="N204" i="15"/>
  <c r="O204" i="15" s="1"/>
  <c r="M204" i="15"/>
  <c r="M162" i="15"/>
  <c r="N162" i="15"/>
  <c r="O162" i="15" s="1"/>
  <c r="K105" i="15"/>
  <c r="N113" i="15"/>
  <c r="O113" i="15" s="1"/>
  <c r="M113" i="15"/>
  <c r="K141" i="15"/>
  <c r="N88" i="15"/>
  <c r="O88" i="15" s="1"/>
  <c r="M88" i="15"/>
  <c r="M239" i="15"/>
  <c r="N239" i="15"/>
  <c r="O239" i="15" s="1"/>
  <c r="K149" i="15"/>
  <c r="M134" i="15"/>
  <c r="N134" i="15"/>
  <c r="O134" i="15" s="1"/>
  <c r="K135" i="15"/>
  <c r="M156" i="15"/>
  <c r="N156" i="15"/>
  <c r="O156" i="15" s="1"/>
  <c r="K41" i="15"/>
  <c r="M115" i="15"/>
  <c r="N115" i="15"/>
  <c r="O115" i="15" s="1"/>
  <c r="M47" i="15"/>
  <c r="N47" i="15"/>
  <c r="O47" i="15" s="1"/>
  <c r="M185" i="15"/>
  <c r="N185" i="15"/>
  <c r="O185" i="15" s="1"/>
  <c r="K54" i="15"/>
  <c r="N180" i="15"/>
  <c r="O180" i="15" s="1"/>
  <c r="M180" i="15"/>
  <c r="M49" i="15"/>
  <c r="N49" i="15"/>
  <c r="O49" i="15" s="1"/>
  <c r="M232" i="15"/>
  <c r="N232" i="15"/>
  <c r="O232" i="15" s="1"/>
  <c r="K38" i="15"/>
  <c r="M171" i="15"/>
  <c r="N171" i="15"/>
  <c r="O171" i="15" s="1"/>
  <c r="M224" i="15"/>
  <c r="N224" i="15"/>
  <c r="O224" i="15" s="1"/>
  <c r="N182" i="15"/>
  <c r="O182" i="15" s="1"/>
  <c r="M182" i="15"/>
  <c r="M192" i="15"/>
  <c r="N192" i="15"/>
  <c r="O192" i="15" s="1"/>
  <c r="M87" i="15"/>
  <c r="N87" i="15"/>
  <c r="O87" i="15" s="1"/>
  <c r="M237" i="15"/>
  <c r="N237" i="15"/>
  <c r="O237" i="15" s="1"/>
  <c r="M84" i="15"/>
  <c r="N84" i="15"/>
  <c r="O84" i="15" s="1"/>
  <c r="K126" i="15"/>
  <c r="K118" i="15"/>
  <c r="N184" i="15"/>
  <c r="O184" i="15" s="1"/>
  <c r="M184" i="15"/>
  <c r="M136" i="15"/>
  <c r="N136" i="15"/>
  <c r="O136" i="15" s="1"/>
  <c r="N169" i="15"/>
  <c r="O169" i="15" s="1"/>
  <c r="M169" i="15"/>
  <c r="M21" i="15"/>
  <c r="N21" i="15"/>
  <c r="O21" i="15" s="1"/>
  <c r="M151" i="15"/>
  <c r="N151" i="15"/>
  <c r="O151" i="15" s="1"/>
  <c r="M35" i="15"/>
  <c r="N35" i="15"/>
  <c r="O35" i="15" s="1"/>
  <c r="K46" i="15"/>
  <c r="M107" i="15"/>
  <c r="N107" i="15"/>
  <c r="O107" i="15" s="1"/>
  <c r="K8" i="15"/>
  <c r="K148" i="15"/>
  <c r="N137" i="15"/>
  <c r="O137" i="15" s="1"/>
  <c r="M137" i="15"/>
  <c r="M45" i="15"/>
  <c r="N45" i="15"/>
  <c r="O45" i="15" s="1"/>
  <c r="K40" i="15"/>
  <c r="M150" i="15"/>
  <c r="N150" i="15"/>
  <c r="O150" i="15" s="1"/>
  <c r="N3" i="15"/>
  <c r="O3" i="15" s="1"/>
  <c r="M3" i="15"/>
  <c r="M51" i="15"/>
  <c r="N51" i="15"/>
  <c r="O51" i="15" s="1"/>
  <c r="M72" i="15"/>
  <c r="N72" i="15"/>
  <c r="O72" i="15" s="1"/>
  <c r="K147" i="15"/>
  <c r="M195" i="15"/>
  <c r="N195" i="15"/>
  <c r="O195" i="15" s="1"/>
  <c r="K26" i="15"/>
  <c r="M83" i="15"/>
  <c r="N83" i="15"/>
  <c r="O83" i="15" s="1"/>
  <c r="N120" i="15"/>
  <c r="O120" i="15" s="1"/>
  <c r="M120" i="15"/>
  <c r="M168" i="15"/>
  <c r="N168" i="15"/>
  <c r="O168" i="15" s="1"/>
  <c r="K15" i="15"/>
  <c r="N63" i="15"/>
  <c r="O63" i="15" s="1"/>
  <c r="M63" i="15"/>
  <c r="M34" i="15"/>
  <c r="N34" i="15"/>
  <c r="O34" i="15" s="1"/>
  <c r="M226" i="15"/>
  <c r="N226" i="15"/>
  <c r="O226" i="15" s="1"/>
  <c r="M130" i="15"/>
  <c r="N130" i="15"/>
  <c r="O130" i="15" s="1"/>
  <c r="M181" i="15"/>
  <c r="N181" i="15"/>
  <c r="O181" i="15" s="1"/>
  <c r="K27" i="15"/>
  <c r="N219" i="15"/>
  <c r="O219" i="15" s="1"/>
  <c r="M219" i="15"/>
  <c r="M230" i="15"/>
  <c r="N230" i="15"/>
  <c r="O230" i="15" s="1"/>
  <c r="N61" i="15"/>
  <c r="O61" i="15" s="1"/>
  <c r="M61" i="15"/>
  <c r="K39" i="15"/>
  <c r="M166" i="15"/>
  <c r="N166" i="15"/>
  <c r="O166" i="15" s="1"/>
  <c r="M60" i="15"/>
  <c r="N60" i="15"/>
  <c r="O60" i="15" s="1"/>
  <c r="K132" i="15"/>
  <c r="K57" i="15"/>
  <c r="N82" i="15"/>
  <c r="O82" i="15" s="1"/>
  <c r="M82" i="15"/>
  <c r="M161" i="15"/>
  <c r="N161" i="15"/>
  <c r="O161" i="15" s="1"/>
  <c r="N16" i="15"/>
  <c r="O16" i="15" s="1"/>
  <c r="M16" i="15"/>
  <c r="N114" i="15"/>
  <c r="O114" i="15" s="1"/>
  <c r="M114" i="15"/>
  <c r="N29" i="15"/>
  <c r="O29" i="15" s="1"/>
  <c r="M29" i="15"/>
  <c r="M234" i="15"/>
  <c r="N234" i="15"/>
  <c r="O234" i="15" s="1"/>
  <c r="M36" i="15"/>
  <c r="N36" i="15"/>
  <c r="O36" i="15" s="1"/>
  <c r="M42" i="15"/>
  <c r="N42" i="15"/>
  <c r="O42" i="15" s="1"/>
  <c r="M207" i="15"/>
  <c r="N207" i="15"/>
  <c r="O207" i="15" s="1"/>
  <c r="K89" i="15"/>
  <c r="M214" i="15"/>
  <c r="N214" i="15"/>
  <c r="O214" i="15" s="1"/>
  <c r="M67" i="15"/>
  <c r="N67" i="15"/>
  <c r="O67" i="15" s="1"/>
  <c r="N9" i="15"/>
  <c r="O9" i="15" s="1"/>
  <c r="M9" i="15"/>
  <c r="M64" i="15"/>
  <c r="N64" i="15"/>
  <c r="O64" i="15" s="1"/>
  <c r="K77" i="15"/>
  <c r="M199" i="15"/>
  <c r="N199" i="15"/>
  <c r="O199" i="15" s="1"/>
  <c r="M53" i="15"/>
  <c r="N53" i="15"/>
  <c r="O53" i="15" s="1"/>
  <c r="N193" i="15"/>
  <c r="O193" i="15" s="1"/>
  <c r="M193" i="15"/>
  <c r="K127" i="15"/>
  <c r="M197" i="15"/>
  <c r="N197" i="15"/>
  <c r="O197" i="15" s="1"/>
  <c r="M122" i="15"/>
  <c r="N122" i="15"/>
  <c r="O122" i="15" s="1"/>
  <c r="N76" i="15"/>
  <c r="O76" i="15" s="1"/>
  <c r="M76" i="15"/>
  <c r="M117" i="15"/>
  <c r="N117" i="15"/>
  <c r="O117" i="15" s="1"/>
  <c r="N142" i="15"/>
  <c r="O142" i="15" s="1"/>
  <c r="M142" i="15"/>
  <c r="M227" i="15"/>
  <c r="N227" i="15"/>
  <c r="O227" i="15" s="1"/>
  <c r="M58" i="15"/>
  <c r="N58" i="15"/>
  <c r="O58" i="15" s="1"/>
  <c r="M183" i="15"/>
  <c r="N183" i="15"/>
  <c r="O183" i="15" s="1"/>
  <c r="M231" i="15"/>
  <c r="N231" i="15"/>
  <c r="O231" i="15" s="1"/>
  <c r="N209" i="15"/>
  <c r="O209" i="15" s="1"/>
  <c r="M209" i="15"/>
  <c r="N78" i="15"/>
  <c r="O78" i="15" s="1"/>
  <c r="M78" i="15"/>
  <c r="N140" i="15"/>
  <c r="O140" i="15" s="1"/>
  <c r="M140" i="15"/>
  <c r="K121" i="15"/>
  <c r="M215" i="15"/>
  <c r="N215" i="15"/>
  <c r="O215" i="15" s="1"/>
  <c r="N31" i="15"/>
  <c r="O31" i="15" s="1"/>
  <c r="M31" i="15"/>
  <c r="N153" i="15"/>
  <c r="O153" i="15" s="1"/>
  <c r="M153" i="15"/>
  <c r="M212" i="15"/>
  <c r="N212" i="15"/>
  <c r="O212" i="15" s="1"/>
  <c r="M20" i="15"/>
  <c r="N20" i="15"/>
  <c r="O20" i="15" s="1"/>
  <c r="K85" i="15"/>
  <c r="N133" i="15"/>
  <c r="O133" i="15" s="1"/>
  <c r="M133" i="15"/>
  <c r="M190" i="15"/>
  <c r="N190" i="15"/>
  <c r="O190" i="15" s="1"/>
  <c r="M43" i="15"/>
  <c r="N43" i="15"/>
  <c r="O43" i="15" s="1"/>
  <c r="M69" i="15"/>
  <c r="N69" i="15"/>
  <c r="O69" i="15" s="1"/>
  <c r="M66" i="15"/>
  <c r="N66" i="15"/>
  <c r="O66" i="15" s="1"/>
  <c r="N174" i="15"/>
  <c r="O174" i="15" s="1"/>
  <c r="M174" i="15"/>
  <c r="M208" i="15"/>
  <c r="N208" i="15"/>
  <c r="O208" i="15" s="1"/>
  <c r="N152" i="15"/>
  <c r="O152" i="15" s="1"/>
  <c r="M152" i="15"/>
  <c r="K7" i="15"/>
  <c r="N52" i="15"/>
  <c r="O52" i="15" s="1"/>
  <c r="M52" i="15"/>
  <c r="M94" i="15"/>
  <c r="N94" i="15"/>
  <c r="O94" i="15" s="1"/>
  <c r="M235" i="15"/>
  <c r="N235" i="15"/>
  <c r="O235" i="15" s="1"/>
  <c r="K18" i="15"/>
  <c r="N123" i="15"/>
  <c r="O123" i="15" s="1"/>
  <c r="M123" i="15"/>
  <c r="M74" i="15"/>
  <c r="N74" i="15"/>
  <c r="O74" i="15" s="1"/>
  <c r="K125" i="15"/>
  <c r="M179" i="15"/>
  <c r="N179" i="15"/>
  <c r="O179" i="15" s="1"/>
  <c r="M71" i="15"/>
  <c r="N71" i="15"/>
  <c r="O71" i="15" s="1"/>
  <c r="K10" i="15"/>
  <c r="M124" i="15"/>
  <c r="N124" i="15"/>
  <c r="O124" i="15" s="1"/>
  <c r="N59" i="15"/>
  <c r="O59" i="15" s="1"/>
  <c r="M59" i="15"/>
  <c r="M198" i="15"/>
  <c r="N198" i="15"/>
  <c r="O198" i="15" s="1"/>
  <c r="K103" i="15"/>
  <c r="M23" i="15"/>
  <c r="N23" i="15"/>
  <c r="O23" i="15" s="1"/>
  <c r="N173" i="15"/>
  <c r="O173" i="15" s="1"/>
  <c r="M173" i="15"/>
  <c r="M28" i="15"/>
  <c r="N28" i="15"/>
  <c r="O28" i="15" s="1"/>
  <c r="M138" i="15"/>
  <c r="N138" i="15"/>
  <c r="O138" i="15" s="1"/>
  <c r="M170" i="15"/>
  <c r="N170" i="15"/>
  <c r="O170" i="15" s="1"/>
  <c r="M220" i="15"/>
  <c r="N220" i="15"/>
  <c r="O220" i="15" s="1"/>
  <c r="N238" i="15"/>
  <c r="O238" i="15" s="1"/>
  <c r="M238" i="15"/>
  <c r="N172" i="15"/>
  <c r="O172" i="15" s="1"/>
  <c r="M172" i="15"/>
  <c r="M176" i="15"/>
  <c r="N176" i="15"/>
  <c r="O176" i="15" s="1"/>
  <c r="M143" i="15"/>
  <c r="N143" i="15"/>
  <c r="O143" i="15" s="1"/>
  <c r="N233" i="15"/>
  <c r="O233" i="15" s="1"/>
  <c r="M233" i="15"/>
  <c r="N216" i="15"/>
  <c r="O216" i="15" s="1"/>
  <c r="M216" i="15"/>
  <c r="M222" i="15"/>
  <c r="N222" i="15"/>
  <c r="O222" i="15" s="1"/>
  <c r="K110" i="15"/>
  <c r="K101" i="15"/>
  <c r="K37" i="15"/>
  <c r="K79" i="15"/>
  <c r="K33" i="15"/>
  <c r="M22" i="15"/>
  <c r="N22" i="15"/>
  <c r="O22" i="15" s="1"/>
  <c r="M116" i="15"/>
  <c r="N116" i="15"/>
  <c r="O116" i="15" s="1"/>
  <c r="M175" i="15"/>
  <c r="N175" i="15"/>
  <c r="O175" i="15" s="1"/>
  <c r="M2" i="15"/>
  <c r="N2" i="15"/>
  <c r="O2" i="15" s="1"/>
  <c r="M90" i="15"/>
  <c r="N90" i="15"/>
  <c r="O90" i="15" s="1"/>
  <c r="M65" i="15"/>
  <c r="N65" i="15"/>
  <c r="O65" i="15" s="1"/>
  <c r="M205" i="15"/>
  <c r="N205" i="15"/>
  <c r="O205" i="15" s="1"/>
  <c r="K139" i="15"/>
  <c r="K11" i="15"/>
  <c r="K95" i="15"/>
  <c r="M5" i="15"/>
  <c r="N5" i="15"/>
  <c r="O5" i="15" s="1"/>
  <c r="N99" i="15"/>
  <c r="O99" i="15" s="1"/>
  <c r="M99" i="15"/>
  <c r="M186" i="15"/>
  <c r="N186" i="15"/>
  <c r="O186" i="15" s="1"/>
  <c r="M13" i="15"/>
  <c r="N13" i="15"/>
  <c r="O13" i="15" s="1"/>
  <c r="M96" i="15"/>
  <c r="N96" i="15"/>
  <c r="O96" i="15" s="1"/>
  <c r="K144" i="15"/>
  <c r="M240" i="15"/>
  <c r="N240" i="15"/>
  <c r="O240" i="15" s="1"/>
  <c r="M17" i="15"/>
  <c r="N17" i="15"/>
  <c r="O17" i="15" s="1"/>
  <c r="M111" i="15"/>
  <c r="N111" i="15"/>
  <c r="O111" i="15" s="1"/>
  <c r="K12" i="15"/>
  <c r="N112" i="15"/>
  <c r="O112" i="15" s="1"/>
  <c r="M112" i="15"/>
  <c r="M165" i="15"/>
  <c r="N165" i="15"/>
  <c r="O165" i="15" s="1"/>
  <c r="N191" i="15"/>
  <c r="O191" i="15" s="1"/>
  <c r="M191" i="15"/>
  <c r="N44" i="15"/>
  <c r="O44" i="15" s="1"/>
  <c r="M44" i="15"/>
  <c r="N201" i="15"/>
  <c r="O201" i="15" s="1"/>
  <c r="M201" i="15"/>
  <c r="M160" i="15"/>
  <c r="N160" i="15"/>
  <c r="O160" i="15" s="1"/>
  <c r="M211" i="15"/>
  <c r="N211" i="15"/>
  <c r="O211" i="15" s="1"/>
  <c r="N210" i="15"/>
  <c r="O210" i="15" s="1"/>
  <c r="M210" i="15"/>
  <c r="M177" i="15"/>
  <c r="N177" i="15"/>
  <c r="O177" i="15" s="1"/>
  <c r="M81" i="15"/>
  <c r="N81" i="15"/>
  <c r="O81" i="15" s="1"/>
  <c r="K32" i="15"/>
  <c r="M70" i="15"/>
  <c r="N70" i="15"/>
  <c r="O70" i="15" s="1"/>
  <c r="M218" i="15"/>
  <c r="N218" i="15"/>
  <c r="O218" i="15" s="1"/>
  <c r="M225" i="15"/>
  <c r="N225" i="15"/>
  <c r="O225" i="15" s="1"/>
  <c r="L221" i="13"/>
  <c r="K187" i="13"/>
  <c r="L187" i="13" s="1"/>
  <c r="G73" i="8"/>
  <c r="I59" i="8"/>
  <c r="F91" i="8"/>
  <c r="J91" i="8" s="1"/>
  <c r="F86" i="8"/>
  <c r="J86" i="8" s="1"/>
  <c r="I13" i="8"/>
  <c r="F35" i="8"/>
  <c r="J35" i="8" s="1"/>
  <c r="F103" i="8"/>
  <c r="J103" i="8" s="1"/>
  <c r="I109" i="8"/>
  <c r="I18" i="8"/>
  <c r="I29" i="8"/>
  <c r="I24" i="8"/>
  <c r="F56" i="8"/>
  <c r="J56" i="8" s="1"/>
  <c r="I94" i="8"/>
  <c r="I80" i="8"/>
  <c r="I93" i="8"/>
  <c r="I101" i="8"/>
  <c r="F30" i="8"/>
  <c r="J30" i="8" s="1"/>
  <c r="F24" i="8"/>
  <c r="J24" i="8" s="1"/>
  <c r="F39" i="8"/>
  <c r="J39" i="8" s="1"/>
  <c r="I98" i="8"/>
  <c r="F8" i="8"/>
  <c r="J8" i="8" s="1"/>
  <c r="I99" i="8"/>
  <c r="F58" i="8"/>
  <c r="J58" i="8" s="1"/>
  <c r="F41" i="8"/>
  <c r="J41" i="8" s="1"/>
  <c r="F82" i="8"/>
  <c r="J82" i="8" s="1"/>
  <c r="I100" i="8"/>
  <c r="I26" i="8"/>
  <c r="I118" i="8"/>
  <c r="I17" i="8"/>
  <c r="I16" i="8"/>
  <c r="I45" i="8"/>
  <c r="F44" i="8"/>
  <c r="J44" i="8" s="1"/>
  <c r="F43" i="8"/>
  <c r="J43" i="8" s="1"/>
  <c r="F135" i="8"/>
  <c r="J135" i="8" s="1"/>
  <c r="F42" i="8"/>
  <c r="J42" i="8" s="1"/>
  <c r="I119" i="8"/>
  <c r="F10" i="8"/>
  <c r="J10" i="8" s="1"/>
  <c r="I115" i="8"/>
  <c r="I105" i="8"/>
  <c r="I117" i="8"/>
  <c r="I32" i="8"/>
  <c r="F57" i="8"/>
  <c r="J57" i="8" s="1"/>
  <c r="F48" i="8"/>
  <c r="J48" i="8" s="1"/>
  <c r="F104" i="8"/>
  <c r="J104" i="8" s="1"/>
  <c r="F61" i="8"/>
  <c r="J61" i="8" s="1"/>
  <c r="F106" i="8"/>
  <c r="J106" i="8" s="1"/>
  <c r="I71" i="8"/>
  <c r="I36" i="8"/>
  <c r="I112" i="8"/>
  <c r="I96" i="8"/>
  <c r="I55" i="8"/>
  <c r="I73" i="8"/>
  <c r="F49" i="8"/>
  <c r="J49" i="8" s="1"/>
  <c r="F76" i="8"/>
  <c r="J76" i="8" s="1"/>
  <c r="F107" i="8"/>
  <c r="J107" i="8" s="1"/>
  <c r="F69" i="8"/>
  <c r="J69" i="8" s="1"/>
  <c r="I78" i="8"/>
  <c r="F3" i="8"/>
  <c r="J3" i="8" s="1"/>
  <c r="I15" i="8"/>
  <c r="I21" i="8"/>
  <c r="I22" i="8"/>
  <c r="I65" i="8"/>
  <c r="I31" i="8"/>
  <c r="I23" i="8"/>
  <c r="I64" i="8"/>
  <c r="I28" i="8"/>
  <c r="F50" i="8"/>
  <c r="J50" i="8" s="1"/>
  <c r="F63" i="8"/>
  <c r="J63" i="8" s="1"/>
  <c r="F74" i="8"/>
  <c r="J74" i="8" s="1"/>
  <c r="I81" i="8"/>
  <c r="F12" i="8"/>
  <c r="J12" i="8" s="1"/>
  <c r="F73" i="8"/>
  <c r="J73" i="8" s="1"/>
  <c r="F62" i="8"/>
  <c r="J62" i="8" s="1"/>
  <c r="I70" i="8"/>
  <c r="I37" i="8"/>
  <c r="I25" i="8"/>
  <c r="I14" i="8"/>
  <c r="G18" i="8"/>
  <c r="G30" i="8"/>
  <c r="G28" i="8"/>
  <c r="G29" i="8"/>
  <c r="G86" i="8"/>
  <c r="G99" i="8"/>
  <c r="G15" i="8"/>
  <c r="G41" i="8"/>
  <c r="G31" i="8"/>
  <c r="G57" i="8"/>
  <c r="G109" i="8"/>
  <c r="G70" i="8"/>
  <c r="G117" i="8"/>
  <c r="G119" i="8"/>
  <c r="G13" i="8"/>
  <c r="G37" i="8"/>
  <c r="G78" i="8"/>
  <c r="G64" i="8"/>
  <c r="G118" i="8"/>
  <c r="N9" i="11"/>
  <c r="G93" i="8"/>
  <c r="G16" i="8"/>
  <c r="G55" i="8"/>
  <c r="G101" i="8"/>
  <c r="G115" i="8"/>
  <c r="G112" i="8"/>
  <c r="G100" i="8"/>
  <c r="G3" i="8"/>
  <c r="G24" i="8"/>
  <c r="G26" i="8"/>
  <c r="G65" i="8"/>
  <c r="G21" i="8"/>
  <c r="G98" i="8"/>
  <c r="G81" i="8"/>
  <c r="G59" i="8"/>
  <c r="G62" i="8"/>
  <c r="G94" i="8"/>
  <c r="G25" i="8"/>
  <c r="G32" i="8"/>
  <c r="G17" i="8"/>
  <c r="G14" i="8"/>
  <c r="G71" i="8"/>
  <c r="G80" i="8"/>
  <c r="G96" i="8"/>
  <c r="N7" i="11"/>
  <c r="G69" i="8"/>
  <c r="G74" i="8"/>
  <c r="G23" i="8"/>
  <c r="G36" i="8"/>
  <c r="G45" i="8"/>
  <c r="G105" i="8"/>
  <c r="N11" i="11"/>
  <c r="N14" i="11"/>
  <c r="N15" i="11"/>
  <c r="N10" i="11"/>
  <c r="N19" i="11"/>
  <c r="N12" i="11"/>
  <c r="N8" i="11"/>
  <c r="N13" i="11"/>
  <c r="G12" i="8"/>
  <c r="G4" i="8"/>
  <c r="N17" i="11"/>
  <c r="O477" i="2"/>
  <c r="K213" i="15"/>
  <c r="H11" i="21" l="1"/>
  <c r="N15" i="21"/>
  <c r="O15" i="21" s="1"/>
  <c r="N14" i="21"/>
  <c r="O14" i="21" s="1"/>
  <c r="N13" i="21"/>
  <c r="O13" i="21" s="1"/>
  <c r="E15" i="21"/>
  <c r="K12" i="21"/>
  <c r="L12" i="21" s="1"/>
  <c r="K11" i="21"/>
  <c r="H12" i="21"/>
  <c r="I12" i="21" s="1"/>
  <c r="E13" i="21"/>
  <c r="E11" i="21"/>
  <c r="E12" i="21"/>
  <c r="H15" i="21"/>
  <c r="I15" i="21" s="1"/>
  <c r="H14" i="21"/>
  <c r="I14" i="21" s="1"/>
  <c r="H13" i="21"/>
  <c r="I13" i="21" s="1"/>
  <c r="K15" i="21"/>
  <c r="L15" i="21" s="1"/>
  <c r="K13" i="21"/>
  <c r="L13" i="21" s="1"/>
  <c r="N11" i="21"/>
  <c r="K14" i="21"/>
  <c r="L14" i="21" s="1"/>
  <c r="E14" i="21"/>
  <c r="N12" i="21"/>
  <c r="O12" i="21" s="1"/>
  <c r="N5" i="11"/>
  <c r="N4" i="11"/>
  <c r="O253" i="15"/>
  <c r="Q253" i="15" s="1"/>
  <c r="P253" i="15"/>
  <c r="O261" i="15"/>
  <c r="Q261" i="15" s="1"/>
  <c r="P261" i="15"/>
  <c r="P265" i="15"/>
  <c r="O265" i="15"/>
  <c r="Q265" i="15" s="1"/>
  <c r="O258" i="15"/>
  <c r="Q258" i="15" s="1"/>
  <c r="P258" i="15"/>
  <c r="P263" i="15"/>
  <c r="O263" i="15"/>
  <c r="Q263" i="15" s="1"/>
  <c r="O252" i="15"/>
  <c r="Q252" i="15" s="1"/>
  <c r="P252" i="15"/>
  <c r="P257" i="15"/>
  <c r="O257" i="15"/>
  <c r="Q257" i="15" s="1"/>
  <c r="P256" i="15"/>
  <c r="O256" i="15"/>
  <c r="Q256" i="15" s="1"/>
  <c r="P260" i="15"/>
  <c r="O260" i="15"/>
  <c r="Q260" i="15" s="1"/>
  <c r="P254" i="15"/>
  <c r="O254" i="15"/>
  <c r="Q254" i="15" s="1"/>
  <c r="O264" i="15"/>
  <c r="Q264" i="15" s="1"/>
  <c r="P264" i="15"/>
  <c r="O259" i="15"/>
  <c r="Q259" i="15" s="1"/>
  <c r="P259" i="15"/>
  <c r="O262" i="15"/>
  <c r="Q262" i="15" s="1"/>
  <c r="P262" i="15"/>
  <c r="O255" i="15"/>
  <c r="Q255" i="15" s="1"/>
  <c r="P255" i="15"/>
  <c r="O266" i="15"/>
  <c r="Q266" i="15" s="1"/>
  <c r="P266" i="15"/>
  <c r="G22" i="8"/>
  <c r="N3" i="11"/>
  <c r="K25" i="15"/>
  <c r="N25" i="15" s="1"/>
  <c r="O25" i="15" s="1"/>
  <c r="P245" i="15"/>
  <c r="O242" i="15"/>
  <c r="Q242" i="15" s="1"/>
  <c r="P242" i="15"/>
  <c r="P243" i="15"/>
  <c r="O243" i="15"/>
  <c r="Q243" i="15" s="1"/>
  <c r="P250" i="15"/>
  <c r="O250" i="15"/>
  <c r="Q250" i="15" s="1"/>
  <c r="P244" i="15"/>
  <c r="O244" i="15"/>
  <c r="Q244" i="15" s="1"/>
  <c r="O249" i="15"/>
  <c r="Q249" i="15" s="1"/>
  <c r="P249" i="15"/>
  <c r="P246" i="15"/>
  <c r="O246" i="15"/>
  <c r="Q246" i="15" s="1"/>
  <c r="Q245" i="15"/>
  <c r="P247" i="15"/>
  <c r="O247" i="15"/>
  <c r="Q247" i="15" s="1"/>
  <c r="P248" i="15"/>
  <c r="O248" i="15"/>
  <c r="Q248" i="15" s="1"/>
  <c r="O251" i="15"/>
  <c r="Q251" i="15" s="1"/>
  <c r="P251" i="15"/>
  <c r="J41" i="4"/>
  <c r="I41" i="4"/>
  <c r="I42" i="4" s="1"/>
  <c r="K41" i="4"/>
  <c r="K42" i="4" s="1"/>
  <c r="D24" i="18"/>
  <c r="B4" i="16"/>
  <c r="B12" i="16"/>
  <c r="B20" i="16"/>
  <c r="B28" i="16"/>
  <c r="B36" i="16"/>
  <c r="B44" i="16"/>
  <c r="B52" i="16"/>
  <c r="B60" i="16"/>
  <c r="B68" i="16"/>
  <c r="B76" i="16"/>
  <c r="B84" i="16"/>
  <c r="B92" i="16"/>
  <c r="D6" i="16"/>
  <c r="D14" i="16"/>
  <c r="D22" i="16"/>
  <c r="D30" i="16"/>
  <c r="D38" i="16"/>
  <c r="D46" i="16"/>
  <c r="D54" i="16"/>
  <c r="D62" i="16"/>
  <c r="D70" i="16"/>
  <c r="D78" i="16"/>
  <c r="D86" i="16"/>
  <c r="D94" i="16"/>
  <c r="B5" i="16"/>
  <c r="B13" i="16"/>
  <c r="B21" i="16"/>
  <c r="B29" i="16"/>
  <c r="B37" i="16"/>
  <c r="B45" i="16"/>
  <c r="B53" i="16"/>
  <c r="B61" i="16"/>
  <c r="B69" i="16"/>
  <c r="B77" i="16"/>
  <c r="B85" i="16"/>
  <c r="B93" i="16"/>
  <c r="D7" i="16"/>
  <c r="D15" i="16"/>
  <c r="D23" i="16"/>
  <c r="D31" i="16"/>
  <c r="D39" i="16"/>
  <c r="D47" i="16"/>
  <c r="D55" i="16"/>
  <c r="D63" i="16"/>
  <c r="D71" i="16"/>
  <c r="D79" i="16"/>
  <c r="D87" i="16"/>
  <c r="D95" i="16"/>
  <c r="B6" i="16"/>
  <c r="B14" i="16"/>
  <c r="B22" i="16"/>
  <c r="B30" i="16"/>
  <c r="B38" i="16"/>
  <c r="B46" i="16"/>
  <c r="B54" i="16"/>
  <c r="B62" i="16"/>
  <c r="B70" i="16"/>
  <c r="B78" i="16"/>
  <c r="B86" i="16"/>
  <c r="B94" i="16"/>
  <c r="D8" i="16"/>
  <c r="D16" i="16"/>
  <c r="D24" i="16"/>
  <c r="D32" i="16"/>
  <c r="D40" i="16"/>
  <c r="D48" i="16"/>
  <c r="D56" i="16"/>
  <c r="D64" i="16"/>
  <c r="D72" i="16"/>
  <c r="D80" i="16"/>
  <c r="D88" i="16"/>
  <c r="B7" i="16"/>
  <c r="B15" i="16"/>
  <c r="B23" i="16"/>
  <c r="B31" i="16"/>
  <c r="B39" i="16"/>
  <c r="B47" i="16"/>
  <c r="B55" i="16"/>
  <c r="B63" i="16"/>
  <c r="B71" i="16"/>
  <c r="B79" i="16"/>
  <c r="B87" i="16"/>
  <c r="B95" i="16"/>
  <c r="D9" i="16"/>
  <c r="D17" i="16"/>
  <c r="D25" i="16"/>
  <c r="D33" i="16"/>
  <c r="D41" i="16"/>
  <c r="D49" i="16"/>
  <c r="D57" i="16"/>
  <c r="D65" i="16"/>
  <c r="D73" i="16"/>
  <c r="D81" i="16"/>
  <c r="D89" i="16"/>
  <c r="B8" i="16"/>
  <c r="B16" i="16"/>
  <c r="B24" i="16"/>
  <c r="B32" i="16"/>
  <c r="B40" i="16"/>
  <c r="B48" i="16"/>
  <c r="B56" i="16"/>
  <c r="B64" i="16"/>
  <c r="B72" i="16"/>
  <c r="B80" i="16"/>
  <c r="B88" i="16"/>
  <c r="B3" i="16"/>
  <c r="D10" i="16"/>
  <c r="D18" i="16"/>
  <c r="D26" i="16"/>
  <c r="D34" i="16"/>
  <c r="D42" i="16"/>
  <c r="D50" i="16"/>
  <c r="D58" i="16"/>
  <c r="D66" i="16"/>
  <c r="D74" i="16"/>
  <c r="D82" i="16"/>
  <c r="D90" i="16"/>
  <c r="B9" i="16"/>
  <c r="B17" i="16"/>
  <c r="B25" i="16"/>
  <c r="B33" i="16"/>
  <c r="B41" i="16"/>
  <c r="B49" i="16"/>
  <c r="B57" i="16"/>
  <c r="B65" i="16"/>
  <c r="B73" i="16"/>
  <c r="B81" i="16"/>
  <c r="B89" i="16"/>
  <c r="D3" i="16"/>
  <c r="D11" i="16"/>
  <c r="D19" i="16"/>
  <c r="D27" i="16"/>
  <c r="D35" i="16"/>
  <c r="D43" i="16"/>
  <c r="D51" i="16"/>
  <c r="D59" i="16"/>
  <c r="D67" i="16"/>
  <c r="D75" i="16"/>
  <c r="D83" i="16"/>
  <c r="D91" i="16"/>
  <c r="B10" i="16"/>
  <c r="B18" i="16"/>
  <c r="B26" i="16"/>
  <c r="B34" i="16"/>
  <c r="B42" i="16"/>
  <c r="B50" i="16"/>
  <c r="B58" i="16"/>
  <c r="B66" i="16"/>
  <c r="B74" i="16"/>
  <c r="B82" i="16"/>
  <c r="B90" i="16"/>
  <c r="D4" i="16"/>
  <c r="D12" i="16"/>
  <c r="D20" i="16"/>
  <c r="D28" i="16"/>
  <c r="D36" i="16"/>
  <c r="D44" i="16"/>
  <c r="D52" i="16"/>
  <c r="D60" i="16"/>
  <c r="D68" i="16"/>
  <c r="D76" i="16"/>
  <c r="D84" i="16"/>
  <c r="D92" i="16"/>
  <c r="B11" i="16"/>
  <c r="B19" i="16"/>
  <c r="B27" i="16"/>
  <c r="B35" i="16"/>
  <c r="B43" i="16"/>
  <c r="B51" i="16"/>
  <c r="B59" i="16"/>
  <c r="B67" i="16"/>
  <c r="B75" i="16"/>
  <c r="B83" i="16"/>
  <c r="B91" i="16"/>
  <c r="D5" i="16"/>
  <c r="D13" i="16"/>
  <c r="D21" i="16"/>
  <c r="D29" i="16"/>
  <c r="D37" i="16"/>
  <c r="D45" i="16"/>
  <c r="D53" i="16"/>
  <c r="D61" i="16"/>
  <c r="D69" i="16"/>
  <c r="D77" i="16"/>
  <c r="D85" i="16"/>
  <c r="D93" i="16"/>
  <c r="E3" i="18"/>
  <c r="E11" i="18"/>
  <c r="E19" i="18"/>
  <c r="E27" i="18"/>
  <c r="E35" i="18"/>
  <c r="D7" i="18"/>
  <c r="D15" i="18"/>
  <c r="D23" i="18"/>
  <c r="D31" i="18"/>
  <c r="E4" i="18"/>
  <c r="E12" i="18"/>
  <c r="E20" i="18"/>
  <c r="E28" i="18"/>
  <c r="E36" i="18"/>
  <c r="D8" i="18"/>
  <c r="D16" i="18"/>
  <c r="D32" i="18"/>
  <c r="E5" i="18"/>
  <c r="E13" i="18"/>
  <c r="E21" i="18"/>
  <c r="E29" i="18"/>
  <c r="E37" i="18"/>
  <c r="D9" i="18"/>
  <c r="D17" i="18"/>
  <c r="D25" i="18"/>
  <c r="D33" i="18"/>
  <c r="E6" i="18"/>
  <c r="E14" i="18"/>
  <c r="E22" i="18"/>
  <c r="E30" i="18"/>
  <c r="E2" i="18"/>
  <c r="D10" i="18"/>
  <c r="D18" i="18"/>
  <c r="D26" i="18"/>
  <c r="D34" i="18"/>
  <c r="E7" i="18"/>
  <c r="E15" i="18"/>
  <c r="E23" i="18"/>
  <c r="E31" i="18"/>
  <c r="D3" i="18"/>
  <c r="D11" i="18"/>
  <c r="D19" i="18"/>
  <c r="D27" i="18"/>
  <c r="D35" i="18"/>
  <c r="E8" i="18"/>
  <c r="E16" i="18"/>
  <c r="E24" i="18"/>
  <c r="E32" i="18"/>
  <c r="D4" i="18"/>
  <c r="D12" i="18"/>
  <c r="D20" i="18"/>
  <c r="D28" i="18"/>
  <c r="D36" i="18"/>
  <c r="E9" i="18"/>
  <c r="E17" i="18"/>
  <c r="E25" i="18"/>
  <c r="E33" i="18"/>
  <c r="D5" i="18"/>
  <c r="D13" i="18"/>
  <c r="D21" i="18"/>
  <c r="D29" i="18"/>
  <c r="D37" i="18"/>
  <c r="E10" i="18"/>
  <c r="E18" i="18"/>
  <c r="E26" i="18"/>
  <c r="E34" i="18"/>
  <c r="D6" i="18"/>
  <c r="D14" i="18"/>
  <c r="D22" i="18"/>
  <c r="D30" i="18"/>
  <c r="D2" i="18"/>
  <c r="M93" i="15"/>
  <c r="P93" i="15" s="1"/>
  <c r="Q164" i="15"/>
  <c r="Q167" i="15"/>
  <c r="Q145" i="15"/>
  <c r="Q143" i="15"/>
  <c r="Q65" i="15"/>
  <c r="Q74" i="15"/>
  <c r="Q96" i="15"/>
  <c r="Q5" i="15"/>
  <c r="Q222" i="15"/>
  <c r="Q170" i="15"/>
  <c r="Q23" i="15"/>
  <c r="Q190" i="15"/>
  <c r="Q183" i="15"/>
  <c r="Q117" i="15"/>
  <c r="Q134" i="15"/>
  <c r="Q188" i="15"/>
  <c r="Q163" i="15"/>
  <c r="Q111" i="15"/>
  <c r="Q22" i="15"/>
  <c r="Q174" i="15"/>
  <c r="Q113" i="15"/>
  <c r="Q194" i="15"/>
  <c r="Q218" i="15"/>
  <c r="Q99" i="15"/>
  <c r="Q116" i="15"/>
  <c r="Q124" i="15"/>
  <c r="Q212" i="15"/>
  <c r="Q166" i="15"/>
  <c r="Q211" i="15"/>
  <c r="Q138" i="15"/>
  <c r="Q123" i="15"/>
  <c r="Q83" i="15"/>
  <c r="Q94" i="15"/>
  <c r="Q161" i="15"/>
  <c r="Q13" i="15"/>
  <c r="Q53" i="15"/>
  <c r="Q9" i="15"/>
  <c r="Q42" i="15"/>
  <c r="Q239" i="15"/>
  <c r="Q162" i="15"/>
  <c r="Q202" i="15"/>
  <c r="Q203" i="15"/>
  <c r="Q228" i="15"/>
  <c r="Q68" i="15"/>
  <c r="Q56" i="15"/>
  <c r="Q24" i="15"/>
  <c r="Q155" i="15"/>
  <c r="Q165" i="15"/>
  <c r="Q67" i="15"/>
  <c r="Q63" i="15"/>
  <c r="Q151" i="15"/>
  <c r="Q171" i="15"/>
  <c r="Q3" i="15"/>
  <c r="Q100" i="15"/>
  <c r="Q223" i="15"/>
  <c r="Q159" i="15"/>
  <c r="Q50" i="15"/>
  <c r="Q106" i="15"/>
  <c r="Q4" i="15"/>
  <c r="Q97" i="15"/>
  <c r="Q131" i="15"/>
  <c r="Q209" i="15"/>
  <c r="Q184" i="15"/>
  <c r="Q71" i="15"/>
  <c r="Q52" i="15"/>
  <c r="Q66" i="15"/>
  <c r="Q153" i="15"/>
  <c r="Q58" i="15"/>
  <c r="Q193" i="15"/>
  <c r="Q29" i="15"/>
  <c r="Q82" i="15"/>
  <c r="Q51" i="15"/>
  <c r="Q35" i="15"/>
  <c r="Q136" i="15"/>
  <c r="Q237" i="15"/>
  <c r="Q224" i="15"/>
  <c r="Q115" i="15"/>
  <c r="Q64" i="15"/>
  <c r="Q173" i="15"/>
  <c r="Q142" i="15"/>
  <c r="Q129" i="15"/>
  <c r="Q229" i="15"/>
  <c r="Q241" i="15"/>
  <c r="Q201" i="15"/>
  <c r="Q112" i="15"/>
  <c r="Q114" i="15"/>
  <c r="Q219" i="15"/>
  <c r="Q72" i="15"/>
  <c r="Q84" i="15"/>
  <c r="Q47" i="15"/>
  <c r="Q189" i="15"/>
  <c r="Q48" i="15"/>
  <c r="Q157" i="15"/>
  <c r="Q217" i="15"/>
  <c r="Q55" i="15"/>
  <c r="Q102" i="15"/>
  <c r="Q130" i="15"/>
  <c r="Q20" i="15"/>
  <c r="Q215" i="15"/>
  <c r="Q199" i="15"/>
  <c r="Q36" i="15"/>
  <c r="Q60" i="15"/>
  <c r="Q226" i="15"/>
  <c r="Q195" i="15"/>
  <c r="Q59" i="15"/>
  <c r="Q88" i="15"/>
  <c r="Q204" i="15"/>
  <c r="Q178" i="15"/>
  <c r="Q206" i="15"/>
  <c r="Q236" i="15"/>
  <c r="Q234" i="15"/>
  <c r="Q34" i="15"/>
  <c r="Q107" i="15"/>
  <c r="Q81" i="15"/>
  <c r="Q160" i="15"/>
  <c r="Q186" i="15"/>
  <c r="Q28" i="15"/>
  <c r="Q179" i="15"/>
  <c r="Q235" i="15"/>
  <c r="Q69" i="15"/>
  <c r="Q31" i="15"/>
  <c r="Q176" i="15"/>
  <c r="Q177" i="15"/>
  <c r="Q220" i="15"/>
  <c r="Q208" i="15"/>
  <c r="Q43" i="15"/>
  <c r="Q231" i="15"/>
  <c r="Q197" i="15"/>
  <c r="Q214" i="15"/>
  <c r="Q16" i="15"/>
  <c r="Q168" i="15"/>
  <c r="Q150" i="15"/>
  <c r="Q21" i="15"/>
  <c r="Q192" i="15"/>
  <c r="Q185" i="15"/>
  <c r="Q98" i="15"/>
  <c r="Q92" i="15"/>
  <c r="Q232" i="15"/>
  <c r="Q30" i="15"/>
  <c r="Q158" i="15"/>
  <c r="Q6" i="15"/>
  <c r="Q70" i="15"/>
  <c r="Q210" i="15"/>
  <c r="Q44" i="15"/>
  <c r="Q90" i="15"/>
  <c r="Q140" i="15"/>
  <c r="Q207" i="15"/>
  <c r="Q181" i="15"/>
  <c r="Q120" i="15"/>
  <c r="Q45" i="15"/>
  <c r="Q169" i="15"/>
  <c r="Q182" i="15"/>
  <c r="Q49" i="15"/>
  <c r="Q187" i="15"/>
  <c r="Q191" i="15"/>
  <c r="Q17" i="15"/>
  <c r="Q2" i="15"/>
  <c r="Q216" i="15"/>
  <c r="Q172" i="15"/>
  <c r="Q198" i="15"/>
  <c r="Q133" i="15"/>
  <c r="Q78" i="15"/>
  <c r="Q76" i="15"/>
  <c r="Q61" i="15"/>
  <c r="Q104" i="15"/>
  <c r="Q146" i="15"/>
  <c r="Q62" i="15"/>
  <c r="Q227" i="15"/>
  <c r="Q122" i="15"/>
  <c r="Q230" i="15"/>
  <c r="Q137" i="15"/>
  <c r="Q87" i="15"/>
  <c r="Q180" i="15"/>
  <c r="Q80" i="15"/>
  <c r="Q108" i="15"/>
  <c r="Q200" i="15"/>
  <c r="Q19" i="15"/>
  <c r="Q225" i="15"/>
  <c r="Q240" i="15"/>
  <c r="Q205" i="15"/>
  <c r="Q175" i="15"/>
  <c r="Q233" i="15"/>
  <c r="Q238" i="15"/>
  <c r="Q152" i="15"/>
  <c r="Q156" i="15"/>
  <c r="Q196" i="15"/>
  <c r="Q221" i="15"/>
  <c r="Q154" i="15"/>
  <c r="M14" i="15"/>
  <c r="Q14" i="15" s="1"/>
  <c r="N75" i="15"/>
  <c r="O75" i="15" s="1"/>
  <c r="M73" i="15"/>
  <c r="Q73" i="15" s="1"/>
  <c r="M91" i="15"/>
  <c r="P91" i="15" s="1"/>
  <c r="N86" i="15"/>
  <c r="O86" i="15" s="1"/>
  <c r="N109" i="15"/>
  <c r="O109" i="15" s="1"/>
  <c r="N119" i="15"/>
  <c r="O119" i="15" s="1"/>
  <c r="P241" i="15"/>
  <c r="P191" i="15"/>
  <c r="P17" i="15"/>
  <c r="P216" i="15"/>
  <c r="P172" i="15"/>
  <c r="P198" i="15"/>
  <c r="P52" i="15"/>
  <c r="P66" i="15"/>
  <c r="P153" i="15"/>
  <c r="P58" i="15"/>
  <c r="P193" i="15"/>
  <c r="P29" i="15"/>
  <c r="P82" i="15"/>
  <c r="P83" i="15"/>
  <c r="P51" i="15"/>
  <c r="P35" i="15"/>
  <c r="P136" i="15"/>
  <c r="P237" i="15"/>
  <c r="P224" i="15"/>
  <c r="P115" i="15"/>
  <c r="P189" i="15"/>
  <c r="P48" i="15"/>
  <c r="P157" i="15"/>
  <c r="P188" i="15"/>
  <c r="P19" i="15"/>
  <c r="P69" i="15"/>
  <c r="P81" i="15"/>
  <c r="P160" i="15"/>
  <c r="P165" i="15"/>
  <c r="P186" i="15"/>
  <c r="P28" i="15"/>
  <c r="P179" i="15"/>
  <c r="P235" i="15"/>
  <c r="P53" i="15"/>
  <c r="P9" i="15"/>
  <c r="P42" i="15"/>
  <c r="P130" i="15"/>
  <c r="P239" i="15"/>
  <c r="P162" i="15"/>
  <c r="P202" i="15"/>
  <c r="P106" i="15"/>
  <c r="P4" i="15"/>
  <c r="P97" i="15"/>
  <c r="P131" i="15"/>
  <c r="P129" i="15"/>
  <c r="P145" i="15"/>
  <c r="P55" i="15"/>
  <c r="P177" i="15"/>
  <c r="P143" i="15"/>
  <c r="P220" i="15"/>
  <c r="P59" i="15"/>
  <c r="P20" i="15"/>
  <c r="P215" i="15"/>
  <c r="P209" i="15"/>
  <c r="P199" i="15"/>
  <c r="P36" i="15"/>
  <c r="P60" i="15"/>
  <c r="P226" i="15"/>
  <c r="P195" i="15"/>
  <c r="P3" i="15"/>
  <c r="P156" i="15"/>
  <c r="P100" i="15"/>
  <c r="P203" i="15"/>
  <c r="P228" i="15"/>
  <c r="P68" i="15"/>
  <c r="P56" i="15"/>
  <c r="P92" i="15"/>
  <c r="P98" i="15"/>
  <c r="P102" i="15"/>
  <c r="P5" i="15"/>
  <c r="P176" i="15"/>
  <c r="P94" i="15"/>
  <c r="P212" i="15"/>
  <c r="P107" i="15"/>
  <c r="P232" i="15"/>
  <c r="P200" i="15"/>
  <c r="P161" i="15"/>
  <c r="P111" i="15"/>
  <c r="P22" i="15"/>
  <c r="P155" i="15"/>
  <c r="P178" i="15"/>
  <c r="P206" i="15"/>
  <c r="P236" i="15"/>
  <c r="P217" i="15"/>
  <c r="P163" i="15"/>
  <c r="P142" i="15"/>
  <c r="P219" i="15"/>
  <c r="P138" i="15"/>
  <c r="P123" i="15"/>
  <c r="P113" i="15"/>
  <c r="P240" i="15"/>
  <c r="P175" i="15"/>
  <c r="P184" i="15"/>
  <c r="P24" i="15"/>
  <c r="P154" i="15"/>
  <c r="P70" i="15"/>
  <c r="P210" i="15"/>
  <c r="P44" i="15"/>
  <c r="P90" i="15"/>
  <c r="P190" i="15"/>
  <c r="P183" i="15"/>
  <c r="P117" i="15"/>
  <c r="P64" i="15"/>
  <c r="P72" i="15"/>
  <c r="P84" i="15"/>
  <c r="P47" i="15"/>
  <c r="P134" i="15"/>
  <c r="N18" i="15"/>
  <c r="O18" i="15" s="1"/>
  <c r="M18" i="15"/>
  <c r="P2" i="15"/>
  <c r="P133" i="15"/>
  <c r="N57" i="15"/>
  <c r="O57" i="15" s="1"/>
  <c r="M57" i="15"/>
  <c r="P225" i="15"/>
  <c r="P205" i="15"/>
  <c r="M37" i="15"/>
  <c r="N37" i="15"/>
  <c r="O37" i="15" s="1"/>
  <c r="P233" i="15"/>
  <c r="P238" i="15"/>
  <c r="M85" i="15"/>
  <c r="N85" i="15"/>
  <c r="O85" i="15" s="1"/>
  <c r="P31" i="15"/>
  <c r="P227" i="15"/>
  <c r="P122" i="15"/>
  <c r="P67" i="15"/>
  <c r="P114" i="15"/>
  <c r="M132" i="15"/>
  <c r="N132" i="15"/>
  <c r="O132" i="15" s="1"/>
  <c r="P230" i="15"/>
  <c r="P63" i="15"/>
  <c r="M26" i="15"/>
  <c r="N26" i="15"/>
  <c r="O26" i="15" s="1"/>
  <c r="P137" i="15"/>
  <c r="P151" i="15"/>
  <c r="P87" i="15"/>
  <c r="P171" i="15"/>
  <c r="P180" i="15"/>
  <c r="M41" i="15"/>
  <c r="N41" i="15"/>
  <c r="O41" i="15" s="1"/>
  <c r="P187" i="15"/>
  <c r="P108" i="15"/>
  <c r="M32" i="15"/>
  <c r="N32" i="15"/>
  <c r="O32" i="15" s="1"/>
  <c r="N105" i="15"/>
  <c r="O105" i="15" s="1"/>
  <c r="M105" i="15"/>
  <c r="M139" i="15"/>
  <c r="N139" i="15"/>
  <c r="O139" i="15" s="1"/>
  <c r="M7" i="15"/>
  <c r="N7" i="15"/>
  <c r="O7" i="15" s="1"/>
  <c r="P104" i="15"/>
  <c r="M101" i="15"/>
  <c r="N101" i="15"/>
  <c r="O101" i="15" s="1"/>
  <c r="N125" i="15"/>
  <c r="O125" i="15" s="1"/>
  <c r="M125" i="15"/>
  <c r="P152" i="15"/>
  <c r="M15" i="15"/>
  <c r="N15" i="15"/>
  <c r="O15" i="15" s="1"/>
  <c r="M148" i="15"/>
  <c r="N148" i="15"/>
  <c r="O148" i="15" s="1"/>
  <c r="M54" i="15"/>
  <c r="N54" i="15"/>
  <c r="O54" i="15" s="1"/>
  <c r="P223" i="15"/>
  <c r="M33" i="15"/>
  <c r="N33" i="15"/>
  <c r="O33" i="15" s="1"/>
  <c r="P218" i="15"/>
  <c r="P201" i="15"/>
  <c r="P112" i="15"/>
  <c r="N144" i="15"/>
  <c r="O144" i="15" s="1"/>
  <c r="M144" i="15"/>
  <c r="P99" i="15"/>
  <c r="P65" i="15"/>
  <c r="P116" i="15"/>
  <c r="N110" i="15"/>
  <c r="O110" i="15" s="1"/>
  <c r="M110" i="15"/>
  <c r="P173" i="15"/>
  <c r="P124" i="15"/>
  <c r="P74" i="15"/>
  <c r="P208" i="15"/>
  <c r="P43" i="15"/>
  <c r="P231" i="15"/>
  <c r="P197" i="15"/>
  <c r="P214" i="15"/>
  <c r="P16" i="15"/>
  <c r="P168" i="15"/>
  <c r="P150" i="15"/>
  <c r="M8" i="15"/>
  <c r="N8" i="15"/>
  <c r="O8" i="15" s="1"/>
  <c r="P21" i="15"/>
  <c r="M118" i="15"/>
  <c r="N118" i="15"/>
  <c r="O118" i="15" s="1"/>
  <c r="P192" i="15"/>
  <c r="M38" i="15"/>
  <c r="N38" i="15"/>
  <c r="O38" i="15" s="1"/>
  <c r="P185" i="15"/>
  <c r="P88" i="15"/>
  <c r="P204" i="15"/>
  <c r="P80" i="15"/>
  <c r="M79" i="15"/>
  <c r="N79" i="15"/>
  <c r="O79" i="15" s="1"/>
  <c r="P78" i="15"/>
  <c r="P76" i="15"/>
  <c r="P61" i="15"/>
  <c r="M128" i="15"/>
  <c r="N128" i="15"/>
  <c r="O128" i="15" s="1"/>
  <c r="M213" i="15"/>
  <c r="N213" i="15"/>
  <c r="O213" i="15" s="1"/>
  <c r="N12" i="15"/>
  <c r="O12" i="15" s="1"/>
  <c r="M12" i="15"/>
  <c r="P96" i="15"/>
  <c r="P222" i="15"/>
  <c r="P170" i="15"/>
  <c r="P23" i="15"/>
  <c r="M121" i="15"/>
  <c r="N121" i="15"/>
  <c r="O121" i="15" s="1"/>
  <c r="M77" i="15"/>
  <c r="N77" i="15"/>
  <c r="O77" i="15" s="1"/>
  <c r="P234" i="15"/>
  <c r="P166" i="15"/>
  <c r="P34" i="15"/>
  <c r="M147" i="15"/>
  <c r="N147" i="15"/>
  <c r="O147" i="15" s="1"/>
  <c r="M126" i="15"/>
  <c r="N126" i="15"/>
  <c r="O126" i="15" s="1"/>
  <c r="M135" i="15"/>
  <c r="N135" i="15"/>
  <c r="O135" i="15" s="1"/>
  <c r="M141" i="15"/>
  <c r="N141" i="15"/>
  <c r="O141" i="15" s="1"/>
  <c r="P30" i="15"/>
  <c r="P196" i="15"/>
  <c r="P221" i="15"/>
  <c r="P6" i="15"/>
  <c r="P146" i="15"/>
  <c r="M10" i="15"/>
  <c r="N10" i="15"/>
  <c r="O10" i="15" s="1"/>
  <c r="N127" i="15"/>
  <c r="O127" i="15" s="1"/>
  <c r="M127" i="15"/>
  <c r="M89" i="15"/>
  <c r="N89" i="15"/>
  <c r="O89" i="15" s="1"/>
  <c r="N27" i="15"/>
  <c r="O27" i="15" s="1"/>
  <c r="M27" i="15"/>
  <c r="M40" i="15"/>
  <c r="N40" i="15"/>
  <c r="O40" i="15" s="1"/>
  <c r="M11" i="15"/>
  <c r="N11" i="15"/>
  <c r="O11" i="15" s="1"/>
  <c r="M149" i="15"/>
  <c r="N149" i="15"/>
  <c r="O149" i="15" s="1"/>
  <c r="P211" i="15"/>
  <c r="P13" i="15"/>
  <c r="M95" i="15"/>
  <c r="N95" i="15"/>
  <c r="O95" i="15" s="1"/>
  <c r="M103" i="15"/>
  <c r="N103" i="15"/>
  <c r="O103" i="15" s="1"/>
  <c r="P71" i="15"/>
  <c r="P174" i="15"/>
  <c r="P140" i="15"/>
  <c r="P207" i="15"/>
  <c r="M39" i="15"/>
  <c r="N39" i="15"/>
  <c r="O39" i="15" s="1"/>
  <c r="P181" i="15"/>
  <c r="P120" i="15"/>
  <c r="P45" i="15"/>
  <c r="M46" i="15"/>
  <c r="N46" i="15"/>
  <c r="O46" i="15" s="1"/>
  <c r="P169" i="15"/>
  <c r="P182" i="15"/>
  <c r="P49" i="15"/>
  <c r="P50" i="15"/>
  <c r="P164" i="15"/>
  <c r="P167" i="15"/>
  <c r="P158" i="15"/>
  <c r="P194" i="15"/>
  <c r="P229" i="15"/>
  <c r="P159" i="15"/>
  <c r="P62" i="15"/>
  <c r="Z1318" i="1"/>
  <c r="N17" i="21" l="1"/>
  <c r="K17" i="21"/>
  <c r="E17" i="21"/>
  <c r="H17" i="21"/>
  <c r="L11" i="21"/>
  <c r="K18" i="21"/>
  <c r="Q15" i="21"/>
  <c r="F15" i="21"/>
  <c r="R15" i="21" s="1"/>
  <c r="Q14" i="21"/>
  <c r="F14" i="21"/>
  <c r="R14" i="21" s="1"/>
  <c r="Q12" i="21"/>
  <c r="F12" i="21"/>
  <c r="R12" i="21" s="1"/>
  <c r="F11" i="21"/>
  <c r="Q11" i="21"/>
  <c r="E18" i="21"/>
  <c r="O11" i="21"/>
  <c r="N18" i="21"/>
  <c r="Q13" i="21"/>
  <c r="F13" i="21"/>
  <c r="R13" i="21" s="1"/>
  <c r="I11" i="21"/>
  <c r="H18" i="21"/>
  <c r="M25" i="15"/>
  <c r="P25" i="15" s="1"/>
  <c r="Q93" i="15"/>
  <c r="Q32" i="15"/>
  <c r="Q103" i="15"/>
  <c r="Q118" i="15"/>
  <c r="Q119" i="15"/>
  <c r="Q7" i="15"/>
  <c r="Q109" i="15"/>
  <c r="Q148" i="15"/>
  <c r="Q86" i="15"/>
  <c r="Q147" i="15"/>
  <c r="Q27" i="15"/>
  <c r="Q12" i="15"/>
  <c r="Q144" i="15"/>
  <c r="Q75" i="15"/>
  <c r="Q125" i="15"/>
  <c r="Q40" i="15"/>
  <c r="Q39" i="15"/>
  <c r="Q10" i="15"/>
  <c r="Q8" i="15"/>
  <c r="Q33" i="15"/>
  <c r="Q26" i="15"/>
  <c r="Q18" i="15"/>
  <c r="Q11" i="15"/>
  <c r="Q128" i="15"/>
  <c r="Q126" i="15"/>
  <c r="Q79" i="15"/>
  <c r="Q54" i="15"/>
  <c r="Q85" i="15"/>
  <c r="Q149" i="15"/>
  <c r="Q89" i="15"/>
  <c r="Q121" i="15"/>
  <c r="Q213" i="15"/>
  <c r="Q101" i="15"/>
  <c r="Q132" i="15"/>
  <c r="Q95" i="15"/>
  <c r="Q141" i="15"/>
  <c r="Q15" i="15"/>
  <c r="Q139" i="15"/>
  <c r="Q41" i="15"/>
  <c r="Q105" i="15"/>
  <c r="Q110" i="15"/>
  <c r="Q127" i="15"/>
  <c r="Q37" i="15"/>
  <c r="Q57" i="15"/>
  <c r="Q135" i="15"/>
  <c r="Q91" i="15"/>
  <c r="Q46" i="15"/>
  <c r="Q77" i="15"/>
  <c r="Q38" i="15"/>
  <c r="P73" i="15"/>
  <c r="P14" i="15"/>
  <c r="P75" i="15"/>
  <c r="P119" i="15"/>
  <c r="P109" i="15"/>
  <c r="P86" i="15"/>
  <c r="P149" i="15"/>
  <c r="P89" i="15"/>
  <c r="P126" i="15"/>
  <c r="P79" i="15"/>
  <c r="P54" i="15"/>
  <c r="P101" i="15"/>
  <c r="P132" i="15"/>
  <c r="P32" i="15"/>
  <c r="P40" i="15"/>
  <c r="P10" i="15"/>
  <c r="P141" i="15"/>
  <c r="P15" i="15"/>
  <c r="P7" i="15"/>
  <c r="P37" i="15"/>
  <c r="P11" i="15"/>
  <c r="P148" i="15"/>
  <c r="P139" i="15"/>
  <c r="P41" i="15"/>
  <c r="P147" i="15"/>
  <c r="P105" i="15"/>
  <c r="P135" i="15"/>
  <c r="P57" i="15"/>
  <c r="P77" i="15"/>
  <c r="P38" i="15"/>
  <c r="P46" i="15"/>
  <c r="P27" i="15"/>
  <c r="P12" i="15"/>
  <c r="P144" i="15"/>
  <c r="P125" i="15"/>
  <c r="P85" i="15"/>
  <c r="P103" i="15"/>
  <c r="P121" i="15"/>
  <c r="P213" i="15"/>
  <c r="P118" i="15"/>
  <c r="P39" i="15"/>
  <c r="P95" i="15"/>
  <c r="P127" i="15"/>
  <c r="P128" i="15"/>
  <c r="P110" i="15"/>
  <c r="P8" i="15"/>
  <c r="P33" i="15"/>
  <c r="P26" i="15"/>
  <c r="P18" i="15"/>
  <c r="Q17" i="21" l="1"/>
  <c r="F17" i="21"/>
  <c r="O18" i="21"/>
  <c r="O17" i="21"/>
  <c r="L18" i="21"/>
  <c r="L17" i="21"/>
  <c r="I18" i="21"/>
  <c r="I17" i="21"/>
  <c r="Q18" i="21"/>
  <c r="R11" i="21"/>
  <c r="F18" i="21"/>
  <c r="Q25" i="15"/>
  <c r="R18" i="21" l="1"/>
  <c r="R17" i="21"/>
  <c r="C48" i="4"/>
  <c r="E48" i="4" s="1"/>
  <c r="C46" i="4"/>
  <c r="E46" i="4" s="1"/>
  <c r="C47" i="4"/>
  <c r="E47" i="4" s="1"/>
  <c r="C45" i="4"/>
  <c r="E45" i="4" s="1"/>
  <c r="O46" i="4" l="1"/>
  <c r="U46" i="4"/>
  <c r="Q46" i="4"/>
  <c r="S46" i="4"/>
  <c r="U45" i="4"/>
  <c r="Q45" i="4"/>
  <c r="S45" i="4"/>
  <c r="O45" i="4"/>
  <c r="S47" i="4"/>
  <c r="O47" i="4"/>
  <c r="U47" i="4"/>
  <c r="Q47" i="4"/>
  <c r="R32" i="4"/>
  <c r="R31" i="4"/>
  <c r="N32" i="4"/>
  <c r="N31" i="4"/>
  <c r="P32" i="4"/>
  <c r="P31" i="4"/>
  <c r="T32" i="4"/>
  <c r="T31" i="4"/>
  <c r="K48" i="4"/>
  <c r="L48" i="4" s="1"/>
  <c r="I48" i="4"/>
  <c r="G45" i="11"/>
  <c r="K45" i="4"/>
  <c r="L45" i="4" s="1"/>
  <c r="I45" i="4"/>
  <c r="J45" i="4"/>
  <c r="E2" i="10" s="1"/>
  <c r="K47" i="4"/>
  <c r="L47" i="4" s="1"/>
  <c r="I45" i="11"/>
  <c r="J47" i="4"/>
  <c r="K2" i="10" s="1"/>
  <c r="I47" i="4"/>
  <c r="H45" i="11"/>
  <c r="K46" i="4"/>
  <c r="L46" i="4" s="1"/>
  <c r="J48" i="4"/>
  <c r="N2" i="10" s="1"/>
  <c r="J45" i="11"/>
  <c r="I46" i="4"/>
  <c r="J46" i="4"/>
  <c r="H2" i="10" s="1"/>
  <c r="L49" i="4" l="1"/>
  <c r="O49" i="4"/>
  <c r="S49" i="4"/>
  <c r="U49" i="4"/>
  <c r="Q49" i="4"/>
  <c r="R33" i="4"/>
  <c r="T33" i="4"/>
  <c r="P33" i="4"/>
  <c r="N33" i="4"/>
  <c r="I49" i="4"/>
  <c r="I50" i="4" s="1"/>
  <c r="K49" i="4"/>
  <c r="K50" i="4" s="1"/>
  <c r="J49" i="4"/>
  <c r="J50" i="4" s="1"/>
  <c r="H75" i="15"/>
  <c r="D326" i="3"/>
  <c r="H151" i="15" l="1"/>
  <c r="H252" i="15"/>
  <c r="H266" i="15"/>
  <c r="H256" i="15"/>
  <c r="H254" i="15"/>
  <c r="H263" i="15"/>
  <c r="H257" i="15"/>
  <c r="H262" i="15"/>
  <c r="H265" i="15"/>
  <c r="H255" i="15"/>
  <c r="H253" i="15"/>
  <c r="H261" i="15"/>
  <c r="H259" i="15"/>
  <c r="H258" i="15"/>
  <c r="H264" i="15"/>
  <c r="H260" i="15"/>
  <c r="D300" i="3"/>
  <c r="D267" i="3"/>
  <c r="D312" i="3"/>
  <c r="H14" i="15"/>
  <c r="H54" i="15"/>
  <c r="H93" i="15"/>
  <c r="H184" i="15"/>
  <c r="H244" i="15"/>
  <c r="D281" i="3"/>
  <c r="H24" i="15"/>
  <c r="H29" i="15"/>
  <c r="D178" i="3"/>
  <c r="D192" i="3"/>
  <c r="D274" i="3"/>
  <c r="D257" i="3"/>
  <c r="H147" i="15"/>
  <c r="J225" i="13"/>
  <c r="D301" i="3"/>
  <c r="D229" i="3"/>
  <c r="D245" i="3"/>
  <c r="H132" i="15"/>
  <c r="D314" i="3"/>
  <c r="H164" i="15"/>
  <c r="H243" i="15"/>
  <c r="D231" i="3"/>
  <c r="H31" i="15"/>
  <c r="D331" i="3"/>
  <c r="D232" i="3"/>
  <c r="H129" i="15"/>
  <c r="H49" i="15"/>
  <c r="D286" i="3"/>
  <c r="D194" i="3"/>
  <c r="H99" i="15"/>
  <c r="D190" i="3"/>
  <c r="D183" i="3"/>
  <c r="H11" i="15"/>
  <c r="D181" i="3"/>
  <c r="H115" i="15"/>
  <c r="D324" i="3"/>
  <c r="D234" i="3"/>
  <c r="D265" i="3"/>
  <c r="H177" i="15"/>
  <c r="H219" i="15"/>
  <c r="H250" i="15"/>
  <c r="H60" i="15"/>
  <c r="H21" i="15"/>
  <c r="H91" i="15"/>
  <c r="H237" i="15"/>
  <c r="H215" i="15"/>
  <c r="D236" i="3"/>
  <c r="D211" i="3"/>
  <c r="H251" i="15"/>
  <c r="H76" i="15"/>
  <c r="D238" i="3"/>
  <c r="H169" i="15"/>
  <c r="H18" i="15"/>
  <c r="H210" i="15"/>
  <c r="H98" i="15"/>
  <c r="D221" i="3"/>
  <c r="D180" i="3"/>
  <c r="H160" i="15"/>
  <c r="H104" i="15"/>
  <c r="D216" i="3"/>
  <c r="D202" i="3"/>
  <c r="H4" i="15"/>
  <c r="H3" i="15"/>
  <c r="D328" i="3"/>
  <c r="H190" i="15"/>
  <c r="H101" i="15"/>
  <c r="H63" i="15"/>
  <c r="H199" i="15"/>
  <c r="D241" i="3"/>
  <c r="H122" i="15"/>
  <c r="D313" i="3"/>
  <c r="H23" i="15"/>
  <c r="H86" i="15"/>
  <c r="H103" i="15"/>
  <c r="H72" i="15"/>
  <c r="H17" i="15"/>
  <c r="H109" i="15"/>
  <c r="H53" i="15"/>
  <c r="D191" i="3"/>
  <c r="H203" i="15"/>
  <c r="H248" i="15"/>
  <c r="D233" i="3"/>
  <c r="D227" i="3"/>
  <c r="D217" i="3"/>
  <c r="D283" i="3"/>
  <c r="D310" i="3"/>
  <c r="D228" i="3"/>
  <c r="H150" i="15"/>
  <c r="H69" i="15"/>
  <c r="H205" i="15"/>
  <c r="H47" i="15"/>
  <c r="H191" i="15"/>
  <c r="H241" i="15"/>
  <c r="H44" i="15"/>
  <c r="H247" i="15"/>
  <c r="H124" i="15"/>
  <c r="H85" i="15"/>
  <c r="H221" i="15"/>
  <c r="H32" i="15"/>
  <c r="D284" i="3"/>
  <c r="D322" i="3"/>
  <c r="D268" i="3"/>
  <c r="D306" i="3"/>
  <c r="D273" i="3"/>
  <c r="D288" i="3"/>
  <c r="H130" i="15"/>
  <c r="H172" i="15"/>
  <c r="H52" i="15"/>
  <c r="H188" i="15"/>
  <c r="H43" i="15"/>
  <c r="H110" i="15"/>
  <c r="H7" i="15"/>
  <c r="H2" i="15"/>
  <c r="D215" i="3"/>
  <c r="D264" i="3"/>
  <c r="H68" i="15"/>
  <c r="H204" i="15"/>
  <c r="D199" i="3"/>
  <c r="D207" i="3"/>
  <c r="H224" i="15"/>
  <c r="H120" i="15"/>
  <c r="H65" i="15"/>
  <c r="H42" i="15"/>
  <c r="D182" i="3"/>
  <c r="H135" i="15"/>
  <c r="H173" i="15"/>
  <c r="H117" i="15"/>
  <c r="D278" i="3"/>
  <c r="D247" i="3"/>
  <c r="D262" i="3"/>
  <c r="D285" i="3"/>
  <c r="H37" i="15"/>
  <c r="D187" i="3"/>
  <c r="H67" i="15"/>
  <c r="H95" i="15"/>
  <c r="H239" i="15"/>
  <c r="H9" i="15"/>
  <c r="H83" i="15"/>
  <c r="D307" i="3"/>
  <c r="H189" i="15"/>
  <c r="H133" i="15"/>
  <c r="H30" i="15"/>
  <c r="H111" i="15"/>
  <c r="H16" i="15"/>
  <c r="H156" i="15"/>
  <c r="H100" i="15"/>
  <c r="D256" i="3"/>
  <c r="D323" i="3"/>
  <c r="D240" i="3"/>
  <c r="H229" i="15"/>
  <c r="H195" i="15"/>
  <c r="D210" i="3"/>
  <c r="H78" i="15"/>
  <c r="H197" i="15"/>
  <c r="H214" i="15"/>
  <c r="H183" i="15"/>
  <c r="H144" i="15"/>
  <c r="H218" i="15"/>
  <c r="H163" i="15"/>
  <c r="H116" i="15"/>
  <c r="H13" i="15"/>
  <c r="H213" i="15"/>
  <c r="H230" i="15"/>
  <c r="H208" i="15"/>
  <c r="H74" i="15"/>
  <c r="H59" i="15"/>
  <c r="H90" i="15"/>
  <c r="D176" i="3"/>
  <c r="D188" i="3"/>
  <c r="D277" i="3"/>
  <c r="H97" i="15"/>
  <c r="H242" i="15"/>
  <c r="D177" i="3"/>
  <c r="H249" i="15"/>
  <c r="H226" i="15"/>
  <c r="H143" i="15"/>
  <c r="H89" i="15"/>
  <c r="D269" i="3"/>
  <c r="D205" i="3"/>
  <c r="H187" i="15"/>
  <c r="D193" i="3"/>
  <c r="H41" i="15"/>
  <c r="H186" i="15"/>
  <c r="H57" i="15"/>
  <c r="H209" i="15"/>
  <c r="D195" i="3"/>
  <c r="D308" i="3"/>
  <c r="D272" i="3"/>
  <c r="H223" i="15"/>
  <c r="H159" i="15"/>
  <c r="H64" i="15"/>
  <c r="H73" i="15"/>
  <c r="H225" i="15"/>
  <c r="H62" i="15"/>
  <c r="H6" i="15"/>
  <c r="D198" i="3"/>
  <c r="D318" i="3"/>
  <c r="H123" i="15"/>
  <c r="D302" i="3"/>
  <c r="H152" i="15"/>
  <c r="D219" i="3"/>
  <c r="H112" i="15"/>
  <c r="H231" i="15"/>
  <c r="H176" i="15"/>
  <c r="H35" i="15"/>
  <c r="H114" i="15"/>
  <c r="D299" i="3"/>
  <c r="H198" i="15"/>
  <c r="H22" i="15"/>
  <c r="H39" i="15"/>
  <c r="H8" i="15"/>
  <c r="H192" i="15"/>
  <c r="I225" i="13"/>
  <c r="D200" i="3"/>
  <c r="D251" i="3"/>
  <c r="D250" i="3"/>
  <c r="D203" i="3"/>
  <c r="D296" i="3"/>
  <c r="D287" i="3"/>
  <c r="D197" i="3"/>
  <c r="H61" i="15"/>
  <c r="H180" i="15"/>
  <c r="H141" i="15"/>
  <c r="H102" i="15"/>
  <c r="H119" i="15"/>
  <c r="G225" i="13"/>
  <c r="H233" i="15"/>
  <c r="D249" i="3"/>
  <c r="H206" i="15"/>
  <c r="H136" i="15"/>
  <c r="H161" i="15"/>
  <c r="H245" i="15"/>
  <c r="D327" i="3"/>
  <c r="H235" i="15"/>
  <c r="H196" i="15"/>
  <c r="H157" i="15"/>
  <c r="H246" i="15"/>
  <c r="D253" i="3"/>
  <c r="D276" i="3"/>
  <c r="D237" i="3"/>
  <c r="D260" i="3"/>
  <c r="D325" i="3"/>
  <c r="D201" i="3"/>
  <c r="H105" i="15"/>
  <c r="H193" i="15"/>
  <c r="H121" i="15"/>
  <c r="H34" i="15"/>
  <c r="D317" i="3"/>
  <c r="D244" i="3"/>
  <c r="H96" i="15"/>
  <c r="H40" i="15"/>
  <c r="D321" i="3"/>
  <c r="D279" i="3"/>
  <c r="H179" i="15"/>
  <c r="H140" i="15"/>
  <c r="D275" i="3"/>
  <c r="H185" i="15"/>
  <c r="H82" i="15"/>
  <c r="H201" i="15"/>
  <c r="H162" i="15"/>
  <c r="D316" i="3"/>
  <c r="D290" i="3"/>
  <c r="D271" i="3"/>
  <c r="H19" i="15"/>
  <c r="H56" i="15"/>
  <c r="H240" i="15"/>
  <c r="H217" i="15"/>
  <c r="H178" i="15"/>
  <c r="H45" i="15"/>
  <c r="H228" i="15"/>
  <c r="D255" i="3"/>
  <c r="D184" i="3"/>
  <c r="D239" i="3"/>
  <c r="H148" i="15"/>
  <c r="H87" i="15"/>
  <c r="H167" i="15"/>
  <c r="H81" i="15"/>
  <c r="D292" i="3"/>
  <c r="H125" i="15"/>
  <c r="H5" i="15"/>
  <c r="H174" i="15"/>
  <c r="H222" i="15"/>
  <c r="H168" i="15"/>
  <c r="H28" i="15"/>
  <c r="H211" i="15"/>
  <c r="D293" i="3"/>
  <c r="D289" i="3"/>
  <c r="D291" i="3"/>
  <c r="D295" i="3"/>
  <c r="D246" i="3"/>
  <c r="D189" i="3"/>
  <c r="D212" i="3"/>
  <c r="D332" i="3"/>
  <c r="D196" i="3"/>
  <c r="D179" i="3"/>
  <c r="D235" i="3"/>
  <c r="H66" i="15"/>
  <c r="H108" i="15"/>
  <c r="H227" i="15"/>
  <c r="H142" i="15"/>
  <c r="H149" i="15"/>
  <c r="H46" i="15"/>
  <c r="H92" i="15"/>
  <c r="D220" i="3"/>
  <c r="D258" i="3"/>
  <c r="D204" i="3"/>
  <c r="D242" i="3"/>
  <c r="D209" i="3"/>
  <c r="D224" i="3"/>
  <c r="H10" i="15"/>
  <c r="H146" i="15"/>
  <c r="H26" i="15"/>
  <c r="H139" i="15"/>
  <c r="D252" i="3"/>
  <c r="D226" i="3"/>
  <c r="H71" i="15"/>
  <c r="H15" i="15"/>
  <c r="H118" i="15"/>
  <c r="H88" i="15"/>
  <c r="H25" i="15"/>
  <c r="D263" i="3"/>
  <c r="D230" i="3"/>
  <c r="H113" i="15"/>
  <c r="H232" i="15"/>
  <c r="H234" i="15"/>
  <c r="H170" i="15"/>
  <c r="D213" i="3"/>
  <c r="H207" i="15"/>
  <c r="H27" i="15"/>
  <c r="H202" i="15"/>
  <c r="D282" i="3"/>
  <c r="D218" i="3"/>
  <c r="H12" i="15"/>
  <c r="D243" i="3"/>
  <c r="H181" i="15"/>
  <c r="D270" i="3"/>
  <c r="D206" i="3"/>
  <c r="H212" i="15"/>
  <c r="D280" i="3"/>
  <c r="H127" i="15"/>
  <c r="D208" i="3"/>
  <c r="H48" i="15"/>
  <c r="H107" i="15"/>
  <c r="H128" i="15"/>
  <c r="H137" i="15"/>
  <c r="H50" i="15"/>
  <c r="H182" i="15"/>
  <c r="H70" i="15"/>
  <c r="D254" i="3"/>
  <c r="H165" i="15"/>
  <c r="H238" i="15"/>
  <c r="D266" i="3"/>
  <c r="H153" i="15"/>
  <c r="H131" i="15"/>
  <c r="D319" i="3"/>
  <c r="D248" i="3"/>
  <c r="D303" i="3"/>
  <c r="H200" i="15"/>
  <c r="H84" i="15"/>
  <c r="D261" i="3"/>
  <c r="H236" i="15"/>
  <c r="H134" i="15"/>
  <c r="H77" i="15"/>
  <c r="H38" i="15"/>
  <c r="H55" i="15"/>
  <c r="H220" i="15"/>
  <c r="D222" i="3"/>
  <c r="D297" i="3"/>
  <c r="H51" i="15"/>
  <c r="D298" i="3"/>
  <c r="H171" i="15"/>
  <c r="H79" i="15"/>
  <c r="D330" i="3"/>
  <c r="D305" i="3"/>
  <c r="H80" i="15"/>
  <c r="D304" i="3"/>
  <c r="D214" i="3"/>
  <c r="D185" i="3"/>
  <c r="D223" i="3"/>
  <c r="H106" i="15"/>
  <c r="D311" i="3"/>
  <c r="H138" i="15"/>
  <c r="H216" i="15"/>
  <c r="H20" i="15"/>
  <c r="H175" i="15"/>
  <c r="D225" i="3"/>
  <c r="H126" i="15"/>
  <c r="D329" i="3"/>
  <c r="H158" i="15"/>
  <c r="D186" i="3"/>
  <c r="D294" i="3"/>
  <c r="H33" i="15"/>
  <c r="H194" i="15"/>
  <c r="H94" i="15"/>
  <c r="D320" i="3"/>
  <c r="H155" i="15"/>
  <c r="D309" i="3"/>
  <c r="H58" i="15"/>
  <c r="H154" i="15"/>
  <c r="H225" i="13"/>
  <c r="D259" i="3"/>
  <c r="D315" i="3"/>
  <c r="H166" i="15"/>
  <c r="H36" i="15"/>
  <c r="H145" i="15"/>
  <c r="C225" i="13" l="1"/>
  <c r="D225" i="13"/>
  <c r="B225" i="13"/>
  <c r="E225" i="13"/>
  <c r="B18" i="12" s="1"/>
  <c r="K225" i="13"/>
  <c r="L225" i="13" s="1"/>
  <c r="F225" i="13"/>
  <c r="B5" i="12" l="1"/>
  <c r="C5" i="12" s="1"/>
  <c r="B8" i="12"/>
  <c r="B5" i="14" s="1"/>
  <c r="B6" i="12"/>
  <c r="B3" i="14" s="1"/>
  <c r="B7" i="12"/>
  <c r="B4" i="14" s="1"/>
  <c r="F26" i="12"/>
  <c r="F28" i="12"/>
  <c r="F19" i="12"/>
  <c r="F34" i="12"/>
  <c r="F23" i="12"/>
  <c r="F21" i="12"/>
  <c r="F32" i="12"/>
  <c r="F18" i="12"/>
  <c r="F30" i="12"/>
  <c r="F25" i="12"/>
  <c r="F15" i="12"/>
  <c r="F35" i="12"/>
  <c r="F22" i="12"/>
  <c r="F17" i="12"/>
  <c r="F36" i="12"/>
  <c r="F33" i="12"/>
  <c r="F29" i="12"/>
  <c r="F20" i="12"/>
  <c r="F16" i="12"/>
  <c r="F24" i="12"/>
  <c r="F27" i="12"/>
  <c r="F31" i="12"/>
  <c r="B16" i="12"/>
  <c r="B27" i="12"/>
  <c r="B28" i="12"/>
  <c r="B67" i="12"/>
  <c r="B40" i="12"/>
  <c r="B31" i="12"/>
  <c r="B35" i="12"/>
  <c r="B59" i="12"/>
  <c r="B66" i="12"/>
  <c r="B21" i="12"/>
  <c r="B36" i="12"/>
  <c r="B34" i="12"/>
  <c r="B69" i="12"/>
  <c r="B37" i="12"/>
  <c r="B57" i="12"/>
  <c r="B62" i="12"/>
  <c r="B54" i="12"/>
  <c r="B25" i="12"/>
  <c r="B72" i="12"/>
  <c r="B43" i="12"/>
  <c r="B58" i="12"/>
  <c r="B44" i="12"/>
  <c r="B22" i="12"/>
  <c r="B19" i="12"/>
  <c r="B68" i="12"/>
  <c r="B45" i="12"/>
  <c r="B17" i="12"/>
  <c r="B74" i="12"/>
  <c r="B60" i="12"/>
  <c r="B52" i="12"/>
  <c r="B75" i="12"/>
  <c r="B56" i="12"/>
  <c r="B39" i="12"/>
  <c r="B65" i="12"/>
  <c r="B24" i="12"/>
  <c r="B63" i="12"/>
  <c r="B26" i="12"/>
  <c r="B33" i="12"/>
  <c r="B15" i="12"/>
  <c r="B50" i="12"/>
  <c r="B46" i="12"/>
  <c r="B30" i="12"/>
  <c r="B64" i="12"/>
  <c r="B32" i="12"/>
  <c r="B42" i="12"/>
  <c r="B70" i="12"/>
  <c r="B41" i="12"/>
  <c r="B20" i="12"/>
  <c r="B38" i="12"/>
  <c r="B48" i="12"/>
  <c r="B49" i="12"/>
  <c r="B47" i="12"/>
  <c r="B51" i="12"/>
  <c r="B73" i="12"/>
  <c r="B53" i="12"/>
  <c r="B29" i="12"/>
  <c r="B71" i="12"/>
  <c r="B55" i="12"/>
  <c r="B23" i="12"/>
  <c r="B61" i="12"/>
  <c r="C6" i="12" l="1"/>
  <c r="D6" i="12" s="1"/>
  <c r="D2" i="11" s="1"/>
  <c r="C8" i="12"/>
  <c r="D8" i="12" s="1"/>
  <c r="F2" i="11" s="1"/>
  <c r="B2" i="14"/>
  <c r="E2" i="14" s="1"/>
  <c r="C7" i="12"/>
  <c r="D7" i="12" s="1"/>
  <c r="E2" i="11" s="1"/>
  <c r="D3" i="14"/>
  <c r="E3" i="14"/>
  <c r="E4" i="14"/>
  <c r="D4" i="14"/>
  <c r="D5" i="12"/>
  <c r="C2" i="11" s="1"/>
  <c r="E5" i="14"/>
  <c r="D5" i="14"/>
  <c r="D2" i="14" l="1"/>
  <c r="D6" i="14" s="1"/>
  <c r="B6" i="14"/>
  <c r="E6" i="14" s="1"/>
  <c r="C10" i="11"/>
  <c r="C5" i="11"/>
  <c r="C35" i="11"/>
  <c r="C11" i="11"/>
  <c r="C19" i="11"/>
  <c r="C3" i="11"/>
  <c r="C22" i="11"/>
  <c r="C18" i="11"/>
  <c r="C27" i="11"/>
  <c r="C20" i="11"/>
  <c r="C6" i="11"/>
  <c r="C23" i="11"/>
  <c r="C4" i="11"/>
  <c r="C31" i="11"/>
  <c r="C43" i="11"/>
  <c r="C26" i="11"/>
  <c r="C40" i="11"/>
  <c r="C42" i="11"/>
  <c r="C7" i="11"/>
  <c r="C33" i="11"/>
  <c r="C9" i="11"/>
  <c r="C25" i="11"/>
  <c r="C8" i="11"/>
  <c r="C21" i="11"/>
  <c r="C30" i="11"/>
  <c r="C38" i="11"/>
  <c r="C13" i="11"/>
  <c r="C14" i="11"/>
  <c r="C32" i="11"/>
  <c r="C41" i="11"/>
  <c r="C12" i="11"/>
  <c r="C39" i="11"/>
  <c r="C28" i="11"/>
  <c r="C37" i="11"/>
  <c r="C34" i="11"/>
  <c r="C15" i="11"/>
  <c r="C29" i="11"/>
  <c r="C36" i="11"/>
  <c r="C17" i="11"/>
  <c r="C24" i="11"/>
  <c r="C16" i="11"/>
  <c r="E31" i="11"/>
  <c r="E27" i="11"/>
  <c r="E11" i="11"/>
  <c r="E33" i="11"/>
  <c r="E42" i="11"/>
  <c r="E41" i="11"/>
  <c r="E30" i="11"/>
  <c r="E26" i="11"/>
  <c r="E28" i="11"/>
  <c r="E40" i="11"/>
  <c r="E23" i="11"/>
  <c r="E19" i="11"/>
  <c r="E9" i="11"/>
  <c r="E29" i="11"/>
  <c r="E16" i="11"/>
  <c r="E34" i="11"/>
  <c r="E43" i="11"/>
  <c r="E3" i="11"/>
  <c r="E4" i="11"/>
  <c r="E18" i="11"/>
  <c r="E38" i="11"/>
  <c r="E22" i="11"/>
  <c r="E37" i="11"/>
  <c r="E25" i="11"/>
  <c r="E10" i="11"/>
  <c r="E7" i="11"/>
  <c r="E36" i="11"/>
  <c r="E15" i="11"/>
  <c r="E20" i="11"/>
  <c r="E24" i="11"/>
  <c r="E6" i="11"/>
  <c r="E12" i="11"/>
  <c r="E32" i="11"/>
  <c r="E8" i="11"/>
  <c r="E14" i="11"/>
  <c r="E17" i="11"/>
  <c r="E5" i="11"/>
  <c r="E39" i="11"/>
  <c r="E21" i="11"/>
  <c r="E35" i="11"/>
  <c r="E13" i="11"/>
  <c r="F7" i="11"/>
  <c r="F29" i="11"/>
  <c r="F39" i="11"/>
  <c r="F30" i="11"/>
  <c r="F34" i="11"/>
  <c r="F42" i="11"/>
  <c r="F9" i="11"/>
  <c r="F35" i="11"/>
  <c r="F16" i="11"/>
  <c r="F17" i="11"/>
  <c r="F10" i="11"/>
  <c r="F4" i="11"/>
  <c r="F19" i="11"/>
  <c r="F37" i="11"/>
  <c r="F3" i="11"/>
  <c r="F27" i="11"/>
  <c r="F20" i="11"/>
  <c r="F40" i="11"/>
  <c r="F24" i="11"/>
  <c r="F38" i="11"/>
  <c r="F28" i="11"/>
  <c r="F18" i="11"/>
  <c r="F43" i="11"/>
  <c r="F22" i="11"/>
  <c r="F25" i="11"/>
  <c r="F15" i="11"/>
  <c r="F21" i="11"/>
  <c r="F33" i="11"/>
  <c r="F5" i="11"/>
  <c r="F31" i="11"/>
  <c r="F26" i="11"/>
  <c r="F41" i="11"/>
  <c r="F14" i="11"/>
  <c r="F12" i="11"/>
  <c r="F8" i="11"/>
  <c r="F23" i="11"/>
  <c r="F36" i="11"/>
  <c r="F32" i="11"/>
  <c r="F11" i="11"/>
  <c r="F6" i="11"/>
  <c r="F13" i="11"/>
  <c r="D17" i="11"/>
  <c r="D41" i="11"/>
  <c r="D24" i="11"/>
  <c r="D23" i="11"/>
  <c r="D27" i="11"/>
  <c r="D30" i="11"/>
  <c r="D42" i="11"/>
  <c r="D9" i="11"/>
  <c r="D36" i="11"/>
  <c r="D20" i="11"/>
  <c r="D29" i="11"/>
  <c r="D31" i="11"/>
  <c r="D12" i="11"/>
  <c r="D5" i="11"/>
  <c r="D34" i="11"/>
  <c r="D32" i="11"/>
  <c r="D26" i="11"/>
  <c r="D22" i="11"/>
  <c r="D14" i="11"/>
  <c r="D4" i="11"/>
  <c r="D11" i="11"/>
  <c r="D35" i="11"/>
  <c r="D6" i="11"/>
  <c r="D10" i="11"/>
  <c r="D39" i="11"/>
  <c r="D7" i="11"/>
  <c r="D3" i="11"/>
  <c r="D28" i="11"/>
  <c r="D21" i="11"/>
  <c r="D38" i="11"/>
  <c r="D19" i="11"/>
  <c r="D15" i="11"/>
  <c r="D37" i="11"/>
  <c r="D43" i="11"/>
  <c r="D40" i="11"/>
  <c r="D33" i="11"/>
  <c r="D13" i="11"/>
  <c r="D25" i="11"/>
  <c r="D16" i="11"/>
  <c r="D8" i="11"/>
  <c r="D18" i="11"/>
  <c r="H13" i="11" l="1"/>
  <c r="R13" i="11" s="1"/>
  <c r="AB13" i="11"/>
  <c r="J31" i="11"/>
  <c r="V31" i="11" s="1"/>
  <c r="AG31" i="11"/>
  <c r="I37" i="11"/>
  <c r="T37" i="11" s="1"/>
  <c r="G18" i="11"/>
  <c r="P18" i="11" s="1"/>
  <c r="Y18" i="11"/>
  <c r="H33" i="11"/>
  <c r="R33" i="11" s="1"/>
  <c r="AB33" i="11"/>
  <c r="H28" i="11"/>
  <c r="R28" i="11" s="1"/>
  <c r="AB28" i="11"/>
  <c r="H4" i="11"/>
  <c r="R4" i="11" s="1"/>
  <c r="AB4" i="11"/>
  <c r="H31" i="11"/>
  <c r="R31" i="11" s="1"/>
  <c r="AB31" i="11"/>
  <c r="H23" i="11"/>
  <c r="R23" i="11" s="1"/>
  <c r="AB23" i="11"/>
  <c r="J36" i="11"/>
  <c r="V36" i="11" s="1"/>
  <c r="AG36" i="11"/>
  <c r="J5" i="11"/>
  <c r="V5" i="11" s="1"/>
  <c r="AG5" i="11"/>
  <c r="J28" i="11"/>
  <c r="V28" i="11" s="1"/>
  <c r="AG28" i="11"/>
  <c r="J19" i="11"/>
  <c r="V19" i="11" s="1"/>
  <c r="AG19" i="11"/>
  <c r="J34" i="11"/>
  <c r="V34" i="11" s="1"/>
  <c r="AG34" i="11"/>
  <c r="I39" i="11"/>
  <c r="T39" i="11" s="1"/>
  <c r="I24" i="11"/>
  <c r="I22" i="11"/>
  <c r="I29" i="11"/>
  <c r="I41" i="11"/>
  <c r="T41" i="11" s="1"/>
  <c r="G17" i="11"/>
  <c r="P17" i="11" s="1"/>
  <c r="Y17" i="11"/>
  <c r="G12" i="11"/>
  <c r="P12" i="11" s="1"/>
  <c r="Y12" i="11"/>
  <c r="G8" i="11"/>
  <c r="P8" i="11" s="1"/>
  <c r="Y8" i="11"/>
  <c r="G43" i="11"/>
  <c r="P43" i="11" s="1"/>
  <c r="Y43" i="11"/>
  <c r="G22" i="11"/>
  <c r="P22" i="11" s="1"/>
  <c r="Y22" i="11"/>
  <c r="J18" i="11"/>
  <c r="V18" i="11" s="1"/>
  <c r="AG18" i="11"/>
  <c r="G21" i="11"/>
  <c r="P21" i="11" s="1"/>
  <c r="Y21" i="11"/>
  <c r="J23" i="11"/>
  <c r="V23" i="11" s="1"/>
  <c r="AG23" i="11"/>
  <c r="J33" i="11"/>
  <c r="V33" i="11" s="1"/>
  <c r="AG33" i="11"/>
  <c r="J38" i="11"/>
  <c r="V38" i="11" s="1"/>
  <c r="AG38" i="11"/>
  <c r="J4" i="11"/>
  <c r="V4" i="11" s="1"/>
  <c r="AG4" i="11"/>
  <c r="J30" i="11"/>
  <c r="V30" i="11" s="1"/>
  <c r="AG30" i="11"/>
  <c r="I5" i="11"/>
  <c r="I20" i="11"/>
  <c r="I38" i="11"/>
  <c r="T38" i="11" s="1"/>
  <c r="I9" i="11"/>
  <c r="I42" i="11"/>
  <c r="T42" i="11" s="1"/>
  <c r="G36" i="11"/>
  <c r="P36" i="11" s="1"/>
  <c r="Y36" i="11"/>
  <c r="G41" i="11"/>
  <c r="P41" i="11" s="1"/>
  <c r="Y41" i="11"/>
  <c r="G25" i="11"/>
  <c r="P25" i="11" s="1"/>
  <c r="Y25" i="11"/>
  <c r="G31" i="11"/>
  <c r="P31" i="11" s="1"/>
  <c r="Y31" i="11"/>
  <c r="G3" i="11"/>
  <c r="X3" i="11" s="1"/>
  <c r="Y3" i="11"/>
  <c r="H27" i="11"/>
  <c r="R27" i="11" s="1"/>
  <c r="AB27" i="11"/>
  <c r="J42" i="11"/>
  <c r="V42" i="11" s="1"/>
  <c r="AG42" i="11"/>
  <c r="G26" i="11"/>
  <c r="P26" i="11" s="1"/>
  <c r="Y26" i="11"/>
  <c r="H29" i="11"/>
  <c r="R29" i="11" s="1"/>
  <c r="AB29" i="11"/>
  <c r="H43" i="11"/>
  <c r="R43" i="11" s="1"/>
  <c r="AB43" i="11"/>
  <c r="H7" i="11"/>
  <c r="R7" i="11" s="1"/>
  <c r="AB7" i="11"/>
  <c r="H22" i="11"/>
  <c r="R22" i="11" s="1"/>
  <c r="AB22" i="11"/>
  <c r="H20" i="11"/>
  <c r="R20" i="11" s="1"/>
  <c r="AB20" i="11"/>
  <c r="H41" i="11"/>
  <c r="R41" i="11" s="1"/>
  <c r="AB41" i="11"/>
  <c r="J8" i="11"/>
  <c r="V8" i="11" s="1"/>
  <c r="AG8" i="11"/>
  <c r="J21" i="11"/>
  <c r="V21" i="11" s="1"/>
  <c r="AG21" i="11"/>
  <c r="J24" i="11"/>
  <c r="V24" i="11" s="1"/>
  <c r="AG24" i="11"/>
  <c r="J10" i="11"/>
  <c r="V10" i="11" s="1"/>
  <c r="AG10" i="11"/>
  <c r="J39" i="11"/>
  <c r="V39" i="11" s="1"/>
  <c r="AG39" i="11"/>
  <c r="I17" i="11"/>
  <c r="I15" i="11"/>
  <c r="I18" i="11"/>
  <c r="I19" i="11"/>
  <c r="I33" i="11"/>
  <c r="G29" i="11"/>
  <c r="P29" i="11" s="1"/>
  <c r="Y29" i="11"/>
  <c r="G32" i="11"/>
  <c r="P32" i="11" s="1"/>
  <c r="Y32" i="11"/>
  <c r="G9" i="11"/>
  <c r="P9" i="11" s="1"/>
  <c r="Y9" i="11"/>
  <c r="G4" i="11"/>
  <c r="P4" i="11" s="1"/>
  <c r="Y4" i="11"/>
  <c r="G19" i="11"/>
  <c r="P19" i="11" s="1"/>
  <c r="Y19" i="11"/>
  <c r="H21" i="11"/>
  <c r="R21" i="11" s="1"/>
  <c r="AB21" i="11"/>
  <c r="I16" i="11"/>
  <c r="H24" i="11"/>
  <c r="R24" i="11" s="1"/>
  <c r="AB24" i="11"/>
  <c r="H37" i="11"/>
  <c r="R37" i="11" s="1"/>
  <c r="AB37" i="11"/>
  <c r="H39" i="11"/>
  <c r="R39" i="11" s="1"/>
  <c r="AB39" i="11"/>
  <c r="H26" i="11"/>
  <c r="R26" i="11" s="1"/>
  <c r="AB26" i="11"/>
  <c r="H36" i="11"/>
  <c r="R36" i="11" s="1"/>
  <c r="AB36" i="11"/>
  <c r="H17" i="11"/>
  <c r="R17" i="11" s="1"/>
  <c r="AB17" i="11"/>
  <c r="J12" i="11"/>
  <c r="V12" i="11" s="1"/>
  <c r="AG12" i="11"/>
  <c r="J15" i="11"/>
  <c r="V15" i="11" s="1"/>
  <c r="AG15" i="11"/>
  <c r="J40" i="11"/>
  <c r="V40" i="11" s="1"/>
  <c r="AG40" i="11"/>
  <c r="J17" i="11"/>
  <c r="V17" i="11" s="1"/>
  <c r="AG17" i="11"/>
  <c r="J29" i="11"/>
  <c r="V29" i="11" s="1"/>
  <c r="AG29" i="11"/>
  <c r="I14" i="11"/>
  <c r="I36" i="11"/>
  <c r="T36" i="11" s="1"/>
  <c r="I4" i="11"/>
  <c r="I23" i="11"/>
  <c r="I11" i="11"/>
  <c r="G15" i="11"/>
  <c r="P15" i="11" s="1"/>
  <c r="Y15" i="11"/>
  <c r="G14" i="11"/>
  <c r="P14" i="11" s="1"/>
  <c r="Y14" i="11"/>
  <c r="G33" i="11"/>
  <c r="P33" i="11" s="1"/>
  <c r="Y33" i="11"/>
  <c r="G23" i="11"/>
  <c r="P23" i="11" s="1"/>
  <c r="Y23" i="11"/>
  <c r="G11" i="11"/>
  <c r="P11" i="11" s="1"/>
  <c r="Y11" i="11"/>
  <c r="H12" i="11"/>
  <c r="R12" i="11" s="1"/>
  <c r="AB12" i="11"/>
  <c r="I6" i="11"/>
  <c r="G24" i="11"/>
  <c r="P24" i="11" s="1"/>
  <c r="Y24" i="11"/>
  <c r="H14" i="11"/>
  <c r="R14" i="11" s="1"/>
  <c r="AB14" i="11"/>
  <c r="H18" i="11"/>
  <c r="R18" i="11" s="1"/>
  <c r="AB18" i="11"/>
  <c r="H8" i="11"/>
  <c r="R8" i="11" s="1"/>
  <c r="AB8" i="11"/>
  <c r="H15" i="11"/>
  <c r="R15" i="11" s="1"/>
  <c r="AB15" i="11"/>
  <c r="H10" i="11"/>
  <c r="R10" i="11" s="1"/>
  <c r="AB10" i="11"/>
  <c r="H32" i="11"/>
  <c r="R32" i="11" s="1"/>
  <c r="AB32" i="11"/>
  <c r="H9" i="11"/>
  <c r="R9" i="11" s="1"/>
  <c r="AB9" i="11"/>
  <c r="J13" i="11"/>
  <c r="V13" i="11" s="1"/>
  <c r="AG13" i="11"/>
  <c r="J14" i="11"/>
  <c r="V14" i="11" s="1"/>
  <c r="AG14" i="11"/>
  <c r="J25" i="11"/>
  <c r="V25" i="11" s="1"/>
  <c r="AG25" i="11"/>
  <c r="J20" i="11"/>
  <c r="V20" i="11" s="1"/>
  <c r="AG20" i="11"/>
  <c r="J16" i="11"/>
  <c r="V16" i="11" s="1"/>
  <c r="AG16" i="11"/>
  <c r="J7" i="11"/>
  <c r="V7" i="11" s="1"/>
  <c r="AG7" i="11"/>
  <c r="I8" i="11"/>
  <c r="I7" i="11"/>
  <c r="I3" i="11"/>
  <c r="I40" i="11"/>
  <c r="T40" i="11" s="1"/>
  <c r="I27" i="11"/>
  <c r="G34" i="11"/>
  <c r="P34" i="11" s="1"/>
  <c r="Y34" i="11"/>
  <c r="G13" i="11"/>
  <c r="P13" i="11" s="1"/>
  <c r="Y13" i="11"/>
  <c r="G7" i="11"/>
  <c r="P7" i="11" s="1"/>
  <c r="Y7" i="11"/>
  <c r="G6" i="11"/>
  <c r="P6" i="11" s="1"/>
  <c r="Y6" i="11"/>
  <c r="G35" i="11"/>
  <c r="P35" i="11" s="1"/>
  <c r="Y35" i="11"/>
  <c r="H11" i="11"/>
  <c r="R11" i="11" s="1"/>
  <c r="AB11" i="11"/>
  <c r="J37" i="11"/>
  <c r="V37" i="11" s="1"/>
  <c r="AG37" i="11"/>
  <c r="I30" i="11"/>
  <c r="H40" i="11"/>
  <c r="R40" i="11" s="1"/>
  <c r="AB40" i="11"/>
  <c r="H6" i="11"/>
  <c r="R6" i="11" s="1"/>
  <c r="AB6" i="11"/>
  <c r="H42" i="11"/>
  <c r="R42" i="11" s="1"/>
  <c r="AB42" i="11"/>
  <c r="J41" i="11"/>
  <c r="V41" i="11" s="1"/>
  <c r="AG41" i="11"/>
  <c r="J27" i="11"/>
  <c r="V27" i="11" s="1"/>
  <c r="AG27" i="11"/>
  <c r="J35" i="11"/>
  <c r="V35" i="11" s="1"/>
  <c r="AG35" i="11"/>
  <c r="I32" i="11"/>
  <c r="I10" i="11"/>
  <c r="I43" i="11"/>
  <c r="T43" i="11" s="1"/>
  <c r="I28" i="11"/>
  <c r="I31" i="11"/>
  <c r="G37" i="11"/>
  <c r="P37" i="11" s="1"/>
  <c r="Y37" i="11"/>
  <c r="G38" i="11"/>
  <c r="P38" i="11" s="1"/>
  <c r="Y38" i="11"/>
  <c r="G42" i="11"/>
  <c r="P42" i="11" s="1"/>
  <c r="Y42" i="11"/>
  <c r="G20" i="11"/>
  <c r="P20" i="11" s="1"/>
  <c r="Y20" i="11"/>
  <c r="G5" i="11"/>
  <c r="P5" i="11" s="1"/>
  <c r="Y5" i="11"/>
  <c r="J32" i="11"/>
  <c r="V32" i="11" s="1"/>
  <c r="AG32" i="11"/>
  <c r="I21" i="11"/>
  <c r="G39" i="11"/>
  <c r="P39" i="11" s="1"/>
  <c r="Y39" i="11"/>
  <c r="H3" i="11"/>
  <c r="AB3" i="11"/>
  <c r="H16" i="11"/>
  <c r="R16" i="11" s="1"/>
  <c r="AB16" i="11"/>
  <c r="H19" i="11"/>
  <c r="R19" i="11" s="1"/>
  <c r="AB19" i="11"/>
  <c r="H34" i="11"/>
  <c r="R34" i="11" s="1"/>
  <c r="AB34" i="11"/>
  <c r="J6" i="11"/>
  <c r="V6" i="11" s="1"/>
  <c r="AG6" i="11"/>
  <c r="J22" i="11"/>
  <c r="V22" i="11" s="1"/>
  <c r="AG22" i="11"/>
  <c r="I13" i="11"/>
  <c r="H25" i="11"/>
  <c r="R25" i="11" s="1"/>
  <c r="AB25" i="11"/>
  <c r="H38" i="11"/>
  <c r="R38" i="11" s="1"/>
  <c r="AB38" i="11"/>
  <c r="H35" i="11"/>
  <c r="R35" i="11" s="1"/>
  <c r="AB35" i="11"/>
  <c r="H5" i="11"/>
  <c r="R5" i="11" s="1"/>
  <c r="AB5" i="11"/>
  <c r="H30" i="11"/>
  <c r="R30" i="11" s="1"/>
  <c r="AB30" i="11"/>
  <c r="J11" i="11"/>
  <c r="V11" i="11" s="1"/>
  <c r="AG11" i="11"/>
  <c r="J26" i="11"/>
  <c r="V26" i="11" s="1"/>
  <c r="AG26" i="11"/>
  <c r="J43" i="11"/>
  <c r="V43" i="11" s="1"/>
  <c r="AG43" i="11"/>
  <c r="J3" i="11"/>
  <c r="AG3" i="11"/>
  <c r="J9" i="11"/>
  <c r="V9" i="11" s="1"/>
  <c r="AG9" i="11"/>
  <c r="I35" i="11"/>
  <c r="T35" i="11" s="1"/>
  <c r="I12" i="11"/>
  <c r="I25" i="11"/>
  <c r="I34" i="11"/>
  <c r="I26" i="11"/>
  <c r="G16" i="11"/>
  <c r="P16" i="11" s="1"/>
  <c r="Y16" i="11"/>
  <c r="G28" i="11"/>
  <c r="P28" i="11" s="1"/>
  <c r="Y28" i="11"/>
  <c r="G30" i="11"/>
  <c r="P30" i="11" s="1"/>
  <c r="Y30" i="11"/>
  <c r="G40" i="11"/>
  <c r="P40" i="11" s="1"/>
  <c r="Y40" i="11"/>
  <c r="G27" i="11"/>
  <c r="P27" i="11" s="1"/>
  <c r="Y27" i="11"/>
  <c r="G10" i="11"/>
  <c r="P10" i="11" s="1"/>
  <c r="Y10" i="11"/>
  <c r="AD3" i="11" l="1"/>
  <c r="AE3" i="11" s="1"/>
  <c r="AI3" i="11" s="1"/>
  <c r="T34" i="11"/>
  <c r="AD34" i="11"/>
  <c r="AE34" i="11" s="1"/>
  <c r="AI34" i="11" s="1"/>
  <c r="T13" i="11"/>
  <c r="AD13" i="11"/>
  <c r="AE13" i="11" s="1"/>
  <c r="AI13" i="11" s="1"/>
  <c r="T10" i="11"/>
  <c r="AD10" i="11"/>
  <c r="AE10" i="11" s="1"/>
  <c r="AI10" i="11" s="1"/>
  <c r="T14" i="11"/>
  <c r="AD14" i="11"/>
  <c r="AE14" i="11" s="1"/>
  <c r="AI14" i="11" s="1"/>
  <c r="T17" i="11"/>
  <c r="AD17" i="11"/>
  <c r="AE17" i="11" s="1"/>
  <c r="AI17" i="11" s="1"/>
  <c r="T22" i="11"/>
  <c r="AD22" i="11"/>
  <c r="AE22" i="11" s="1"/>
  <c r="AI22" i="11" s="1"/>
  <c r="T9" i="11"/>
  <c r="AD9" i="11"/>
  <c r="AE9" i="11" s="1"/>
  <c r="AI9" i="11" s="1"/>
  <c r="T8" i="11"/>
  <c r="AD8" i="11"/>
  <c r="AE8" i="11" s="1"/>
  <c r="AI8" i="11" s="1"/>
  <c r="T12" i="11"/>
  <c r="AD12" i="11"/>
  <c r="AE12" i="11" s="1"/>
  <c r="AI12" i="11" s="1"/>
  <c r="T20" i="11"/>
  <c r="AD20" i="11"/>
  <c r="AE20" i="11" s="1"/>
  <c r="AI20" i="11" s="1"/>
  <c r="T31" i="11"/>
  <c r="AD31" i="11"/>
  <c r="AE31" i="11" s="1"/>
  <c r="AI31" i="11" s="1"/>
  <c r="T11" i="11"/>
  <c r="AD11" i="11"/>
  <c r="AE11" i="11" s="1"/>
  <c r="AI11" i="11" s="1"/>
  <c r="T33" i="11"/>
  <c r="AD33" i="11"/>
  <c r="AE33" i="11" s="1"/>
  <c r="AI33" i="11" s="1"/>
  <c r="T5" i="11"/>
  <c r="AD5" i="11"/>
  <c r="AE5" i="11" s="1"/>
  <c r="AI5" i="11" s="1"/>
  <c r="T28" i="11"/>
  <c r="AD28" i="11"/>
  <c r="AE28" i="11" s="1"/>
  <c r="AI28" i="11" s="1"/>
  <c r="T27" i="11"/>
  <c r="AD27" i="11"/>
  <c r="AE27" i="11" s="1"/>
  <c r="AI27" i="11" s="1"/>
  <c r="T23" i="11"/>
  <c r="AD23" i="11"/>
  <c r="AE23" i="11" s="1"/>
  <c r="AI23" i="11" s="1"/>
  <c r="T19" i="11"/>
  <c r="AD19" i="11"/>
  <c r="AE19" i="11" s="1"/>
  <c r="AI19" i="11" s="1"/>
  <c r="T25" i="11"/>
  <c r="AD25" i="11"/>
  <c r="AE25" i="11" s="1"/>
  <c r="AI25" i="11" s="1"/>
  <c r="T30" i="11"/>
  <c r="AD30" i="11"/>
  <c r="AE30" i="11" s="1"/>
  <c r="AI30" i="11" s="1"/>
  <c r="T4" i="11"/>
  <c r="AD4" i="11"/>
  <c r="AE4" i="11" s="1"/>
  <c r="AI4" i="11" s="1"/>
  <c r="T18" i="11"/>
  <c r="AD18" i="11"/>
  <c r="AE18" i="11" s="1"/>
  <c r="AI18" i="11" s="1"/>
  <c r="T32" i="11"/>
  <c r="AD32" i="11"/>
  <c r="AE32" i="11" s="1"/>
  <c r="AI32" i="11" s="1"/>
  <c r="T7" i="11"/>
  <c r="AD7" i="11"/>
  <c r="AE7" i="11" s="1"/>
  <c r="AI7" i="11" s="1"/>
  <c r="T24" i="11"/>
  <c r="AD24" i="11"/>
  <c r="AE24" i="11" s="1"/>
  <c r="AI24" i="11" s="1"/>
  <c r="T26" i="11"/>
  <c r="AD26" i="11"/>
  <c r="AE26" i="11" s="1"/>
  <c r="AI26" i="11" s="1"/>
  <c r="T21" i="11"/>
  <c r="AD21" i="11"/>
  <c r="AE21" i="11" s="1"/>
  <c r="AI21" i="11" s="1"/>
  <c r="T6" i="11"/>
  <c r="AD6" i="11"/>
  <c r="AE6" i="11" s="1"/>
  <c r="AI6" i="11" s="1"/>
  <c r="T16" i="11"/>
  <c r="AD16" i="11"/>
  <c r="AE16" i="11" s="1"/>
  <c r="AI16" i="11" s="1"/>
  <c r="T15" i="11"/>
  <c r="AD15" i="11"/>
  <c r="AE15" i="11" s="1"/>
  <c r="AI15" i="11" s="1"/>
  <c r="T29" i="11"/>
  <c r="AD29" i="11"/>
  <c r="AE29" i="11" s="1"/>
  <c r="AI29" i="11" s="1"/>
  <c r="AI39" i="11"/>
  <c r="AG44" i="11"/>
  <c r="V3" i="11"/>
  <c r="V44" i="11" s="1"/>
  <c r="J44" i="11"/>
  <c r="J46" i="11" s="1"/>
  <c r="AI43" i="11"/>
  <c r="I44" i="11"/>
  <c r="I46" i="11" s="1"/>
  <c r="T3" i="11"/>
  <c r="AI40" i="11"/>
  <c r="AI38" i="11"/>
  <c r="AI41" i="11"/>
  <c r="AI42" i="11"/>
  <c r="AI35" i="11"/>
  <c r="AB44" i="11"/>
  <c r="Y44" i="11"/>
  <c r="AI36" i="11"/>
  <c r="AI37" i="11"/>
  <c r="H44" i="11"/>
  <c r="H46" i="11" s="1"/>
  <c r="R3" i="11"/>
  <c r="R44" i="11" s="1"/>
  <c r="P3" i="11"/>
  <c r="P44" i="11" s="1"/>
  <c r="G44" i="11"/>
  <c r="G46" i="11" s="1"/>
  <c r="AE44" i="11" l="1"/>
  <c r="T44" i="11"/>
  <c r="AI44" i="11"/>
</calcChain>
</file>

<file path=xl/sharedStrings.xml><?xml version="1.0" encoding="utf-8"?>
<sst xmlns="http://schemas.openxmlformats.org/spreadsheetml/2006/main" count="20110" uniqueCount="1910">
  <si>
    <t>Vintage</t>
  </si>
  <si>
    <t>Producer</t>
  </si>
  <si>
    <t>Name</t>
  </si>
  <si>
    <t>Quantity</t>
  </si>
  <si>
    <t>Size</t>
  </si>
  <si>
    <t>Cellar Location</t>
  </si>
  <si>
    <t>Broadbent</t>
  </si>
  <si>
    <t>Vintage Porto</t>
  </si>
  <si>
    <t>French/American</t>
  </si>
  <si>
    <t>Bertani</t>
  </si>
  <si>
    <t>Amarone della Valpolicella</t>
  </si>
  <si>
    <t>Italian</t>
  </si>
  <si>
    <t>Corte Pavone</t>
  </si>
  <si>
    <t>Brunello di Montalcino Riserva</t>
  </si>
  <si>
    <t>Office</t>
  </si>
  <si>
    <t>Sella &amp; Mosca</t>
  </si>
  <si>
    <t>Marchese di Villamarina</t>
  </si>
  <si>
    <t>94+</t>
  </si>
  <si>
    <t>Casanova di Neri</t>
  </si>
  <si>
    <t>Brunello di Montalcino</t>
  </si>
  <si>
    <t>Fontodi</t>
  </si>
  <si>
    <t>Flaccianello della Pieve</t>
  </si>
  <si>
    <t>Capanna</t>
  </si>
  <si>
    <t>Abadia Mantrus</t>
  </si>
  <si>
    <t>Gran Reserva</t>
  </si>
  <si>
    <t>Broken</t>
  </si>
  <si>
    <t>Amarone della Valpolicella Classico</t>
  </si>
  <si>
    <t>Lisini</t>
  </si>
  <si>
    <t>Caparzo</t>
  </si>
  <si>
    <t>92+</t>
  </si>
  <si>
    <t>La Mannella</t>
  </si>
  <si>
    <t>Antica</t>
  </si>
  <si>
    <t>Cabernet Sauvignon</t>
  </si>
  <si>
    <t>Prunotto</t>
  </si>
  <si>
    <t>Barolo Bussia</t>
  </si>
  <si>
    <t>Virna</t>
  </si>
  <si>
    <t>Barolo Preda Sarmassa</t>
  </si>
  <si>
    <t>Masi</t>
  </si>
  <si>
    <t>Amarone della Valpolicella Classico Serego Alighieri Vaio Armaron</t>
  </si>
  <si>
    <t>Luigi Righetti</t>
  </si>
  <si>
    <t>Amarone Della Valpolicella Capitel de Roari</t>
  </si>
  <si>
    <t>Sartori</t>
  </si>
  <si>
    <t>Loacker</t>
  </si>
  <si>
    <t>Brunello di Montalcino Corte Pavone</t>
  </si>
  <si>
    <t>Nicolis</t>
  </si>
  <si>
    <t>Conde</t>
  </si>
  <si>
    <t>Neo</t>
  </si>
  <si>
    <t>Beringer</t>
  </si>
  <si>
    <t>Cabernet Sauvignon Private Reserve</t>
  </si>
  <si>
    <t>Francis Ford Coppola Winery</t>
  </si>
  <si>
    <t>Proprietary Red Eleanor</t>
  </si>
  <si>
    <t>Cavallotto</t>
  </si>
  <si>
    <t>Barolo Riserva Vignolo</t>
  </si>
  <si>
    <t>Amarone della Valpolicella Classico Costasera</t>
  </si>
  <si>
    <t>Salvatore Molettieri</t>
  </si>
  <si>
    <t>Taurasi Vigna Cinque Querce</t>
  </si>
  <si>
    <t>Cosimo Taurino</t>
  </si>
  <si>
    <t>Salice Salentino Riserva</t>
  </si>
  <si>
    <t>Case Next to French</t>
  </si>
  <si>
    <t>Corte Giara</t>
  </si>
  <si>
    <t>Andretta</t>
  </si>
  <si>
    <t>Amarone della Valpolicella Villa Arvedi</t>
  </si>
  <si>
    <t>Lalande-Borie</t>
  </si>
  <si>
    <t>Lamole di Lamole</t>
  </si>
  <si>
    <t>Chianti Classico Gran Selezione Vigneto di Campolungo</t>
  </si>
  <si>
    <t>La Fortuna</t>
  </si>
  <si>
    <t>Bowler Wine</t>
  </si>
  <si>
    <t>Johnson Family</t>
  </si>
  <si>
    <t>Prisoner Wine Co</t>
  </si>
  <si>
    <t>Proprietary Red The Prisoner</t>
  </si>
  <si>
    <t>Zenato</t>
  </si>
  <si>
    <t>Valpolicella Ripasso Superiore Ripassa</t>
  </si>
  <si>
    <t>Cortonesi</t>
  </si>
  <si>
    <t>Brunello di Montalcino La Mannella</t>
  </si>
  <si>
    <t>93+</t>
  </si>
  <si>
    <t>Castello di Ama</t>
  </si>
  <si>
    <t>Chianti Classico Gran Selezione San Lorenzo</t>
  </si>
  <si>
    <t>Tre Monti</t>
  </si>
  <si>
    <t>Romagna Sangiovese Riserva Oriolo Thea</t>
  </si>
  <si>
    <t>Rainoldi</t>
  </si>
  <si>
    <t>Sfursat di Valtellina Fruttaio Ca' Rizzieri</t>
  </si>
  <si>
    <t>G.D. Vajra</t>
  </si>
  <si>
    <t>Barolo Albe</t>
  </si>
  <si>
    <t>Bootleg</t>
  </si>
  <si>
    <t>Proprietary Red</t>
  </si>
  <si>
    <t>Cascina Cucco</t>
  </si>
  <si>
    <t>Barolo Cerrati</t>
  </si>
  <si>
    <t>Palazzo Wine</t>
  </si>
  <si>
    <t>Red Blend Right Bank Reserve</t>
  </si>
  <si>
    <t>Grateful Palate</t>
  </si>
  <si>
    <t>Precious</t>
  </si>
  <si>
    <t>Tenuta San Guido</t>
  </si>
  <si>
    <t>Bolgheri Sassicaia</t>
  </si>
  <si>
    <t>Freemark Abbey</t>
  </si>
  <si>
    <t>Cabernet Sauvignon Napa Valley</t>
  </si>
  <si>
    <t>Domaine Hubert &amp; Olivier Lamy</t>
  </si>
  <si>
    <t>Bourgogne les Chataigners</t>
  </si>
  <si>
    <t>fridge</t>
  </si>
  <si>
    <t>(83 - 85)</t>
  </si>
  <si>
    <t>CrossBarn</t>
  </si>
  <si>
    <t>Tenuta di Nozzole</t>
  </si>
  <si>
    <t>Chianti Classico Riserva Nozzole</t>
  </si>
  <si>
    <t>case above fridge</t>
  </si>
  <si>
    <t>Volver</t>
  </si>
  <si>
    <t>Triga</t>
  </si>
  <si>
    <t>Muga</t>
  </si>
  <si>
    <t>Reserva</t>
  </si>
  <si>
    <t>Hacienda Monasterio</t>
  </si>
  <si>
    <t>Crianza</t>
  </si>
  <si>
    <t>F. E. Trimbach</t>
  </si>
  <si>
    <t>Gewurztraminer</t>
  </si>
  <si>
    <t>Allegrini</t>
  </si>
  <si>
    <t>Palazzo della Torre</t>
  </si>
  <si>
    <t>Sostener</t>
  </si>
  <si>
    <t>Cabernet Sauvignon Knights Valley</t>
  </si>
  <si>
    <t>Valpolicella Ripasso</t>
  </si>
  <si>
    <t>Durfort Vivens</t>
  </si>
  <si>
    <t>(89 - 91)</t>
  </si>
  <si>
    <t>Alter Ego de Palmer</t>
  </si>
  <si>
    <t>Caymus</t>
  </si>
  <si>
    <t>Orin Swift Cellars</t>
  </si>
  <si>
    <t>Papillon Proprietary Red</t>
  </si>
  <si>
    <t>Bellevue</t>
  </si>
  <si>
    <t>D'Issan</t>
  </si>
  <si>
    <t>Blason d'Issan</t>
  </si>
  <si>
    <t>Lafaurie-Peyraguey</t>
  </si>
  <si>
    <t>Fombrauge</t>
  </si>
  <si>
    <t>Christian Moreau</t>
  </si>
  <si>
    <t>Chablis Grand Cru Blanchot</t>
  </si>
  <si>
    <t>Newton</t>
  </si>
  <si>
    <t>Chardonnay Unfiltered</t>
  </si>
  <si>
    <t>Brewer-Clifton</t>
  </si>
  <si>
    <t>Chardonnay</t>
  </si>
  <si>
    <t>Domaine Ferrando</t>
  </si>
  <si>
    <t>Chateauneuf du Pape Colombis</t>
  </si>
  <si>
    <t>Romagna Sangiovese Riserva Oriolo Petrignone</t>
  </si>
  <si>
    <t>Villa Medoro</t>
  </si>
  <si>
    <t>Montepulciano d'Abruzzo Rosso del Duca</t>
  </si>
  <si>
    <t>Michele Chiarlo</t>
  </si>
  <si>
    <t>Barbera d'Asti le Orme</t>
  </si>
  <si>
    <t>Brancaia</t>
  </si>
  <si>
    <t>Tre</t>
  </si>
  <si>
    <t>Rocca di Frassinello</t>
  </si>
  <si>
    <t>Maremma Toscana Le Sughere di Frassinello</t>
  </si>
  <si>
    <t>Plungerhead</t>
  </si>
  <si>
    <t>Zinfandel Old Vines Lodi</t>
  </si>
  <si>
    <t>Barone di Villagrande</t>
  </si>
  <si>
    <t>Etna Rosso</t>
  </si>
  <si>
    <t>Rodano</t>
  </si>
  <si>
    <t>Poggialupi</t>
  </si>
  <si>
    <t>Rombauer</t>
  </si>
  <si>
    <t>Zinfandel</t>
  </si>
  <si>
    <t>San Alejandro</t>
  </si>
  <si>
    <t>Las Rocas</t>
  </si>
  <si>
    <t>Robert Mondavi</t>
  </si>
  <si>
    <t>Private Selection Bourbon Barrels</t>
  </si>
  <si>
    <t>Ravenswood</t>
  </si>
  <si>
    <t>Zinfandel Wood Road Belloni Vineyard</t>
  </si>
  <si>
    <t>Removed</t>
  </si>
  <si>
    <t>Dominio de Atauta</t>
  </si>
  <si>
    <t>Atauta</t>
  </si>
  <si>
    <t>Stag's Leap Wine Cellars</t>
  </si>
  <si>
    <t>Cabernet Sauvignon Artemis</t>
  </si>
  <si>
    <t>Bovio</t>
  </si>
  <si>
    <t>Barolo Arborina</t>
  </si>
  <si>
    <t>Elio Altare</t>
  </si>
  <si>
    <t>Dolcetto d'Alba</t>
  </si>
  <si>
    <t>NV</t>
  </si>
  <si>
    <t>Fonseca</t>
  </si>
  <si>
    <t>Fonseca 10 Year Old Tawny</t>
  </si>
  <si>
    <t>WA Rating</t>
  </si>
  <si>
    <t>My Rating</t>
  </si>
  <si>
    <t>WAEDD</t>
  </si>
  <si>
    <t>WALDD</t>
  </si>
  <si>
    <t>My Peak</t>
  </si>
  <si>
    <t>My NDD</t>
  </si>
  <si>
    <t>ID</t>
  </si>
  <si>
    <t>Tasted Date</t>
  </si>
  <si>
    <t>Last Date Rated</t>
  </si>
  <si>
    <t>Price</t>
  </si>
  <si>
    <t>RM</t>
  </si>
  <si>
    <t>Ramon Bilbao</t>
  </si>
  <si>
    <t xml:space="preserve">Crianza Roija Tempranillo </t>
  </si>
  <si>
    <t>Cantine do Ora</t>
  </si>
  <si>
    <t>Amicone</t>
  </si>
  <si>
    <t>Sandeman</t>
  </si>
  <si>
    <t>Founder's Reserve Ruby Porto</t>
  </si>
  <si>
    <t>Parras</t>
  </si>
  <si>
    <t>Evidencia Tinto Dao</t>
  </si>
  <si>
    <t>Ovadia Bartenura</t>
  </si>
  <si>
    <t>Ovadia Chianti</t>
  </si>
  <si>
    <t>Total</t>
  </si>
  <si>
    <t>Column1</t>
  </si>
  <si>
    <t>Column2</t>
  </si>
  <si>
    <t>Foley Johnson</t>
  </si>
  <si>
    <t>Cabernet Sauvignon Estate</t>
  </si>
  <si>
    <t>91+</t>
  </si>
  <si>
    <t>Raymond-Lafon</t>
  </si>
  <si>
    <t>(92 - 94)</t>
  </si>
  <si>
    <t>Total Price</t>
  </si>
  <si>
    <t>Still Own</t>
  </si>
  <si>
    <t>White</t>
  </si>
  <si>
    <t>Red</t>
  </si>
  <si>
    <t>Color</t>
  </si>
  <si>
    <t>ENDD</t>
  </si>
  <si>
    <t>Sweetness</t>
  </si>
  <si>
    <t>Sweet</t>
  </si>
  <si>
    <t>Dry</t>
  </si>
  <si>
    <t>Poggio San Polo</t>
  </si>
  <si>
    <t>Teir</t>
  </si>
  <si>
    <t>Quinta do Vallado</t>
  </si>
  <si>
    <t>Touriga Nacional</t>
  </si>
  <si>
    <t>Bookshelf</t>
  </si>
  <si>
    <t>bookshelf</t>
  </si>
  <si>
    <t>Tenuta Vitanza</t>
  </si>
  <si>
    <t>Brunello di Montalcino Riserva Firma</t>
  </si>
  <si>
    <t>La Tour Blanche</t>
  </si>
  <si>
    <t>Escudero</t>
  </si>
  <si>
    <t>Arvum</t>
  </si>
  <si>
    <t>LÃ³pez de Heredia</t>
  </si>
  <si>
    <t>ViÃ±a Tondonia Reserva</t>
  </si>
  <si>
    <t>La Rioja Alta</t>
  </si>
  <si>
    <t>Gran Reserva 904</t>
  </si>
  <si>
    <t>Poggio Antico</t>
  </si>
  <si>
    <t>Mas des Patres</t>
  </si>
  <si>
    <t>La Clape Mas Des Patres</t>
  </si>
  <si>
    <t>Domaine du Saint Gens</t>
  </si>
  <si>
    <t>Gigondas</t>
  </si>
  <si>
    <t>Susana Balbo</t>
  </si>
  <si>
    <t>Susana Balbo Signature Cabernet Sauvignon</t>
  </si>
  <si>
    <t>Quinta da Muradella</t>
  </si>
  <si>
    <t>Alanda</t>
  </si>
  <si>
    <t>Altos Las Hormigas</t>
  </si>
  <si>
    <t>Malbec Appellation Gualtallary</t>
  </si>
  <si>
    <t>Enrique Mendoza</t>
  </si>
  <si>
    <t>La Tremenda</t>
  </si>
  <si>
    <t>Uncellared</t>
  </si>
  <si>
    <t>(89 - 91)+</t>
  </si>
  <si>
    <t/>
  </si>
  <si>
    <t>Miguels</t>
  </si>
  <si>
    <t>Colheita Porto</t>
  </si>
  <si>
    <t>V Madrone</t>
  </si>
  <si>
    <t>Los Frailes</t>
  </si>
  <si>
    <t>Taylor Fladgate</t>
  </si>
  <si>
    <t>Vintage Port</t>
  </si>
  <si>
    <t>Le Gode</t>
  </si>
  <si>
    <t>Tabarrini</t>
  </si>
  <si>
    <t>Montefalco Sagrantino Colle Grimaldesco</t>
  </si>
  <si>
    <t>Produttori del Barbaresco</t>
  </si>
  <si>
    <t>Barbaresco</t>
  </si>
  <si>
    <t>Luis Seabra Vinhos</t>
  </si>
  <si>
    <t>Tinto Xisto Cru""</t>
  </si>
  <si>
    <t>Anderson's Conn Valley</t>
  </si>
  <si>
    <t>Closet, S1</t>
  </si>
  <si>
    <t>Bookshelf2</t>
  </si>
  <si>
    <t>bookshelf2</t>
  </si>
  <si>
    <t>Identifier</t>
  </si>
  <si>
    <t>Port</t>
  </si>
  <si>
    <t>Negromaro</t>
  </si>
  <si>
    <t>Chardonay</t>
  </si>
  <si>
    <t>Sauternes</t>
  </si>
  <si>
    <t>Syrah</t>
  </si>
  <si>
    <t>Corvina Blend</t>
  </si>
  <si>
    <t>Pinot Noir</t>
  </si>
  <si>
    <t>Amarone</t>
  </si>
  <si>
    <t>Brunello Riserva</t>
  </si>
  <si>
    <t>Brunello</t>
  </si>
  <si>
    <t>Chianti</t>
  </si>
  <si>
    <t>Barolo</t>
  </si>
  <si>
    <t>Barolo Riserva</t>
  </si>
  <si>
    <t>Montepulciano</t>
  </si>
  <si>
    <t>Barbera</t>
  </si>
  <si>
    <t>Sagrantino</t>
  </si>
  <si>
    <t>Zinfandel Blend</t>
  </si>
  <si>
    <t>Proprietary Blend</t>
  </si>
  <si>
    <t>Merlot</t>
  </si>
  <si>
    <t>Tempranillo</t>
  </si>
  <si>
    <t>Tempranillo Blend</t>
  </si>
  <si>
    <t>Syrah Blend</t>
  </si>
  <si>
    <t>Cabernet Blend</t>
  </si>
  <si>
    <t>Sangiovese</t>
  </si>
  <si>
    <t>Malbec</t>
  </si>
  <si>
    <t>Merlot Blend</t>
  </si>
  <si>
    <t>Grenache Blend</t>
  </si>
  <si>
    <t>Grenache</t>
  </si>
  <si>
    <t>Aglianico</t>
  </si>
  <si>
    <t>Grenache, Syrah</t>
  </si>
  <si>
    <t>Tuscan Blend</t>
  </si>
  <si>
    <t>Nebbiolo</t>
  </si>
  <si>
    <t>Qty</t>
  </si>
  <si>
    <t>Intrinsic</t>
  </si>
  <si>
    <t>Cost</t>
  </si>
  <si>
    <t>El Bombero</t>
  </si>
  <si>
    <t>Pertimali - Livio Sassetti</t>
  </si>
  <si>
    <t>Giovanni Manzone</t>
  </si>
  <si>
    <t>Barolo Bricat</t>
  </si>
  <si>
    <t>Closet, S2</t>
  </si>
  <si>
    <t>Aeration</t>
  </si>
  <si>
    <t>3,2</t>
  </si>
  <si>
    <t>3,1</t>
  </si>
  <si>
    <t>3, 2</t>
  </si>
  <si>
    <t>M. Chapoutier</t>
  </si>
  <si>
    <t>Cotes du Rhone Belleruche</t>
  </si>
  <si>
    <t>Vendimia Seleccionada</t>
  </si>
  <si>
    <t>Sassicaia</t>
  </si>
  <si>
    <t>Barolo Gramolere</t>
  </si>
  <si>
    <t>slow ox</t>
  </si>
  <si>
    <t>aerate</t>
  </si>
  <si>
    <t>decant</t>
  </si>
  <si>
    <t>none</t>
  </si>
  <si>
    <t>Chianti Classico Riserva</t>
  </si>
  <si>
    <t>Giuseppe Campagnola</t>
  </si>
  <si>
    <t>Amarone della Valpolicella Classico Riserva Caterina Zardini</t>
  </si>
  <si>
    <t>Amarone Classico</t>
  </si>
  <si>
    <t>Cesari</t>
  </si>
  <si>
    <t>Valpolicella Ripasso Superiore Mara</t>
  </si>
  <si>
    <t>Tommasi</t>
  </si>
  <si>
    <t>Valpolicella Classico Superiore RafaÃ¨l</t>
  </si>
  <si>
    <t>Eighty Four</t>
  </si>
  <si>
    <t>Petit Sirah</t>
  </si>
  <si>
    <t>Petite Sirah</t>
  </si>
  <si>
    <t>1,2</t>
  </si>
  <si>
    <t>ViÃ±edos y Bodegas Pablo</t>
  </si>
  <si>
    <t>Gran Viu Finca Santiaga</t>
  </si>
  <si>
    <t>Closest, M2</t>
  </si>
  <si>
    <t>Guiraud</t>
  </si>
  <si>
    <t>Enrico Serafino</t>
  </si>
  <si>
    <t>Trapiche</t>
  </si>
  <si>
    <t>Broquel Malbec</t>
  </si>
  <si>
    <t>PoesÃ­a</t>
  </si>
  <si>
    <t>Bodegas PoesÃ­a</t>
  </si>
  <si>
    <t>Chateau de Vaudieu</t>
  </si>
  <si>
    <t>Chateauneuf du Pape Amiral G</t>
  </si>
  <si>
    <t>Lutum</t>
  </si>
  <si>
    <t>Pinot Noir Gap's Crown Vineyard</t>
  </si>
  <si>
    <t>Georges Duboeuf</t>
  </si>
  <si>
    <t>Gamay</t>
  </si>
  <si>
    <t>Uncle Frank's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</si>
  <si>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</si>
  <si>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</si>
  <si>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</si>
  <si>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</si>
  <si>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</si>
  <si>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</si>
  <si>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</si>
  <si>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</si>
  <si>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</si>
  <si>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Toro AlbalÃ¡</t>
  </si>
  <si>
    <t>Don PX SelecciÃ³n</t>
  </si>
  <si>
    <t>Leeuwin Estate</t>
  </si>
  <si>
    <t>Art Series Chardonnay</t>
  </si>
  <si>
    <t>Pedro Ximenez</t>
  </si>
  <si>
    <t>Campo Viejo</t>
  </si>
  <si>
    <t>Fanti</t>
  </si>
  <si>
    <t>BenjamÃ­n Romeo</t>
  </si>
  <si>
    <t>Contador</t>
  </si>
  <si>
    <t>97?</t>
  </si>
  <si>
    <t>Luna Beberide</t>
  </si>
  <si>
    <t>Paixar</t>
  </si>
  <si>
    <t>Domaine Roger Sabon</t>
  </si>
  <si>
    <t>Chateauneuf du Pape Reserve</t>
  </si>
  <si>
    <t>Domaine de l'Amandine</t>
  </si>
  <si>
    <t>Cotes du Rhone Villages Seguret</t>
  </si>
  <si>
    <t>Mencia</t>
  </si>
  <si>
    <t>Marchesi di Barolo</t>
  </si>
  <si>
    <t>Aqty</t>
  </si>
  <si>
    <t>Tqty</t>
  </si>
  <si>
    <t>AC/B</t>
  </si>
  <si>
    <t>Tcost</t>
  </si>
  <si>
    <t>Acost</t>
  </si>
  <si>
    <t>TC/B</t>
  </si>
  <si>
    <t>Wine.com</t>
  </si>
  <si>
    <t>Ilatraia</t>
  </si>
  <si>
    <t>Pinot Noir Sanford &amp; Benedict Vineyard</t>
  </si>
  <si>
    <t>Castello di Gabbiano</t>
  </si>
  <si>
    <t>D'Arenberg</t>
  </si>
  <si>
    <t>The Hermit Crab Viognier / Marsanne</t>
  </si>
  <si>
    <t>Viognier Blend</t>
  </si>
  <si>
    <t>Teruzzi &amp; Puthod</t>
  </si>
  <si>
    <t>Terre di Tufi</t>
  </si>
  <si>
    <t>La Mision</t>
  </si>
  <si>
    <t>Reserva Especial</t>
  </si>
  <si>
    <t>Vernaccia Blend</t>
  </si>
  <si>
    <t>2010Cosimo TaurinoSalice Salentino Riserva</t>
  </si>
  <si>
    <t>WTSO</t>
  </si>
  <si>
    <t>Last Bottle</t>
  </si>
  <si>
    <t>FÃ¨lsina</t>
  </si>
  <si>
    <t>Fontalloro</t>
  </si>
  <si>
    <t>Buty Winery</t>
  </si>
  <si>
    <t>Rediviva of The Stones</t>
  </si>
  <si>
    <t>Gabarda</t>
  </si>
  <si>
    <t>SelecciÃ³n</t>
  </si>
  <si>
    <t>Kay Brothers</t>
  </si>
  <si>
    <t>Shiraz Block 6</t>
  </si>
  <si>
    <t>Domaine Saint Damien</t>
  </si>
  <si>
    <t>Gigondas les Souteyrades</t>
  </si>
  <si>
    <t>Le Difese</t>
  </si>
  <si>
    <t>Fulcrum</t>
  </si>
  <si>
    <t>Pinot Noir Fulcrum Gapâ€™s Crown Vineyard</t>
  </si>
  <si>
    <t>Sangiovese Blend</t>
  </si>
  <si>
    <t>Shiraz</t>
  </si>
  <si>
    <t>Carinena, Grenache</t>
  </si>
  <si>
    <t>Amarone della Valpolicella Classico Campolongo di Torbe</t>
  </si>
  <si>
    <t>Castellare di Castellina</t>
  </si>
  <si>
    <t>I Sodi di S. NiccolÃ²</t>
  </si>
  <si>
    <t>Xavier Vignon</t>
  </si>
  <si>
    <t>Cotes du Rhone Villages Arcane XVIII Le Soleil</t>
  </si>
  <si>
    <t>Domaine de la Combe Dieu</t>
  </si>
  <si>
    <t>Rasteau</t>
  </si>
  <si>
    <t>Sichel</t>
  </si>
  <si>
    <t>Talenti</t>
  </si>
  <si>
    <t>Piper-Heidsieck</t>
  </si>
  <si>
    <t>Vintage Brut</t>
  </si>
  <si>
    <t>Yves Cheron</t>
  </si>
  <si>
    <t>Gigondas La Grand Comtadine Heritiers Cheron-Misset</t>
  </si>
  <si>
    <t>Vinsrare</t>
  </si>
  <si>
    <t>Champagne</t>
  </si>
  <si>
    <t>Grenache, Syrah, Mourvèdre</t>
  </si>
  <si>
    <t>Domaine Georges &amp; Pierre Glantenay</t>
  </si>
  <si>
    <t>Bourgogne Rouge Bugundy</t>
  </si>
  <si>
    <t>Domaine La Grangette Saint Joseph</t>
  </si>
  <si>
    <t>Gigondas la Grangette des Garrigues</t>
  </si>
  <si>
    <t>2015AllegriniPalazzo della Torre</t>
  </si>
  <si>
    <t>2017Domaine de l'AmandineCotes du Rhone Villages Seguret</t>
  </si>
  <si>
    <t>2016San AlejandroLas Rocas</t>
  </si>
  <si>
    <t>1998Raymond-LafonRaymond-Lafon</t>
  </si>
  <si>
    <t>2015Tenuta di NozzoleChianti Classico Riserva Nozzole</t>
  </si>
  <si>
    <t>2015Produttori del BarbarescoBarbaresco</t>
  </si>
  <si>
    <t>Fontanafredda</t>
  </si>
  <si>
    <t>Barolo Serralunga</t>
  </si>
  <si>
    <t>Cabernet Sauvignon Reserve</t>
  </si>
  <si>
    <t>Telmo RodrÃ­guez</t>
  </si>
  <si>
    <t>Pegaso Barrancos de Pizarra</t>
  </si>
  <si>
    <t>2016Domaine de la Combe DieuRasteau</t>
  </si>
  <si>
    <t>BUY</t>
  </si>
  <si>
    <t>Store</t>
  </si>
  <si>
    <t>qty</t>
  </si>
  <si>
    <t>avg rating</t>
  </si>
  <si>
    <t>2016Teruzzi &amp; PuthodTerre di Tufi</t>
  </si>
  <si>
    <t>Drank</t>
  </si>
  <si>
    <t>Elia Palazzesi</t>
  </si>
  <si>
    <t>95+</t>
  </si>
  <si>
    <t>Class</t>
  </si>
  <si>
    <t>2015Buty WineryRediviva of The Stones</t>
  </si>
  <si>
    <t>San Rustico</t>
  </si>
  <si>
    <t>Richard Rottiers</t>
  </si>
  <si>
    <t>Moulin-Ã -Vent Foudres</t>
  </si>
  <si>
    <t>2016Quinta do ValladoTouriga Nacional</t>
  </si>
  <si>
    <t>MAX</t>
  </si>
  <si>
    <t>avg endd</t>
  </si>
  <si>
    <t>Location</t>
  </si>
  <si>
    <t>current</t>
  </si>
  <si>
    <t>Tenuta Carretta</t>
  </si>
  <si>
    <t>Roero Riserva Bric Paradiso</t>
  </si>
  <si>
    <t>Chateauneuf du Pape Cuvee Anonyme</t>
  </si>
  <si>
    <t>2017Domaine Georges &amp; Pierre GlantenayBourgogne Rouge Bugundy</t>
  </si>
  <si>
    <t>2017SichelSichel</t>
  </si>
  <si>
    <t>2013Grateful PalatePrecious</t>
  </si>
  <si>
    <t>2007TalentiBrunello di Montalcino</t>
  </si>
  <si>
    <t>2017Richard RottiersMoulin-Ã -Vent Foudres</t>
  </si>
  <si>
    <t>2013MasiAmarone della Valpolicella Classico Costasera</t>
  </si>
  <si>
    <t>2011BertaniAmarone della Valpolicella Villa Arvedi</t>
  </si>
  <si>
    <t>1965Toro AlbalÃ¡Don PX SelecciÃ³n</t>
  </si>
  <si>
    <t>2013ZenatoValpolicella Ripasso Superiore Ripassa</t>
  </si>
  <si>
    <t xml:space="preserve">2013Ramon BilbaoCrianza Roija Tempranillo </t>
  </si>
  <si>
    <t>2017TommasiValpolicella Classico Superiore RafaÃ¨l</t>
  </si>
  <si>
    <t>2015Mas des PatresLa Clape Mas Des Patres</t>
  </si>
  <si>
    <t>2014Cantine do OraAmicone</t>
  </si>
  <si>
    <t>2013BootlegProprietary Red</t>
  </si>
  <si>
    <t>2015Brewer-CliftonChardonnay</t>
  </si>
  <si>
    <t>2016CesariValpolicella Ripasso Superiore Mara</t>
  </si>
  <si>
    <t>2014Los Frailes1771</t>
  </si>
  <si>
    <t>2015BertaniValpolicella Ripasso</t>
  </si>
  <si>
    <t>2016Tenuta San GuidoLe Difese</t>
  </si>
  <si>
    <t>2010CondeNeo</t>
  </si>
  <si>
    <t>2014LutumPinot Noir Sanford &amp; Benedict Vineyard</t>
  </si>
  <si>
    <t>2007La Rioja AltaGran Reserva 904</t>
  </si>
  <si>
    <t>2012San RusticoAmarone della Valpolicella Classico</t>
  </si>
  <si>
    <t>2016Yves CheronGigondas La Grand Comtadine Heritiers Cheron-Misset</t>
  </si>
  <si>
    <t>2004ViÃ±edos y Bodegas PabloGran Viu Finca Santiaga</t>
  </si>
  <si>
    <t>2012Le GodeBrunello di Montalcino Riserva</t>
  </si>
  <si>
    <t>2016Domaine La Grangette Saint JosephGigondas la Grangette des Garrigues</t>
  </si>
  <si>
    <t>2013Tenuta CarrettaRoero Riserva Bric Paradiso</t>
  </si>
  <si>
    <t>2015Xavier VignonCotes du Rhone Villages Arcane XVIII Le Soleil</t>
  </si>
  <si>
    <t>2016Domaine Saint DamienGigondas les Souteyrades</t>
  </si>
  <si>
    <t>2008Piper-HeidsieckVintage Brut</t>
  </si>
  <si>
    <t>2014Telmo RodrÃ­guezPegaso Barrancos de Pizarra</t>
  </si>
  <si>
    <t>2013Elia PalazzesiBrunello di Montalcino</t>
  </si>
  <si>
    <t>2013CortonesiBrunello di Montalcino La Mannella</t>
  </si>
  <si>
    <t>2009MasiAmarone della Valpolicella Classico Campolongo di Torbe</t>
  </si>
  <si>
    <t>2000FonsecaVintage Port</t>
  </si>
  <si>
    <t>2017FulcrumPinot Noir Fulcrum Gapâ€™s Crown Vineyard</t>
  </si>
  <si>
    <t>2004Corte PavoneBrunello di Montalcino Riserva</t>
  </si>
  <si>
    <t>2014MugaReserva</t>
  </si>
  <si>
    <t>2014Hacienda MonasterioCrianza</t>
  </si>
  <si>
    <t>2014VolverTriga</t>
  </si>
  <si>
    <t>2006LÃ³pez de HerediaViÃ±a Tondonia Reserva</t>
  </si>
  <si>
    <t>2012Chateau de VaudieuChateauneuf du Pape Amiral G</t>
  </si>
  <si>
    <t>2014Leeuwin EstateArt Series Chardonnay</t>
  </si>
  <si>
    <t>2015Domaine du Saint GensGigondas</t>
  </si>
  <si>
    <t>2011AndrettaBrunello di Montalcino Riserva</t>
  </si>
  <si>
    <t>2008PoesÃ­aBodegas PoesÃ­a</t>
  </si>
  <si>
    <t>2014Castellare di CastellinaI Sodi di S. NiccolÃ²</t>
  </si>
  <si>
    <t>2010Raymond-LafonRaymond-Lafon</t>
  </si>
  <si>
    <t>2016Lafaurie-PeyragueyLafaurie-Peyraguey</t>
  </si>
  <si>
    <t>2013Cascina CuccoBarolo Cerrati</t>
  </si>
  <si>
    <t>2009LoackerBrunello di Montalcino Corte Pavone</t>
  </si>
  <si>
    <t>2013LutumPinot Noir Gap's Crown Vineyard</t>
  </si>
  <si>
    <t>2005EscuderoArvum</t>
  </si>
  <si>
    <t>2013TabarriniMontefalco Sagrantino Colle Grimaldesco</t>
  </si>
  <si>
    <t>2014CrossBarnCabernet Sauvignon Napa Valley</t>
  </si>
  <si>
    <t>2012Eighty FourPetit Sirah</t>
  </si>
  <si>
    <t>2016Altos Las HormigasMalbec Appellation Gualtallary</t>
  </si>
  <si>
    <t>2016Xavier VignonChateauneuf du Pape Cuvee Anonyme</t>
  </si>
  <si>
    <t>2017Domaine Roger SabonChateauneuf du Pape Reserve</t>
  </si>
  <si>
    <t>2006Casanova di NeriBrunello di Montalcino</t>
  </si>
  <si>
    <t>2012Poggio San PoloBrunello di Montalcino</t>
  </si>
  <si>
    <t>2013Palazzo WineRed Blend Right Bank Reserve</t>
  </si>
  <si>
    <t>2011Corte PavoneBrunello di Montalcino</t>
  </si>
  <si>
    <t>2015Durfort VivensDurfort Vivens</t>
  </si>
  <si>
    <t>2013BrancaiaIlatraia</t>
  </si>
  <si>
    <t>2013FontanafreddaBarolo Serralunga</t>
  </si>
  <si>
    <t>2014F. E. TrimbachGewurztraminer</t>
  </si>
  <si>
    <t>2014Freemark AbbeyCabernet Sauvignon Napa Valley</t>
  </si>
  <si>
    <t>2014AllegriniAmarone della Valpolicella Classico</t>
  </si>
  <si>
    <t>2009VirnaBarolo Preda Sarmassa</t>
  </si>
  <si>
    <t>2013G.D. VajraBarolo Albe</t>
  </si>
  <si>
    <t>2012La FortunaBrunello di Montalcino Riserva</t>
  </si>
  <si>
    <t>2010MasiAmarone della Valpolicella Classico Costasera</t>
  </si>
  <si>
    <t>2013Giuseppe CampagnolaAmarone della Valpolicella Classico Riserva Caterina Zardini</t>
  </si>
  <si>
    <t>2012Lalande-BorieLalande-Borie</t>
  </si>
  <si>
    <t>2014Produttori del BarbarescoBarbaresco</t>
  </si>
  <si>
    <t>2015Luis Seabra VinhosTinto Xisto Cru""</t>
  </si>
  <si>
    <t>2015Christian MoreauChablis Grand Cru Blanchot</t>
  </si>
  <si>
    <t>2016Luna BeberidePaixar</t>
  </si>
  <si>
    <t>2012BenjamÃ­n RomeoContador</t>
  </si>
  <si>
    <t>2016Anderson's Conn ValleyCabernet Sauvignon</t>
  </si>
  <si>
    <t>2013Giovanni ManzoneBarolo Gramolere</t>
  </si>
  <si>
    <t>2016Foley JohnsonCabernet Sauvignon Estate</t>
  </si>
  <si>
    <t>2013Giovanni ManzoneBarolo Bricat</t>
  </si>
  <si>
    <t>2015Orin Swift CellarsPapillon Proprietary Red</t>
  </si>
  <si>
    <t>2013FÃ¨lsinaFontalloro</t>
  </si>
  <si>
    <t>2016Kay BrothersShiraz Block 6</t>
  </si>
  <si>
    <t>2016Produttori del BarbarescoBarbaresco</t>
  </si>
  <si>
    <t>2014Anderson's Conn ValleyCabernet Sauvignon Reserve</t>
  </si>
  <si>
    <t>2016Tenuta San GuidoSassicaia</t>
  </si>
  <si>
    <t>2009MasiAmarone della Valpolicella Classico Serego Alighieri Vaio Armaron</t>
  </si>
  <si>
    <t>2010V MadroneCabernet Sauvignon</t>
  </si>
  <si>
    <t>2006Sella &amp; MoscaMarchese di Villamarina</t>
  </si>
  <si>
    <t>2006CapannaBrunello di Montalcino</t>
  </si>
  <si>
    <t>2012CortonesiBrunello di Montalcino La Mannella</t>
  </si>
  <si>
    <t>2010Salvatore MolettieriTaurasi Vigna Cinque Querce</t>
  </si>
  <si>
    <t>2015Alter Ego de PalmerAlter Ego de Palmer</t>
  </si>
  <si>
    <t>2013Pertimali - Livio SassettiBrunello di Montalcino</t>
  </si>
  <si>
    <t>2000Taylor FladgateVintage Port</t>
  </si>
  <si>
    <t>2012Tenuta VitanzaBrunello di Montalcino Riserva Firma</t>
  </si>
  <si>
    <t>2013Marchesi di BaroloBarbaresco</t>
  </si>
  <si>
    <t>2013Le GodeBrunello di Montalcino</t>
  </si>
  <si>
    <t>2012Poggio AnticoBrunello di Montalcino</t>
  </si>
  <si>
    <t>2008LisiniViÃ±a Tondonia Reserva</t>
  </si>
  <si>
    <t>2008CaparzoBrunello di Montalcino</t>
  </si>
  <si>
    <t>2009PrunottoBarolo Bussia</t>
  </si>
  <si>
    <t>2009AnticaCabernet Sauvignon</t>
  </si>
  <si>
    <t>2013Castello di AmaChianti Classico Gran Selezione San Lorenzo</t>
  </si>
  <si>
    <t>2015D'IssanBlason d'Issan</t>
  </si>
  <si>
    <t>2015Domaine FerrandoChateauneuf du Pape Colombis</t>
  </si>
  <si>
    <t>2015BellevueBellevue</t>
  </si>
  <si>
    <t>2007BertaniAmarone della Valpolicella Classico</t>
  </si>
  <si>
    <t>2010BeringerCabernet Sauvignon Private Reserve</t>
  </si>
  <si>
    <t>2010CavallottoBarolo Riserva Vignolo</t>
  </si>
  <si>
    <t>NVSandemanFounder's Reserve Ruby Porto</t>
  </si>
  <si>
    <t>2015CaymusCabernet Sauvignon</t>
  </si>
  <si>
    <t>2004BertaniAmarone della Valpolicella</t>
  </si>
  <si>
    <t>2003BroadbentVintage Porto</t>
  </si>
  <si>
    <t>2006FontodiFlaccianello della Pieve</t>
  </si>
  <si>
    <t>2015FombraugeFombrauge</t>
  </si>
  <si>
    <t>2013Tenuta San GuidoBolgheri Sassicaia</t>
  </si>
  <si>
    <t>2015Lafaurie-PeyragueyLafaurie-Peyraguey</t>
  </si>
  <si>
    <t>IS</t>
  </si>
  <si>
    <t>LDD</t>
  </si>
  <si>
    <t>Rating</t>
  </si>
  <si>
    <t>Becklyn Cellars</t>
  </si>
  <si>
    <t>EP</t>
  </si>
  <si>
    <t>Tommaso Bussola</t>
  </si>
  <si>
    <t>Barolo Serralunga d'Alba</t>
  </si>
  <si>
    <t>Torrevento</t>
  </si>
  <si>
    <t>Primitivo Since 1913</t>
  </si>
  <si>
    <t>Chauvin</t>
  </si>
  <si>
    <t>Primitivo</t>
  </si>
  <si>
    <t>M17</t>
  </si>
  <si>
    <t>M18</t>
  </si>
  <si>
    <t>M19</t>
  </si>
  <si>
    <t>Amarone della Valpolicella Classico Vigneti Vallata di Marano</t>
  </si>
  <si>
    <t>Doisy Daene</t>
  </si>
  <si>
    <t>M20</t>
  </si>
  <si>
    <t>MF</t>
  </si>
  <si>
    <t>price/750</t>
  </si>
  <si>
    <t>tier</t>
  </si>
  <si>
    <t>Last Inv</t>
  </si>
  <si>
    <t>LG</t>
  </si>
  <si>
    <t>Home</t>
  </si>
  <si>
    <t>UF</t>
  </si>
  <si>
    <t>On Order</t>
  </si>
  <si>
    <t>Ginas</t>
  </si>
  <si>
    <t>Tinto Figuero 12 Tempranillo</t>
  </si>
  <si>
    <t>Domaine la Bastide Saint Dominique</t>
  </si>
  <si>
    <t>Ventoux Reserve Saint Dominique</t>
  </si>
  <si>
    <t>Negroamaro</t>
  </si>
  <si>
    <t>Tenuta Due Mari</t>
  </si>
  <si>
    <t>La Chiusa</t>
  </si>
  <si>
    <t>Prunus Dao</t>
  </si>
  <si>
    <t>Private Selection</t>
  </si>
  <si>
    <t>Mencia Blend</t>
  </si>
  <si>
    <t>AVG Drank</t>
  </si>
  <si>
    <t>AVG Own</t>
  </si>
  <si>
    <t>Highest</t>
  </si>
  <si>
    <t>Weekly</t>
  </si>
  <si>
    <t>Monthly</t>
  </si>
  <si>
    <t>Yearly</t>
  </si>
  <si>
    <t>M21</t>
  </si>
  <si>
    <t>Column4</t>
  </si>
  <si>
    <t>P/750</t>
  </si>
  <si>
    <t>AVG</t>
  </si>
  <si>
    <t>Mosen Cleto</t>
  </si>
  <si>
    <t>Grenache, Tempranillo</t>
  </si>
  <si>
    <t>M22</t>
  </si>
  <si>
    <t>M23</t>
  </si>
  <si>
    <t>M24</t>
  </si>
  <si>
    <t>MS01</t>
  </si>
  <si>
    <t>MS02</t>
  </si>
  <si>
    <t>Masseria Li Veli</t>
  </si>
  <si>
    <t>Primitivo Orion</t>
  </si>
  <si>
    <t>Smith and Hook</t>
  </si>
  <si>
    <t>Chateau d'Esclans</t>
  </si>
  <si>
    <t>Whispering Angel</t>
  </si>
  <si>
    <t>Mionetto</t>
  </si>
  <si>
    <t>Prosecco Brut</t>
  </si>
  <si>
    <t>Rose</t>
  </si>
  <si>
    <t>Sparkling</t>
  </si>
  <si>
    <t>Prosecco</t>
  </si>
  <si>
    <t>M25</t>
  </si>
  <si>
    <t>M16</t>
  </si>
  <si>
    <t>M15</t>
  </si>
  <si>
    <t>M14</t>
  </si>
  <si>
    <t>M13</t>
  </si>
  <si>
    <t>M12</t>
  </si>
  <si>
    <t>M11</t>
  </si>
  <si>
    <t>M10</t>
  </si>
  <si>
    <t>M09</t>
  </si>
  <si>
    <t>M08</t>
  </si>
  <si>
    <t>M07</t>
  </si>
  <si>
    <t>M06</t>
  </si>
  <si>
    <t>M05</t>
  </si>
  <si>
    <t>M04</t>
  </si>
  <si>
    <t>M03</t>
  </si>
  <si>
    <t>M02</t>
  </si>
  <si>
    <t>M01</t>
  </si>
  <si>
    <t>M26</t>
  </si>
  <si>
    <t>MS03</t>
  </si>
  <si>
    <t>Chateau de Grangeneuve</t>
  </si>
  <si>
    <t>Sainte-Foy</t>
  </si>
  <si>
    <t>M27</t>
  </si>
  <si>
    <t>2016GarcÃ­a FigueroTinto Figuero 12 Tempranillo</t>
  </si>
  <si>
    <t>2017Tenuta Due MariLa Chiusa</t>
  </si>
  <si>
    <t>total</t>
  </si>
  <si>
    <t>Owned</t>
  </si>
  <si>
    <t>short</t>
  </si>
  <si>
    <t>UniqueID</t>
  </si>
  <si>
    <t>agibility</t>
  </si>
  <si>
    <t>Agibility</t>
  </si>
  <si>
    <t>Art</t>
  </si>
  <si>
    <t>Domaine Lafage</t>
  </si>
  <si>
    <t>Bastide Miraflors Vieilles Vignes</t>
  </si>
  <si>
    <t>Syrah, Grenache</t>
  </si>
  <si>
    <t>winedeals.com</t>
  </si>
  <si>
    <t>Target</t>
  </si>
  <si>
    <t>Totals</t>
  </si>
  <si>
    <t>Short</t>
  </si>
  <si>
    <t>Remaining</t>
  </si>
  <si>
    <t>Teirs</t>
  </si>
  <si>
    <t>WA Rating Clean</t>
  </si>
  <si>
    <t>drank</t>
  </si>
  <si>
    <t>drank estimate</t>
  </si>
  <si>
    <t>owned</t>
  </si>
  <si>
    <t>owned estimate</t>
  </si>
  <si>
    <t>March</t>
  </si>
  <si>
    <t>2016Chateau de GrangeneuveSainte-Foy</t>
  </si>
  <si>
    <t>Rate</t>
  </si>
  <si>
    <t>Recent AVG</t>
  </si>
  <si>
    <t>Castello Romitorio</t>
  </si>
  <si>
    <t>January</t>
  </si>
  <si>
    <t>February</t>
  </si>
  <si>
    <t>2017Smith and HookCabernet Sauvignon</t>
  </si>
  <si>
    <t>2018Chateau d'EsclansWhispering Angel</t>
  </si>
  <si>
    <t>NVMionettoProsecco Brut</t>
  </si>
  <si>
    <t>2015Domaine LafageBastide Miraflors Vieilles Vignes</t>
  </si>
  <si>
    <t>2014Prunus DaoPrivate Selection</t>
  </si>
  <si>
    <t>2018Prisoner Wine CoProprietary Red The Prisoner</t>
  </si>
  <si>
    <t>2014AllegriniPalazzo della Torre</t>
  </si>
  <si>
    <t>2015Luna BeberideArt</t>
  </si>
  <si>
    <t>2017Domaine la Bastide Saint DominiqueVentoux Reserve Saint Dominique</t>
  </si>
  <si>
    <t>2015TorreventoPrimitivo Since 1913</t>
  </si>
  <si>
    <t>2016Tenuta di NozzoleChianti Classico Riserva Nozzole</t>
  </si>
  <si>
    <t>2015Giuseppe CampagnolaAmarone della Valpolicella Classico Vigneti Vallata di Marano</t>
  </si>
  <si>
    <t>2013Castello RomitorioBrunello di Montalcino</t>
  </si>
  <si>
    <t>2014Casanova di NeriBrunello di Montalcino</t>
  </si>
  <si>
    <t>2007Tommaso BussolaAmarone della Valpolicella Classico</t>
  </si>
  <si>
    <t>2014FontanafreddaBarolo Serralunga d'Alba</t>
  </si>
  <si>
    <t>2016ChauvinChauvin</t>
  </si>
  <si>
    <t>2016Doisy DaeneDoisy Daene</t>
  </si>
  <si>
    <t>Wine1</t>
  </si>
  <si>
    <t>Column3</t>
  </si>
  <si>
    <t>Tour Saint-Michel</t>
  </si>
  <si>
    <t>Chateauneuf du Pape Cuvee des Deux Soeurs</t>
  </si>
  <si>
    <t>Count</t>
  </si>
  <si>
    <t>Unique ID</t>
  </si>
  <si>
    <t>M28</t>
  </si>
  <si>
    <t>N</t>
  </si>
  <si>
    <t>C</t>
  </si>
  <si>
    <t>W</t>
  </si>
  <si>
    <t>Barbaresco Riserva RabajÃ </t>
  </si>
  <si>
    <t>Montresor</t>
  </si>
  <si>
    <t>Re Teodorico Recioto Della Valpolicella</t>
  </si>
  <si>
    <t>Recioto</t>
  </si>
  <si>
    <t>Country</t>
  </si>
  <si>
    <t>Region</t>
  </si>
  <si>
    <t>Sub Region</t>
  </si>
  <si>
    <t>USA</t>
  </si>
  <si>
    <t>Italy</t>
  </si>
  <si>
    <t>Spain</t>
  </si>
  <si>
    <t>Bodegas Poesia</t>
  </si>
  <si>
    <t>Argentina</t>
  </si>
  <si>
    <t>Mendoza</t>
  </si>
  <si>
    <t>Valle de Uco, Tunuyan</t>
  </si>
  <si>
    <t>Valle de Uco, Tupungato</t>
  </si>
  <si>
    <t>Valle de Uco</t>
  </si>
  <si>
    <t>Australia</t>
  </si>
  <si>
    <t>South Australia</t>
  </si>
  <si>
    <t>Fleurie, McLaren Vale</t>
  </si>
  <si>
    <t>Fleurieu, McLaren Vale</t>
  </si>
  <si>
    <t>Western Australia</t>
  </si>
  <si>
    <t>South West Australia, Margaret</t>
  </si>
  <si>
    <t>France</t>
  </si>
  <si>
    <t>Alsace</t>
  </si>
  <si>
    <t>Haut-Rhin, Ribeauville</t>
  </si>
  <si>
    <t>Beaujolais</t>
  </si>
  <si>
    <t>Moulin-a-Vent</t>
  </si>
  <si>
    <t>Saint-Amour</t>
  </si>
  <si>
    <t>Bordeaux</t>
  </si>
  <si>
    <t>Barsac</t>
  </si>
  <si>
    <t>Margaux</t>
  </si>
  <si>
    <t>Saint-Emilion</t>
  </si>
  <si>
    <t>Saint-Julien</t>
  </si>
  <si>
    <t>Sauternes, Barsac</t>
  </si>
  <si>
    <t>Burgundy</t>
  </si>
  <si>
    <t>North Burgundy, Chablis</t>
  </si>
  <si>
    <t>Languedoc-Rousillon</t>
  </si>
  <si>
    <t>La Clape</t>
  </si>
  <si>
    <t>Provence</t>
  </si>
  <si>
    <t>Rhone</t>
  </si>
  <si>
    <t>Cotes du Rhone Villages</t>
  </si>
  <si>
    <t>Southern Rhone</t>
  </si>
  <si>
    <t>Southern Rhone, Chateauneuf du Pape</t>
  </si>
  <si>
    <t>Southern Rhone, Cotes du Ventoux</t>
  </si>
  <si>
    <t>Southern Rhone, Gigondas</t>
  </si>
  <si>
    <t>Southern Rhone, Rasteau</t>
  </si>
  <si>
    <t>Roussillon</t>
  </si>
  <si>
    <t>Cotes Catalanes</t>
  </si>
  <si>
    <t>Abruzzo</t>
  </si>
  <si>
    <t>Salice Salentino</t>
  </si>
  <si>
    <t>Montepulciano d'Abruzzo, Abruzzi</t>
  </si>
  <si>
    <t>Campania</t>
  </si>
  <si>
    <t>Taurasi</t>
  </si>
  <si>
    <t>Roero</t>
  </si>
  <si>
    <t>Emilia Romagna</t>
  </si>
  <si>
    <t>Romagna</t>
  </si>
  <si>
    <t>Lombardy</t>
  </si>
  <si>
    <t>Sforzato di Valtellina</t>
  </si>
  <si>
    <t>Piedmont</t>
  </si>
  <si>
    <t>Barbera d'Asti</t>
  </si>
  <si>
    <t>Barolo, Monforte Bussia</t>
  </si>
  <si>
    <t>Barolo, Monforte d'Alba</t>
  </si>
  <si>
    <t>Barolo. Castiglione Falletto</t>
  </si>
  <si>
    <t>Barolo, Serralunga d'Alba</t>
  </si>
  <si>
    <t>Barolo, La Morra</t>
  </si>
  <si>
    <t>Puglia</t>
  </si>
  <si>
    <t>Salento</t>
  </si>
  <si>
    <t>Sardinia</t>
  </si>
  <si>
    <t>Sicily</t>
  </si>
  <si>
    <t>Etna</t>
  </si>
  <si>
    <t>Tuscany</t>
  </si>
  <si>
    <t>Bolgheri</t>
  </si>
  <si>
    <t>Chianti Classico</t>
  </si>
  <si>
    <t>Maremma Toscana</t>
  </si>
  <si>
    <t>Toscana IGT</t>
  </si>
  <si>
    <t>Felsina</t>
  </si>
  <si>
    <t>Toscana</t>
  </si>
  <si>
    <t>Umbria</t>
  </si>
  <si>
    <t>Montefalco Sagrantino</t>
  </si>
  <si>
    <t>Veneto</t>
  </si>
  <si>
    <t>Valpolicella Classico</t>
  </si>
  <si>
    <t>Veneto IGT</t>
  </si>
  <si>
    <t>Classico</t>
  </si>
  <si>
    <t>Valpolicella</t>
  </si>
  <si>
    <t>Portugal</t>
  </si>
  <si>
    <t>Douro</t>
  </si>
  <si>
    <t>California</t>
  </si>
  <si>
    <t>Central Coast, Monterey County</t>
  </si>
  <si>
    <t>San Gimignano</t>
  </si>
  <si>
    <t>Andalucia</t>
  </si>
  <si>
    <t>Montilla-Moriles</t>
  </si>
  <si>
    <t>Aragon</t>
  </si>
  <si>
    <t>Calatayud</t>
  </si>
  <si>
    <t>Carinena</t>
  </si>
  <si>
    <t>Castilla Leon</t>
  </si>
  <si>
    <t>Bierzo</t>
  </si>
  <si>
    <t>Telmo Rodriguez</t>
  </si>
  <si>
    <t>Gredos</t>
  </si>
  <si>
    <t>Ribera Del Duero</t>
  </si>
  <si>
    <t>Galicia</t>
  </si>
  <si>
    <t>Monterrei</t>
  </si>
  <si>
    <t>Murcia</t>
  </si>
  <si>
    <t>Jumilla</t>
  </si>
  <si>
    <t>Rioja</t>
  </si>
  <si>
    <t>Alta</t>
  </si>
  <si>
    <t>Alavesa</t>
  </si>
  <si>
    <t>Valencia</t>
  </si>
  <si>
    <t>Alicante</t>
  </si>
  <si>
    <t>Central Coast</t>
  </si>
  <si>
    <t>Central Coast, Monterey</t>
  </si>
  <si>
    <t>Central Coast, Santa Barbara</t>
  </si>
  <si>
    <t>North Coast, Sonoma</t>
  </si>
  <si>
    <t>North Coast, Napa Valley</t>
  </si>
  <si>
    <t>Washington</t>
  </si>
  <si>
    <t>Columbia Valley</t>
  </si>
  <si>
    <t>Columbia Valley, Walla Walla Valley</t>
  </si>
  <si>
    <t>Colli della Toscana Centrale</t>
  </si>
  <si>
    <t>Dao</t>
  </si>
  <si>
    <t>Campo de Borja</t>
  </si>
  <si>
    <t>M29</t>
  </si>
  <si>
    <t>Malbec Terroir Valle de Uco</t>
  </si>
  <si>
    <t>Size (ml)</t>
  </si>
  <si>
    <t>Carmelo Patti</t>
  </si>
  <si>
    <t>Doisy-Vedrines</t>
  </si>
  <si>
    <t>Domenico Clerico</t>
  </si>
  <si>
    <t>Chianti Classico Riserva Rancia</t>
  </si>
  <si>
    <t>Il Toro</t>
  </si>
  <si>
    <t>Coutet</t>
  </si>
  <si>
    <t>Rieussec</t>
  </si>
  <si>
    <t>Lujan de Cuyo</t>
  </si>
  <si>
    <t>Petite Verdot, Syrah</t>
  </si>
  <si>
    <t>(96-98)</t>
  </si>
  <si>
    <t>98+</t>
  </si>
  <si>
    <t>(93-95)</t>
  </si>
  <si>
    <t>Clos du Roy</t>
  </si>
  <si>
    <t>(91-93)</t>
  </si>
  <si>
    <t>Fronsac</t>
  </si>
  <si>
    <t>2015Mosen CletoCrianza</t>
  </si>
  <si>
    <t>Ghost Pines</t>
  </si>
  <si>
    <t>Tua Rita</t>
  </si>
  <si>
    <t>Giusto di Notri</t>
  </si>
  <si>
    <t>2018Masseria Li VeliPrimitivo Orion</t>
  </si>
  <si>
    <t>2016Altos Las HormigasMalbec Terroir Valle de Uco</t>
  </si>
  <si>
    <t>Royal Tokaji</t>
  </si>
  <si>
    <t>Tokaji</t>
  </si>
  <si>
    <t>Hungary</t>
  </si>
  <si>
    <t>2015Royal TokajiRoyal Tokaji</t>
  </si>
  <si>
    <t>2017Robert MondaviPrivate Selection Bourbon Barrels</t>
  </si>
  <si>
    <t>2015Susana BalboSusana Balbo Signature Cabernet Sauvignon</t>
  </si>
  <si>
    <t>2016La MisionReserva Especial</t>
  </si>
  <si>
    <t>2013RainoldiSfursat di Valtellina Fruttaio Ca' Rizzieri</t>
  </si>
  <si>
    <t>1977MiguelsColheita Porto</t>
  </si>
  <si>
    <t>2015GabardaSelecciÃ³n</t>
  </si>
  <si>
    <t>2012Bowler WineJohnson Family</t>
  </si>
  <si>
    <t>2016Prisoner Wine CoProprietary Red The Prisoner</t>
  </si>
  <si>
    <t>2010Francis Ford Coppola WineryProprietary Red Eleanor</t>
  </si>
  <si>
    <t>2009NicolisAmarone della Valpolicella Classico</t>
  </si>
  <si>
    <t>2008La MannellaBrunello di Montalcino</t>
  </si>
  <si>
    <t>2016RombauerZinfandel</t>
  </si>
  <si>
    <t>2017D'ArenbergThe Hermit Crab Viognier / Marsanne</t>
  </si>
  <si>
    <t>2015Castello di GabbianoChianti Classico Riserva</t>
  </si>
  <si>
    <t>2015BrancaiaTre</t>
  </si>
  <si>
    <t>2015Cantine do OraAmicone</t>
  </si>
  <si>
    <t>2009SartoriAmarone della Valpolicella</t>
  </si>
  <si>
    <t>2015Prisoner Wine CoProprietary Red The Prisoner</t>
  </si>
  <si>
    <t>2015Villa MedoroMontepulciano d'Abruzzo Rosso del Duca</t>
  </si>
  <si>
    <t>2017Prisoner Wine CoProprietary Red The Prisoner</t>
  </si>
  <si>
    <t>2015Rocca di FrassinelloMaremma Toscana Le Sughere di Frassinello</t>
  </si>
  <si>
    <t>2014ParrasEvidencia Tinto Dao</t>
  </si>
  <si>
    <t>2009Taylor FladgateVintage Port</t>
  </si>
  <si>
    <t>2013FantiBrunello di Montalcino</t>
  </si>
  <si>
    <t>2013Campo ViejoReserva</t>
  </si>
  <si>
    <t>2012Lamole di LamoleChianti Classico Gran Selezione Vigneto di Campolungo</t>
  </si>
  <si>
    <t>2014Prisoner Wine CoProprietary Red The Prisoner</t>
  </si>
  <si>
    <t>2016Enrique MendozaLa Tremenda</t>
  </si>
  <si>
    <t>2009Luigi RighettiAmarone Della Valpolicella Capitel de Roari</t>
  </si>
  <si>
    <t>2013Enrico SerafinoBarolo</t>
  </si>
  <si>
    <t>2017TrapicheBroquel Malbec</t>
  </si>
  <si>
    <t>2013Prisoner Wine CoProprietary Red The Prisoner</t>
  </si>
  <si>
    <t>2015NewtonChardonnay Unfiltered</t>
  </si>
  <si>
    <t>2014SostenerSostener</t>
  </si>
  <si>
    <t>2017M. ChapoutierCotes du Rhone Belleruche</t>
  </si>
  <si>
    <t>2009El BomberoGran Reserva</t>
  </si>
  <si>
    <t>2016IntrinsicCabernet Sauvignon</t>
  </si>
  <si>
    <t>2015Michele ChiarloBarbera d'Asti le Orme</t>
  </si>
  <si>
    <t>2014Domaine Hubert &amp; Olivier LamyBourgogne les Chataigners</t>
  </si>
  <si>
    <t>2015BeringerCabernet Sauvignon Knights Valley</t>
  </si>
  <si>
    <t>2014Ovadia BartenuraOvadia Chianti</t>
  </si>
  <si>
    <t>2015PlungerheadZinfandel Old Vines Lodi</t>
  </si>
  <si>
    <t>2013Tre MontiRomagna Sangiovese Riserva Oriolo Thea</t>
  </si>
  <si>
    <t>2015Tre MontiRomagna Sangiovese Riserva Oriolo Petrignone</t>
  </si>
  <si>
    <t>2015Barone di VillagrandeEtna Rosso</t>
  </si>
  <si>
    <t>2015Quinta da MuradellaAlanda</t>
  </si>
  <si>
    <t>2011Corte GiaraAmarone della Valpolicella</t>
  </si>
  <si>
    <t>2012Francis Ford Coppola WineryProprietary Red Eleanor</t>
  </si>
  <si>
    <t>2014Tenuta di NozzoleChianti Classico Riserva Nozzole</t>
  </si>
  <si>
    <t>2006Abadia MantrusGran Reserva</t>
  </si>
  <si>
    <t>2016RodanoPoggialupi</t>
  </si>
  <si>
    <t>NVFonsecaFonseca 10 Year Old Tawny</t>
  </si>
  <si>
    <t>2017Elio AltareDolcetto d'Alba</t>
  </si>
  <si>
    <t>2010Dominio de AtautaAtauta</t>
  </si>
  <si>
    <t>2013BovioBarolo Arborina</t>
  </si>
  <si>
    <t>2013Stag's Leap Wine CellarsCabernet Sauvignon Artemis</t>
  </si>
  <si>
    <t>1995RavenswoodZinfandel Wood Road Belloni Vineyard</t>
  </si>
  <si>
    <t>Barolo la Rosa</t>
  </si>
  <si>
    <t>Bodegas Luna Beberide Art 2015</t>
  </si>
  <si>
    <t>M30</t>
  </si>
  <si>
    <t>M31</t>
  </si>
  <si>
    <t>M32</t>
  </si>
  <si>
    <t>M33</t>
  </si>
  <si>
    <t>2015MontresorRe Teodorico Recioto Della Valpolicella</t>
  </si>
  <si>
    <t>K</t>
  </si>
  <si>
    <t>Column32</t>
  </si>
  <si>
    <t>2012Carmelo PattiCabernet Sauvignon</t>
  </si>
  <si>
    <t>2016Tour Saint-MichelChateauneuf du Pape Cuvee des Deux Soeurs</t>
  </si>
  <si>
    <t>2016Castello RomitorioIl Toro</t>
  </si>
  <si>
    <t>2016Clos du RoyClos du Roy</t>
  </si>
  <si>
    <t>2016FÃ¨lsinaChianti Classico Riserva Rancia</t>
  </si>
  <si>
    <t>2008PoesÃ­aBodegas Poesia</t>
  </si>
  <si>
    <t>2014Telmo RodriguezPegaso Barrancos de Pizarra</t>
  </si>
  <si>
    <t>2015Doisy-VedrinesDoisy-Vedrines</t>
  </si>
  <si>
    <t>2016Tua RitaGiusto di Notri</t>
  </si>
  <si>
    <t>2013FelsinaFontalloro</t>
  </si>
  <si>
    <t>2010FontanafreddaBarolo la Rosa</t>
  </si>
  <si>
    <t>2014Produttori del BarbarescoBarbaresco Riserva RabajÃ </t>
  </si>
  <si>
    <t>2016CoutetCoutet</t>
  </si>
  <si>
    <t>2016FÃ¨lsinaFontalloro</t>
  </si>
  <si>
    <t>2015Domenico ClericoBarolo</t>
  </si>
  <si>
    <t>2017RieussecRieussec</t>
  </si>
  <si>
    <t>Price/750</t>
  </si>
  <si>
    <t>new teir</t>
  </si>
  <si>
    <t>rank teir</t>
  </si>
  <si>
    <t>Chile</t>
  </si>
  <si>
    <t>Maipo Valley</t>
  </si>
  <si>
    <t>Pirque</t>
  </si>
  <si>
    <t>Bourgogne Rouge</t>
  </si>
  <si>
    <t>Dolcetto</t>
  </si>
  <si>
    <t>Varietal</t>
  </si>
  <si>
    <t>Own</t>
  </si>
  <si>
    <t>IDs</t>
  </si>
  <si>
    <t>Sub region</t>
  </si>
  <si>
    <t>Italy, Veneto</t>
  </si>
  <si>
    <t>France, Provence</t>
  </si>
  <si>
    <t>Italy, Tuscany</t>
  </si>
  <si>
    <t>Portugal, Dao</t>
  </si>
  <si>
    <t>Italy, Piedmont</t>
  </si>
  <si>
    <t>Spain, Andalucia</t>
  </si>
  <si>
    <t>Spain, Rioja</t>
  </si>
  <si>
    <t>Spain, Aragon</t>
  </si>
  <si>
    <t>France, Languedoc-Rousillon</t>
  </si>
  <si>
    <t>USA, California</t>
  </si>
  <si>
    <t>Spain, Castilla Leon</t>
  </si>
  <si>
    <t>Italy, Puglia</t>
  </si>
  <si>
    <t>Spain, Valencia</t>
  </si>
  <si>
    <t>France, Rhone</t>
  </si>
  <si>
    <t>France, Roussillon</t>
  </si>
  <si>
    <t>France, Bordeaux</t>
  </si>
  <si>
    <t>France, Beaujolais</t>
  </si>
  <si>
    <t>Argentina, Mendoza</t>
  </si>
  <si>
    <t>Portugal, Douro</t>
  </si>
  <si>
    <t>France, Champagne</t>
  </si>
  <si>
    <t>Australia, Western Australia</t>
  </si>
  <si>
    <t>USA, Washington</t>
  </si>
  <si>
    <t>Italy, Umbria</t>
  </si>
  <si>
    <t>France, Alsace</t>
  </si>
  <si>
    <t>France, Burgundy</t>
  </si>
  <si>
    <t>Australia, South Australia</t>
  </si>
  <si>
    <t>Italy, Sardinia</t>
  </si>
  <si>
    <t>Italy, Campania</t>
  </si>
  <si>
    <t>Hungary, 0</t>
  </si>
  <si>
    <t>Spain, Murcia</t>
  </si>
  <si>
    <t>Chile, Maipo Valley</t>
  </si>
  <si>
    <t>Italy, Lombardy</t>
  </si>
  <si>
    <t>Italy, Abruzzo</t>
  </si>
  <si>
    <t>Italy, Emilia Romagna</t>
  </si>
  <si>
    <t>Italy, Sicily</t>
  </si>
  <si>
    <t>Spain, Galicia</t>
  </si>
  <si>
    <t>Italy, Veneto, 0</t>
  </si>
  <si>
    <t>France, Provence, 0</t>
  </si>
  <si>
    <t>Italy, Tuscany, San Gimignano</t>
  </si>
  <si>
    <t>Portugal, Dao, 0</t>
  </si>
  <si>
    <t>Italy, Piedmont, Barolo, Serralunga d'Alba</t>
  </si>
  <si>
    <t>Spain, Andalucia, Montilla-Moriles</t>
  </si>
  <si>
    <t>Italy, Veneto, Valpolicella Classico</t>
  </si>
  <si>
    <t>Italy, Veneto, Valpolicella</t>
  </si>
  <si>
    <t>Spain, Rioja, 0</t>
  </si>
  <si>
    <t>Spain, Rioja, Alta</t>
  </si>
  <si>
    <t>Spain, Aragon, Campo de Borja</t>
  </si>
  <si>
    <t>France, Languedoc-Rousillon, La Clape</t>
  </si>
  <si>
    <t>Italy, Veneto, Veneto IGT</t>
  </si>
  <si>
    <t>USA, California, Bodegas Luna Beberide Art 2015</t>
  </si>
  <si>
    <t>USA, California, Central Coast, Santa Barbara</t>
  </si>
  <si>
    <t>Italy, Veneto, Classico</t>
  </si>
  <si>
    <t>Spain, Castilla Leon, Bierzo</t>
  </si>
  <si>
    <t>Italy, Puglia, Salice Salentino</t>
  </si>
  <si>
    <t>USA, California, North Coast, Napa Valley</t>
  </si>
  <si>
    <t>Spain, Castilla Leon, Ribera Del Duero</t>
  </si>
  <si>
    <t>Spain, Aragon, Calatayud</t>
  </si>
  <si>
    <t>Spain, Valencia, 0</t>
  </si>
  <si>
    <t>France, Rhone, Southern Rhone, Cotes du Ventoux</t>
  </si>
  <si>
    <t>Italy, Puglia, Salento</t>
  </si>
  <si>
    <t>France, Roussillon, Cotes Catalanes</t>
  </si>
  <si>
    <t>France, Bordeaux, 0</t>
  </si>
  <si>
    <t>France, Beaujolais, Saint-Amour</t>
  </si>
  <si>
    <t>Italy, Tuscany, Toscana</t>
  </si>
  <si>
    <t>Argentina, Mendoza, Lujan de Cuyo</t>
  </si>
  <si>
    <t>France, Rhone, Cotes du Rhone Villages</t>
  </si>
  <si>
    <t>Portugal, Douro, 0</t>
  </si>
  <si>
    <t>France, Rhone, Southern Rhone, Rasteau</t>
  </si>
  <si>
    <t>France, Bordeaux, Sauternes</t>
  </si>
  <si>
    <t>Italy, Tuscany, Chianti Classico</t>
  </si>
  <si>
    <t>France, Rhone, Southern Rhone, Gigondas</t>
  </si>
  <si>
    <t>Spain, Aragon, Carinena</t>
  </si>
  <si>
    <t>Italy, Tuscany, Brunello di Montalcino</t>
  </si>
  <si>
    <t>Italy, Piedmont, Roero</t>
  </si>
  <si>
    <t>France, Beaujolais, Moulin-a-Vent</t>
  </si>
  <si>
    <t>France, Rhone, Southern Rhone, Chateauneuf du Pape</t>
  </si>
  <si>
    <t>France, Champagne, 0</t>
  </si>
  <si>
    <t>France, Bordeaux, Fronsac</t>
  </si>
  <si>
    <t>Spain, Valencia, Alicante</t>
  </si>
  <si>
    <t>Spain, Rioja, Alavesa</t>
  </si>
  <si>
    <t>Australia, Western Australia, South West Australia, Margaret</t>
  </si>
  <si>
    <t>USA, Washington, Columbia Valley, Walla Walla Valley</t>
  </si>
  <si>
    <t>Argentina, Mendoza, 0</t>
  </si>
  <si>
    <t>Spain, Castilla Leon, Gredos</t>
  </si>
  <si>
    <t>USA, California, North Coast, Sonoma</t>
  </si>
  <si>
    <t>Italy, Puglia, 0</t>
  </si>
  <si>
    <t>Italy, Piedmont, Barolo</t>
  </si>
  <si>
    <t>Italy, Umbria, Montefalco Sagrantino</t>
  </si>
  <si>
    <t>Argentina, Mendoza, Valle de Uco, Tupungato</t>
  </si>
  <si>
    <t>France, Bordeaux, Sauternes, Barsac</t>
  </si>
  <si>
    <t>France, Bordeaux, Margaux</t>
  </si>
  <si>
    <t>Italy, Tuscany, Toscana IGT</t>
  </si>
  <si>
    <t>France, Alsace, Haut-Rhin, Ribeauville</t>
  </si>
  <si>
    <t>Italy, Piedmont, Barbaresco</t>
  </si>
  <si>
    <t>USA, California, 0</t>
  </si>
  <si>
    <t>France, Bordeaux, Saint-Julien</t>
  </si>
  <si>
    <t>France, Burgundy, North Burgundy, Chablis</t>
  </si>
  <si>
    <t>France, Bordeaux, Saint-Emilion</t>
  </si>
  <si>
    <t>Italy, Piedmont, Barolo, Monforte d'Alba</t>
  </si>
  <si>
    <t>Australia, South Australia, Fleurie, McLaren Vale</t>
  </si>
  <si>
    <t>Italy, Tuscany, Bolgheri</t>
  </si>
  <si>
    <t>Italy, Sardinia, 0</t>
  </si>
  <si>
    <t>Italy, Campania, Taurasi</t>
  </si>
  <si>
    <t>Italy, Piedmont, Barolo, Monforte Bussia</t>
  </si>
  <si>
    <t>Italy, Piedmont, Barolo, Piedmont Barolo</t>
  </si>
  <si>
    <t>Italy, Piedmont, Barolo. Castiglione Falletto</t>
  </si>
  <si>
    <t>Italy, Tuscany, Colli della Toscana Centrale</t>
  </si>
  <si>
    <t>Hungary, 0, 0</t>
  </si>
  <si>
    <t>USA, California, Central Coast, Monterey</t>
  </si>
  <si>
    <t>Spain, Murcia, Jumilla</t>
  </si>
  <si>
    <t>France, Burgundy, Bourgogne Rouge</t>
  </si>
  <si>
    <t>Argentina, Mendoza, Valle de Uco, Tunuyan</t>
  </si>
  <si>
    <t>Chile, Maipo Valley, Pirque</t>
  </si>
  <si>
    <t>Italy, Lombardy, Sforzato di Valtellina</t>
  </si>
  <si>
    <t>Australia, South Australia, Fleurieu, McLaren Vale</t>
  </si>
  <si>
    <t>Italy, Abruzzo, Montepulciano d'Abruzzo, Abruzzi</t>
  </si>
  <si>
    <t>Italy, Tuscany, Maremma Toscana</t>
  </si>
  <si>
    <t>Argentina, Mendoza, Valle de Uco</t>
  </si>
  <si>
    <t>USA, California, Central Coast, Monterey County</t>
  </si>
  <si>
    <t>France, Rhone, Southern Rhone</t>
  </si>
  <si>
    <t>USA, Washington, Columbia Valley</t>
  </si>
  <si>
    <t>Italy, Piedmont, Barbera d'Asti</t>
  </si>
  <si>
    <t>France, Burgundy, 0</t>
  </si>
  <si>
    <t>Italy, Tuscany, 0</t>
  </si>
  <si>
    <t>Italy, Emilia Romagna, Romagna</t>
  </si>
  <si>
    <t>Italy, Sicily, Etna</t>
  </si>
  <si>
    <t>Spain, Galicia, Monterrei</t>
  </si>
  <si>
    <t>Italy, Piedmont, Barolo, La Morra</t>
  </si>
  <si>
    <t>Italy, Piedmont, Dolcetto d'Alba</t>
  </si>
  <si>
    <t>Tunuyan</t>
  </si>
  <si>
    <t>Tupungato</t>
  </si>
  <si>
    <t>Margaret</t>
  </si>
  <si>
    <t>Ribeauville</t>
  </si>
  <si>
    <t>Chablis</t>
  </si>
  <si>
    <t>Abruzzi</t>
  </si>
  <si>
    <t>Monterey</t>
  </si>
  <si>
    <t>Sonoma</t>
  </si>
  <si>
    <t>Fleurie</t>
  </si>
  <si>
    <t>Fleurieu</t>
  </si>
  <si>
    <t>Haut-Rhin</t>
  </si>
  <si>
    <t>South West Australia</t>
  </si>
  <si>
    <t>North Burgundy</t>
  </si>
  <si>
    <t>Montepulciano d'Abruzzo</t>
  </si>
  <si>
    <t>North Coast</t>
  </si>
  <si>
    <t>McLaren Vale</t>
  </si>
  <si>
    <t>Chateauneuf du Pape</t>
  </si>
  <si>
    <t>Cotes du Ventoux</t>
  </si>
  <si>
    <t>La Morra</t>
  </si>
  <si>
    <t>Monforte Bussia</t>
  </si>
  <si>
    <t>Monforte d'Alba</t>
  </si>
  <si>
    <t>Piedmont Barolo</t>
  </si>
  <si>
    <t>Serralunga d'Alba</t>
  </si>
  <si>
    <t>Monterey County</t>
  </si>
  <si>
    <t>Santa Barbara</t>
  </si>
  <si>
    <t>Napa Valley</t>
  </si>
  <si>
    <t>Walla Walla Valley</t>
  </si>
  <si>
    <t>Multiplier</t>
  </si>
  <si>
    <t>Average</t>
  </si>
  <si>
    <t>Time in Year</t>
  </si>
  <si>
    <t>2,3</t>
  </si>
  <si>
    <t>Cabernet Sauvignon, Petite Sirah, Zinfandel, Merlot, Malbec, Petit Verdot</t>
  </si>
  <si>
    <t>Brunello di Montalcino Pian di Conte</t>
  </si>
  <si>
    <t>Ciacci Piccolomini d Aragona</t>
  </si>
  <si>
    <t>Il Poggione</t>
  </si>
  <si>
    <t>Montevetrano</t>
  </si>
  <si>
    <t>Pierre Usseglio</t>
  </si>
  <si>
    <t>Colli di Salerno</t>
  </si>
  <si>
    <t>Cappys</t>
  </si>
  <si>
    <t>Purchased</t>
  </si>
  <si>
    <t>Vintage Grapes</t>
  </si>
  <si>
    <t>Pops</t>
  </si>
  <si>
    <t>Total Wine</t>
  </si>
  <si>
    <t>M38</t>
  </si>
  <si>
    <t>Barbaresco Riserva Asili</t>
  </si>
  <si>
    <t>Barbaresco Riserva Pora</t>
  </si>
  <si>
    <t>Barbaresco Riserva Ovello</t>
  </si>
  <si>
    <t>40 Year Old Tawny Port</t>
  </si>
  <si>
    <t>Porto</t>
  </si>
  <si>
    <t>wine.com</t>
  </si>
  <si>
    <t>winemag.com</t>
  </si>
  <si>
    <t>gift</t>
  </si>
  <si>
    <t>pops</t>
  </si>
  <si>
    <t>Ted</t>
  </si>
  <si>
    <t>R</t>
  </si>
  <si>
    <t>M34</t>
  </si>
  <si>
    <t>Fado</t>
  </si>
  <si>
    <t>Special Selection</t>
  </si>
  <si>
    <t>Alicante Bouschet</t>
  </si>
  <si>
    <t>Alentejano VR</t>
  </si>
  <si>
    <t>M35</t>
  </si>
  <si>
    <t>Quinta da Alorna</t>
  </si>
  <si>
    <t>Marquesa de Alorna Grande Reserva</t>
  </si>
  <si>
    <t>Touriga Nacional, Touriga Franca, Castelao, Syrah</t>
  </si>
  <si>
    <t>Tejo</t>
  </si>
  <si>
    <t>Lisbon</t>
  </si>
  <si>
    <t>2005Pierre UsseglioChateauneuf du Pape</t>
  </si>
  <si>
    <t>2004Ciacci Piccolomini d AragonaBrunello di Montalcino</t>
  </si>
  <si>
    <t>2004TalentiBrunello di Montalcino Pian di Conte</t>
  </si>
  <si>
    <t>2005MontevetranoMontevetrano</t>
  </si>
  <si>
    <t>2017Becklyn CellarsCabernet Sauvignon</t>
  </si>
  <si>
    <t>2004Il PoggioneBrunello di Montalcino</t>
  </si>
  <si>
    <t>2014Produttori del BarbarescoBarbaresco Riserva Pora</t>
  </si>
  <si>
    <t>NVTaylor Fladgate40 Year Old Tawny Port</t>
  </si>
  <si>
    <t>2014Produttori del BarbarescoBarbaresco Riserva Asili</t>
  </si>
  <si>
    <t>2014Produttori del BarbarescoBarbaresco Riserva Ovello</t>
  </si>
  <si>
    <t>Mazzei</t>
  </si>
  <si>
    <t>Tenuta Belguardo</t>
  </si>
  <si>
    <t>Domaine du Grand Tinel</t>
  </si>
  <si>
    <t>Chateauneuf du Pape Cuvee Alexis Establet</t>
  </si>
  <si>
    <t>(94 - 96)</t>
  </si>
  <si>
    <t>80% Grenache, 10% Syrah, 5% Cinsault, 5% Mourvèdre</t>
  </si>
  <si>
    <t>70 % Syrah, 30% Grenache</t>
  </si>
  <si>
    <t>Oddero</t>
  </si>
  <si>
    <t>Empire Wine</t>
  </si>
  <si>
    <t>67 Wine</t>
  </si>
  <si>
    <t>Zorzal Wines</t>
  </si>
  <si>
    <t>Eggo Franco</t>
  </si>
  <si>
    <t>Malbec Appellation Altamira</t>
  </si>
  <si>
    <t>Pietradonice</t>
  </si>
  <si>
    <t>96+</t>
  </si>
  <si>
    <t>Brunello di Montalcino Altero</t>
  </si>
  <si>
    <t>Tenuta Sant'Antonio</t>
  </si>
  <si>
    <t>Amarone della Valpolicella Selezione Antonio Castagnedi</t>
  </si>
  <si>
    <t>Aalto</t>
  </si>
  <si>
    <t>(93 - 95)</t>
  </si>
  <si>
    <t>Vietti</t>
  </si>
  <si>
    <t>Langhe Nebbiolo Perbacco</t>
  </si>
  <si>
    <t>Wiredforwine</t>
  </si>
  <si>
    <t>Saratogawine</t>
  </si>
  <si>
    <t>Valle de Uco, Tupungato, Gualtallary</t>
  </si>
  <si>
    <t>Valle de Uco, Altamira</t>
  </si>
  <si>
    <t>Cabernet Franc</t>
  </si>
  <si>
    <t>Langhe</t>
  </si>
  <si>
    <t>70% Corvina &amp; Corvinone, 20% Rondinella, 5% Croatina, 5% Oseleta</t>
  </si>
  <si>
    <t>M36</t>
  </si>
  <si>
    <t>M37</t>
  </si>
  <si>
    <t>60% Syrah, 40% Grenache</t>
  </si>
  <si>
    <t>90% Merlot, 5% Cabernet Franc, 5% Cabernet Sauvignon</t>
  </si>
  <si>
    <t>90% Cabernet Sauvignon, 10% Cabernet Franc</t>
  </si>
  <si>
    <t>70% Semillon, 30% Sauvignon Blanc</t>
  </si>
  <si>
    <t>Cabernet Sauvignon, Merlot, Aglianico</t>
  </si>
  <si>
    <t>Sauvignon Blanc</t>
  </si>
  <si>
    <t>2015Ghost PinesCabernet Sauvignon</t>
  </si>
  <si>
    <t>80% Negroamaro, 20% Malvasia</t>
  </si>
  <si>
    <t>93% Semillon, 6% Sauvignon Blanc, 1% Muscadelle</t>
  </si>
  <si>
    <t>100% Nebbiolo</t>
  </si>
  <si>
    <t>100% Malbec</t>
  </si>
  <si>
    <t>Chateau La Tour Blanche</t>
  </si>
  <si>
    <t>Saint-Amour Chateau de Saint-Amour</t>
  </si>
  <si>
    <t>Chateau Guiraud</t>
  </si>
  <si>
    <t>2017Georges DuboeufSaint-Amour Chateau de Saint-Amour</t>
  </si>
  <si>
    <t>2009Chateau La Tour BlancheLa Tour Blanche</t>
  </si>
  <si>
    <t>2015Chateau GuiraudChateau Guiraud</t>
  </si>
  <si>
    <t>2005Chateau GuiraudGuiraud</t>
  </si>
  <si>
    <t>Semillon, Sauvignon Blanc</t>
  </si>
  <si>
    <t>Diez-Caballero</t>
  </si>
  <si>
    <t>2016Diez-CaballeroCrianza</t>
  </si>
  <si>
    <t>2015Diez-CaballeroVendimia Seleccionada</t>
  </si>
  <si>
    <t>2015Diez-CaballeroCrianza</t>
  </si>
  <si>
    <t>100% Tempranillo</t>
  </si>
  <si>
    <t>100% Touriga Nacional</t>
  </si>
  <si>
    <t>80% Grenache, 10% Syrah, 10% Mourvèdre</t>
  </si>
  <si>
    <t>100% Mourvèdre</t>
  </si>
  <si>
    <t>Mourvèdre Blend</t>
  </si>
  <si>
    <t>90% Grenache, Mourvèdre, Syrah</t>
  </si>
  <si>
    <t>Mourvèdre</t>
  </si>
  <si>
    <t>Norton</t>
  </si>
  <si>
    <t>Privada Family Blend</t>
  </si>
  <si>
    <t>40% Malbec, 30% Cabernet Sauvignon, 30% Merlot</t>
  </si>
  <si>
    <t>Brotte</t>
  </si>
  <si>
    <t>Gigondas la Marasque</t>
  </si>
  <si>
    <t>(90-92)</t>
  </si>
  <si>
    <t>70% Grenache, 30% Syrah</t>
  </si>
  <si>
    <t>MS04</t>
  </si>
  <si>
    <t>M39</t>
  </si>
  <si>
    <t>Guidalberto</t>
  </si>
  <si>
    <t>Cabernet Savignon, Merlot</t>
  </si>
  <si>
    <t>Plum Market</t>
  </si>
  <si>
    <t>85% Corvina, 10% Rondinella, 5% Corvinone</t>
  </si>
  <si>
    <t>75% Grenache, 25% Tempranillo</t>
  </si>
  <si>
    <t>80% Corvina, 20% Rondinella</t>
  </si>
  <si>
    <t>80% Vernaccia, 10% Chardonnay, 10% Sauvignon Blanc</t>
  </si>
  <si>
    <t xml:space="preserve">Crianza Rioja Tempranillo </t>
  </si>
  <si>
    <t>2016AaltoAalto</t>
  </si>
  <si>
    <t>2011MazzeiTenuta Belguardo</t>
  </si>
  <si>
    <t>Resalte de Peñafiel</t>
  </si>
  <si>
    <t>Origen de Resalte</t>
  </si>
  <si>
    <t>100% Grenache</t>
  </si>
  <si>
    <t>60% Grenache, 30% Syrah, 10% Mourvèdre</t>
  </si>
  <si>
    <t>100% Sangiovese</t>
  </si>
  <si>
    <t>85% Cabernet Sauvignon, 15% Cabernet Franc</t>
  </si>
  <si>
    <t>Covina, Rondinella, Molinara</t>
  </si>
  <si>
    <t>100% Mencia</t>
  </si>
  <si>
    <t>90% Grenache, 10% Syrah</t>
  </si>
  <si>
    <t>80% Grenache, 20% Mourvèdre</t>
  </si>
  <si>
    <t>60% Corvina, 25% Rondinella, 15% Molinara</t>
  </si>
  <si>
    <t>75% Corvina, 20% Rondinella, 5% Negrara/ Rossignola</t>
  </si>
  <si>
    <t>40% Corvina, 30% Corvinone, 25% Rondinella, 5% Sangiovese</t>
  </si>
  <si>
    <t>97% Cabernet Sauvignon, 3% Petite Verdot</t>
  </si>
  <si>
    <t>85% Sangiovese, 15% Malvasia Nera</t>
  </si>
  <si>
    <t>Proproetary Blend</t>
  </si>
  <si>
    <t>90% Cabernet Sauvignon, 10% Merlot</t>
  </si>
  <si>
    <t>López de Heredia</t>
  </si>
  <si>
    <t>Viña Tondonia Reserva</t>
  </si>
  <si>
    <t>75% Tempranillo, 15% Grenache, 10% Graciano/ Mazuelo</t>
  </si>
  <si>
    <t>80% Cabernet Sauvignon, 10% Cabernet Franc, 10% Merlot</t>
  </si>
  <si>
    <t>60% Grenache, 25% Mourvèdre, 15% Undisclosed</t>
  </si>
  <si>
    <t>García Figuero</t>
  </si>
  <si>
    <t>86% Cabernet Sauvignon, 7% Merlot, 5% Cabernet Franc</t>
  </si>
  <si>
    <t>78% Syrah, 19% Cabernet Sauvignon, 3% Mourvèdre</t>
  </si>
  <si>
    <t>Syrah, Petite Verdot</t>
  </si>
  <si>
    <t>65% Sémillon,35% Sauvignon Blanc</t>
  </si>
  <si>
    <t>45% Merlot, 44% Cabernet Sauvignon, 11% Cabernet Franc</t>
  </si>
  <si>
    <t>Viña Ardanza Selección Especial</t>
  </si>
  <si>
    <t>Tinto Xisto Cru</t>
  </si>
  <si>
    <t xml:space="preserve">2013Ramon BilbaoCrianza Rioja Tempranillo </t>
  </si>
  <si>
    <t>2010La Rioja AltaViña Ardanza Selección Especial</t>
  </si>
  <si>
    <t>2007López de HerediaViña Tondonia Reserva</t>
  </si>
  <si>
    <t>2015Luis Seabra VinhosTinto Xisto Cru</t>
  </si>
  <si>
    <t>2008LisiniBrunello di Montalcino</t>
  </si>
  <si>
    <t>2016García FigueroTinto Figuero 12 Tempranillo</t>
  </si>
  <si>
    <t>2016NortonPrivada Family Blend</t>
  </si>
  <si>
    <t>2016BrotteGigondas la Marasque</t>
  </si>
  <si>
    <t>2016ViettiLanghe Nebbiolo Perbacco</t>
  </si>
  <si>
    <t>2017Altos Las HormigasMalbec Appellation Altamira</t>
  </si>
  <si>
    <t>2016Domaine du Grand TinelChateauneuf du Pape Cuvee Alexis Establet</t>
  </si>
  <si>
    <t>2016Casanova di NeriPietradonice</t>
  </si>
  <si>
    <t>2017Altos Las HormigasMalbec Appellation Gualtallary</t>
  </si>
  <si>
    <t>2012Poggio AnticoBrunello di Montalcino Altero</t>
  </si>
  <si>
    <t>2015Tenuta Sant'AntonioAmarone della Valpolicella Selezione Antonio Castagnedi</t>
  </si>
  <si>
    <t>2015OdderoBarolo</t>
  </si>
  <si>
    <t>2016Diez-CaballeroVendimia Seleccionada</t>
  </si>
  <si>
    <t>2016Tenuta San GuidoGuidalberto</t>
  </si>
  <si>
    <t>2015Resalte de PeñafielOrigen de Resalte</t>
  </si>
  <si>
    <t>100% Gamay</t>
  </si>
  <si>
    <t>90% Tempranillo, 10% Graciano</t>
  </si>
  <si>
    <t>Rijoa</t>
  </si>
  <si>
    <t>DAOU Vineyards</t>
  </si>
  <si>
    <t>Central Coast, San Luis Obispo County, Paso Robles</t>
  </si>
  <si>
    <t>Tspend</t>
  </si>
  <si>
    <t>Actual</t>
  </si>
  <si>
    <t>Column5</t>
  </si>
  <si>
    <t>Column6</t>
  </si>
  <si>
    <t>Barolo, Bussia</t>
  </si>
  <si>
    <t>DutyFree</t>
  </si>
  <si>
    <t>Chateau La Croix Des Pins</t>
  </si>
  <si>
    <t>Gigondas Les Dessous des Dentelles</t>
  </si>
  <si>
    <t>Bernabé Navarro</t>
  </si>
  <si>
    <t>Tragolargo</t>
  </si>
  <si>
    <t>Negroamaro Notarpanaro</t>
  </si>
  <si>
    <t>100% Negroamaro</t>
  </si>
  <si>
    <t>Fontanabianca</t>
  </si>
  <si>
    <t>M40</t>
  </si>
  <si>
    <t>M41</t>
  </si>
  <si>
    <t>M42</t>
  </si>
  <si>
    <t>M43</t>
  </si>
  <si>
    <t>78% Cabernet Sauvignon, 13% Merlot, 8% Petit Verdot, 1% Cabernet Franc</t>
  </si>
  <si>
    <t>Domaine du Pegau</t>
  </si>
  <si>
    <t>Chateauneuf du Pape Cuvee Reservee</t>
  </si>
  <si>
    <t>80% Grenache, 6% Syrah, 4% Mourvedre, 10% proprietary</t>
  </si>
  <si>
    <t>Condamine Paulignan</t>
  </si>
  <si>
    <t>Minervois</t>
  </si>
  <si>
    <t>55% Grenache, 45% Syrah</t>
  </si>
  <si>
    <t>Languedoc-Roussillon</t>
  </si>
  <si>
    <t>(86-88)</t>
  </si>
  <si>
    <t>Cabernet Sauvignon To Kalon Reserve</t>
  </si>
  <si>
    <t>91% Cabernet Sauvignon, 7% Cabernet Franc, 2% Petit Verdot</t>
  </si>
  <si>
    <t>North Coast, Napa Valley, Oakville</t>
  </si>
  <si>
    <t>Substance</t>
  </si>
  <si>
    <t>Cabernet Sauvignon Stoneridge Vineyard</t>
  </si>
  <si>
    <t>100% Cabernet Sauvignon</t>
  </si>
  <si>
    <t>100% Petite Sirah</t>
  </si>
  <si>
    <t xml:space="preserve">Grattamacco </t>
  </si>
  <si>
    <t>Bolgheri Superiore l'Alberello</t>
  </si>
  <si>
    <t>70% Cabernet Sauvignon, 25% Cabernet Franc, 5% Petit Verdot</t>
  </si>
  <si>
    <t>Bolgheri Superiore</t>
  </si>
  <si>
    <t>Chateau Sigalas Rabaud</t>
  </si>
  <si>
    <t>Lieutenant de Sigalas</t>
  </si>
  <si>
    <t>85% Semillon, 15% Sauvignon Blanc</t>
  </si>
  <si>
    <t>Pierre Rougon</t>
  </si>
  <si>
    <t>Muscat de Beaumes de Venise</t>
  </si>
  <si>
    <t>Beaumes de Venise</t>
  </si>
  <si>
    <t>100% Muscat</t>
  </si>
  <si>
    <t>Vizcarra Ramos</t>
  </si>
  <si>
    <t>Celia</t>
  </si>
  <si>
    <t>95% Tempranillo, 5% Grenache</t>
  </si>
  <si>
    <t>Sante Arcangeli</t>
  </si>
  <si>
    <t>Pinot Noir Integrato</t>
  </si>
  <si>
    <t>Central Coast , San Francisco Bay , Santa Cruz Mountains</t>
  </si>
  <si>
    <t>1,2,3</t>
  </si>
  <si>
    <t>Planeta</t>
  </si>
  <si>
    <t>Cerasuolo di Vittoria Classico Dorilli</t>
  </si>
  <si>
    <t>70% Nero d'Avola, 30% Frappato</t>
  </si>
  <si>
    <t>Cerasuolo di Vittoria</t>
  </si>
  <si>
    <t>Gustave Lorentz</t>
  </si>
  <si>
    <t>Alsace Grand Cru Altenberg de Bergheim Riesling</t>
  </si>
  <si>
    <t>Riesling</t>
  </si>
  <si>
    <t>Alsace Grand Cru</t>
  </si>
  <si>
    <t>Chateauneuf du Pape Cuvee du Lion</t>
  </si>
  <si>
    <t>75% Grenache, 20% Syrah, 5% Mourvèdre</t>
  </si>
  <si>
    <t>Bodegas Hornillos Ballesteros</t>
  </si>
  <si>
    <t>Mibal Joven</t>
  </si>
  <si>
    <t>Expression Pascal Lorieux</t>
  </si>
  <si>
    <t xml:space="preserve">Saint Nicolas de Bourgueil </t>
  </si>
  <si>
    <t>100% Cabernet Franc</t>
  </si>
  <si>
    <t>Loire</t>
  </si>
  <si>
    <t>Touraine, Bourgueil</t>
  </si>
  <si>
    <t>Primitivo Salento IGT</t>
  </si>
  <si>
    <t>100% Primitivo</t>
  </si>
  <si>
    <t>Herdade do Arrepiado Velho</t>
  </si>
  <si>
    <t>Tinto</t>
  </si>
  <si>
    <t>Alentejo</t>
  </si>
  <si>
    <t>Alentejano</t>
  </si>
  <si>
    <t>Celestino Pecci</t>
  </si>
  <si>
    <t>in</t>
  </si>
  <si>
    <t>out</t>
  </si>
  <si>
    <t>change</t>
  </si>
  <si>
    <t>TOTAL</t>
  </si>
  <si>
    <t>Chianti Classico Gran Selezione Castello Fonterutoli</t>
  </si>
  <si>
    <t xml:space="preserve">Mazzei </t>
  </si>
  <si>
    <t>92% Sangiovese, 8% Malvasia</t>
  </si>
  <si>
    <t>mode</t>
  </si>
  <si>
    <t>median</t>
  </si>
  <si>
    <t>max</t>
  </si>
  <si>
    <t>mean</t>
  </si>
  <si>
    <t>min</t>
  </si>
  <si>
    <t>Domaine du Grand Montmirail</t>
  </si>
  <si>
    <t>Gigondas le Coteau de Mon Reve</t>
  </si>
  <si>
    <t>hrs</t>
  </si>
  <si>
    <t>try</t>
  </si>
  <si>
    <t>keep</t>
  </si>
  <si>
    <t xml:space="preserve">UCCELLIERA </t>
  </si>
  <si>
    <t>BRUNELLO DI MONTALCINO</t>
  </si>
  <si>
    <t xml:space="preserve">TALENTI </t>
  </si>
  <si>
    <t xml:space="preserve">CIACCI PICCOLOMINI D'ARAGANO </t>
  </si>
  <si>
    <t>SANDRONE</t>
  </si>
  <si>
    <t>BAROLO CANNUBI BOSCHIS</t>
  </si>
  <si>
    <t xml:space="preserve">Giorgio Pelissero </t>
  </si>
  <si>
    <t xml:space="preserve">Barbaresco Annata </t>
  </si>
  <si>
    <t>60% Garnacha, 20% Vidadillo, 20% Carinena</t>
  </si>
  <si>
    <t>Barolo La Delizia</t>
  </si>
  <si>
    <t>Barolo, La Delizia</t>
  </si>
  <si>
    <t>M44(M)</t>
  </si>
  <si>
    <t>90+</t>
  </si>
  <si>
    <t>M45</t>
  </si>
  <si>
    <t>M46</t>
  </si>
  <si>
    <t>M47</t>
  </si>
  <si>
    <t>M48</t>
  </si>
  <si>
    <t>Feudi di San Gregorio</t>
  </si>
  <si>
    <t>Serpico IGT</t>
  </si>
  <si>
    <t>100% Aglianico</t>
  </si>
  <si>
    <t>Barolo Sori Ginestra</t>
  </si>
  <si>
    <t>Conterno Fantino</t>
  </si>
  <si>
    <t>Les Cailloux (Lucien et Andre Brunel)</t>
  </si>
  <si>
    <t xml:space="preserve">70% Grenache, 17% Mourvèdre, 10% Syrah </t>
  </si>
  <si>
    <t>Barolo Giachini</t>
  </si>
  <si>
    <t>Giovanni Corino</t>
  </si>
  <si>
    <t>Domaine Daniel-Etienne Defaix</t>
  </si>
  <si>
    <t>Chablis 1er Cru Les Lys</t>
  </si>
  <si>
    <t>100% Chardonnay</t>
  </si>
  <si>
    <t>Northern Burgundy, Chablis 1er Cru, Les Lys</t>
  </si>
  <si>
    <t>Duoro</t>
  </si>
  <si>
    <t>Field Blend Reserva</t>
  </si>
  <si>
    <t>Cave Les Vignerons de Tavel &amp; Lirac</t>
  </si>
  <si>
    <t>Lirac Domaine de l'Eyrolle</t>
  </si>
  <si>
    <t>Southern Rhone, Lirac</t>
  </si>
  <si>
    <t>M49</t>
  </si>
  <si>
    <t>Romain Duvernay</t>
  </si>
  <si>
    <t>Cotes du Rhone Villages Domaine de Pentelines</t>
  </si>
  <si>
    <t>Guy Farge</t>
  </si>
  <si>
    <t>100% Syrah</t>
  </si>
  <si>
    <t>Northern Rhone, Saint Joseph</t>
  </si>
  <si>
    <t xml:space="preserve">Caprili </t>
  </si>
  <si>
    <t>Graciano</t>
  </si>
  <si>
    <t>Corvina</t>
  </si>
  <si>
    <t>Nero d'Avola</t>
  </si>
  <si>
    <t>Frappato</t>
  </si>
  <si>
    <t>Negrara</t>
  </si>
  <si>
    <t>Rossignola</t>
  </si>
  <si>
    <t>Rondinella</t>
  </si>
  <si>
    <t>Malvasia</t>
  </si>
  <si>
    <t>Corvinone</t>
  </si>
  <si>
    <t>Cabernet Sauvignon Blend</t>
  </si>
  <si>
    <t>Vidadillo</t>
  </si>
  <si>
    <t>Semillon</t>
  </si>
  <si>
    <t>Muscat</t>
  </si>
  <si>
    <t>Petit Verdot</t>
  </si>
  <si>
    <t>Cinsault</t>
  </si>
  <si>
    <t>Molinara</t>
  </si>
  <si>
    <t>Mazuelo</t>
  </si>
  <si>
    <t>Oseleta</t>
  </si>
  <si>
    <t>Croatina</t>
  </si>
  <si>
    <t>Tier</t>
  </si>
  <si>
    <t>Drink year</t>
  </si>
  <si>
    <t>60% Cabernet Sauvignon, 40% Merlot</t>
  </si>
  <si>
    <t>Saint Joseph Terroir de Granit</t>
  </si>
  <si>
    <t>Ribera del Duero</t>
  </si>
  <si>
    <t>Methven Family Vineyards</t>
  </si>
  <si>
    <t>Pinot Noir Citizen's Cuvee</t>
  </si>
  <si>
    <t>Oregon</t>
  </si>
  <si>
    <t>Willamette Valley</t>
  </si>
  <si>
    <t>100% Pinot Noir</t>
  </si>
  <si>
    <t>Gran Reserva 890</t>
  </si>
  <si>
    <t>Viña Tondonia Gran Reserva</t>
  </si>
  <si>
    <t>Barbaresco Reservas</t>
  </si>
  <si>
    <t>90% Tempranillo, 10% Mazuelo</t>
  </si>
  <si>
    <t>80% Tempranillo, 20% Grenache</t>
  </si>
  <si>
    <t>Langhe Nebbiolo</t>
  </si>
  <si>
    <t>100% Pedro Ximenez</t>
  </si>
  <si>
    <t>Uccelliera</t>
  </si>
  <si>
    <t>Brunello di Montalcino Tenuta Nuova</t>
  </si>
  <si>
    <t>Campogiovanni</t>
  </si>
  <si>
    <t>Brunello di Montalcino San Felice</t>
  </si>
  <si>
    <t>Fattoria le Pupille</t>
  </si>
  <si>
    <t>Poggio Valente</t>
  </si>
  <si>
    <t>Abbadia Ardenga</t>
  </si>
  <si>
    <t>Mt. Carmel</t>
  </si>
  <si>
    <t>winetransit</t>
  </si>
  <si>
    <t>Perez Cruz</t>
  </si>
  <si>
    <t>Cabernet Sauvignon Reserva Estate</t>
  </si>
  <si>
    <t>Central Valley</t>
  </si>
  <si>
    <t>Maipo Valley, Alto Maipo</t>
  </si>
  <si>
    <t>91% Cabernet Sauvignon, 4% Syrah, 3% Carmenere, 2% Petite Verdot</t>
  </si>
  <si>
    <t>Michele Satta</t>
  </si>
  <si>
    <t>Bolgheri Superiore Piastraia</t>
  </si>
  <si>
    <t>Cabernet Sauvignon, Merlot, Syrah, Sangiovese</t>
  </si>
  <si>
    <t>Raul Perez</t>
  </si>
  <si>
    <t>La Vizcaina La Vitoriana</t>
  </si>
  <si>
    <t>Familia Zuccardi</t>
  </si>
  <si>
    <t>Concreto Malbec</t>
  </si>
  <si>
    <t>Il Borro</t>
  </si>
  <si>
    <t>Polissena</t>
  </si>
  <si>
    <t>Eggo Tinto de Tiza</t>
  </si>
  <si>
    <t>Gran Terroir Pinot Noir</t>
  </si>
  <si>
    <t>34% Sangiovese, 33% Cabernet Sauvignon, 33% Merlot</t>
  </si>
  <si>
    <t>Vina Alberdi Reserva Tinto</t>
  </si>
  <si>
    <t>Tolaini</t>
  </si>
  <si>
    <t>Al Passo</t>
  </si>
  <si>
    <t>Quinta de la Rosa</t>
  </si>
  <si>
    <t>Crios Cabernet Sauvignon</t>
  </si>
  <si>
    <t>Colonia Las Liebres Bonarda Clasica</t>
  </si>
  <si>
    <t>(90-91)</t>
  </si>
  <si>
    <t>Bonarda</t>
  </si>
  <si>
    <t>MS05</t>
  </si>
  <si>
    <t>M50</t>
  </si>
  <si>
    <t>Nose</t>
  </si>
  <si>
    <t>taste</t>
  </si>
  <si>
    <t>dried rose, dried fig</t>
  </si>
  <si>
    <t>dark cherries, dried fig, anise</t>
  </si>
  <si>
    <t>Tawny Porto</t>
  </si>
  <si>
    <t>RomiToro</t>
  </si>
  <si>
    <t>target</t>
  </si>
  <si>
    <t>Ribera Del Duero, Tempranillo</t>
  </si>
  <si>
    <t>g</t>
  </si>
  <si>
    <t>Unique Cabernet</t>
  </si>
  <si>
    <t>Next Vintage</t>
  </si>
  <si>
    <t>Wine</t>
  </si>
  <si>
    <t>Category</t>
  </si>
  <si>
    <t>Rioja, Tempranillo</t>
  </si>
  <si>
    <t>Ribera Del Duero, Blend</t>
  </si>
  <si>
    <t>Rioja, Tempranillo Blend</t>
  </si>
  <si>
    <t>Barbaresco Reserva</t>
  </si>
  <si>
    <t>Corte Moschina</t>
  </si>
  <si>
    <t>Valpolicella Ripasso Superiore</t>
  </si>
  <si>
    <t>80% Corvina &amp; Corvinone, 10% Rondinella, 10% Cabernet Sauvignon</t>
  </si>
  <si>
    <t>store</t>
  </si>
  <si>
    <t>mt carmel</t>
  </si>
  <si>
    <t>Hermitage</t>
  </si>
  <si>
    <t>Guigal</t>
  </si>
  <si>
    <t>631-613-6315</t>
  </si>
  <si>
    <t>matt nokowski</t>
  </si>
  <si>
    <t>724-991-9952</t>
  </si>
  <si>
    <t>S</t>
  </si>
  <si>
    <t>M</t>
  </si>
  <si>
    <t>B</t>
  </si>
  <si>
    <t>Marques de Riscal</t>
  </si>
  <si>
    <t>Bolla</t>
  </si>
  <si>
    <t>10 Year Old Tawny Port</t>
  </si>
  <si>
    <t>Palazzo Maffei</t>
  </si>
  <si>
    <t>qpr</t>
  </si>
  <si>
    <t>M51</t>
  </si>
  <si>
    <t>M52</t>
  </si>
  <si>
    <t>Hermanos Perez Pascuas</t>
  </si>
  <si>
    <t>El Pedrosal Reserva</t>
  </si>
  <si>
    <t>Sokolin</t>
  </si>
  <si>
    <t>Poggio Lucina</t>
  </si>
  <si>
    <t>Vintage Longbottom</t>
  </si>
  <si>
    <t>Henry's Drive Shiraz</t>
  </si>
  <si>
    <t>100% Shiraz</t>
  </si>
  <si>
    <t>Henry's Drive Shiraz-Cabernet Sauvignon</t>
  </si>
  <si>
    <t>72% Shiraz, 28% Cabernet Sauvignon</t>
  </si>
  <si>
    <t>Poesia</t>
  </si>
  <si>
    <t>60% Malbec, 40% Cabernet Sauvignon</t>
  </si>
  <si>
    <t>Mason</t>
  </si>
  <si>
    <t>consignments@zachys.com</t>
  </si>
  <si>
    <t>Cascina Ballarin</t>
  </si>
  <si>
    <t>Barolo Tre Ciabot</t>
  </si>
  <si>
    <t>bid</t>
  </si>
  <si>
    <t>buyer prem</t>
  </si>
  <si>
    <t>tax</t>
  </si>
  <si>
    <t>protection</t>
  </si>
  <si>
    <t>count</t>
  </si>
  <si>
    <t>60% Cabernet Sauvignon, 30% Merlot, 10% Cabernet Franc</t>
  </si>
  <si>
    <t>Zachys</t>
  </si>
  <si>
    <t>Bodegas Castilejo de Robledo</t>
  </si>
  <si>
    <t>Altos de Valdoso Reserva</t>
  </si>
  <si>
    <t>Domaine Belle</t>
  </si>
  <si>
    <t>Crozes Hermitage Cuvee Louis Belle</t>
  </si>
  <si>
    <t>Rhone, Northern Rhone</t>
  </si>
  <si>
    <t>tart cherry, fig, anise, floral, oak, granny smith apples</t>
  </si>
  <si>
    <t>blackberry, clementine, black pepper, cocoa, dark meat chicken, oats</t>
  </si>
  <si>
    <t>First Bottle</t>
  </si>
  <si>
    <t>Clos de Luz</t>
  </si>
  <si>
    <t>Azuda Syrah</t>
  </si>
  <si>
    <t>Rapel Valley, Cachapoal Valley</t>
  </si>
  <si>
    <t>Gigondas Vieilles Vignes</t>
  </si>
  <si>
    <t>1,3</t>
  </si>
  <si>
    <t>Domaine Benedetti</t>
  </si>
  <si>
    <t>Les Larmes Papales Chateauneuf du Pape</t>
  </si>
  <si>
    <t>Castello di Fonterutoli Concerto</t>
  </si>
  <si>
    <t>80% Sangiovese, 20% Cabernet Sauvignon</t>
  </si>
  <si>
    <t>Caves Sao Joao</t>
  </si>
  <si>
    <t>Frei Joao Tinto</t>
  </si>
  <si>
    <t>Baga,Touriga Nacional,Syrah,Cabernet Sauvignon</t>
  </si>
  <si>
    <t>Beiras</t>
  </si>
  <si>
    <t>Bairrada</t>
  </si>
  <si>
    <t>Chateau Musar</t>
  </si>
  <si>
    <t>Jeune Red</t>
  </si>
  <si>
    <t>Lebanon</t>
  </si>
  <si>
    <t>Bekaa Valley</t>
  </si>
  <si>
    <t>50% Cinsault, 30% Syrah, 20% Cabernet Sauvignon</t>
  </si>
  <si>
    <t>Domaine Pierre Guillemot</t>
  </si>
  <si>
    <t>Cote de Beaune, Savigny les Beaune</t>
  </si>
  <si>
    <t>Savigny Les Beaune Vieilles Vignes</t>
  </si>
  <si>
    <t>Barolo Chinato</t>
  </si>
  <si>
    <t>La Vizcaina El Rapolao</t>
  </si>
  <si>
    <t>Lanson</t>
  </si>
  <si>
    <t>Gold Label Vintage Brut</t>
  </si>
  <si>
    <t>Champagne Blend</t>
  </si>
  <si>
    <t>Pasqua</t>
  </si>
  <si>
    <t>65% Corvina, 25% Rondinella, 5% Corvinone, 5% Negrara</t>
  </si>
  <si>
    <t>Alejandro Fernandez</t>
  </si>
  <si>
    <t>Tinto Pesquera Crianza</t>
  </si>
  <si>
    <t>Schloss Vollrads</t>
  </si>
  <si>
    <t>Riesling Kabinett</t>
  </si>
  <si>
    <t>Germany</t>
  </si>
  <si>
    <t>Rheingau</t>
  </si>
  <si>
    <t>100% Riesling</t>
  </si>
  <si>
    <t>Siro Pacenti</t>
  </si>
  <si>
    <t>Brunello di Montalcino Pelagrilli</t>
  </si>
  <si>
    <t>Tasca Conti d'Almerita</t>
  </si>
  <si>
    <t>Cabernet Sauvignon Tenuta Regaleali Vigna San Francesco</t>
  </si>
  <si>
    <t>Tenuta Sant'antonio</t>
  </si>
  <si>
    <t>Torremoron</t>
  </si>
  <si>
    <t>Tinto Pesquera Reserva</t>
  </si>
  <si>
    <t>Ribera Del Duero Tempranillo</t>
  </si>
  <si>
    <t>Warre</t>
  </si>
  <si>
    <t>Mickey</t>
  </si>
  <si>
    <t>Chianti Classico, Gaiole</t>
  </si>
  <si>
    <t>80% Sangiovese, 13% Merlot, 7% Malvasia Nera</t>
  </si>
  <si>
    <t>Grand-Pontet</t>
  </si>
  <si>
    <t>70% Merlot, Cabernet Franc, Cabernet Sauvignon</t>
  </si>
  <si>
    <t>Chateau Pesquie</t>
  </si>
  <si>
    <t>Ventoux Terrasses</t>
  </si>
  <si>
    <t>60% Grenache, 40% Syrah</t>
  </si>
  <si>
    <t>Northern Rhone, Crozes Hermitage</t>
  </si>
  <si>
    <t>Descendientes de Jose Palacios</t>
  </si>
  <si>
    <t>Corullon</t>
  </si>
  <si>
    <t>(94-96)</t>
  </si>
  <si>
    <t>My Favorite Neighbor</t>
  </si>
  <si>
    <t>Harvey and Harriet</t>
  </si>
  <si>
    <t>40% Cabernet Sauvignon, 22% Syrah, 14% Petite Sirah, 10% Cabernet Franc, 10% Malbec, 4% Petit Verdot</t>
  </si>
  <si>
    <t>Central Coast, San Luis Obispo County</t>
  </si>
  <si>
    <t>(93-95)+</t>
  </si>
  <si>
    <t>Rapace</t>
  </si>
  <si>
    <t>70% Sangiovese, 20% Merlot, 10% Cabernet Sauvignon</t>
  </si>
  <si>
    <t>40% Cabernet Sauvignon, 40% Petit Verdot, 20% Cabernet Franc</t>
  </si>
  <si>
    <t>Chianti Classico Riserva Berardenga</t>
  </si>
  <si>
    <t>Chianti Classico, Castelnuovo Berardenga</t>
  </si>
  <si>
    <t>Massaya</t>
  </si>
  <si>
    <t>Gold Reserve</t>
  </si>
  <si>
    <t>65% Grenache, 25% Syrah, 10% Mourvedre</t>
  </si>
  <si>
    <t>Chateau de Saint Cosme</t>
  </si>
  <si>
    <t>50% Grenache, 30% Mourvedre, 10% Syrah, 7% Cinsaut, 3% Clairette</t>
  </si>
  <si>
    <t>wiredforwine</t>
  </si>
  <si>
    <t>Domaine de Piaugier</t>
  </si>
  <si>
    <t>65% Grenache, 20% Mourvedre, 15% Syrah</t>
  </si>
  <si>
    <t>Valderiz</t>
  </si>
  <si>
    <t>Barbera d'Alba Superiore</t>
  </si>
  <si>
    <t>Barbera d'Alba</t>
  </si>
  <si>
    <t>100% Barbera</t>
  </si>
  <si>
    <t>Prado Enea Gran Reserva</t>
  </si>
  <si>
    <t>80% Tempranillo, 20% Grenache (Mazuelo and Graciano)</t>
  </si>
  <si>
    <t>Alvear</t>
  </si>
  <si>
    <t>Pedro Ximenez Solera 1927</t>
  </si>
  <si>
    <t>Paul Jaboulet Aine</t>
  </si>
  <si>
    <t>Crozes Hermitage Domaine de Thalabert</t>
  </si>
  <si>
    <t>Vidau</t>
  </si>
  <si>
    <t>80% Tempranillo, Graciano, Grenache, Mazuelo</t>
  </si>
  <si>
    <t>Saracosa</t>
  </si>
  <si>
    <t>Governo</t>
  </si>
  <si>
    <t>Raymond</t>
  </si>
  <si>
    <t>The Inaugural R Collection</t>
  </si>
  <si>
    <t>Collezione di Paolo</t>
  </si>
  <si>
    <t>DeLoach</t>
  </si>
  <si>
    <t>Private Collection Pinot Noir</t>
  </si>
  <si>
    <t>Chateau Mouquet</t>
  </si>
  <si>
    <t>Tenuta Albrizzi</t>
  </si>
  <si>
    <t>Cabernet Sauvignon-Primitivo</t>
  </si>
  <si>
    <t>J Opi</t>
  </si>
  <si>
    <t>Stones &amp; Bones</t>
  </si>
  <si>
    <t>The Black Strump</t>
  </si>
  <si>
    <t>Durif Shiraz</t>
  </si>
  <si>
    <t>Aluado</t>
  </si>
  <si>
    <t>Somontano</t>
  </si>
  <si>
    <t>Bodega Pirineos</t>
  </si>
  <si>
    <t>Cabernet Sauvignon Seleccion Crianza</t>
  </si>
  <si>
    <t>Lodi</t>
  </si>
  <si>
    <t>AH Wines</t>
  </si>
  <si>
    <t>Zinfandel Black Saint Peter Old Vine</t>
  </si>
  <si>
    <t>Vin de France</t>
  </si>
  <si>
    <t>Cuvee du Vatican</t>
  </si>
  <si>
    <t>Benedictus de Vatican Reserve Sacree</t>
  </si>
  <si>
    <t>Diogo Sepulveda</t>
  </si>
  <si>
    <t>WSJWines</t>
  </si>
  <si>
    <t>Petit-Vedrines</t>
  </si>
  <si>
    <t>Saratoga</t>
  </si>
  <si>
    <t>89% Sémillon, 11% Sauvignon Blanc</t>
  </si>
  <si>
    <t>Saffredi</t>
  </si>
  <si>
    <t>60% Cabernet Sauvignon, 30% Merlot, 10% Petit Verdot</t>
  </si>
  <si>
    <t>Barolo Bricco Boschis</t>
  </si>
  <si>
    <t>Barolo, Castiglione Falletto</t>
  </si>
  <si>
    <t>Camigliano</t>
  </si>
  <si>
    <t>Riesling Spatlese</t>
  </si>
  <si>
    <t>Mauro Molino</t>
  </si>
  <si>
    <t>Max Ferdinand Richter</t>
  </si>
  <si>
    <t>Mosel</t>
  </si>
  <si>
    <t>Wehlener Sonnenurh Riesling Kabinett</t>
  </si>
  <si>
    <t>Marchesi Antinori</t>
  </si>
  <si>
    <t>Muffato della Sala IGT</t>
  </si>
  <si>
    <t>50% Sauvignon Blanc, 30% Grechetto, 20% Drupreggio</t>
  </si>
  <si>
    <t>Langhe Nebbiolo Clare J.C.</t>
  </si>
  <si>
    <t>ETA</t>
  </si>
  <si>
    <t>Grand Serres, Les</t>
  </si>
  <si>
    <t>Cotes du Rhone Portes du Castelas</t>
  </si>
  <si>
    <t>Grenache, Syrah, Carignan, Cinsault</t>
  </si>
  <si>
    <t>Osvaldo Viberti</t>
  </si>
  <si>
    <t>Nascetta Papalot</t>
  </si>
  <si>
    <t>VDLT</t>
  </si>
  <si>
    <t>100% Nascetta</t>
  </si>
  <si>
    <t>Bosco Agostino</t>
  </si>
  <si>
    <t>Barolo Neirane</t>
  </si>
  <si>
    <t>Caparsa</t>
  </si>
  <si>
    <t>Arizcuren</t>
  </si>
  <si>
    <t>Solo Mazuelo</t>
  </si>
  <si>
    <t>100% Mazuelo</t>
  </si>
  <si>
    <t>Traslanzas</t>
  </si>
  <si>
    <t>Castilla Y Leon</t>
  </si>
  <si>
    <t>Domaine de Bellevue</t>
  </si>
  <si>
    <t>Saint Pourcain Roche Grises</t>
  </si>
  <si>
    <t>60% Pinot Noir, 40% Gamay</t>
  </si>
  <si>
    <t>Domaine Gigou</t>
  </si>
  <si>
    <t>Coteaux du Loir L'Ancetre</t>
  </si>
  <si>
    <t>100% Pineau d'Aunis</t>
  </si>
  <si>
    <t>Moulin de La Gardette</t>
  </si>
  <si>
    <t>Gigondas Cuvee Tradition</t>
  </si>
  <si>
    <t>Cuvee Gigout</t>
  </si>
  <si>
    <t>Domaine Nau Freres</t>
  </si>
  <si>
    <t>Bourgueil Vieilles Vignes</t>
  </si>
  <si>
    <t>Vittorio Innocenti</t>
  </si>
  <si>
    <t>Rosso di Montepulciano</t>
  </si>
  <si>
    <t>Sangiovese, Canaiolo Nero, Mammolo</t>
  </si>
  <si>
    <t>Vino Nobile di Montipulciano</t>
  </si>
  <si>
    <t>Vino Nobile di Montipulciano Riserva</t>
  </si>
  <si>
    <t>Chianti dei Colli Senesi</t>
  </si>
  <si>
    <t>Chianti, Colli Senesi</t>
  </si>
  <si>
    <t xml:space="preserve">Sangiovese, Canaiolo </t>
  </si>
  <si>
    <t>Acerone Rosso Toscano IGT</t>
  </si>
  <si>
    <t>Occhio di Pernice Vin Santo</t>
  </si>
  <si>
    <t>Vin Santo del Chianti</t>
  </si>
  <si>
    <t>Malvasia, Grechetto</t>
  </si>
  <si>
    <t>Chateau Suduiraut</t>
  </si>
  <si>
    <t>93% Semillon, 7% Sauvignon Blanc</t>
  </si>
  <si>
    <t>Garys Wine</t>
  </si>
  <si>
    <t>Blogheri Superiore</t>
  </si>
  <si>
    <t>65% Cabernet Sauvignon, 20% Merlot, 15% Sangiovese</t>
  </si>
  <si>
    <t xml:space="preserve">Avignonesi </t>
  </si>
  <si>
    <t>Vino Nobile di Montepulciano</t>
  </si>
  <si>
    <t>EatalyVino</t>
  </si>
  <si>
    <t xml:space="preserve">Citarella </t>
  </si>
  <si>
    <t>Abbazia di Novacella</t>
  </si>
  <si>
    <t>Trentino-Alto Adige</t>
  </si>
  <si>
    <t>Moscato Rosa Praepositus</t>
  </si>
  <si>
    <t>Alto Adige</t>
  </si>
  <si>
    <t>Donnafugata</t>
  </si>
  <si>
    <t>Passito di Pantelleria Ben Rye</t>
  </si>
  <si>
    <t>Moscato</t>
  </si>
  <si>
    <t>Passito di Pantelleria</t>
  </si>
  <si>
    <t>Zibibbo</t>
  </si>
  <si>
    <t>Firriato</t>
  </si>
  <si>
    <t>Passito L'Ecru</t>
  </si>
  <si>
    <t>Terre Siciliane</t>
  </si>
  <si>
    <t>Pellegrino</t>
  </si>
  <si>
    <t>Marsala Superiore Garibaldi Dolce</t>
  </si>
  <si>
    <t>Marsala</t>
  </si>
  <si>
    <t>Santa Vittoria</t>
  </si>
  <si>
    <t>50% Trevviano, 50% Malvasia</t>
  </si>
  <si>
    <t>Vin Santo</t>
  </si>
  <si>
    <t>Vinsanto Valdichiana Toscana</t>
  </si>
  <si>
    <t>Emilia-Romagna</t>
  </si>
  <si>
    <t>Albana di Romagna</t>
  </si>
  <si>
    <t>Albana di Romagna Passito</t>
  </si>
  <si>
    <t>Albana</t>
  </si>
  <si>
    <t>Tignanello</t>
  </si>
  <si>
    <t>80% Sangiovese, 13% Cabernet Sauvignon, 7% Cabernet Franc</t>
  </si>
  <si>
    <t>45% Corvina, 45% Corvinone, 5% Rondinella, 5% Oseleta</t>
  </si>
  <si>
    <t>Fattoria la Massa</t>
  </si>
  <si>
    <t>Giorgio Primo</t>
  </si>
  <si>
    <t>55% Cabernet Sauvignon, 40% Merlot, 5% Petit Verdot</t>
  </si>
  <si>
    <t>Sicilia</t>
  </si>
  <si>
    <t>Now</t>
  </si>
  <si>
    <t>Keeping</t>
  </si>
  <si>
    <t>Cellaring</t>
  </si>
  <si>
    <t>Garys</t>
  </si>
  <si>
    <t>garys</t>
  </si>
  <si>
    <t>WSJ</t>
  </si>
  <si>
    <t>eataly</t>
  </si>
  <si>
    <t>vinsrare</t>
  </si>
  <si>
    <t>winecom</t>
  </si>
  <si>
    <t>wtso</t>
  </si>
  <si>
    <t>zachys</t>
  </si>
  <si>
    <t>home</t>
  </si>
  <si>
    <t>80% Tempranillo, 10% Cabernet Sauvignon, 10% Merlot</t>
  </si>
  <si>
    <t>Barolo Castiglione</t>
  </si>
  <si>
    <t>M53</t>
  </si>
  <si>
    <t>Paolo Scavino</t>
  </si>
  <si>
    <t>Pedro Ximenez de Anada</t>
  </si>
  <si>
    <t>Close des Andes</t>
  </si>
  <si>
    <t>Montepeloso</t>
  </si>
  <si>
    <t>Eneo</t>
  </si>
  <si>
    <t>45% Sangiovese, 35% Montepulciano, 15% Alicante, 5% Malvasia Nera</t>
  </si>
  <si>
    <t>Grattamacco</t>
  </si>
  <si>
    <t>Morrell</t>
  </si>
  <si>
    <t>Storage</t>
  </si>
  <si>
    <t>50% Cabernet Sauvignon, 40% Mourvedre, 10% Syrah</t>
  </si>
  <si>
    <t>Bollinger</t>
  </si>
  <si>
    <t>66% Pinot Noir, 34% Chardonnay</t>
  </si>
  <si>
    <t>La Grande Annee</t>
  </si>
  <si>
    <t>97+</t>
  </si>
  <si>
    <t>71% Pinot Noir, 29% Chardonnay</t>
  </si>
  <si>
    <t>R.D. Extra Brut</t>
  </si>
  <si>
    <t>M54</t>
  </si>
  <si>
    <t>M55</t>
  </si>
  <si>
    <t>M56(M)</t>
  </si>
  <si>
    <t>Gordo</t>
  </si>
  <si>
    <t>Yecla</t>
  </si>
  <si>
    <t>70% Mourvèdre, 30% Cabernet Sauvignon</t>
  </si>
  <si>
    <t>City Wine Merchant</t>
  </si>
  <si>
    <t>L'Apparita</t>
  </si>
  <si>
    <t>100% Merlot</t>
  </si>
  <si>
    <t>Tedeschi</t>
  </si>
  <si>
    <t>Amarone della Valpolicella Classico Riserva Capitel Monte Olmi</t>
  </si>
  <si>
    <t>30% Corvina, 30% Corvinone, 30% Rondinella, 10% Oseleta, Negrara, Dindarella, Croatina, Forselina</t>
  </si>
  <si>
    <t>100% Bovale</t>
  </si>
  <si>
    <t>Pala</t>
  </si>
  <si>
    <t>Isola dei Nuraghi</t>
  </si>
  <si>
    <t>Essentija</t>
  </si>
  <si>
    <t>M58</t>
  </si>
  <si>
    <t>M57(M)</t>
  </si>
  <si>
    <t>M59</t>
  </si>
  <si>
    <t>M60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</si>
  <si>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</si>
  <si>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</si>
  <si>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</si>
  <si>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</si>
  <si>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</si>
  <si>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</si>
  <si>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</si>
  <si>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</si>
  <si>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</si>
  <si>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</si>
  <si>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</si>
  <si>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50% Sangioveto, 25% Merlot, 25% Cabernet Sauvignon</t>
  </si>
  <si>
    <t>80% Sangiovese, 10% Merlot, 10% Cabernet Sauvignon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</si>
  <si>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</si>
  <si>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</si>
  <si>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</si>
  <si>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</si>
  <si>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</si>
  <si>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</si>
  <si>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</si>
  <si>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</si>
  <si>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</si>
  <si>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Micky</t>
  </si>
  <si>
    <t>Cabernet Sauvignon, Primitivo</t>
  </si>
  <si>
    <t>Cotes du Rhone Villages Arcane XIX Le Soleil</t>
  </si>
  <si>
    <t>Elodia</t>
  </si>
  <si>
    <t>San Juan</t>
  </si>
  <si>
    <t>Pedernal Valley</t>
  </si>
  <si>
    <t>Finca Fuego Blanco Malbec</t>
  </si>
  <si>
    <t>Arrocal</t>
  </si>
  <si>
    <t>Ribera del Duero Seleccion</t>
  </si>
  <si>
    <t>Virgen de la Sierra</t>
  </si>
  <si>
    <t>Albada</t>
  </si>
  <si>
    <t>Contino</t>
  </si>
  <si>
    <t>85% Tempranillo, 10% Graciano, Mazuelo, Grenache</t>
  </si>
  <si>
    <t>Brigaldara</t>
  </si>
  <si>
    <t>45% Corvina, 45% Corvinone, 10% Rondinella</t>
  </si>
  <si>
    <t>B-21</t>
  </si>
  <si>
    <t>89% Tempranillo, 11% Graciano</t>
  </si>
  <si>
    <t>Chateau Rayne-Vigneau</t>
  </si>
  <si>
    <t>85% Tempranillo, 10% Graciano, 5%Mazuelo</t>
  </si>
  <si>
    <t>CVNE</t>
  </si>
  <si>
    <t>Cune Gran Reserva</t>
  </si>
  <si>
    <t>Quinta do Crasto</t>
  </si>
  <si>
    <t>Tinto Crasto Superior</t>
  </si>
  <si>
    <t>50% Touriga Nacional, 25% Touriga Franca, 20% Tinta Roriz, 5% Souzao</t>
  </si>
  <si>
    <t>Barolo Bric del Fiasc</t>
  </si>
  <si>
    <t>Domaine Raymond Usseglio</t>
  </si>
  <si>
    <t>Vin de France le Creation</t>
  </si>
  <si>
    <t>Montsecano</t>
  </si>
  <si>
    <t>Aconcagua</t>
  </si>
  <si>
    <t>Casablanca Valley</t>
  </si>
  <si>
    <t>Refugio Pinot Noir</t>
  </si>
  <si>
    <t>Barolo Monvigliero</t>
  </si>
  <si>
    <t>Barolo Carobric</t>
  </si>
  <si>
    <t>Barolo, Verduno</t>
  </si>
  <si>
    <t>Bedrock Wine Co</t>
  </si>
  <si>
    <t>Old Vine Zinfandel</t>
  </si>
  <si>
    <t>100% Zinfandel</t>
  </si>
  <si>
    <t>Irpinia Aglianico Rubrato</t>
  </si>
  <si>
    <t>Irpinia</t>
  </si>
  <si>
    <t>60% Corvina, 30% Rondinella, 10% Molinara</t>
  </si>
  <si>
    <t>Type</t>
  </si>
  <si>
    <t>Chianti Classico Riserva Caparsino</t>
  </si>
  <si>
    <t>Domaine Albert Morot</t>
  </si>
  <si>
    <t>Beaune 1er Cru Les Toussaints</t>
  </si>
  <si>
    <t>Cote de Beaune, Beaune 1er Cru</t>
  </si>
  <si>
    <t>(89-91)</t>
  </si>
  <si>
    <t>Clos des Papes</t>
  </si>
  <si>
    <t>65% Grenache, 20% Mourvedre, 10% Syrah, 5% Counoise</t>
  </si>
  <si>
    <t>Chateauneuf du Pape Cuvee de Mon Aieul</t>
  </si>
  <si>
    <t>85% Grenache, 5% Syrah, 5% Mourvedre, 5% Cinsault</t>
  </si>
  <si>
    <t>Centenarians Grenache, Vaccarèse, Counoise, Mourvèdre, Cinsault, Terret Noir and Muscardin</t>
  </si>
  <si>
    <t>Ponce</t>
  </si>
  <si>
    <t>P.F.</t>
  </si>
  <si>
    <t>100% Bobal</t>
  </si>
  <si>
    <t>Castilla La Mancha</t>
  </si>
  <si>
    <t>Manchuela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</si>
</sst>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dddd"/>
    <numFmt numFmtId="165" formatCode="mmmm"/>
    <numFmt numFmtId="166" formatCode="0.0"/>
    <numFmt numFmtId="167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</cellStyleXfs>
  <cellXfs count="144">
    <xf numFmtId="0" fontId="0" fillId="0" borderId="0" xfId="0"/>
    <xf numFmtId="14" fontId="0" fillId="0" borderId="0" xfId="0" applyNumberFormat="1"/>
    <xf numFmtId="44" fontId="0" fillId="0" borderId="0" xfId="1" applyFont="1"/>
    <xf numFmtId="44" fontId="14" fillId="0" borderId="0" xfId="1" applyFont="1"/>
    <xf numFmtId="44" fontId="18" fillId="0" borderId="0" xfId="1" applyFont="1"/>
    <xf numFmtId="0" fontId="0" fillId="0" borderId="11" xfId="0" applyBorder="1"/>
    <xf numFmtId="0" fontId="0" fillId="33" borderId="0" xfId="0" applyFill="1"/>
    <xf numFmtId="1" fontId="0" fillId="0" borderId="0" xfId="0" applyNumberFormat="1"/>
    <xf numFmtId="0" fontId="0" fillId="0" borderId="0" xfId="0" applyFill="1"/>
    <xf numFmtId="0" fontId="0" fillId="0" borderId="0" xfId="0" applyBorder="1"/>
    <xf numFmtId="0" fontId="0" fillId="0" borderId="0" xfId="0" applyNumberFormat="1"/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44" fontId="0" fillId="0" borderId="0" xfId="1" applyFont="1" applyFill="1"/>
    <xf numFmtId="0" fontId="0" fillId="34" borderId="0" xfId="0" applyFill="1"/>
    <xf numFmtId="44" fontId="0" fillId="0" borderId="0" xfId="0" applyNumberFormat="1" applyFill="1"/>
    <xf numFmtId="44" fontId="1" fillId="0" borderId="0" xfId="42" applyNumberFormat="1" applyFill="1"/>
    <xf numFmtId="166" fontId="0" fillId="0" borderId="0" xfId="0" applyNumberFormat="1"/>
    <xf numFmtId="0" fontId="0" fillId="0" borderId="0" xfId="0" applyFill="1" applyBorder="1"/>
    <xf numFmtId="0" fontId="0" fillId="35" borderId="0" xfId="0" applyFill="1"/>
    <xf numFmtId="0" fontId="0" fillId="0" borderId="0" xfId="0" applyAlignment="1">
      <alignment horizontal="left"/>
    </xf>
    <xf numFmtId="0" fontId="0" fillId="0" borderId="12" xfId="0" applyBorder="1"/>
    <xf numFmtId="44" fontId="0" fillId="0" borderId="12" xfId="1" applyFont="1" applyBorder="1"/>
    <xf numFmtId="0" fontId="6" fillId="2" borderId="0" xfId="7"/>
    <xf numFmtId="0" fontId="0" fillId="0" borderId="0" xfId="0" applyFont="1"/>
    <xf numFmtId="0" fontId="0" fillId="0" borderId="0" xfId="0" applyNumberFormat="1" applyFont="1"/>
    <xf numFmtId="166" fontId="0" fillId="0" borderId="0" xfId="0" applyNumberFormat="1" applyFont="1"/>
    <xf numFmtId="14" fontId="0" fillId="0" borderId="0" xfId="0" applyNumberFormat="1" applyFont="1"/>
    <xf numFmtId="44" fontId="0" fillId="0" borderId="0" xfId="0" applyNumberFormat="1" applyFont="1"/>
    <xf numFmtId="0" fontId="0" fillId="0" borderId="0" xfId="0" applyFont="1" applyBorder="1"/>
    <xf numFmtId="14" fontId="0" fillId="36" borderId="0" xfId="0" applyNumberFormat="1" applyFill="1"/>
    <xf numFmtId="0" fontId="0" fillId="0" borderId="0" xfId="0" applyFont="1" applyFill="1"/>
    <xf numFmtId="0" fontId="0" fillId="0" borderId="0" xfId="0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Fill="1" applyBorder="1"/>
    <xf numFmtId="0" fontId="13" fillId="7" borderId="7" xfId="14"/>
    <xf numFmtId="0" fontId="0" fillId="0" borderId="0" xfId="0"/>
    <xf numFmtId="0" fontId="0" fillId="37" borderId="0" xfId="0" applyFill="1"/>
    <xf numFmtId="2" fontId="0" fillId="0" borderId="0" xfId="0" applyNumberFormat="1"/>
    <xf numFmtId="0" fontId="7" fillId="3" borderId="0" xfId="8"/>
    <xf numFmtId="0" fontId="0" fillId="0" borderId="13" xfId="0" applyBorder="1"/>
    <xf numFmtId="44" fontId="0" fillId="0" borderId="13" xfId="1" applyFont="1" applyBorder="1"/>
    <xf numFmtId="0" fontId="0" fillId="0" borderId="14" xfId="0" applyBorder="1"/>
    <xf numFmtId="44" fontId="0" fillId="0" borderId="14" xfId="1" applyFont="1" applyBorder="1"/>
    <xf numFmtId="9" fontId="0" fillId="0" borderId="0" xfId="43" applyFont="1"/>
    <xf numFmtId="167" fontId="0" fillId="0" borderId="0" xfId="43" applyNumberFormat="1" applyFont="1"/>
    <xf numFmtId="9" fontId="0" fillId="0" borderId="0" xfId="43" applyFont="1" applyAlignment="1">
      <alignment horizontal="left"/>
    </xf>
    <xf numFmtId="1" fontId="7" fillId="3" borderId="0" xfId="8" applyNumberFormat="1"/>
    <xf numFmtId="44" fontId="0" fillId="0" borderId="14" xfId="0" applyNumberFormat="1" applyBorder="1"/>
    <xf numFmtId="1" fontId="0" fillId="0" borderId="0" xfId="43" applyNumberFormat="1" applyFont="1" applyAlignment="1">
      <alignment horizontal="left"/>
    </xf>
    <xf numFmtId="1" fontId="0" fillId="0" borderId="0" xfId="0" applyNumberFormat="1" applyAlignment="1">
      <alignment horizontal="left"/>
    </xf>
    <xf numFmtId="44" fontId="0" fillId="0" borderId="0" xfId="1" applyFont="1" applyAlignment="1">
      <alignment horizontal="left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15" xfId="0" applyNumberFormat="1" applyBorder="1"/>
    <xf numFmtId="1" fontId="0" fillId="0" borderId="0" xfId="0" applyNumberFormat="1" applyBorder="1"/>
    <xf numFmtId="1" fontId="0" fillId="0" borderId="16" xfId="0" applyNumberFormat="1" applyBorder="1"/>
    <xf numFmtId="0" fontId="0" fillId="0" borderId="0" xfId="0" applyFont="1" applyBorder="1" applyAlignment="1">
      <alignment horizontal="left"/>
    </xf>
    <xf numFmtId="0" fontId="0" fillId="36" borderId="0" xfId="0" applyFill="1"/>
    <xf numFmtId="0" fontId="0" fillId="0" borderId="0" xfId="0" applyNumberFormat="1" applyFill="1"/>
    <xf numFmtId="14" fontId="0" fillId="0" borderId="0" xfId="0" applyNumberFormat="1" applyFill="1"/>
    <xf numFmtId="0" fontId="18" fillId="0" borderId="0" xfId="0" applyFont="1" applyFill="1"/>
    <xf numFmtId="0" fontId="14" fillId="0" borderId="0" xfId="0" applyFont="1"/>
    <xf numFmtId="0" fontId="14" fillId="0" borderId="0" xfId="0" applyFont="1" applyBorder="1"/>
    <xf numFmtId="0" fontId="20" fillId="0" borderId="0" xfId="0" applyFont="1" applyBorder="1"/>
    <xf numFmtId="0" fontId="18" fillId="0" borderId="0" xfId="0" applyFont="1"/>
    <xf numFmtId="0" fontId="18" fillId="0" borderId="0" xfId="0" applyFont="1" applyBorder="1"/>
    <xf numFmtId="0" fontId="20" fillId="0" borderId="0" xfId="0" applyFont="1"/>
    <xf numFmtId="44" fontId="0" fillId="0" borderId="0" xfId="1" applyFont="1" applyBorder="1"/>
    <xf numFmtId="0" fontId="0" fillId="38" borderId="0" xfId="0" applyFill="1"/>
    <xf numFmtId="0" fontId="0" fillId="0" borderId="10" xfId="0" applyBorder="1"/>
    <xf numFmtId="0" fontId="0" fillId="0" borderId="17" xfId="0" applyBorder="1"/>
    <xf numFmtId="1" fontId="0" fillId="0" borderId="12" xfId="1" applyNumberFormat="1" applyFont="1" applyBorder="1"/>
    <xf numFmtId="1" fontId="0" fillId="0" borderId="0" xfId="1" applyNumberFormat="1" applyFont="1" applyBorder="1"/>
    <xf numFmtId="44" fontId="0" fillId="0" borderId="12" xfId="0" applyNumberFormat="1" applyBorder="1"/>
    <xf numFmtId="44" fontId="0" fillId="0" borderId="17" xfId="1" applyFont="1" applyBorder="1"/>
    <xf numFmtId="0" fontId="0" fillId="39" borderId="0" xfId="0" applyFill="1"/>
    <xf numFmtId="0" fontId="0" fillId="0" borderId="0" xfId="0" applyFill="1" applyBorder="1" applyAlignment="1">
      <alignment horizontal="left"/>
    </xf>
    <xf numFmtId="0" fontId="0" fillId="0" borderId="18" xfId="0" applyBorder="1"/>
    <xf numFmtId="44" fontId="0" fillId="0" borderId="19" xfId="1" applyFont="1" applyBorder="1"/>
    <xf numFmtId="44" fontId="0" fillId="0" borderId="20" xfId="1" applyFont="1" applyBorder="1"/>
    <xf numFmtId="44" fontId="0" fillId="0" borderId="18" xfId="1" applyFont="1" applyBorder="1"/>
    <xf numFmtId="0" fontId="0" fillId="0" borderId="21" xfId="0" applyBorder="1"/>
    <xf numFmtId="44" fontId="0" fillId="0" borderId="22" xfId="1" applyFont="1" applyBorder="1"/>
    <xf numFmtId="44" fontId="0" fillId="0" borderId="23" xfId="1" applyFont="1" applyBorder="1"/>
    <xf numFmtId="44" fontId="0" fillId="0" borderId="21" xfId="1" applyFont="1" applyBorder="1"/>
    <xf numFmtId="44" fontId="0" fillId="0" borderId="18" xfId="0" applyNumberFormat="1" applyBorder="1"/>
    <xf numFmtId="44" fontId="6" fillId="2" borderId="0" xfId="7" applyNumberFormat="1"/>
    <xf numFmtId="44" fontId="6" fillId="2" borderId="18" xfId="7" applyNumberFormat="1" applyBorder="1"/>
    <xf numFmtId="0" fontId="1" fillId="26" borderId="0" xfId="36"/>
    <xf numFmtId="0" fontId="1" fillId="30" borderId="0" xfId="40"/>
    <xf numFmtId="44" fontId="1" fillId="30" borderId="0" xfId="40" applyNumberFormat="1"/>
    <xf numFmtId="0" fontId="0" fillId="0" borderId="0" xfId="0" applyAlignment="1">
      <alignment horizontal="center"/>
    </xf>
    <xf numFmtId="0" fontId="0" fillId="0" borderId="15" xfId="0" applyBorder="1"/>
    <xf numFmtId="0" fontId="0" fillId="33" borderId="0" xfId="0" applyFill="1" applyBorder="1"/>
    <xf numFmtId="0" fontId="0" fillId="33" borderId="15" xfId="0" applyFill="1" applyBorder="1"/>
    <xf numFmtId="9" fontId="18" fillId="0" borderId="0" xfId="0" applyNumberFormat="1" applyFont="1"/>
    <xf numFmtId="0" fontId="0" fillId="33" borderId="14" xfId="0" applyFill="1" applyBorder="1"/>
    <xf numFmtId="0" fontId="0" fillId="0" borderId="22" xfId="0" applyBorder="1"/>
    <xf numFmtId="0" fontId="0" fillId="33" borderId="22" xfId="0" applyFill="1" applyBorder="1"/>
    <xf numFmtId="0" fontId="0" fillId="36" borderId="22" xfId="0" applyFill="1" applyBorder="1"/>
    <xf numFmtId="0" fontId="0" fillId="40" borderId="0" xfId="0" applyFill="1"/>
    <xf numFmtId="1" fontId="0" fillId="0" borderId="0" xfId="1" applyNumberFormat="1" applyFont="1"/>
    <xf numFmtId="0" fontId="0" fillId="0" borderId="19" xfId="0" applyBorder="1"/>
    <xf numFmtId="44" fontId="0" fillId="0" borderId="0" xfId="0" applyNumberFormat="1" applyFont="1" applyBorder="1"/>
    <xf numFmtId="0" fontId="0" fillId="41" borderId="0" xfId="0" applyFill="1"/>
    <xf numFmtId="0" fontId="0" fillId="41" borderId="0" xfId="0" applyFont="1" applyFill="1"/>
    <xf numFmtId="0" fontId="21" fillId="0" borderId="0" xfId="0" applyFont="1" applyAlignment="1">
      <alignment horizontal="center"/>
    </xf>
    <xf numFmtId="0" fontId="23" fillId="0" borderId="0" xfId="0" applyFont="1"/>
    <xf numFmtId="0" fontId="24" fillId="0" borderId="0" xfId="0" applyFont="1"/>
    <xf numFmtId="0" fontId="25" fillId="0" borderId="0" xfId="44"/>
    <xf numFmtId="0" fontId="26" fillId="0" borderId="0" xfId="0" applyFont="1"/>
    <xf numFmtId="0" fontId="0" fillId="40" borderId="0" xfId="0" applyFill="1" applyBorder="1"/>
    <xf numFmtId="0" fontId="27" fillId="0" borderId="0" xfId="0" applyFont="1" applyFill="1"/>
    <xf numFmtId="0" fontId="22" fillId="0" borderId="0" xfId="0" applyFont="1" applyAlignment="1">
      <alignment horizontal="left"/>
    </xf>
    <xf numFmtId="0" fontId="22" fillId="0" borderId="0" xfId="0" applyFont="1"/>
    <xf numFmtId="0" fontId="23" fillId="0" borderId="0" xfId="0" applyFont="1" applyBorder="1"/>
    <xf numFmtId="0" fontId="20" fillId="0" borderId="0" xfId="0" applyFont="1" applyFill="1"/>
    <xf numFmtId="0" fontId="18" fillId="40" borderId="0" xfId="0" applyFont="1" applyFill="1"/>
    <xf numFmtId="0" fontId="27" fillId="0" borderId="0" xfId="0" applyFont="1"/>
    <xf numFmtId="0" fontId="24" fillId="0" borderId="0" xfId="0" applyFont="1" applyFill="1"/>
    <xf numFmtId="0" fontId="28" fillId="0" borderId="0" xfId="0" applyFont="1"/>
    <xf numFmtId="0" fontId="28" fillId="0" borderId="0" xfId="0" applyFont="1" applyFill="1"/>
    <xf numFmtId="0" fontId="29" fillId="0" borderId="0" xfId="0" applyFont="1"/>
    <xf numFmtId="0" fontId="0" fillId="0" borderId="10" xfId="0" applyFont="1" applyBorder="1"/>
    <xf numFmtId="44" fontId="18" fillId="38" borderId="0" xfId="1" applyFont="1" applyFill="1"/>
    <xf numFmtId="44" fontId="18" fillId="0" borderId="0" xfId="1" applyFont="1" applyFill="1"/>
    <xf numFmtId="44" fontId="18" fillId="39" borderId="0" xfId="1" applyFont="1" applyFill="1"/>
    <xf numFmtId="0" fontId="0" fillId="41" borderId="0" xfId="0" applyFont="1" applyFill="1" applyBorder="1"/>
    <xf numFmtId="0" fontId="0" fillId="37" borderId="0" xfId="0" applyFont="1" applyFill="1"/>
    <xf numFmtId="0" fontId="0" fillId="37" borderId="0" xfId="0" applyFill="1" applyBorder="1"/>
    <xf numFmtId="0" fontId="0" fillId="0" borderId="11" xfId="0" applyFont="1" applyFill="1" applyBorder="1"/>
    <xf numFmtId="44" fontId="14" fillId="0" borderId="0" xfId="1" applyFont="1" applyFill="1"/>
    <xf numFmtId="0" fontId="0" fillId="34" borderId="0" xfId="0" applyFill="1" applyBorder="1"/>
    <xf numFmtId="0" fontId="18" fillId="36" borderId="0" xfId="0" applyFont="1" applyFill="1"/>
    <xf numFmtId="0" fontId="30" fillId="0" borderId="24" xfId="0" applyFont="1" applyBorder="1"/>
    <xf numFmtId="0" fontId="0" fillId="0" borderId="24" xfId="0" applyBorder="1"/>
    <xf numFmtId="44" fontId="0" fillId="0" borderId="24" xfId="0" applyNumberFormat="1" applyBorder="1"/>
    <xf numFmtId="1" fontId="0" fillId="0" borderId="24" xfId="0" applyNumberFormat="1" applyBorder="1"/>
    <xf numFmtId="0" fontId="18" fillId="0" borderId="0" xfId="0" applyFont="1" applyAlignment="1">
      <alignment horizontal="left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6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166" formatCode="0.0"/>
    </dxf>
    <dxf>
      <numFmt numFmtId="0" formatCode="General"/>
    </dxf>
    <dxf>
      <numFmt numFmtId="0" formatCode="General"/>
    </dxf>
    <dxf>
      <numFmt numFmtId="19" formatCode="m/d/yyyy"/>
    </dxf>
    <dxf>
      <numFmt numFmtId="166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Expenses!$D$1</c:f>
              <c:strCache>
                <c:ptCount val="1"/>
                <c:pt idx="0">
                  <c:v>Tqty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Expenses!$C$2:$C$22</c:f>
              <c:strCache>
                <c:ptCount val="21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  <c:pt idx="15">
                  <c:v>July</c:v>
                </c:pt>
                <c:pt idx="16">
                  <c:v>August</c:v>
                </c:pt>
                <c:pt idx="17">
                  <c:v>September</c:v>
                </c:pt>
                <c:pt idx="18">
                  <c:v>October</c:v>
                </c:pt>
                <c:pt idx="19">
                  <c:v>November</c:v>
                </c:pt>
                <c:pt idx="20">
                  <c:v>December</c:v>
                </c:pt>
              </c:strCache>
            </c:strRef>
          </c:cat>
          <c:val>
            <c:numRef>
              <c:f>Expenses!$D$2:$D$22</c:f>
              <c:numCache>
                <c:formatCode>General</c:formatCode>
                <c:ptCount val="21"/>
                <c:pt idx="3">
                  <c:v>30</c:v>
                </c:pt>
                <c:pt idx="4">
                  <c:v>30</c:v>
                </c:pt>
                <c:pt idx="5">
                  <c:v>15</c:v>
                </c:pt>
                <c:pt idx="6">
                  <c:v>21</c:v>
                </c:pt>
                <c:pt idx="7">
                  <c:v>19</c:v>
                </c:pt>
                <c:pt idx="8">
                  <c:v>21</c:v>
                </c:pt>
                <c:pt idx="9">
                  <c:v>19</c:v>
                </c:pt>
                <c:pt idx="10">
                  <c:v>20</c:v>
                </c:pt>
                <c:pt idx="11">
                  <c:v>19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22</c:v>
                </c:pt>
                <c:pt idx="20">
                  <c:v>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D24-4C49-AE09-C8A2E92613F2}"/>
            </c:ext>
          </c:extLst>
        </c:ser>
        <c:ser>
          <c:idx val="1"/>
          <c:order val="1"/>
          <c:tx>
            <c:strRef>
              <c:f>Expenses!$E$1</c:f>
              <c:strCache>
                <c:ptCount val="1"/>
                <c:pt idx="0">
                  <c:v>Aqty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Expenses!$C$2:$C$22</c:f>
              <c:strCache>
                <c:ptCount val="21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  <c:pt idx="15">
                  <c:v>July</c:v>
                </c:pt>
                <c:pt idx="16">
                  <c:v>August</c:v>
                </c:pt>
                <c:pt idx="17">
                  <c:v>September</c:v>
                </c:pt>
                <c:pt idx="18">
                  <c:v>October</c:v>
                </c:pt>
                <c:pt idx="19">
                  <c:v>November</c:v>
                </c:pt>
                <c:pt idx="20">
                  <c:v>December</c:v>
                </c:pt>
              </c:strCache>
            </c:strRef>
          </c:cat>
          <c:val>
            <c:numRef>
              <c:f>Expenses!$E$2:$E$22</c:f>
              <c:numCache>
                <c:formatCode>General</c:formatCode>
                <c:ptCount val="21"/>
                <c:pt idx="0">
                  <c:v>41</c:v>
                </c:pt>
                <c:pt idx="1">
                  <c:v>28.5</c:v>
                </c:pt>
                <c:pt idx="2">
                  <c:v>25.5</c:v>
                </c:pt>
                <c:pt idx="3">
                  <c:v>18</c:v>
                </c:pt>
                <c:pt idx="4">
                  <c:v>23</c:v>
                </c:pt>
                <c:pt idx="5">
                  <c:v>11.5</c:v>
                </c:pt>
                <c:pt idx="6">
                  <c:v>20.5</c:v>
                </c:pt>
                <c:pt idx="7">
                  <c:v>17.5</c:v>
                </c:pt>
                <c:pt idx="8">
                  <c:v>34.666666666666664</c:v>
                </c:pt>
                <c:pt idx="9">
                  <c:v>25</c:v>
                </c:pt>
                <c:pt idx="10">
                  <c:v>23</c:v>
                </c:pt>
                <c:pt idx="11">
                  <c:v>22.5</c:v>
                </c:pt>
                <c:pt idx="12">
                  <c:v>23</c:v>
                </c:pt>
                <c:pt idx="13">
                  <c:v>35</c:v>
                </c:pt>
                <c:pt idx="14">
                  <c:v>27</c:v>
                </c:pt>
                <c:pt idx="15">
                  <c:v>24.666666666666664</c:v>
                </c:pt>
                <c:pt idx="16">
                  <c:v>49.833333333333329</c:v>
                </c:pt>
                <c:pt idx="17">
                  <c:v>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D24-4C49-AE09-C8A2E9261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656376"/>
        <c:axId val="766654776"/>
      </c:lineChart>
      <c:catAx>
        <c:axId val="76665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4776"/>
        <c:crosses val="autoZero"/>
        <c:auto val="1"/>
        <c:lblAlgn val="ctr"/>
        <c:lblOffset val="100"/>
        <c:noMultiLvlLbl val="0"/>
      </c:catAx>
      <c:valAx>
        <c:axId val="76665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Expenses!$F$1</c:f>
              <c:strCache>
                <c:ptCount val="1"/>
                <c:pt idx="0">
                  <c:v>Tcost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Expenses!$C$2:$C$22</c:f>
              <c:strCache>
                <c:ptCount val="21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  <c:pt idx="15">
                  <c:v>July</c:v>
                </c:pt>
                <c:pt idx="16">
                  <c:v>August</c:v>
                </c:pt>
                <c:pt idx="17">
                  <c:v>September</c:v>
                </c:pt>
                <c:pt idx="18">
                  <c:v>October</c:v>
                </c:pt>
                <c:pt idx="19">
                  <c:v>November</c:v>
                </c:pt>
                <c:pt idx="20">
                  <c:v>December</c:v>
                </c:pt>
              </c:strCache>
            </c:strRef>
          </c:cat>
          <c:val>
            <c:numRef>
              <c:f>Expenses!$F$2:$F$22</c:f>
              <c:numCache>
                <c:formatCode>_("$"* #,##0.00_);_("$"* \(#,##0.00\);_("$"* "-"??_);_(@_)</c:formatCode>
                <c:ptCount val="21"/>
                <c:pt idx="0">
                  <c:v>700</c:v>
                </c:pt>
                <c:pt idx="1">
                  <c:v>600</c:v>
                </c:pt>
                <c:pt idx="2">
                  <c:v>600</c:v>
                </c:pt>
                <c:pt idx="3">
                  <c:v>650</c:v>
                </c:pt>
                <c:pt idx="4">
                  <c:v>650</c:v>
                </c:pt>
                <c:pt idx="5">
                  <c:v>300</c:v>
                </c:pt>
                <c:pt idx="6">
                  <c:v>420</c:v>
                </c:pt>
                <c:pt idx="7">
                  <c:v>300</c:v>
                </c:pt>
                <c:pt idx="8">
                  <c:v>500</c:v>
                </c:pt>
                <c:pt idx="9">
                  <c:v>350</c:v>
                </c:pt>
                <c:pt idx="10">
                  <c:v>350</c:v>
                </c:pt>
                <c:pt idx="11">
                  <c:v>350</c:v>
                </c:pt>
                <c:pt idx="12">
                  <c:v>400</c:v>
                </c:pt>
                <c:pt idx="13">
                  <c:v>450</c:v>
                </c:pt>
                <c:pt idx="14">
                  <c:v>450</c:v>
                </c:pt>
                <c:pt idx="15">
                  <c:v>450</c:v>
                </c:pt>
                <c:pt idx="16">
                  <c:v>450</c:v>
                </c:pt>
                <c:pt idx="17">
                  <c:v>350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341-459D-9356-51EA304E9BED}"/>
            </c:ext>
          </c:extLst>
        </c:ser>
        <c:ser>
          <c:idx val="3"/>
          <c:order val="1"/>
          <c:tx>
            <c:strRef>
              <c:f>Expenses!$G$1</c:f>
              <c:strCache>
                <c:ptCount val="1"/>
                <c:pt idx="0">
                  <c:v>Acost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Expenses!$C$2:$C$22</c:f>
              <c:strCache>
                <c:ptCount val="21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  <c:pt idx="15">
                  <c:v>July</c:v>
                </c:pt>
                <c:pt idx="16">
                  <c:v>August</c:v>
                </c:pt>
                <c:pt idx="17">
                  <c:v>September</c:v>
                </c:pt>
                <c:pt idx="18">
                  <c:v>October</c:v>
                </c:pt>
                <c:pt idx="19">
                  <c:v>November</c:v>
                </c:pt>
                <c:pt idx="20">
                  <c:v>December</c:v>
                </c:pt>
              </c:strCache>
            </c:strRef>
          </c:cat>
          <c:val>
            <c:numRef>
              <c:f>Expenses!$G$2:$G$22</c:f>
              <c:numCache>
                <c:formatCode>_("$"* #,##0.00_);_("$"* \(#,##0.00\);_("$"* "-"??_);_(@_)</c:formatCode>
                <c:ptCount val="21"/>
                <c:pt idx="0">
                  <c:v>1122.3200000000002</c:v>
                </c:pt>
                <c:pt idx="1">
                  <c:v>732.07</c:v>
                </c:pt>
                <c:pt idx="2">
                  <c:v>751.47000000000014</c:v>
                </c:pt>
                <c:pt idx="3">
                  <c:v>432.98</c:v>
                </c:pt>
                <c:pt idx="4">
                  <c:v>497.56000000000006</c:v>
                </c:pt>
                <c:pt idx="5">
                  <c:v>273.74</c:v>
                </c:pt>
                <c:pt idx="6">
                  <c:v>337.55000000000007</c:v>
                </c:pt>
                <c:pt idx="7">
                  <c:v>304.90000000000003</c:v>
                </c:pt>
                <c:pt idx="8">
                  <c:v>676.64000000000021</c:v>
                </c:pt>
                <c:pt idx="9">
                  <c:v>572.53000000000009</c:v>
                </c:pt>
                <c:pt idx="10">
                  <c:v>492.65000000000003</c:v>
                </c:pt>
                <c:pt idx="11">
                  <c:v>508.39000000000016</c:v>
                </c:pt>
                <c:pt idx="12">
                  <c:v>525</c:v>
                </c:pt>
                <c:pt idx="13">
                  <c:v>572.6600000000002</c:v>
                </c:pt>
                <c:pt idx="14">
                  <c:v>545.85000000000014</c:v>
                </c:pt>
                <c:pt idx="15">
                  <c:v>606.91000000000008</c:v>
                </c:pt>
                <c:pt idx="16">
                  <c:v>1500.4443595748614</c:v>
                </c:pt>
                <c:pt idx="17">
                  <c:v>227.38000000000002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341-459D-9356-51EA304E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659576"/>
        <c:axId val="766659256"/>
      </c:lineChart>
      <c:catAx>
        <c:axId val="76665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9256"/>
        <c:crosses val="autoZero"/>
        <c:auto val="1"/>
        <c:lblAlgn val="ctr"/>
        <c:lblOffset val="100"/>
        <c:noMultiLvlLbl val="0"/>
      </c:catAx>
      <c:valAx>
        <c:axId val="76665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C/B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Expenses!$H$1</c:f>
              <c:strCache>
                <c:ptCount val="1"/>
                <c:pt idx="0">
                  <c:v>TC/B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Expenses!$C$2:$C$22</c:f>
              <c:strCache>
                <c:ptCount val="21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  <c:pt idx="15">
                  <c:v>July</c:v>
                </c:pt>
                <c:pt idx="16">
                  <c:v>August</c:v>
                </c:pt>
                <c:pt idx="17">
                  <c:v>September</c:v>
                </c:pt>
                <c:pt idx="18">
                  <c:v>October</c:v>
                </c:pt>
                <c:pt idx="19">
                  <c:v>November</c:v>
                </c:pt>
                <c:pt idx="20">
                  <c:v>December</c:v>
                </c:pt>
              </c:strCache>
            </c:strRef>
          </c:cat>
          <c:val>
            <c:numRef>
              <c:f>Expenses!$H$2:$H$22</c:f>
              <c:numCache>
                <c:formatCode>_("$"* #,##0.00_);_("$"* \(#,##0.00\);_("$"* "-"??_);_(@_)</c:formatCode>
                <c:ptCount val="21"/>
                <c:pt idx="3">
                  <c:v>21.666666666666668</c:v>
                </c:pt>
                <c:pt idx="4">
                  <c:v>21.666666666666668</c:v>
                </c:pt>
                <c:pt idx="5">
                  <c:v>20</c:v>
                </c:pt>
                <c:pt idx="6">
                  <c:v>20</c:v>
                </c:pt>
                <c:pt idx="7">
                  <c:v>15.789473684210526</c:v>
                </c:pt>
                <c:pt idx="8">
                  <c:v>23.80952380952381</c:v>
                </c:pt>
                <c:pt idx="9">
                  <c:v>18.421052631578949</c:v>
                </c:pt>
                <c:pt idx="10">
                  <c:v>17.5</c:v>
                </c:pt>
                <c:pt idx="11">
                  <c:v>18.421052631578949</c:v>
                </c:pt>
                <c:pt idx="12">
                  <c:v>20</c:v>
                </c:pt>
                <c:pt idx="13">
                  <c:v>22.5</c:v>
                </c:pt>
                <c:pt idx="14">
                  <c:v>22.5</c:v>
                </c:pt>
                <c:pt idx="15">
                  <c:v>22.5</c:v>
                </c:pt>
                <c:pt idx="16">
                  <c:v>23.684210526315791</c:v>
                </c:pt>
                <c:pt idx="17">
                  <c:v>19.444444444444443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C6E-4DB2-A8E3-74E0C21CC4C6}"/>
            </c:ext>
          </c:extLst>
        </c:ser>
        <c:ser>
          <c:idx val="5"/>
          <c:order val="1"/>
          <c:tx>
            <c:strRef>
              <c:f>Expenses!$I$1</c:f>
              <c:strCache>
                <c:ptCount val="1"/>
                <c:pt idx="0">
                  <c:v>AC/B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Expenses!$C$2:$C$22</c:f>
              <c:strCache>
                <c:ptCount val="21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  <c:pt idx="15">
                  <c:v>July</c:v>
                </c:pt>
                <c:pt idx="16">
                  <c:v>August</c:v>
                </c:pt>
                <c:pt idx="17">
                  <c:v>September</c:v>
                </c:pt>
                <c:pt idx="18">
                  <c:v>October</c:v>
                </c:pt>
                <c:pt idx="19">
                  <c:v>November</c:v>
                </c:pt>
                <c:pt idx="20">
                  <c:v>December</c:v>
                </c:pt>
              </c:strCache>
            </c:strRef>
          </c:cat>
          <c:val>
            <c:numRef>
              <c:f>Expenses!$I$2:$I$22</c:f>
              <c:numCache>
                <c:formatCode>_("$"* #,##0.00_);_("$"* \(#,##0.00\);_("$"* "-"??_);_(@_)</c:formatCode>
                <c:ptCount val="21"/>
                <c:pt idx="0">
                  <c:v>27.373658536585371</c:v>
                </c:pt>
                <c:pt idx="1">
                  <c:v>25.686666666666667</c:v>
                </c:pt>
                <c:pt idx="2">
                  <c:v>29.469411764705889</c:v>
                </c:pt>
                <c:pt idx="3">
                  <c:v>24.054444444444446</c:v>
                </c:pt>
                <c:pt idx="4">
                  <c:v>21.633043478260873</c:v>
                </c:pt>
                <c:pt idx="5">
                  <c:v>23.803478260869564</c:v>
                </c:pt>
                <c:pt idx="6">
                  <c:v>16.465853658536588</c:v>
                </c:pt>
                <c:pt idx="7">
                  <c:v>17.422857142857143</c:v>
                </c:pt>
                <c:pt idx="8">
                  <c:v>19.518461538461548</c:v>
                </c:pt>
                <c:pt idx="9">
                  <c:v>22.901200000000003</c:v>
                </c:pt>
                <c:pt idx="10">
                  <c:v>21.419565217391305</c:v>
                </c:pt>
                <c:pt idx="11">
                  <c:v>22.59511111111112</c:v>
                </c:pt>
                <c:pt idx="12">
                  <c:v>22.826086956521738</c:v>
                </c:pt>
                <c:pt idx="13">
                  <c:v>16.361714285714292</c:v>
                </c:pt>
                <c:pt idx="14">
                  <c:v>20.216666666666672</c:v>
                </c:pt>
                <c:pt idx="15">
                  <c:v>24.604459459459466</c:v>
                </c:pt>
                <c:pt idx="16">
                  <c:v>30.109251362706253</c:v>
                </c:pt>
                <c:pt idx="17">
                  <c:v>18.948333333333334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C6E-4DB2-A8E3-74E0C21CC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659896"/>
        <c:axId val="766660536"/>
      </c:lineChart>
      <c:catAx>
        <c:axId val="76665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60536"/>
        <c:crosses val="autoZero"/>
        <c:auto val="1"/>
        <c:lblAlgn val="ctr"/>
        <c:lblOffset val="100"/>
        <c:noMultiLvlLbl val="0"/>
      </c:catAx>
      <c:valAx>
        <c:axId val="76666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65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Teir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Expenses!$N$1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Expenses!$M$2:$M$16</c:f>
              <c:strCache>
                <c:ptCount val="15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</c:strCache>
            </c:strRef>
          </c:cat>
          <c:val>
            <c:numRef>
              <c:f>Expenses!$N$2:$N$16</c:f>
              <c:numCache>
                <c:formatCode>General</c:formatCode>
                <c:ptCount val="15"/>
                <c:pt idx="0">
                  <c:v>14</c:v>
                </c:pt>
                <c:pt idx="1">
                  <c:v>13</c:v>
                </c:pt>
                <c:pt idx="2">
                  <c:v>10</c:v>
                </c:pt>
                <c:pt idx="3">
                  <c:v>9</c:v>
                </c:pt>
                <c:pt idx="4">
                  <c:v>13</c:v>
                </c:pt>
                <c:pt idx="5">
                  <c:v>5</c:v>
                </c:pt>
                <c:pt idx="6">
                  <c:v>14</c:v>
                </c:pt>
                <c:pt idx="7">
                  <c:v>11</c:v>
                </c:pt>
                <c:pt idx="8">
                  <c:v>21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  <c:pt idx="12">
                  <c:v>12</c:v>
                </c:pt>
                <c:pt idx="13">
                  <c:v>25</c:v>
                </c:pt>
                <c:pt idx="14">
                  <c:v>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0A4-43E5-9717-CFF372A7F29A}"/>
            </c:ext>
          </c:extLst>
        </c:ser>
        <c:ser>
          <c:idx val="1"/>
          <c:order val="1"/>
          <c:tx>
            <c:strRef>
              <c:f>Expenses!$P$1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Expenses!$M$2:$M$16</c:f>
              <c:strCache>
                <c:ptCount val="15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</c:strCache>
            </c:strRef>
          </c:cat>
          <c:val>
            <c:numRef>
              <c:f>Expenses!$P$2:$P$16</c:f>
              <c:numCache>
                <c:formatCode>General</c:formatCode>
                <c:ptCount val="15"/>
                <c:pt idx="0">
                  <c:v>11</c:v>
                </c:pt>
                <c:pt idx="1">
                  <c:v>6</c:v>
                </c:pt>
                <c:pt idx="2">
                  <c:v>7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9</c:v>
                </c:pt>
                <c:pt idx="10">
                  <c:v>4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3.5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0A4-43E5-9717-CFF372A7F29A}"/>
            </c:ext>
          </c:extLst>
        </c:ser>
        <c:ser>
          <c:idx val="2"/>
          <c:order val="2"/>
          <c:tx>
            <c:strRef>
              <c:f>Expenses!$R$1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Expenses!$M$2:$M$16</c:f>
              <c:strCache>
                <c:ptCount val="15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</c:strCache>
            </c:strRef>
          </c:cat>
          <c:val>
            <c:numRef>
              <c:f>Expenses!$R$2:$R$16</c:f>
              <c:numCache>
                <c:formatCode>General</c:formatCode>
                <c:ptCount val="15"/>
                <c:pt idx="0">
                  <c:v>15.5</c:v>
                </c:pt>
                <c:pt idx="1">
                  <c:v>8</c:v>
                </c:pt>
                <c:pt idx="2">
                  <c:v>6.5</c:v>
                </c:pt>
                <c:pt idx="3">
                  <c:v>5</c:v>
                </c:pt>
                <c:pt idx="4">
                  <c:v>5</c:v>
                </c:pt>
                <c:pt idx="5">
                  <c:v>1</c:v>
                </c:pt>
                <c:pt idx="6">
                  <c:v>1.5</c:v>
                </c:pt>
                <c:pt idx="7">
                  <c:v>1.5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  <c:pt idx="11">
                  <c:v>4.5</c:v>
                </c:pt>
                <c:pt idx="12">
                  <c:v>3</c:v>
                </c:pt>
                <c:pt idx="13">
                  <c:v>2</c:v>
                </c:pt>
                <c:pt idx="14">
                  <c:v>5.5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0A4-43E5-9717-CFF372A7F29A}"/>
            </c:ext>
          </c:extLst>
        </c:ser>
        <c:ser>
          <c:idx val="3"/>
          <c:order val="3"/>
          <c:tx>
            <c:strRef>
              <c:f>Expenses!$T$1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Expenses!$M$2:$M$16</c:f>
              <c:strCache>
                <c:ptCount val="15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  <c:pt idx="7">
                  <c:v>November</c:v>
                </c:pt>
                <c:pt idx="8">
                  <c:v>December</c:v>
                </c:pt>
                <c:pt idx="9">
                  <c:v>January</c:v>
                </c:pt>
                <c:pt idx="10">
                  <c:v>February</c:v>
                </c:pt>
                <c:pt idx="11">
                  <c:v>March</c:v>
                </c:pt>
                <c:pt idx="12">
                  <c:v>April</c:v>
                </c:pt>
                <c:pt idx="13">
                  <c:v>May</c:v>
                </c:pt>
                <c:pt idx="14">
                  <c:v>June</c:v>
                </c:pt>
              </c:strCache>
            </c:strRef>
          </c:cat>
          <c:val>
            <c:numRef>
              <c:f>Expenses!$T$2:$T$16</c:f>
              <c:numCache>
                <c:formatCode>General</c:formatCode>
                <c:ptCount val="15"/>
                <c:pt idx="0">
                  <c:v>0.5</c:v>
                </c:pt>
                <c:pt idx="1">
                  <c:v>1.5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0A4-43E5-9717-CFF372A7F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132984"/>
        <c:axId val="717130424"/>
      </c:lineChart>
      <c:catAx>
        <c:axId val="71713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30424"/>
        <c:crosses val="autoZero"/>
        <c:auto val="1"/>
        <c:lblAlgn val="ctr"/>
        <c:lblOffset val="100"/>
        <c:noMultiLvlLbl val="0"/>
      </c:catAx>
      <c:valAx>
        <c:axId val="71713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3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200025</xdr:colOff>
      <xdr:row>27</xdr:row>
      <xdr:rowOff>14287</xdr:rowOff>
    </xdr:from>
    <xdr:to>
      <xdr:col>40</xdr:col>
      <xdr:colOff>152400</xdr:colOff>
      <xdr:row>41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BDABA-1848-4EB1-A660-C69323F68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123825</xdr:colOff>
      <xdr:row>1</xdr:row>
      <xdr:rowOff>80962</xdr:rowOff>
    </xdr:from>
    <xdr:to>
      <xdr:col>31</xdr:col>
      <xdr:colOff>428625</xdr:colOff>
      <xdr:row>16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9C4B6-2835-40E7-9246-A660943D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542925</xdr:colOff>
      <xdr:row>1</xdr:row>
      <xdr:rowOff>52387</xdr:rowOff>
    </xdr:from>
    <xdr:to>
      <xdr:col>39</xdr:col>
      <xdr:colOff>238125</xdr:colOff>
      <xdr:row>16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80A10C-EF37-48E6-9E59-389BBDFAB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600074</xdr:colOff>
      <xdr:row>25</xdr:row>
      <xdr:rowOff>19050</xdr:rowOff>
    </xdr:from>
    <xdr:to>
      <xdr:col>31</xdr:col>
      <xdr:colOff>285749</xdr:colOff>
      <xdr:row>42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408E67-A14F-4347-BF73-243F15117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Q1317" totalsRowShown="0">
  <autoFilter ref="A1:AQ1317" xr:uid="{00000000-0009-0000-0100-000001000000}"/>
  <sortState xmlns:xlrd2="http://schemas.microsoft.com/office/spreadsheetml/2017/richdata2" ref="A2:AQ1317">
    <sortCondition ref="AA2:AA1317"/>
    <sortCondition ref="Y2:Y1317"/>
  </sortState>
  <tableColumns count="43">
    <tableColumn id="1" xr3:uid="{00000000-0010-0000-0000-000001000000}" name="ID">
      <calculatedColumnFormula>CONCATENATE(B2,C2,D2)</calculatedColumnFormula>
    </tableColumn>
    <tableColumn id="2" xr3:uid="{00000000-0010-0000-0000-000002000000}" name="Vintage"/>
    <tableColumn id="3" xr3:uid="{00000000-0010-0000-0000-000003000000}" name="Producer"/>
    <tableColumn id="4" xr3:uid="{00000000-0010-0000-0000-000004000000}" name="Name"/>
    <tableColumn id="21" xr3:uid="{00000000-0010-0000-0000-000015000000}" name="Identifier"/>
    <tableColumn id="35" xr3:uid="{CE677F87-D47B-44F2-8448-37ADC6274E0D}" name="Country"/>
    <tableColumn id="37" xr3:uid="{8C8F38B4-BD1C-4C99-977F-C8307F95A875}" name="Region"/>
    <tableColumn id="38" xr3:uid="{E7017200-B87E-4AF3-8C0A-CB188C823075}" name="Sub Region"/>
    <tableColumn id="5" xr3:uid="{00000000-0010-0000-0000-000005000000}" name="Qty"/>
    <tableColumn id="6" xr3:uid="{00000000-0010-0000-0000-000006000000}" name="Size (ml)"/>
    <tableColumn id="7" xr3:uid="{00000000-0010-0000-0000-000007000000}" name="Cellar Location" dataDxfId="62"/>
    <tableColumn id="27" xr3:uid="{EED3D5C0-243C-432D-B8CA-A3FAC2A1956D}" name="Drank" dataDxfId="61">
      <calculatedColumnFormula>COUNTIF(Drank!A:A,Table1[[#This Row],[ID]])</calculatedColumnFormula>
    </tableColumn>
    <tableColumn id="22" xr3:uid="{00000000-0010-0000-0000-000016000000}" name="Color"/>
    <tableColumn id="23" xr3:uid="{00000000-0010-0000-0000-000017000000}" name="Sweetness"/>
    <tableColumn id="8" xr3:uid="{00000000-0010-0000-0000-000008000000}" name="Column1"/>
    <tableColumn id="9" xr3:uid="{00000000-0010-0000-0000-000009000000}" name="WAEDD"/>
    <tableColumn id="10" xr3:uid="{00000000-0010-0000-0000-00000A000000}" name="WALDD"/>
    <tableColumn id="11" xr3:uid="{00000000-0010-0000-0000-00000B000000}" name="My NDD" dataDxfId="60">
      <calculatedColumnFormula>IF(IFERROR(VLOOKUP(A2,Drank!A:S,15,FALSE),"")=0,"",IFERROR(VLOOKUP(A2,Drank!A:S,15,FALSE),""))</calculatedColumnFormula>
    </tableColumn>
    <tableColumn id="12" xr3:uid="{00000000-0010-0000-0000-00000C000000}" name="My Peak" dataDxfId="59">
      <calculatedColumnFormula>IF(IFERROR(VLOOKUP(A2,Drank!A:S,16,FALSE),"")=0,"",IFERROR(VLOOKUP(A2,Drank!A:S,16,FALSE),""))</calculatedColumnFormula>
    </tableColumn>
    <tableColumn id="30" xr3:uid="{2A424B7C-1C5B-491A-BA46-AF7C8B315CD8}" name="EP" dataDxfId="58"/>
    <tableColumn id="13" xr3:uid="{00000000-0010-0000-0000-00000D000000}" name="WA Rating"/>
    <tableColumn id="14" xr3:uid="{00000000-0010-0000-0000-00000E000000}" name="My Rating" dataDxfId="57">
      <calculatedColumnFormula>IF(IFERROR(VLOOKUP(A2,Drank!A:T,19,FALSE),"")=0,"",IFERROR(VLOOKUP(A2,Drank!A:T,19,FALSE),""))</calculatedColumnFormula>
    </tableColumn>
    <tableColumn id="15" xr3:uid="{00000000-0010-0000-0000-00000F000000}" name="Last Date Rated" dataDxfId="56">
      <calculatedColumnFormula>IF(IFERROR(VLOOKUP(A2,Drank!A:T,20,FALSE),"")=0,"",IFERROR(VLOOKUP(A2,Drank!A:T,20,FALSE),""))</calculatedColumnFormula>
    </tableColumn>
    <tableColumn id="16" xr3:uid="{00000000-0010-0000-0000-000010000000}" name="Total" dataDxfId="55">
      <calculatedColumnFormula>SUMIF(A:A,A2,I:I)</calculatedColumnFormula>
    </tableColumn>
    <tableColumn id="17" xr3:uid="{00000000-0010-0000-0000-000011000000}" name="RM" dataDxfId="54">
      <calculatedColumnFormula>IF(Table1[[#This Row],[Drank]]&gt;0,VLOOKUP(Table1[[#This Row],[ID]],Drank!A:P,16,FALSE),IF(Table1[[#This Row],[WALDD]]&gt;0,VLOOKUP(Table1[[#This Row],[ID]],Wine1!A:Q,17,FALSE),Table1[[#This Row],[EP]]))</calculatedColumnFormula>
    </tableColumn>
    <tableColumn id="24" xr3:uid="{00000000-0010-0000-0000-000018000000}" name="Column2" dataDxfId="53">
      <calculatedColumnFormula>IF(Table1[[#This Row],[My Rating]]="",IF(Table1[[#This Row],[WA Rating Clean]]="","",Table1[[#This Row],[WA Rating Clean]]),Table1[[#This Row],[My Rating]])</calculatedColumnFormula>
    </tableColumn>
    <tableColumn id="18" xr3:uid="{00000000-0010-0000-0000-000012000000}" name="ENDD"/>
    <tableColumn id="19" xr3:uid="{00000000-0010-0000-0000-000013000000}" name="Price" dataDxfId="52" dataCellStyle="Currency"/>
    <tableColumn id="20" xr3:uid="{00000000-0010-0000-0000-000014000000}" name="Total Price" dataDxfId="51" dataCellStyle="Currency">
      <calculatedColumnFormula>AB2*I2</calculatedColumnFormula>
    </tableColumn>
    <tableColumn id="25" xr3:uid="{00000000-0010-0000-0000-000019000000}" name="Storage" dataDxfId="50"/>
    <tableColumn id="29" xr3:uid="{1D198ECF-147A-495D-9B46-CDB5BAFD5D7E}" name="Class" dataDxfId="49">
      <calculatedColumnFormula>IF(Table1[[#This Row],[P/750]]&lt;20,1,IF(Table1[[#This Row],[P/750]]&lt;50,2,3))</calculatedColumnFormula>
    </tableColumn>
    <tableColumn id="32" xr3:uid="{432B6388-E57D-4057-9C7D-D7D3DC2625D2}" name="Tier" dataDxfId="48">
      <calculatedColumnFormula>IF(Table1[[#This Row],[P/750]]&lt;Expenses!$C$30,1,IF(Table1[[#This Row],[P/750]]&lt;Expenses!$C$31,2,IF(Table1[[#This Row],[P/750]]&lt;Expenses!$C$32,3,4)))</calculatedColumnFormula>
    </tableColumn>
    <tableColumn id="26" xr3:uid="{9036A3B3-FD91-48CF-8F2C-040D818C8A05}" name="BUY"/>
    <tableColumn id="28" xr3:uid="{7494C4C9-E206-47D0-94EE-7470A453FFB6}" name="Store"/>
    <tableColumn id="31" xr3:uid="{FC317837-7E47-44F2-BBA7-8CAAAE6C6865}" name="P/750" dataDxfId="47">
      <calculatedColumnFormula>Table1[[#This Row],[Price]]/Table1[[#This Row],[Size (ml)]]*750</calculatedColumnFormula>
    </tableColumn>
    <tableColumn id="33" xr3:uid="{D9278FD0-D5C4-4155-8C16-FC6F413E44DC}" name="WA Rating Clean"/>
    <tableColumn id="34" xr3:uid="{6BF94A28-CBE8-4694-9319-8E9FAE985205}" name="Column3" dataDxfId="46">
      <calculatedColumnFormula>COUNTIF(UniqueID!A:A,Table1[[#This Row],[ID]])</calculatedColumnFormula>
    </tableColumn>
    <tableColumn id="39" xr3:uid="{6CB8F8B8-03C7-46A4-B2CC-49FA3312FDB5}" name="Column32" dataDxfId="45">
      <calculatedColumnFormula>VLOOKUP(Table1[[#This Row],[Cellar Location]],Location!A:F,6,FALSE)</calculatedColumnFormula>
    </tableColumn>
    <tableColumn id="36" xr3:uid="{BCA1AD0D-13F7-4881-B596-450D050DCB2F}" name="Time in Year"/>
    <tableColumn id="40" xr3:uid="{4E6FBA81-0544-443E-A544-792BD251C7ED}" name="Purchased"/>
    <tableColumn id="41" xr3:uid="{F8F5CDE8-8D9F-4FD0-9DF5-A92A1EB809C2}" name="Column5" dataDxfId="44">
      <calculatedColumnFormula>TEXT(Table1[[#This Row],[Purchased]],"mmmm")</calculatedColumnFormula>
    </tableColumn>
    <tableColumn id="42" xr3:uid="{5EA3C8B6-027D-443A-91C1-3BC8D0278262}" name="Column6" dataDxfId="43">
      <calculatedColumnFormula>TEXT(Table1[[#This Row],[Purchased]],"yyyy")</calculatedColumnFormula>
    </tableColumn>
    <tableColumn id="43" xr3:uid="{E35F4411-A501-4084-B3C0-2D8A10C33CDC}" name="ETA" dataDxfId="42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BD298D-CCE3-4C94-B14C-5B59F5949C4F}" name="Table7" displayName="Table7" ref="A2:H39" totalsRowCount="1" headerRowDxfId="41">
  <autoFilter ref="A2:H38" xr:uid="{721BFF08-CC85-4F4B-B67A-DF2C7375292D}"/>
  <tableColumns count="8">
    <tableColumn id="1" xr3:uid="{AD481152-AC17-4EB7-84BC-D70F684EAB4B}" name="Next Vintage" dataDxfId="40" totalsRowDxfId="39"/>
    <tableColumn id="2" xr3:uid="{06CCE9A0-403B-462C-B14D-87FBADC8AAA3}" name="Producer" dataDxfId="38" totalsRowDxfId="37"/>
    <tableColumn id="3" xr3:uid="{7E717BF0-7D42-495A-AD42-357C2E16C4A9}" name="Wine" dataDxfId="36" totalsRowDxfId="35"/>
    <tableColumn id="4" xr3:uid="{ABA28FC6-0CB9-4E70-B37F-D679D0DCCDCF}" name="Category" dataDxfId="34" totalsRowDxfId="33"/>
    <tableColumn id="5" xr3:uid="{7E427DC0-12D3-4126-AF88-8FA3B8905C2D}" name="Tier" dataDxfId="32" totalsRowDxfId="31">
      <calculatedColumnFormula>IF(F3&lt;Expenses!$C$30,1,IF(F3&lt;Expenses!$C$31,2,IF(F3&lt;Expenses!$C$32,3,4)))</calculatedColumnFormula>
    </tableColumn>
    <tableColumn id="6" xr3:uid="{8DB198AA-E00E-4373-B8C1-6B30B61701F9}" name="Price" dataDxfId="30" totalsRowDxfId="29"/>
    <tableColumn id="7" xr3:uid="{D1ECABFA-A127-4097-AB37-05BD5B685108}" name="Qty" dataDxfId="28" totalsRowDxfId="27"/>
    <tableColumn id="8" xr3:uid="{D6099C49-DCB4-4B22-B019-7C0C5E726E72}" name="Total" totalsRowFunction="sum" dataDxfId="26" totalsRowDxfId="25" dataCellStyle="Currency">
      <calculatedColumnFormula>F3*G3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E8AA481-BD35-4228-B634-E431EAED46F4}" name="Table8" displayName="Table8" ref="N2:V13" totalsRowCount="1">
  <autoFilter ref="N2:V12" xr:uid="{4CE2BCB2-2994-4353-8049-16D22B9971AB}"/>
  <tableColumns count="9">
    <tableColumn id="1" xr3:uid="{B2F120B2-0D15-483B-83FC-2C0F8D1CBECB}" name="Vintage"/>
    <tableColumn id="2" xr3:uid="{B10F4037-3C39-4E60-863B-755A60BB6E64}" name="Producer"/>
    <tableColumn id="3" xr3:uid="{6C4EE4D8-AFDB-4F4D-9031-51B5FDCB9031}" name="Wine"/>
    <tableColumn id="9" xr3:uid="{14B5DF16-0A00-4C8B-91E7-F8896F1422D8}" name="store"/>
    <tableColumn id="5" xr3:uid="{E5F3CAEB-FC0A-42A1-B2E6-BED9B376D81F}" name="Category"/>
    <tableColumn id="6" xr3:uid="{5FB415CA-D321-4B5B-B42F-399EB284548B}" name="Teir" dataDxfId="24" totalsRowDxfId="23">
      <calculatedColumnFormula>IF(T3&lt;Expenses!$C$30,1,IF(T3&lt;Expenses!$C$31,2,IF(T3&lt;Expenses!$C$32,3,4)))</calculatedColumnFormula>
    </tableColumn>
    <tableColumn id="4" xr3:uid="{125FA77F-4C52-4499-ABD2-E816096C7831}" name="Price"/>
    <tableColumn id="7" xr3:uid="{822FB08D-73EB-47EA-BF9E-BC359FD19D51}" name="qty"/>
    <tableColumn id="8" xr3:uid="{CAE9CCCA-3E58-4EC1-8BFA-26EED60734A9}" name="Total" totalsRowFunction="sum" dataDxfId="22" totalsRowDxfId="21">
      <calculatedColumnFormula>Table8[[#This Row],[Price]]*Table8[[#This Row],[qty]]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4C054D-1598-4D0B-BBC3-400C0CA8BD1F}" name="Table9" displayName="Table9" ref="J2:M7" totalsRowCount="1" headerRowDxfId="20" dataDxfId="19" headerRowCellStyle="Currency" dataCellStyle="Currency">
  <autoFilter ref="J2:M6" xr:uid="{E8485324-032E-4E0B-BB29-0487FDFA7E10}"/>
  <tableColumns count="4">
    <tableColumn id="1" xr3:uid="{ED46011F-0F92-4B2C-94BC-AD1D77E33028}" name="Teir" dataDxfId="18" totalsRowDxfId="17" dataCellStyle="Currency" totalsRowCellStyle="Currency"/>
    <tableColumn id="2" xr3:uid="{0D6888F1-FC98-479F-B1E0-7B0FEFC1D5CA}" name="Column2" totalsRowFunction="sum" dataDxfId="16" totalsRowDxfId="15" dataCellStyle="Currency" totalsRowCellStyle="Currency"/>
    <tableColumn id="3" xr3:uid="{60DFA91B-B952-464E-B16A-9794D0B389F0}" name="Column3" dataDxfId="14" totalsRowDxfId="13" dataCellStyle="Currency" totalsRowCellStyle="Currency"/>
    <tableColumn id="4" xr3:uid="{DCC7063C-AB41-48A5-9AEC-E143A80FDEE1}" name="Column4" dataDxfId="12" totalsRowDxfId="11" dataCellStyle="Currency" totalsRowCellStyle="Currency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1932F1-0B6E-4F40-ABD7-B497C1F5B736}" name="Table2" displayName="Table2" ref="A4:D8" totalsRowShown="0">
  <autoFilter ref="A4:D8" xr:uid="{210F761E-E576-4DA8-8565-D60F8A0BC08F}"/>
  <tableColumns count="4">
    <tableColumn id="1" xr3:uid="{D0847F1E-D5CD-4848-B482-9C3C0CADA522}" name="Teir"/>
    <tableColumn id="2" xr3:uid="{D42D1B9E-00F0-4075-8E9B-A6770183F8A0}" name="Agibility" dataDxfId="10">
      <calculatedColumnFormula>AVERAGEIF(Agibility!F:F,'Tier Agibility'!A5,Agibility!L:L)</calculatedColumnFormula>
    </tableColumn>
    <tableColumn id="3" xr3:uid="{099BE710-668F-4333-A919-D96A9F88B7C0}" name="Column1" dataDxfId="9">
      <calculatedColumnFormula>ROUNDUP(Table2[[#This Row],[Agibility]],0)</calculatedColumnFormula>
    </tableColumn>
    <tableColumn id="4" xr3:uid="{71F264B3-15DA-4596-907A-CCE213877762}" name="Rate" dataCellStyle="Percent">
      <calculatedColumnFormula>1/Table2[[#This Row],[Column1]]</calculatedColumnFormula>
    </tableColumn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FD60F6-41E8-40AE-9D0D-49A9473650F2}" name="Table3" displayName="Table3" ref="A14:B75" totalsRowShown="0">
  <autoFilter ref="A14:B75" xr:uid="{AFD5B5D5-241C-42BC-84B4-FDAA3A065D55}"/>
  <tableColumns count="2">
    <tableColumn id="1" xr3:uid="{D2565DB1-6CF2-48EC-92BB-2D7AD18C2F4E}" name="Identifier"/>
    <tableColumn id="2" xr3:uid="{42A07DA4-C34C-486F-992C-1BA8EE212912}" name="Agibility" dataDxfId="8">
      <calculatedColumnFormula>IFERROR(AVERAGEIF(Agibility!E:E,'Tier Agibility'!A15,Agibility!L:L)," ")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6C2AEB-B11D-4A6C-B9B2-BD335A241D86}" name="Table4" displayName="Table4" ref="E14:F36" totalsRowShown="0">
  <autoFilter ref="E14:F36" xr:uid="{4E53709D-455A-4796-835F-0389CC46CC8C}"/>
  <tableColumns count="2">
    <tableColumn id="1" xr3:uid="{76400B1F-452C-4B95-B0CE-61D34AFF71A8}" name="Vintage"/>
    <tableColumn id="2" xr3:uid="{66E6938A-5AF7-4468-B177-02B3A0F1C0C0}" name="Agibility" dataDxfId="7">
      <calculatedColumnFormula>IFERROR(AVERAGEIF(Agibility!B:B,'Tier Agibility'!E15,Agibility!L:L)," 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B35F2D-F1D1-4AA4-8B6D-530010E0FE98}" name="Table5" displayName="Table5" ref="A119:B169" totalsRowShown="0">
  <autoFilter ref="A119:B169" xr:uid="{DC5D3E31-17D5-44D7-93C0-EA6B09D71715}">
    <filterColumn colId="1">
      <filters>
        <filter val="0"/>
      </filters>
    </filterColumn>
  </autoFilter>
  <tableColumns count="2">
    <tableColumn id="1" xr3:uid="{291BAC6D-9977-46BD-9904-5F25DDE7B836}" name="Identifier"/>
    <tableColumn id="2" xr3:uid="{B9D8CE52-8362-408E-8132-C17F44C13CD6}" name="Count">
      <calculatedColumnFormula>COUNTIF(Identifier!A:A,Key!A120)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F9F8E3-B67C-4ADB-B555-1B940633587E}" name="Table6" displayName="Table6" ref="A175:D332" totalsRowShown="0">
  <autoFilter ref="A175:D332" xr:uid="{05A36BF9-9EF2-45AE-A652-2269A04DA37A}"/>
  <tableColumns count="4">
    <tableColumn id="1" xr3:uid="{24B5AE72-DC9A-4521-A99E-29B825F15A8C}" name="Unique ID"/>
    <tableColumn id="2" xr3:uid="{D000B4F9-CE6C-43A0-B279-AE2BBEEAE86F}" name="Wine1">
      <calculatedColumnFormula>COUNTIF(Wine1!A:A,Key!A176)</calculatedColumnFormula>
    </tableColumn>
    <tableColumn id="3" xr3:uid="{DF413F1F-AC9C-45A2-B280-2892ED608495}" name="Drank">
      <calculatedColumnFormula>COUNTIF(Drank!A:A,Key!A176)</calculatedColumnFormula>
    </tableColumn>
    <tableColumn id="4" xr3:uid="{5F131939-9BE6-44F2-80FD-504EE8CA0F26}" name="Agibility">
      <calculatedColumnFormula>COUNTIF(Agibility!A:A,Key!A176)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onsignments@zachys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323"/>
  <sheetViews>
    <sheetView tabSelected="1" zoomScaleNormal="100" workbookViewId="0">
      <pane xSplit="5" ySplit="1" topLeftCell="X2" activePane="bottomRight" state="frozen"/>
      <selection pane="topRight" activeCell="F1" sqref="F1"/>
      <selection pane="bottomLeft" activeCell="A2" sqref="A2"/>
      <selection pane="bottomRight" activeCell="AJ1" sqref="AJ1"/>
    </sheetView>
  </sheetViews>
  <sheetFormatPr defaultRowHeight="15" x14ac:dyDescent="0.25"/>
  <cols>
    <col min="1" max="1" width="2.5703125" customWidth="1"/>
    <col min="2" max="2" width="9.42578125" customWidth="1"/>
    <col min="3" max="3" width="29.42578125" bestFit="1" customWidth="1"/>
    <col min="4" max="4" width="42.7109375" customWidth="1"/>
    <col min="5" max="5" width="37.140625" customWidth="1"/>
    <col min="6" max="6" width="18.28515625" style="37" customWidth="1"/>
    <col min="7" max="7" width="17" style="37" customWidth="1"/>
    <col min="8" max="8" width="51.28515625" style="37" bestFit="1" customWidth="1"/>
    <col min="9" max="9" width="9.140625" customWidth="1"/>
    <col min="11" max="11" width="18.85546875" bestFit="1" customWidth="1"/>
    <col min="12" max="12" width="6.85546875" bestFit="1" customWidth="1"/>
    <col min="13" max="13" width="18.85546875" customWidth="1"/>
    <col min="14" max="14" width="8" customWidth="1"/>
    <col min="15" max="15" width="12.85546875" customWidth="1"/>
    <col min="16" max="16" width="18.85546875" customWidth="1"/>
    <col min="17" max="17" width="10" bestFit="1" customWidth="1"/>
    <col min="18" max="22" width="11.140625" customWidth="1"/>
    <col min="23" max="23" width="11.7109375" customWidth="1"/>
    <col min="24" max="24" width="11.42578125" customWidth="1"/>
    <col min="25" max="25" width="16.28515625" customWidth="1"/>
    <col min="26" max="26" width="9.5703125" customWidth="1"/>
    <col min="27" max="27" width="9.7109375" bestFit="1" customWidth="1"/>
    <col min="29" max="30" width="12.5703125" bestFit="1" customWidth="1"/>
    <col min="31" max="31" width="12.5703125" customWidth="1"/>
    <col min="32" max="32" width="12.5703125" style="37" customWidth="1"/>
    <col min="33" max="33" width="9.140625" customWidth="1"/>
    <col min="35" max="35" width="11.5703125" bestFit="1" customWidth="1"/>
    <col min="39" max="39" width="9.7109375" bestFit="1" customWidth="1"/>
    <col min="40" max="40" width="10.7109375" bestFit="1" customWidth="1"/>
    <col min="43" max="43" width="10.7109375" bestFit="1" customWidth="1"/>
  </cols>
  <sheetData>
    <row r="1" spans="1:43" x14ac:dyDescent="0.25">
      <c r="A1" t="s">
        <v>176</v>
      </c>
      <c r="B1" t="s">
        <v>0</v>
      </c>
      <c r="C1" t="s">
        <v>1</v>
      </c>
      <c r="D1" t="s">
        <v>2</v>
      </c>
      <c r="E1" t="s">
        <v>256</v>
      </c>
      <c r="F1" s="37" t="s">
        <v>724</v>
      </c>
      <c r="G1" s="37" t="s">
        <v>725</v>
      </c>
      <c r="H1" s="37" t="s">
        <v>726</v>
      </c>
      <c r="I1" t="s">
        <v>289</v>
      </c>
      <c r="J1" t="s">
        <v>841</v>
      </c>
      <c r="K1" t="s">
        <v>5</v>
      </c>
      <c r="L1" t="s">
        <v>439</v>
      </c>
      <c r="M1" t="s">
        <v>203</v>
      </c>
      <c r="N1" t="s">
        <v>205</v>
      </c>
      <c r="O1" t="s">
        <v>192</v>
      </c>
      <c r="P1" t="s">
        <v>172</v>
      </c>
      <c r="Q1" t="s">
        <v>173</v>
      </c>
      <c r="R1" t="s">
        <v>175</v>
      </c>
      <c r="S1" t="s">
        <v>174</v>
      </c>
      <c r="T1" t="s">
        <v>582</v>
      </c>
      <c r="U1" t="s">
        <v>170</v>
      </c>
      <c r="V1" t="s">
        <v>171</v>
      </c>
      <c r="W1" t="s">
        <v>178</v>
      </c>
      <c r="X1" t="s">
        <v>191</v>
      </c>
      <c r="Y1" t="s">
        <v>180</v>
      </c>
      <c r="Z1" t="s">
        <v>193</v>
      </c>
      <c r="AA1" t="s">
        <v>204</v>
      </c>
      <c r="AB1" t="s">
        <v>179</v>
      </c>
      <c r="AC1" t="s">
        <v>199</v>
      </c>
      <c r="AD1" t="s">
        <v>1804</v>
      </c>
      <c r="AE1" t="s">
        <v>442</v>
      </c>
      <c r="AF1" s="37" t="s">
        <v>1453</v>
      </c>
      <c r="AG1" t="s">
        <v>434</v>
      </c>
      <c r="AH1" t="s">
        <v>435</v>
      </c>
      <c r="AI1" t="s">
        <v>621</v>
      </c>
      <c r="AJ1" t="s">
        <v>680</v>
      </c>
      <c r="AK1" t="s">
        <v>711</v>
      </c>
      <c r="AL1" t="s">
        <v>932</v>
      </c>
      <c r="AM1" t="s">
        <v>1119</v>
      </c>
      <c r="AN1" t="s">
        <v>1129</v>
      </c>
      <c r="AO1" t="s">
        <v>1302</v>
      </c>
      <c r="AP1" t="s">
        <v>1303</v>
      </c>
      <c r="AQ1" t="s">
        <v>1703</v>
      </c>
    </row>
    <row r="2" spans="1:43" x14ac:dyDescent="0.25">
      <c r="A2" s="37" t="str">
        <f t="shared" ref="A2:A61" si="0">CONCATENATE(B2,C2,D2)</f>
        <v>NVG.D. VajraBarolo Chinato</v>
      </c>
      <c r="B2" s="37" t="s">
        <v>167</v>
      </c>
      <c r="C2" s="37" t="s">
        <v>81</v>
      </c>
      <c r="D2" s="37" t="s">
        <v>1595</v>
      </c>
      <c r="E2" s="69" t="s">
        <v>288</v>
      </c>
      <c r="F2" s="37" t="s">
        <v>728</v>
      </c>
      <c r="G2" s="37" t="s">
        <v>778</v>
      </c>
      <c r="H2" s="37" t="s">
        <v>268</v>
      </c>
      <c r="I2" s="8">
        <v>1</v>
      </c>
      <c r="J2" s="38">
        <v>750</v>
      </c>
      <c r="K2" s="38" t="s">
        <v>1139</v>
      </c>
      <c r="L2" s="10">
        <f>COUNTIF(Drank!A:A,Table1[[#This Row],[ID]])</f>
        <v>0</v>
      </c>
      <c r="M2" s="37" t="s">
        <v>202</v>
      </c>
      <c r="N2" s="37" t="s">
        <v>207</v>
      </c>
      <c r="O2" s="37">
        <v>0</v>
      </c>
      <c r="P2" s="10"/>
      <c r="Q2" s="37"/>
      <c r="R2" s="10" t="str">
        <f>IF(IFERROR(VLOOKUP(A2,Drank!A:S,15,FALSE),"")=0,"",IFERROR(VLOOKUP(A2,Drank!A:S,15,FALSE),""))</f>
        <v/>
      </c>
      <c r="S2" s="10" t="str">
        <f>IF(IFERROR(VLOOKUP(A2,Drank!A:S,16,FALSE),"")=0,"",IFERROR(VLOOKUP(A2,Drank!A:S,16,FALSE),""))</f>
        <v/>
      </c>
      <c r="T2" s="10"/>
      <c r="U2" s="37"/>
      <c r="V2" s="18" t="str">
        <f>IF(IFERROR(VLOOKUP(A2,Drank!A:T,19,FALSE),"")=0,"",IFERROR(VLOOKUP(A2,Drank!A:T,19,FALSE),""))</f>
        <v/>
      </c>
      <c r="W2" s="1" t="str">
        <f>IF(IFERROR(VLOOKUP(A2,Drank!A:T,20,FALSE),"")=0,"",IFERROR(VLOOKUP(A2,Drank!A:T,20,FALSE),""))</f>
        <v/>
      </c>
      <c r="X2" s="10">
        <f>SUMIF(A:A,A2,I:I)</f>
        <v>1</v>
      </c>
      <c r="Y2" s="10">
        <f>IF(Table1[[#This Row],[Drank]]&gt;0,VLOOKUP(Table1[[#This Row],[ID]],Drank!A:P,16,FALSE),IF(Table1[[#This Row],[WALDD]]&gt;0,VLOOKUP(Table1[[#This Row],[ID]],Wine1!A:Q,17,FALSE),Table1[[#This Row],[EP]]))</f>
        <v>0</v>
      </c>
      <c r="Z2" s="18" t="str">
        <f>IF(Table1[[#This Row],[My Rating]]="",IF(Table1[[#This Row],[WA Rating Clean]]="","",Table1[[#This Row],[WA Rating Clean]]),Table1[[#This Row],[My Rating]])</f>
        <v/>
      </c>
      <c r="AA2" s="37">
        <v>2020</v>
      </c>
      <c r="AB2" s="4">
        <v>60.61</v>
      </c>
      <c r="AC2" s="2">
        <f t="shared" ref="AC2:AC61" si="1">AB2*I2</f>
        <v>60.61</v>
      </c>
      <c r="AD2" s="8">
        <v>1</v>
      </c>
      <c r="AE2" s="10">
        <f>IF(Table1[[#This Row],[P/750]]&lt;20,1,IF(Table1[[#This Row],[P/750]]&lt;50,2,3))</f>
        <v>3</v>
      </c>
      <c r="AF2" s="10">
        <f>IF(Table1[[#This Row],[P/750]]&lt;Expenses!$C$30,1,IF(Table1[[#This Row],[P/750]]&lt;Expenses!$C$31,2,IF(Table1[[#This Row],[P/750]]&lt;Expenses!$C$32,3,4)))</f>
        <v>3</v>
      </c>
      <c r="AG2" s="37"/>
      <c r="AH2" s="37" t="s">
        <v>1139</v>
      </c>
      <c r="AI2" s="11">
        <f>Table1[[#This Row],[Price]]/Table1[[#This Row],[Size (ml)]]*750</f>
        <v>60.61</v>
      </c>
      <c r="AK2" s="10">
        <f>COUNTIF(UniqueID!A:A,Table1[[#This Row],[ID]])</f>
        <v>0</v>
      </c>
      <c r="AL2" s="10" t="str">
        <f>VLOOKUP(Table1[[#This Row],[Cellar Location]],Location!A:F,6,FALSE)</f>
        <v>W</v>
      </c>
      <c r="AN2" s="1">
        <v>44058</v>
      </c>
      <c r="AO2" s="10" t="str">
        <f>TEXT(Table1[[#This Row],[Purchased]],"mmmm")</f>
        <v>August</v>
      </c>
      <c r="AP2" s="10" t="str">
        <f>TEXT(Table1[[#This Row],[Purchased]],"yyyy")</f>
        <v>2020</v>
      </c>
      <c r="AQ2" s="1">
        <v>44132</v>
      </c>
    </row>
    <row r="3" spans="1:43" s="37" customFormat="1" x14ac:dyDescent="0.25">
      <c r="A3" s="37" t="str">
        <f t="shared" si="0"/>
        <v>2018TorremoronRibera Del Duero Tempranillo</v>
      </c>
      <c r="B3" s="37">
        <v>2018</v>
      </c>
      <c r="C3" s="103" t="s">
        <v>1614</v>
      </c>
      <c r="D3" s="37" t="s">
        <v>1616</v>
      </c>
      <c r="E3" s="67" t="s">
        <v>1220</v>
      </c>
      <c r="F3" s="37" t="s">
        <v>729</v>
      </c>
      <c r="G3" s="37" t="s">
        <v>1718</v>
      </c>
      <c r="H3" s="37" t="s">
        <v>818</v>
      </c>
      <c r="I3" s="37">
        <v>1</v>
      </c>
      <c r="J3" s="38">
        <v>750</v>
      </c>
      <c r="K3" s="38" t="s">
        <v>1139</v>
      </c>
      <c r="L3" s="10">
        <f>COUNTIF(Drank!A:A,Table1[[#This Row],[ID]])</f>
        <v>0</v>
      </c>
      <c r="M3" s="37" t="s">
        <v>202</v>
      </c>
      <c r="N3" s="37" t="s">
        <v>207</v>
      </c>
      <c r="O3" s="37">
        <v>0</v>
      </c>
      <c r="P3" s="10"/>
      <c r="R3" s="10" t="str">
        <f>IF(IFERROR(VLOOKUP(A3,Drank!A:S,15,FALSE),"")=0,"",IFERROR(VLOOKUP(A3,Drank!A:S,15,FALSE),""))</f>
        <v/>
      </c>
      <c r="S3" s="10" t="str">
        <f>IF(IFERROR(VLOOKUP(A3,Drank!A:S,16,FALSE),"")=0,"",IFERROR(VLOOKUP(A3,Drank!A:S,16,FALSE),""))</f>
        <v/>
      </c>
      <c r="T3" s="10"/>
      <c r="V3" s="18" t="str">
        <f>IF(IFERROR(VLOOKUP(A3,Drank!A:T,19,FALSE),"")=0,"",IFERROR(VLOOKUP(A3,Drank!A:T,19,FALSE),""))</f>
        <v/>
      </c>
      <c r="W3" s="1" t="str">
        <f>IF(IFERROR(VLOOKUP(A3,Drank!A:T,20,FALSE),"")=0,"",IFERROR(VLOOKUP(A3,Drank!A:T,20,FALSE),""))</f>
        <v/>
      </c>
      <c r="X3" s="10">
        <f>SUMIF(A:A,A3,I:I)</f>
        <v>1</v>
      </c>
      <c r="Y3" s="10">
        <f>IF(Table1[[#This Row],[Drank]]&gt;0,VLOOKUP(Table1[[#This Row],[ID]],Drank!A:P,16,FALSE),IF(Table1[[#This Row],[WALDD]]&gt;0,VLOOKUP(Table1[[#This Row],[ID]],Wine1!A:Q,17,FALSE),Table1[[#This Row],[EP]]))</f>
        <v>0</v>
      </c>
      <c r="Z3" s="18" t="str">
        <f>IF(Table1[[#This Row],[My Rating]]="",IF(Table1[[#This Row],[WA Rating Clean]]="","",Table1[[#This Row],[WA Rating Clean]]),Table1[[#This Row],[My Rating]])</f>
        <v/>
      </c>
      <c r="AA3" s="37">
        <v>2020</v>
      </c>
      <c r="AB3" s="4">
        <v>17.59</v>
      </c>
      <c r="AC3" s="2">
        <f t="shared" si="1"/>
        <v>17.59</v>
      </c>
      <c r="AD3" s="8">
        <v>1</v>
      </c>
      <c r="AE3" s="10">
        <f>IF(Table1[[#This Row],[P/750]]&lt;20,1,IF(Table1[[#This Row],[P/750]]&lt;50,2,3))</f>
        <v>1</v>
      </c>
      <c r="AF3" s="10">
        <f>IF(Table1[[#This Row],[P/750]]&lt;Expenses!$C$30,1,IF(Table1[[#This Row],[P/750]]&lt;Expenses!$C$31,2,IF(Table1[[#This Row],[P/750]]&lt;Expenses!$C$32,3,4)))</f>
        <v>2</v>
      </c>
      <c r="AH3" s="37" t="s">
        <v>1139</v>
      </c>
      <c r="AI3" s="11">
        <f>Table1[[#This Row],[Price]]/Table1[[#This Row],[Size (ml)]]*750</f>
        <v>17.59</v>
      </c>
      <c r="AK3" s="10">
        <f>COUNTIF(UniqueID!A:A,Table1[[#This Row],[ID]])</f>
        <v>0</v>
      </c>
      <c r="AL3" s="10" t="str">
        <f>VLOOKUP(Table1[[#This Row],[Cellar Location]],Location!A:F,6,FALSE)</f>
        <v>W</v>
      </c>
      <c r="AN3" s="1">
        <v>44058</v>
      </c>
      <c r="AO3" s="10" t="str">
        <f>TEXT(Table1[[#This Row],[Purchased]],"mmmm")</f>
        <v>August</v>
      </c>
      <c r="AP3" s="10" t="str">
        <f>TEXT(Table1[[#This Row],[Purchased]],"yyyy")</f>
        <v>2020</v>
      </c>
      <c r="AQ3" s="1">
        <v>44132</v>
      </c>
    </row>
    <row r="4" spans="1:43" s="37" customFormat="1" x14ac:dyDescent="0.25">
      <c r="A4" s="37" t="str">
        <f t="shared" si="0"/>
        <v>2016Chateau MouquetChateau Mouquet</v>
      </c>
      <c r="B4" s="37">
        <v>2016</v>
      </c>
      <c r="C4" s="37" t="s">
        <v>1667</v>
      </c>
      <c r="D4" s="37" t="s">
        <v>1667</v>
      </c>
      <c r="E4" s="67"/>
      <c r="F4" s="37" t="s">
        <v>742</v>
      </c>
      <c r="G4" s="37" t="s">
        <v>748</v>
      </c>
      <c r="I4" s="8">
        <v>1</v>
      </c>
      <c r="J4" s="38">
        <v>750</v>
      </c>
      <c r="K4" s="38" t="s">
        <v>1526</v>
      </c>
      <c r="L4" s="10">
        <f>COUNTIF(Drank!A:A,Table1[[#This Row],[ID]])</f>
        <v>0</v>
      </c>
      <c r="M4" s="37" t="s">
        <v>202</v>
      </c>
      <c r="N4" s="37" t="s">
        <v>207</v>
      </c>
      <c r="O4" s="37">
        <v>0</v>
      </c>
      <c r="R4" s="10" t="str">
        <f>IF(IFERROR(VLOOKUP(A4,Drank!A:S,15,FALSE),"")=0,"",IFERROR(VLOOKUP(A4,Drank!A:S,15,FALSE),""))</f>
        <v/>
      </c>
      <c r="S4" s="10" t="str">
        <f>IF(IFERROR(VLOOKUP(A4,Drank!A:S,16,FALSE),"")=0,"",IFERROR(VLOOKUP(A4,Drank!A:S,16,FALSE),""))</f>
        <v/>
      </c>
      <c r="T4" s="10"/>
      <c r="V4" s="18" t="str">
        <f>IF(IFERROR(VLOOKUP(A4,Drank!A:T,19,FALSE),"")=0,"",IFERROR(VLOOKUP(A4,Drank!A:T,19,FALSE),""))</f>
        <v/>
      </c>
      <c r="W4" s="1" t="str">
        <f>IF(IFERROR(VLOOKUP(A4,Drank!A:T,20,FALSE),"")=0,"",IFERROR(VLOOKUP(A4,Drank!A:T,20,FALSE),""))</f>
        <v/>
      </c>
      <c r="X4" s="10">
        <f>SUMIF(A:A,A4,I:I)</f>
        <v>1</v>
      </c>
      <c r="Y4" s="10">
        <f>IF(Table1[[#This Row],[Drank]]&gt;0,VLOOKUP(Table1[[#This Row],[ID]],Drank!A:P,16,FALSE),IF(Table1[[#This Row],[WALDD]]&gt;0,VLOOKUP(Table1[[#This Row],[ID]],Wine1!A:Q,17,FALSE),Table1[[#This Row],[EP]]))</f>
        <v>0</v>
      </c>
      <c r="Z4" s="18" t="str">
        <f>IF(Table1[[#This Row],[My Rating]]="",IF(Table1[[#This Row],[WA Rating Clean]]="","",Table1[[#This Row],[WA Rating Clean]]),Table1[[#This Row],[My Rating]])</f>
        <v/>
      </c>
      <c r="AA4" s="8">
        <v>2020</v>
      </c>
      <c r="AB4" s="4">
        <v>5.71</v>
      </c>
      <c r="AC4" s="2">
        <f t="shared" si="1"/>
        <v>5.71</v>
      </c>
      <c r="AD4" s="8">
        <v>1</v>
      </c>
      <c r="AE4" s="10">
        <f>IF(Table1[[#This Row],[P/750]]&lt;20,1,IF(Table1[[#This Row],[P/750]]&lt;50,2,3))</f>
        <v>1</v>
      </c>
      <c r="AF4" s="10">
        <f>IF(Table1[[#This Row],[P/750]]&lt;Expenses!$C$30,1,IF(Table1[[#This Row],[P/750]]&lt;Expenses!$C$31,2,IF(Table1[[#This Row],[P/750]]&lt;Expenses!$C$32,3,4)))</f>
        <v>1</v>
      </c>
      <c r="AH4" s="37" t="s">
        <v>1685</v>
      </c>
      <c r="AI4" s="11">
        <f>Table1[[#This Row],[Price]]/Table1[[#This Row],[Size (ml)]]*750</f>
        <v>5.71</v>
      </c>
      <c r="AK4" s="10">
        <f>COUNTIF(UniqueID!A:A,Table1[[#This Row],[ID]])</f>
        <v>0</v>
      </c>
      <c r="AL4" s="10" t="str">
        <f>VLOOKUP(Table1[[#This Row],[Cellar Location]],Location!A:F,6,FALSE)</f>
        <v>W</v>
      </c>
      <c r="AN4" s="1">
        <v>44061</v>
      </c>
      <c r="AO4" s="10" t="str">
        <f>TEXT(Table1[[#This Row],[Purchased]],"mmmm")</f>
        <v>August</v>
      </c>
      <c r="AP4" s="10" t="str">
        <f>TEXT(Table1[[#This Row],[Purchased]],"yyyy")</f>
        <v>2020</v>
      </c>
      <c r="AQ4" s="1">
        <v>44077</v>
      </c>
    </row>
    <row r="5" spans="1:43" s="37" customFormat="1" x14ac:dyDescent="0.25">
      <c r="A5" s="37" t="str">
        <f t="shared" si="0"/>
        <v>2019The Black StrumpDurif Shiraz</v>
      </c>
      <c r="B5" s="37">
        <v>2019</v>
      </c>
      <c r="C5" s="37" t="s">
        <v>1672</v>
      </c>
      <c r="D5" s="37" t="s">
        <v>1673</v>
      </c>
      <c r="E5" s="67"/>
      <c r="F5" s="37" t="s">
        <v>736</v>
      </c>
      <c r="I5" s="8">
        <v>1</v>
      </c>
      <c r="J5" s="38">
        <v>750</v>
      </c>
      <c r="K5" s="38" t="s">
        <v>1526</v>
      </c>
      <c r="L5" s="10">
        <f>COUNTIF(Drank!A:A,Table1[[#This Row],[ID]])</f>
        <v>0</v>
      </c>
      <c r="M5" s="37" t="s">
        <v>202</v>
      </c>
      <c r="N5" s="37" t="s">
        <v>207</v>
      </c>
      <c r="O5" s="37">
        <v>0</v>
      </c>
      <c r="R5" s="10" t="str">
        <f>IF(IFERROR(VLOOKUP(A5,Drank!A:S,15,FALSE),"")=0,"",IFERROR(VLOOKUP(A5,Drank!A:S,15,FALSE),""))</f>
        <v/>
      </c>
      <c r="S5" s="10" t="str">
        <f>IF(IFERROR(VLOOKUP(A5,Drank!A:S,16,FALSE),"")=0,"",IFERROR(VLOOKUP(A5,Drank!A:S,16,FALSE),""))</f>
        <v/>
      </c>
      <c r="T5" s="10"/>
      <c r="V5" s="18" t="str">
        <f>IF(IFERROR(VLOOKUP(A5,Drank!A:T,19,FALSE),"")=0,"",IFERROR(VLOOKUP(A5,Drank!A:T,19,FALSE),""))</f>
        <v/>
      </c>
      <c r="W5" s="1" t="str">
        <f>IF(IFERROR(VLOOKUP(A5,Drank!A:T,20,FALSE),"")=0,"",IFERROR(VLOOKUP(A5,Drank!A:T,20,FALSE),""))</f>
        <v/>
      </c>
      <c r="X5" s="10">
        <f>SUMIF(A:A,A5,I:I)</f>
        <v>1</v>
      </c>
      <c r="Y5" s="10">
        <f>IF(Table1[[#This Row],[Drank]]&gt;0,VLOOKUP(Table1[[#This Row],[ID]],Drank!A:P,16,FALSE),IF(Table1[[#This Row],[WALDD]]&gt;0,VLOOKUP(Table1[[#This Row],[ID]],Wine1!A:Q,17,FALSE),Table1[[#This Row],[EP]]))</f>
        <v>0</v>
      </c>
      <c r="Z5" s="18" t="str">
        <f>IF(Table1[[#This Row],[My Rating]]="",IF(Table1[[#This Row],[WA Rating Clean]]="","",Table1[[#This Row],[WA Rating Clean]]),Table1[[#This Row],[My Rating]])</f>
        <v/>
      </c>
      <c r="AA5" s="8">
        <v>2020</v>
      </c>
      <c r="AB5" s="4">
        <v>5.71</v>
      </c>
      <c r="AC5" s="2">
        <f t="shared" si="1"/>
        <v>5.71</v>
      </c>
      <c r="AD5" s="8">
        <v>1</v>
      </c>
      <c r="AE5" s="10">
        <f>IF(Table1[[#This Row],[P/750]]&lt;20,1,IF(Table1[[#This Row],[P/750]]&lt;50,2,3))</f>
        <v>1</v>
      </c>
      <c r="AF5" s="10">
        <f>IF(Table1[[#This Row],[P/750]]&lt;Expenses!$C$30,1,IF(Table1[[#This Row],[P/750]]&lt;Expenses!$C$31,2,IF(Table1[[#This Row],[P/750]]&lt;Expenses!$C$32,3,4)))</f>
        <v>1</v>
      </c>
      <c r="AH5" s="37" t="s">
        <v>1685</v>
      </c>
      <c r="AI5" s="11">
        <f>Table1[[#This Row],[Price]]/Table1[[#This Row],[Size (ml)]]*750</f>
        <v>5.71</v>
      </c>
      <c r="AK5" s="10">
        <f>COUNTIF(UniqueID!A:A,Table1[[#This Row],[ID]])</f>
        <v>0</v>
      </c>
      <c r="AL5" s="10" t="str">
        <f>VLOOKUP(Table1[[#This Row],[Cellar Location]],Location!A:F,6,FALSE)</f>
        <v>W</v>
      </c>
      <c r="AN5" s="1">
        <v>44061</v>
      </c>
      <c r="AO5" s="10" t="str">
        <f>TEXT(Table1[[#This Row],[Purchased]],"mmmm")</f>
        <v>August</v>
      </c>
      <c r="AP5" s="10" t="str">
        <f>TEXT(Table1[[#This Row],[Purchased]],"yyyy")</f>
        <v>2020</v>
      </c>
      <c r="AQ5" s="1">
        <v>44077</v>
      </c>
    </row>
    <row r="6" spans="1:43" x14ac:dyDescent="0.25">
      <c r="A6" t="str">
        <f t="shared" si="0"/>
        <v>2016Doisy-VedrinesPetit-Vedrines</v>
      </c>
      <c r="B6" s="37">
        <v>2016</v>
      </c>
      <c r="C6" s="37" t="s">
        <v>843</v>
      </c>
      <c r="D6" s="37" t="s">
        <v>1686</v>
      </c>
      <c r="E6" s="69" t="s">
        <v>1688</v>
      </c>
      <c r="F6" s="37" t="s">
        <v>742</v>
      </c>
      <c r="G6" s="37" t="s">
        <v>748</v>
      </c>
      <c r="H6" s="37" t="s">
        <v>260</v>
      </c>
      <c r="I6" s="8">
        <v>1</v>
      </c>
      <c r="J6" s="38">
        <v>375</v>
      </c>
      <c r="K6" s="38" t="s">
        <v>1687</v>
      </c>
      <c r="L6" s="10">
        <f>COUNTIF(Drank!A:A,Table1[[#This Row],[ID]])</f>
        <v>0</v>
      </c>
      <c r="M6" t="s">
        <v>201</v>
      </c>
      <c r="N6" t="s">
        <v>206</v>
      </c>
      <c r="O6">
        <v>0</v>
      </c>
      <c r="P6" s="37"/>
      <c r="R6" s="10" t="str">
        <f>IF(IFERROR(VLOOKUP(A6,Drank!A:S,15,FALSE),"")=0,"",IFERROR(VLOOKUP(A6,Drank!A:S,15,FALSE),""))</f>
        <v/>
      </c>
      <c r="S6" s="10" t="str">
        <f>IF(IFERROR(VLOOKUP(A6,Drank!A:S,16,FALSE),"")=0,"",IFERROR(VLOOKUP(A6,Drank!A:S,16,FALSE),""))</f>
        <v/>
      </c>
      <c r="T6" s="10"/>
      <c r="V6" s="18" t="str">
        <f>IF(IFERROR(VLOOKUP(A6,Drank!A:T,19,FALSE),"")=0,"",IFERROR(VLOOKUP(A6,Drank!A:T,19,FALSE),""))</f>
        <v/>
      </c>
      <c r="W6" s="1" t="str">
        <f>IF(IFERROR(VLOOKUP(A6,Drank!A:T,20,FALSE),"")=0,"",IFERROR(VLOOKUP(A6,Drank!A:T,20,FALSE),""))</f>
        <v/>
      </c>
      <c r="X6" s="10">
        <f>SUMIF(A:A,A6,I:I)</f>
        <v>24</v>
      </c>
      <c r="Y6" s="10">
        <f>IF(Table1[[#This Row],[Drank]]&gt;0,VLOOKUP(Table1[[#This Row],[ID]],Drank!A:P,16,FALSE),IF(Table1[[#This Row],[WALDD]]&gt;0,VLOOKUP(Table1[[#This Row],[ID]],Wine1!A:Q,17,FALSE),Table1[[#This Row],[EP]]))</f>
        <v>0</v>
      </c>
      <c r="Z6" s="18" t="str">
        <f>IF(Table1[[#This Row],[My Rating]]="",IF(Table1[[#This Row],[WA Rating Clean]]="","",Table1[[#This Row],[WA Rating Clean]]),Table1[[#This Row],[My Rating]])</f>
        <v/>
      </c>
      <c r="AA6" s="8">
        <v>2020</v>
      </c>
      <c r="AB6" s="4">
        <v>16.399999999999999</v>
      </c>
      <c r="AC6" s="2">
        <f t="shared" si="1"/>
        <v>16.399999999999999</v>
      </c>
      <c r="AD6" s="8">
        <v>1</v>
      </c>
      <c r="AE6" s="10">
        <f>IF(Table1[[#This Row],[P/750]]&lt;20,1,IF(Table1[[#This Row],[P/750]]&lt;50,2,3))</f>
        <v>2</v>
      </c>
      <c r="AF6" s="10">
        <f>IF(Table1[[#This Row],[P/750]]&lt;Expenses!$C$30,1,IF(Table1[[#This Row],[P/750]]&lt;Expenses!$C$31,2,IF(Table1[[#This Row],[P/750]]&lt;Expenses!$C$32,3,4)))</f>
        <v>3</v>
      </c>
      <c r="AH6" s="37" t="s">
        <v>1189</v>
      </c>
      <c r="AI6" s="11">
        <f>Table1[[#This Row],[Price]]/Table1[[#This Row],[Size (ml)]]*750</f>
        <v>32.799999999999997</v>
      </c>
      <c r="AK6" s="10">
        <f>COUNTIF(UniqueID!A:A,Table1[[#This Row],[ID]])</f>
        <v>0</v>
      </c>
      <c r="AL6" s="10" t="str">
        <f>VLOOKUP(Table1[[#This Row],[Cellar Location]],Location!A:F,6,FALSE)</f>
        <v>W</v>
      </c>
      <c r="AM6" s="37"/>
      <c r="AN6" s="1">
        <v>44061</v>
      </c>
      <c r="AO6" s="10" t="str">
        <f>TEXT(Table1[[#This Row],[Purchased]],"mmmm")</f>
        <v>August</v>
      </c>
      <c r="AP6" s="10" t="str">
        <f>TEXT(Table1[[#This Row],[Purchased]],"yyyy")</f>
        <v>2020</v>
      </c>
      <c r="AQ6" s="1">
        <v>44137</v>
      </c>
    </row>
    <row r="7" spans="1:43" x14ac:dyDescent="0.25">
      <c r="A7" t="str">
        <f t="shared" si="0"/>
        <v>2016Doisy-VedrinesPetit-Vedrines</v>
      </c>
      <c r="B7" s="37">
        <v>2016</v>
      </c>
      <c r="C7" s="37" t="s">
        <v>843</v>
      </c>
      <c r="D7" s="37" t="s">
        <v>1686</v>
      </c>
      <c r="E7" s="69" t="s">
        <v>1688</v>
      </c>
      <c r="F7" s="37" t="s">
        <v>742</v>
      </c>
      <c r="G7" s="37" t="s">
        <v>748</v>
      </c>
      <c r="H7" s="37" t="s">
        <v>260</v>
      </c>
      <c r="I7" s="8">
        <v>1</v>
      </c>
      <c r="J7" s="38">
        <v>375</v>
      </c>
      <c r="K7" s="38" t="s">
        <v>1687</v>
      </c>
      <c r="L7" s="10">
        <f>COUNTIF(Drank!A:A,Table1[[#This Row],[ID]])</f>
        <v>0</v>
      </c>
      <c r="M7" t="s">
        <v>201</v>
      </c>
      <c r="N7" t="s">
        <v>206</v>
      </c>
      <c r="O7">
        <v>0</v>
      </c>
      <c r="P7" s="37"/>
      <c r="R7" s="10" t="str">
        <f>IF(IFERROR(VLOOKUP(A7,Drank!A:S,15,FALSE),"")=0,"",IFERROR(VLOOKUP(A7,Drank!A:S,15,FALSE),""))</f>
        <v/>
      </c>
      <c r="S7" s="10" t="str">
        <f>IF(IFERROR(VLOOKUP(A7,Drank!A:S,16,FALSE),"")=0,"",IFERROR(VLOOKUP(A7,Drank!A:S,16,FALSE),""))</f>
        <v/>
      </c>
      <c r="T7" s="10"/>
      <c r="V7" s="18" t="str">
        <f>IF(IFERROR(VLOOKUP(A7,Drank!A:T,19,FALSE),"")=0,"",IFERROR(VLOOKUP(A7,Drank!A:T,19,FALSE),""))</f>
        <v/>
      </c>
      <c r="W7" s="1" t="str">
        <f>IF(IFERROR(VLOOKUP(A7,Drank!A:T,20,FALSE),"")=0,"",IFERROR(VLOOKUP(A7,Drank!A:T,20,FALSE),""))</f>
        <v/>
      </c>
      <c r="X7" s="10">
        <f>SUMIF(A:A,A7,I:I)</f>
        <v>24</v>
      </c>
      <c r="Y7" s="10">
        <f>IF(Table1[[#This Row],[Drank]]&gt;0,VLOOKUP(Table1[[#This Row],[ID]],Drank!A:P,16,FALSE),IF(Table1[[#This Row],[WALDD]]&gt;0,VLOOKUP(Table1[[#This Row],[ID]],Wine1!A:Q,17,FALSE),Table1[[#This Row],[EP]]))</f>
        <v>0</v>
      </c>
      <c r="Z7" s="18" t="str">
        <f>IF(Table1[[#This Row],[My Rating]]="",IF(Table1[[#This Row],[WA Rating Clean]]="","",Table1[[#This Row],[WA Rating Clean]]),Table1[[#This Row],[My Rating]])</f>
        <v/>
      </c>
      <c r="AA7" s="8">
        <v>2020</v>
      </c>
      <c r="AB7" s="4">
        <v>16.399999999999999</v>
      </c>
      <c r="AC7" s="2">
        <f t="shared" si="1"/>
        <v>16.399999999999999</v>
      </c>
      <c r="AD7" s="8">
        <v>1</v>
      </c>
      <c r="AE7" s="10">
        <f>IF(Table1[[#This Row],[P/750]]&lt;20,1,IF(Table1[[#This Row],[P/750]]&lt;50,2,3))</f>
        <v>2</v>
      </c>
      <c r="AF7" s="10">
        <f>IF(Table1[[#This Row],[P/750]]&lt;Expenses!$C$30,1,IF(Table1[[#This Row],[P/750]]&lt;Expenses!$C$31,2,IF(Table1[[#This Row],[P/750]]&lt;Expenses!$C$32,3,4)))</f>
        <v>3</v>
      </c>
      <c r="AH7" s="37" t="s">
        <v>1189</v>
      </c>
      <c r="AI7" s="11">
        <f>Table1[[#This Row],[Price]]/Table1[[#This Row],[Size (ml)]]*750</f>
        <v>32.799999999999997</v>
      </c>
      <c r="AK7" s="10">
        <f>COUNTIF(UniqueID!A:A,Table1[[#This Row],[ID]])</f>
        <v>0</v>
      </c>
      <c r="AL7" s="10" t="str">
        <f>VLOOKUP(Table1[[#This Row],[Cellar Location]],Location!A:F,6,FALSE)</f>
        <v>W</v>
      </c>
      <c r="AN7" s="1">
        <v>44061</v>
      </c>
      <c r="AO7" s="10" t="str">
        <f>TEXT(Table1[[#This Row],[Purchased]],"mmmm")</f>
        <v>August</v>
      </c>
      <c r="AP7" s="10" t="str">
        <f>TEXT(Table1[[#This Row],[Purchased]],"yyyy")</f>
        <v>2020</v>
      </c>
      <c r="AQ7" s="1">
        <v>44137</v>
      </c>
    </row>
    <row r="8" spans="1:43" x14ac:dyDescent="0.25">
      <c r="A8" t="str">
        <f t="shared" si="0"/>
        <v>2015Bodega PirineosCabernet Sauvignon Seleccion Crianza</v>
      </c>
      <c r="B8" s="37">
        <v>2015</v>
      </c>
      <c r="C8" s="37" t="s">
        <v>1676</v>
      </c>
      <c r="D8" s="37" t="s">
        <v>1677</v>
      </c>
      <c r="E8" s="67"/>
      <c r="F8" s="37" t="s">
        <v>729</v>
      </c>
      <c r="G8" s="37" t="s">
        <v>811</v>
      </c>
      <c r="H8" s="37" t="s">
        <v>1675</v>
      </c>
      <c r="I8" s="8">
        <v>1</v>
      </c>
      <c r="J8" s="38">
        <v>750</v>
      </c>
      <c r="K8" s="38" t="s">
        <v>1526</v>
      </c>
      <c r="L8" s="10">
        <f>COUNTIF(Drank!A:A,Table1[[#This Row],[ID]])</f>
        <v>0</v>
      </c>
      <c r="M8" t="s">
        <v>202</v>
      </c>
      <c r="N8" t="s">
        <v>207</v>
      </c>
      <c r="P8" s="37"/>
      <c r="R8" s="10" t="str">
        <f>IF(IFERROR(VLOOKUP(A8,Drank!A:S,15,FALSE),"")=0,"",IFERROR(VLOOKUP(A8,Drank!A:S,15,FALSE),""))</f>
        <v/>
      </c>
      <c r="S8" s="10" t="str">
        <f>IF(IFERROR(VLOOKUP(A8,Drank!A:S,16,FALSE),"")=0,"",IFERROR(VLOOKUP(A8,Drank!A:S,16,FALSE),""))</f>
        <v/>
      </c>
      <c r="T8" s="10"/>
      <c r="V8" s="18" t="str">
        <f>IF(IFERROR(VLOOKUP(A8,Drank!A:T,19,FALSE),"")=0,"",IFERROR(VLOOKUP(A8,Drank!A:T,19,FALSE),""))</f>
        <v/>
      </c>
      <c r="W8" s="1" t="str">
        <f>IF(IFERROR(VLOOKUP(A8,Drank!A:T,20,FALSE),"")=0,"",IFERROR(VLOOKUP(A8,Drank!A:T,20,FALSE),""))</f>
        <v/>
      </c>
      <c r="X8" s="10">
        <f>SUMIF(A:A,A8,I:I)</f>
        <v>1</v>
      </c>
      <c r="Y8" s="10">
        <f>IF(Table1[[#This Row],[Drank]]&gt;0,VLOOKUP(Table1[[#This Row],[ID]],Drank!A:P,16,FALSE),IF(Table1[[#This Row],[WALDD]]&gt;0,VLOOKUP(Table1[[#This Row],[ID]],Wine1!A:Q,17,FALSE),Table1[[#This Row],[EP]]))</f>
        <v>0</v>
      </c>
      <c r="Z8" s="18" t="str">
        <f>IF(Table1[[#This Row],[My Rating]]="",IF(Table1[[#This Row],[WA Rating Clean]]="","",Table1[[#This Row],[WA Rating Clean]]),Table1[[#This Row],[My Rating]])</f>
        <v/>
      </c>
      <c r="AA8" s="8">
        <v>2020</v>
      </c>
      <c r="AB8" s="4">
        <v>5.71</v>
      </c>
      <c r="AC8" s="2">
        <f t="shared" si="1"/>
        <v>5.71</v>
      </c>
      <c r="AD8" s="8">
        <v>1</v>
      </c>
      <c r="AE8" s="10">
        <f>IF(Table1[[#This Row],[P/750]]&lt;20,1,IF(Table1[[#This Row],[P/750]]&lt;50,2,3))</f>
        <v>1</v>
      </c>
      <c r="AF8" s="10">
        <f>IF(Table1[[#This Row],[P/750]]&lt;Expenses!$C$30,1,IF(Table1[[#This Row],[P/750]]&lt;Expenses!$C$31,2,IF(Table1[[#This Row],[P/750]]&lt;Expenses!$C$32,3,4)))</f>
        <v>1</v>
      </c>
      <c r="AH8" s="37" t="s">
        <v>1685</v>
      </c>
      <c r="AI8" s="11">
        <f>Table1[[#This Row],[Price]]/Table1[[#This Row],[Size (ml)]]*750</f>
        <v>5.71</v>
      </c>
      <c r="AJ8" s="37"/>
      <c r="AK8" s="10">
        <f>COUNTIF(UniqueID!A:A,Table1[[#This Row],[ID]])</f>
        <v>0</v>
      </c>
      <c r="AL8" s="10" t="str">
        <f>VLOOKUP(Table1[[#This Row],[Cellar Location]],Location!A:F,6,FALSE)</f>
        <v>W</v>
      </c>
      <c r="AN8" s="1">
        <v>44061</v>
      </c>
      <c r="AO8" s="10" t="str">
        <f>TEXT(Table1[[#This Row],[Purchased]],"mmmm")</f>
        <v>August</v>
      </c>
      <c r="AP8" s="10" t="str">
        <f>TEXT(Table1[[#This Row],[Purchased]],"yyyy")</f>
        <v>2020</v>
      </c>
      <c r="AQ8" s="1">
        <v>44077</v>
      </c>
    </row>
    <row r="9" spans="1:43" x14ac:dyDescent="0.25">
      <c r="A9" t="str">
        <f t="shared" si="0"/>
        <v>2011AlvearPedro Ximenez de Anada</v>
      </c>
      <c r="B9" s="37">
        <v>2011</v>
      </c>
      <c r="C9" s="37" t="s">
        <v>1654</v>
      </c>
      <c r="D9" s="9" t="s">
        <v>1797</v>
      </c>
      <c r="E9" s="67" t="s">
        <v>1469</v>
      </c>
      <c r="F9" s="37" t="s">
        <v>729</v>
      </c>
      <c r="G9" s="37" t="s">
        <v>809</v>
      </c>
      <c r="H9" s="37" t="s">
        <v>810</v>
      </c>
      <c r="I9" s="37">
        <v>1</v>
      </c>
      <c r="J9" s="37">
        <v>375</v>
      </c>
      <c r="K9" s="8" t="s">
        <v>1833</v>
      </c>
      <c r="L9" s="10">
        <f>COUNTIF(Drank!A:A,Table1[[#This Row],[ID]])</f>
        <v>0</v>
      </c>
      <c r="M9" t="s">
        <v>201</v>
      </c>
      <c r="N9" t="s">
        <v>206</v>
      </c>
      <c r="O9">
        <v>1</v>
      </c>
      <c r="P9" s="10"/>
      <c r="R9" s="10" t="str">
        <f>IF(IFERROR(VLOOKUP(A9,Drank!A:S,15,FALSE),"")=0,"",IFERROR(VLOOKUP(A9,Drank!A:S,15,FALSE),""))</f>
        <v/>
      </c>
      <c r="S9" s="10" t="str">
        <f>IF(IFERROR(VLOOKUP(A9,Drank!A:S,16,FALSE),"")=0,"",IFERROR(VLOOKUP(A9,Drank!A:S,16,FALSE),""))</f>
        <v/>
      </c>
      <c r="T9" s="10"/>
      <c r="U9">
        <v>100</v>
      </c>
      <c r="V9" s="18" t="str">
        <f>IF(IFERROR(VLOOKUP(A9,Drank!A:T,19,FALSE),"")=0,"",IFERROR(VLOOKUP(A9,Drank!A:T,19,FALSE),""))</f>
        <v/>
      </c>
      <c r="W9" s="1" t="str">
        <f>IF(IFERROR(VLOOKUP(A9,Drank!A:T,20,FALSE),"")=0,"",IFERROR(VLOOKUP(A9,Drank!A:T,20,FALSE),""))</f>
        <v/>
      </c>
      <c r="X9" s="10">
        <f>SUMIF(A:A,A9,I:I)</f>
        <v>2</v>
      </c>
      <c r="Y9" s="10">
        <f>IF(Table1[[#This Row],[Drank]]&gt;0,VLOOKUP(Table1[[#This Row],[ID]],Drank!A:P,16,FALSE),IF(Table1[[#This Row],[WALDD]]&gt;0,VLOOKUP(Table1[[#This Row],[ID]],Wine1!A:Q,17,FALSE),Table1[[#This Row],[EP]]))</f>
        <v>0</v>
      </c>
      <c r="Z9" s="18">
        <f>IF(Table1[[#This Row],[My Rating]]="",IF(Table1[[#This Row],[WA Rating Clean]]="","",Table1[[#This Row],[WA Rating Clean]]),Table1[[#This Row],[My Rating]])</f>
        <v>100</v>
      </c>
      <c r="AA9" s="37">
        <v>2020</v>
      </c>
      <c r="AB9" s="128">
        <v>82.27</v>
      </c>
      <c r="AC9" s="2">
        <f t="shared" si="1"/>
        <v>82.27</v>
      </c>
      <c r="AD9" s="8"/>
      <c r="AE9" s="10">
        <f>IF(Table1[[#This Row],[P/750]]&lt;20,1,IF(Table1[[#This Row],[P/750]]&lt;50,2,3))</f>
        <v>3</v>
      </c>
      <c r="AF9" s="10">
        <f>IF(Table1[[#This Row],[P/750]]&lt;Expenses!$C$30,1,IF(Table1[[#This Row],[P/750]]&lt;Expenses!$C$31,2,IF(Table1[[#This Row],[P/750]]&lt;Expenses!$C$32,3,4)))</f>
        <v>4</v>
      </c>
      <c r="AH9" s="25" t="s">
        <v>1545</v>
      </c>
      <c r="AI9" s="11">
        <f>Table1[[#This Row],[Price]]/Table1[[#This Row],[Size (ml)]]*750</f>
        <v>164.54</v>
      </c>
      <c r="AJ9">
        <v>100</v>
      </c>
      <c r="AK9" s="10">
        <f>COUNTIF(UniqueID!A:A,Table1[[#This Row],[ID]])</f>
        <v>0</v>
      </c>
      <c r="AL9" s="10" t="str">
        <f>VLOOKUP(Table1[[#This Row],[Cellar Location]],Location!A:F,6,FALSE)</f>
        <v>C</v>
      </c>
      <c r="AN9" s="1">
        <v>44065</v>
      </c>
      <c r="AO9" s="10" t="str">
        <f>TEXT(Table1[[#This Row],[Purchased]],"mmmm")</f>
        <v>August</v>
      </c>
      <c r="AP9" s="10" t="str">
        <f>TEXT(Table1[[#This Row],[Purchased]],"yyyy")</f>
        <v>2020</v>
      </c>
      <c r="AQ9" s="10"/>
    </row>
    <row r="10" spans="1:43" s="37" customFormat="1" x14ac:dyDescent="0.25">
      <c r="A10" s="37" t="str">
        <f t="shared" si="0"/>
        <v>2013Bernabé NavarroTragolargo</v>
      </c>
      <c r="B10" s="8">
        <v>2013</v>
      </c>
      <c r="C10" s="8" t="s">
        <v>1308</v>
      </c>
      <c r="D10" s="37" t="s">
        <v>1309</v>
      </c>
      <c r="E10" s="69" t="s">
        <v>1223</v>
      </c>
      <c r="F10" s="37" t="s">
        <v>729</v>
      </c>
      <c r="G10" s="37" t="s">
        <v>826</v>
      </c>
      <c r="H10" s="37" t="s">
        <v>827</v>
      </c>
      <c r="I10" s="37">
        <v>1</v>
      </c>
      <c r="J10" s="37">
        <v>750</v>
      </c>
      <c r="K10" s="8" t="s">
        <v>929</v>
      </c>
      <c r="L10" s="10">
        <f>COUNTIF(Drank!A:A,Table1[[#This Row],[ID]])</f>
        <v>5</v>
      </c>
      <c r="M10" s="37" t="s">
        <v>202</v>
      </c>
      <c r="N10" s="37" t="s">
        <v>207</v>
      </c>
      <c r="O10" s="37">
        <v>1</v>
      </c>
      <c r="P10" s="37">
        <v>2015</v>
      </c>
      <c r="Q10" s="37">
        <v>2017</v>
      </c>
      <c r="R10" s="10">
        <f>IF(IFERROR(VLOOKUP(A10,Drank!A:S,15,FALSE),"")=0,"",IFERROR(VLOOKUP(A10,Drank!A:S,15,FALSE),""))</f>
        <v>2020</v>
      </c>
      <c r="S10" s="10">
        <f>IF(IFERROR(VLOOKUP(A10,Drank!A:S,16,FALSE),"")=0,"",IFERROR(VLOOKUP(A10,Drank!A:S,16,FALSE),""))</f>
        <v>2019</v>
      </c>
      <c r="T10" s="10"/>
      <c r="U10" s="37">
        <v>90</v>
      </c>
      <c r="V10" s="18">
        <f>IF(IFERROR(VLOOKUP(A10,Drank!A:T,19,FALSE),"")=0,"",IFERROR(VLOOKUP(A10,Drank!A:T,19,FALSE),""))</f>
        <v>90.6</v>
      </c>
      <c r="W10" s="1">
        <f>IF(IFERROR(VLOOKUP(A10,Drank!A:T,20,FALSE),"")=0,"",IFERROR(VLOOKUP(A10,Drank!A:T,20,FALSE),""))</f>
        <v>44054</v>
      </c>
      <c r="X10" s="10">
        <f>SUMIF(A:A,A10,I:I)</f>
        <v>1</v>
      </c>
      <c r="Y10" s="10">
        <f>IF(Table1[[#This Row],[Drank]]&gt;0,VLOOKUP(Table1[[#This Row],[ID]],Drank!A:P,16,FALSE),IF(Table1[[#This Row],[WALDD]]&gt;0,VLOOKUP(Table1[[#This Row],[ID]],Wine1!A:Q,17,FALSE),Table1[[#This Row],[EP]]))</f>
        <v>2019</v>
      </c>
      <c r="Z10" s="18">
        <f>IF(Table1[[#This Row],[My Rating]]="",IF(Table1[[#This Row],[WA Rating Clean]]="","",Table1[[#This Row],[WA Rating Clean]]),Table1[[#This Row],[My Rating]])</f>
        <v>90.6</v>
      </c>
      <c r="AA10" s="8">
        <v>2020</v>
      </c>
      <c r="AB10" s="4">
        <v>13.11</v>
      </c>
      <c r="AC10" s="2">
        <f t="shared" si="1"/>
        <v>13.11</v>
      </c>
      <c r="AD10" s="8">
        <v>0</v>
      </c>
      <c r="AE10" s="10">
        <f>IF(Table1[[#This Row],[P/750]]&lt;20,1,IF(Table1[[#This Row],[P/750]]&lt;50,2,3))</f>
        <v>1</v>
      </c>
      <c r="AF10" s="10">
        <f>IF(Table1[[#This Row],[P/750]]&lt;Expenses!$C$30,1,IF(Table1[[#This Row],[P/750]]&lt;Expenses!$C$31,2,IF(Table1[[#This Row],[P/750]]&lt;Expenses!$C$32,3,4)))</f>
        <v>1</v>
      </c>
      <c r="AH10" s="37" t="s">
        <v>385</v>
      </c>
      <c r="AI10" s="11">
        <f>Table1[[#This Row],[Price]]/Table1[[#This Row],[Size (ml)]]*750</f>
        <v>13.11</v>
      </c>
      <c r="AJ10" s="37">
        <v>90</v>
      </c>
      <c r="AK10" s="10">
        <f>COUNTIF(UniqueID!A:A,Table1[[#This Row],[ID]])</f>
        <v>0</v>
      </c>
      <c r="AL10" s="10" t="str">
        <f>VLOOKUP(Table1[[#This Row],[Cellar Location]],Location!A:F,6,FALSE)</f>
        <v>C</v>
      </c>
      <c r="AN10" s="1">
        <v>43887</v>
      </c>
      <c r="AO10" s="10" t="str">
        <f>TEXT(Table1[[#This Row],[Purchased]],"mmmm")</f>
        <v>February</v>
      </c>
      <c r="AP10" s="10" t="str">
        <f>TEXT(Table1[[#This Row],[Purchased]],"yyyy")</f>
        <v>2020</v>
      </c>
      <c r="AQ10" s="10"/>
    </row>
    <row r="11" spans="1:43" s="37" customFormat="1" x14ac:dyDescent="0.25">
      <c r="A11" s="37" t="str">
        <f t="shared" si="0"/>
        <v>2014Prunus DaoPrivate Selection</v>
      </c>
      <c r="B11" s="8">
        <v>2014</v>
      </c>
      <c r="C11" s="103" t="s">
        <v>610</v>
      </c>
      <c r="D11" s="123" t="s">
        <v>611</v>
      </c>
      <c r="E11" s="64" t="s">
        <v>612</v>
      </c>
      <c r="F11" s="37" t="s">
        <v>804</v>
      </c>
      <c r="G11" s="37" t="s">
        <v>837</v>
      </c>
      <c r="I11" s="37">
        <v>1</v>
      </c>
      <c r="J11" s="37">
        <v>750</v>
      </c>
      <c r="K11" s="8" t="s">
        <v>929</v>
      </c>
      <c r="L11" s="10">
        <f>COUNTIF(Drank!A:A,Table1[[#This Row],[ID]])</f>
        <v>3</v>
      </c>
      <c r="M11" s="37" t="s">
        <v>202</v>
      </c>
      <c r="N11" s="37" t="s">
        <v>207</v>
      </c>
      <c r="O11" s="37">
        <v>1</v>
      </c>
      <c r="P11" s="10"/>
      <c r="R11" s="10">
        <f>IF(IFERROR(VLOOKUP(A11,Drank!A:S,15,FALSE),"")=0,"",IFERROR(VLOOKUP(A11,Drank!A:S,15,FALSE),""))</f>
        <v>2020</v>
      </c>
      <c r="S11" s="10">
        <f>IF(IFERROR(VLOOKUP(A11,Drank!A:S,16,FALSE),"")=0,"",IFERROR(VLOOKUP(A11,Drank!A:S,16,FALSE),""))</f>
        <v>2019</v>
      </c>
      <c r="T11" s="10">
        <v>2022</v>
      </c>
      <c r="V11" s="18">
        <f>IF(IFERROR(VLOOKUP(A11,Drank!A:T,19,FALSE),"")=0,"",IFERROR(VLOOKUP(A11,Drank!A:T,19,FALSE),""))</f>
        <v>88</v>
      </c>
      <c r="W11" s="1">
        <f>IF(IFERROR(VLOOKUP(A11,Drank!A:T,20,FALSE),"")=0,"",IFERROR(VLOOKUP(A11,Drank!A:T,20,FALSE),""))</f>
        <v>43966</v>
      </c>
      <c r="X11" s="10">
        <f>SUMIF(A:A,A11,I:I)</f>
        <v>1</v>
      </c>
      <c r="Y11" s="10">
        <f>IF(Table1[[#This Row],[Drank]]&gt;0,VLOOKUP(Table1[[#This Row],[ID]],Drank!A:P,16,FALSE),IF(Table1[[#This Row],[WALDD]]&gt;0,VLOOKUP(Table1[[#This Row],[ID]],Wine1!A:Q,17,FALSE),Table1[[#This Row],[EP]]))</f>
        <v>2019</v>
      </c>
      <c r="Z11" s="18">
        <f>IF(Table1[[#This Row],[My Rating]]="",IF(Table1[[#This Row],[WA Rating Clean]]="","",Table1[[#This Row],[WA Rating Clean]]),Table1[[#This Row],[My Rating]])</f>
        <v>88</v>
      </c>
      <c r="AA11" s="37">
        <v>2020</v>
      </c>
      <c r="AB11" s="4">
        <v>9.99</v>
      </c>
      <c r="AC11" s="2">
        <f t="shared" si="1"/>
        <v>9.99</v>
      </c>
      <c r="AD11" s="8">
        <v>0</v>
      </c>
      <c r="AE11" s="10">
        <f>IF(Table1[[#This Row],[P/750]]&lt;20,1,IF(Table1[[#This Row],[P/750]]&lt;50,2,3))</f>
        <v>1</v>
      </c>
      <c r="AF11" s="10">
        <f>IF(Table1[[#This Row],[P/750]]&lt;Expenses!$C$30,1,IF(Table1[[#This Row],[P/750]]&lt;Expenses!$C$31,2,IF(Table1[[#This Row],[P/750]]&lt;Expenses!$C$32,3,4)))</f>
        <v>1</v>
      </c>
      <c r="AH11" s="37" t="s">
        <v>384</v>
      </c>
      <c r="AI11" s="11">
        <f>Table1[[#This Row],[Price]]/Table1[[#This Row],[Size (ml)]]*750</f>
        <v>9.99</v>
      </c>
      <c r="AK11" s="37">
        <f>COUNTIF(UniqueID!A:A,Table1[[#This Row],[ID]])</f>
        <v>1</v>
      </c>
      <c r="AL11" s="37" t="str">
        <f>VLOOKUP(Table1[[#This Row],[Cellar Location]],Location!A:F,6,FALSE)</f>
        <v>C</v>
      </c>
      <c r="AN11" s="1">
        <v>43803</v>
      </c>
      <c r="AO11" s="37" t="str">
        <f>TEXT(Table1[[#This Row],[Purchased]],"mmmm")</f>
        <v>December</v>
      </c>
      <c r="AP11" s="10" t="str">
        <f>TEXT(Table1[[#This Row],[Purchased]],"yyyy")</f>
        <v>2019</v>
      </c>
      <c r="AQ11" s="10"/>
    </row>
    <row r="12" spans="1:43" s="37" customFormat="1" x14ac:dyDescent="0.25">
      <c r="A12" s="37" t="str">
        <f t="shared" si="0"/>
        <v>1991Tre MontiAlbana di Romagna Passito</v>
      </c>
      <c r="B12" s="8">
        <v>1991</v>
      </c>
      <c r="C12" s="37" t="s">
        <v>77</v>
      </c>
      <c r="D12" s="37" t="s">
        <v>1772</v>
      </c>
      <c r="E12" s="69" t="s">
        <v>1773</v>
      </c>
      <c r="F12" s="37" t="s">
        <v>728</v>
      </c>
      <c r="G12" s="37" t="s">
        <v>1770</v>
      </c>
      <c r="H12" s="37" t="s">
        <v>1771</v>
      </c>
      <c r="I12" s="37">
        <v>1</v>
      </c>
      <c r="J12" s="37">
        <v>375</v>
      </c>
      <c r="K12" s="8" t="s">
        <v>236</v>
      </c>
      <c r="L12" s="10">
        <f>COUNTIF(Drank!A:A,Table1[[#This Row],[ID]])</f>
        <v>0</v>
      </c>
      <c r="M12" s="37" t="s">
        <v>201</v>
      </c>
      <c r="N12" s="37" t="s">
        <v>206</v>
      </c>
      <c r="R12" s="10" t="str">
        <f>IF(IFERROR(VLOOKUP(A12,Drank!A:S,15,FALSE),"")=0,"",IFERROR(VLOOKUP(A12,Drank!A:S,15,FALSE),""))</f>
        <v/>
      </c>
      <c r="S12" s="10" t="str">
        <f>IF(IFERROR(VLOOKUP(A12,Drank!A:S,16,FALSE),"")=0,"",IFERROR(VLOOKUP(A12,Drank!A:S,16,FALSE),""))</f>
        <v/>
      </c>
      <c r="T12" s="10">
        <v>2020</v>
      </c>
      <c r="V12" s="18" t="str">
        <f>IF(IFERROR(VLOOKUP(A12,Drank!A:T,19,FALSE),"")=0,"",IFERROR(VLOOKUP(A12,Drank!A:T,19,FALSE),""))</f>
        <v/>
      </c>
      <c r="W12" s="1" t="str">
        <f>IF(IFERROR(VLOOKUP(A12,Drank!A:T,20,FALSE),"")=0,"",IFERROR(VLOOKUP(A12,Drank!A:T,20,FALSE),""))</f>
        <v/>
      </c>
      <c r="X12" s="10">
        <f>SUMIF(A:A,A12,I:I)</f>
        <v>1</v>
      </c>
      <c r="Y12" s="10">
        <f>IF(Table1[[#This Row],[Drank]]&gt;0,VLOOKUP(Table1[[#This Row],[ID]],Drank!A:P,16,FALSE),IF(Table1[[#This Row],[WALDD]]&gt;0,VLOOKUP(Table1[[#This Row],[ID]],Wine1!A:Q,17,FALSE),Table1[[#This Row],[EP]]))</f>
        <v>2020</v>
      </c>
      <c r="Z12" s="18" t="str">
        <f>IF(Table1[[#This Row],[My Rating]]="",IF(Table1[[#This Row],[WA Rating Clean]]="","",Table1[[#This Row],[WA Rating Clean]]),Table1[[#This Row],[My Rating]])</f>
        <v/>
      </c>
      <c r="AA12" s="8">
        <v>2020</v>
      </c>
      <c r="AB12" s="4">
        <v>41.64</v>
      </c>
      <c r="AC12" s="2">
        <f t="shared" si="1"/>
        <v>41.64</v>
      </c>
      <c r="AD12" s="8">
        <v>1</v>
      </c>
      <c r="AE12" s="10">
        <f>IF(Table1[[#This Row],[P/750]]&lt;20,1,IF(Table1[[#This Row],[P/750]]&lt;50,2,3))</f>
        <v>3</v>
      </c>
      <c r="AF12" s="10">
        <f>IF(Table1[[#This Row],[P/750]]&lt;Expenses!$C$30,1,IF(Table1[[#This Row],[P/750]]&lt;Expenses!$C$31,2,IF(Table1[[#This Row],[P/750]]&lt;Expenses!$C$32,3,4)))</f>
        <v>4</v>
      </c>
      <c r="AH12" s="37" t="s">
        <v>1749</v>
      </c>
      <c r="AI12" s="11">
        <f>Table1[[#This Row],[Price]]/Table1[[#This Row],[Size (ml)]]*750</f>
        <v>83.28</v>
      </c>
      <c r="AK12" s="10">
        <f>COUNTIF(UniqueID!A:A,Table1[[#This Row],[ID]])</f>
        <v>0</v>
      </c>
      <c r="AL12" s="10" t="str">
        <f>VLOOKUP(Table1[[#This Row],[Cellar Location]],Location!A:F,6,FALSE)</f>
        <v>C</v>
      </c>
      <c r="AN12" s="1">
        <v>44063</v>
      </c>
      <c r="AO12" s="10" t="str">
        <f>TEXT(Table1[[#This Row],[Purchased]],"mmmm")</f>
        <v>August</v>
      </c>
      <c r="AP12" s="10" t="str">
        <f>TEXT(Table1[[#This Row],[Purchased]],"yyyy")</f>
        <v>2020</v>
      </c>
      <c r="AQ12" s="10"/>
    </row>
    <row r="13" spans="1:43" s="37" customFormat="1" x14ac:dyDescent="0.25">
      <c r="A13" s="37" t="str">
        <f t="shared" si="0"/>
        <v>2018BollaValpolicella</v>
      </c>
      <c r="B13" s="37">
        <v>2018</v>
      </c>
      <c r="C13" s="37" t="s">
        <v>1537</v>
      </c>
      <c r="D13" s="37" t="s">
        <v>803</v>
      </c>
      <c r="E13" s="69" t="s">
        <v>1893</v>
      </c>
      <c r="F13" s="37" t="s">
        <v>728</v>
      </c>
      <c r="G13" s="37" t="s">
        <v>799</v>
      </c>
      <c r="H13" s="37" t="s">
        <v>803</v>
      </c>
      <c r="I13" s="37">
        <v>1</v>
      </c>
      <c r="J13" s="9">
        <v>1500</v>
      </c>
      <c r="K13" s="8" t="s">
        <v>1829</v>
      </c>
      <c r="L13" s="10">
        <f>COUNTIF(Drank!A:A,Table1[[#This Row],[ID]])</f>
        <v>2</v>
      </c>
      <c r="M13" s="37" t="s">
        <v>202</v>
      </c>
      <c r="N13" s="37" t="s">
        <v>207</v>
      </c>
      <c r="O13" s="37">
        <v>0</v>
      </c>
      <c r="P13" s="10"/>
      <c r="R13" s="10">
        <f>IF(IFERROR(VLOOKUP(A13,Drank!A:S,15,FALSE),"")=0,"",IFERROR(VLOOKUP(A13,Drank!A:S,15,FALSE),""))</f>
        <v>2020</v>
      </c>
      <c r="S13" s="10" t="str">
        <f>IF(IFERROR(VLOOKUP(A13,Drank!A:S,16,FALSE),"")=0,"",IFERROR(VLOOKUP(A13,Drank!A:S,16,FALSE),""))</f>
        <v/>
      </c>
      <c r="T13" s="10">
        <v>2020</v>
      </c>
      <c r="V13" s="18">
        <f>IF(IFERROR(VLOOKUP(A13,Drank!A:T,19,FALSE),"")=0,"",IFERROR(VLOOKUP(A13,Drank!A:T,19,FALSE),""))</f>
        <v>86.5</v>
      </c>
      <c r="W13" s="1">
        <f>IF(IFERROR(VLOOKUP(A13,Drank!A:T,20,FALSE),"")=0,"",IFERROR(VLOOKUP(A13,Drank!A:T,20,FALSE),""))</f>
        <v>44078</v>
      </c>
      <c r="X13" s="10">
        <f>SUMIF(A:A,A13,I:I)</f>
        <v>4</v>
      </c>
      <c r="Y13" s="10">
        <f>IF(Table1[[#This Row],[Drank]]&gt;0,VLOOKUP(Table1[[#This Row],[ID]],Drank!A:P,16,FALSE),IF(Table1[[#This Row],[WALDD]]&gt;0,VLOOKUP(Table1[[#This Row],[ID]],Wine1!A:Q,17,FALSE),Table1[[#This Row],[EP]]))</f>
        <v>0</v>
      </c>
      <c r="Z13" s="18">
        <f>IF(Table1[[#This Row],[My Rating]]="",IF(Table1[[#This Row],[WA Rating Clean]]="","",Table1[[#This Row],[WA Rating Clean]]),Table1[[#This Row],[My Rating]])</f>
        <v>86.5</v>
      </c>
      <c r="AA13" s="37">
        <v>2020</v>
      </c>
      <c r="AB13" s="129">
        <v>13</v>
      </c>
      <c r="AC13" s="2">
        <f t="shared" si="1"/>
        <v>13</v>
      </c>
      <c r="AD13" s="8"/>
      <c r="AE13" s="10">
        <f>IF(Table1[[#This Row],[P/750]]&lt;20,1,IF(Table1[[#This Row],[P/750]]&lt;50,2,3))</f>
        <v>1</v>
      </c>
      <c r="AF13" s="10">
        <f>IF(Table1[[#This Row],[P/750]]&lt;Expenses!$C$30,1,IF(Table1[[#This Row],[P/750]]&lt;Expenses!$C$31,2,IF(Table1[[#This Row],[P/750]]&lt;Expenses!$C$32,3,4)))</f>
        <v>1</v>
      </c>
      <c r="AH13" s="37" t="s">
        <v>1128</v>
      </c>
      <c r="AI13" s="11">
        <f>Table1[[#This Row],[Price]]/Table1[[#This Row],[Size (ml)]]*750</f>
        <v>6.5</v>
      </c>
      <c r="AK13" s="10">
        <f>COUNTIF(UniqueID!A:A,Table1[[#This Row],[ID]])</f>
        <v>0</v>
      </c>
      <c r="AL13" s="10" t="str">
        <f>VLOOKUP(Table1[[#This Row],[Cellar Location]],Location!A:F,6,FALSE)</f>
        <v>C</v>
      </c>
      <c r="AN13" s="1">
        <v>44070</v>
      </c>
      <c r="AO13" s="10" t="str">
        <f>TEXT(Table1[[#This Row],[Purchased]],"mmmm")</f>
        <v>August</v>
      </c>
      <c r="AP13" s="10" t="str">
        <f>TEXT(Table1[[#This Row],[Purchased]],"yyyy")</f>
        <v>2020</v>
      </c>
      <c r="AQ13" s="10"/>
    </row>
    <row r="14" spans="1:43" s="37" customFormat="1" x14ac:dyDescent="0.25">
      <c r="A14" s="37" t="str">
        <f t="shared" si="0"/>
        <v>2005Les Cailloux (Lucien et Andre Brunel)Chateauneuf du Pape</v>
      </c>
      <c r="B14" s="67">
        <v>2005</v>
      </c>
      <c r="C14" s="38" t="s">
        <v>1414</v>
      </c>
      <c r="D14" s="37" t="s">
        <v>1106</v>
      </c>
      <c r="E14" s="67" t="s">
        <v>1415</v>
      </c>
      <c r="F14" s="37" t="s">
        <v>742</v>
      </c>
      <c r="G14" s="37" t="s">
        <v>759</v>
      </c>
      <c r="H14" s="37" t="s">
        <v>762</v>
      </c>
      <c r="I14" s="37">
        <v>1</v>
      </c>
      <c r="J14" s="37">
        <v>1500</v>
      </c>
      <c r="K14" s="8" t="s">
        <v>236</v>
      </c>
      <c r="L14" s="10">
        <f>COUNTIF(Drank!A:A,Table1[[#This Row],[ID]])</f>
        <v>0</v>
      </c>
      <c r="M14" s="37" t="s">
        <v>202</v>
      </c>
      <c r="N14" s="37" t="s">
        <v>207</v>
      </c>
      <c r="O14" s="37">
        <v>1</v>
      </c>
      <c r="P14" s="10">
        <v>2008</v>
      </c>
      <c r="Q14" s="37">
        <v>2021</v>
      </c>
      <c r="R14" s="10" t="str">
        <f>IF(IFERROR(VLOOKUP(A14,Drank!A:S,15,FALSE),"")=0,"",IFERROR(VLOOKUP(A14,Drank!A:S,15,FALSE),""))</f>
        <v/>
      </c>
      <c r="S14" s="10" t="str">
        <f>IF(IFERROR(VLOOKUP(A14,Drank!A:S,16,FALSE),"")=0,"",IFERROR(VLOOKUP(A14,Drank!A:S,16,FALSE),""))</f>
        <v/>
      </c>
      <c r="T14" s="10"/>
      <c r="U14" s="37">
        <v>91</v>
      </c>
      <c r="V14" s="18" t="str">
        <f>IF(IFERROR(VLOOKUP(A14,Drank!A:T,19,FALSE),"")=0,"",IFERROR(VLOOKUP(A14,Drank!A:T,19,FALSE),""))</f>
        <v/>
      </c>
      <c r="W14" s="1" t="str">
        <f>IF(IFERROR(VLOOKUP(A14,Drank!A:T,20,FALSE),"")=0,"",IFERROR(VLOOKUP(A14,Drank!A:T,20,FALSE),""))</f>
        <v/>
      </c>
      <c r="X14" s="10">
        <f>SUMIF(A:A,A14,I:I)</f>
        <v>1</v>
      </c>
      <c r="Y14" s="10">
        <f>IF(Table1[[#This Row],[Drank]]&gt;0,VLOOKUP(Table1[[#This Row],[ID]],Drank!A:P,16,FALSE),IF(Table1[[#This Row],[WALDD]]&gt;0,VLOOKUP(Table1[[#This Row],[ID]],Wine1!A:Q,17,FALSE),Table1[[#This Row],[EP]]))</f>
        <v>2021</v>
      </c>
      <c r="Z14" s="18">
        <f>IF(Table1[[#This Row],[My Rating]]="",IF(Table1[[#This Row],[WA Rating Clean]]="","",Table1[[#This Row],[WA Rating Clean]]),Table1[[#This Row],[My Rating]])</f>
        <v>91</v>
      </c>
      <c r="AA14" s="37">
        <v>2020</v>
      </c>
      <c r="AB14" s="4">
        <v>85.25</v>
      </c>
      <c r="AC14" s="2">
        <f t="shared" si="1"/>
        <v>85.25</v>
      </c>
      <c r="AD14" s="8">
        <v>0</v>
      </c>
      <c r="AE14" s="10">
        <f>IF(Table1[[#This Row],[P/750]]&lt;20,1,IF(Table1[[#This Row],[P/750]]&lt;50,2,3))</f>
        <v>2</v>
      </c>
      <c r="AF14" s="10">
        <f>IF(Table1[[#This Row],[P/750]]&lt;Expenses!$C$30,1,IF(Table1[[#This Row],[P/750]]&lt;Expenses!$C$31,2,IF(Table1[[#This Row],[P/750]]&lt;Expenses!$C$32,3,4)))</f>
        <v>3</v>
      </c>
      <c r="AH14" s="37" t="s">
        <v>415</v>
      </c>
      <c r="AI14" s="11">
        <f>Table1[[#This Row],[Price]]/Table1[[#This Row],[Size (ml)]]*750</f>
        <v>42.625</v>
      </c>
      <c r="AJ14" s="37">
        <v>91</v>
      </c>
      <c r="AK14" s="10">
        <f>COUNTIF(UniqueID!A:A,Table1[[#This Row],[ID]])</f>
        <v>0</v>
      </c>
      <c r="AL14" s="10" t="str">
        <f>VLOOKUP(Table1[[#This Row],[Cellar Location]],Location!A:F,6,FALSE)</f>
        <v>C</v>
      </c>
      <c r="AN14" s="1">
        <v>43975</v>
      </c>
      <c r="AO14" s="10" t="str">
        <f>TEXT(Table1[[#This Row],[Purchased]],"mmmm")</f>
        <v>May</v>
      </c>
      <c r="AP14" s="10" t="str">
        <f>TEXT(Table1[[#This Row],[Purchased]],"yyyy")</f>
        <v>2020</v>
      </c>
      <c r="AQ14" s="10"/>
    </row>
    <row r="15" spans="1:43" s="37" customFormat="1" x14ac:dyDescent="0.25">
      <c r="A15" s="37" t="str">
        <f t="shared" si="0"/>
        <v>2010Diez-CaballeroReserva</v>
      </c>
      <c r="B15" s="37">
        <v>2010</v>
      </c>
      <c r="C15" s="120" t="s">
        <v>1216</v>
      </c>
      <c r="D15" s="125" t="s">
        <v>106</v>
      </c>
      <c r="E15" s="67" t="s">
        <v>1220</v>
      </c>
      <c r="F15" s="37" t="s">
        <v>729</v>
      </c>
      <c r="G15" s="37" t="s">
        <v>823</v>
      </c>
      <c r="I15" s="37">
        <v>1</v>
      </c>
      <c r="J15" s="37">
        <v>750</v>
      </c>
      <c r="K15" s="8" t="s">
        <v>58</v>
      </c>
      <c r="L15" s="10">
        <f>COUNTIF(Drank!A:A,Table1[[#This Row],[ID]])</f>
        <v>3</v>
      </c>
      <c r="M15" s="37" t="s">
        <v>202</v>
      </c>
      <c r="N15" s="37" t="s">
        <v>207</v>
      </c>
      <c r="O15" s="37">
        <v>1</v>
      </c>
      <c r="P15" s="37">
        <v>2016</v>
      </c>
      <c r="Q15" s="37">
        <v>2022</v>
      </c>
      <c r="R15" s="10">
        <f>IF(IFERROR(VLOOKUP(A15,Drank!A:S,15,FALSE),"")=0,"",IFERROR(VLOOKUP(A15,Drank!A:S,15,FALSE),""))</f>
        <v>2020</v>
      </c>
      <c r="S15" s="10">
        <f>IF(IFERROR(VLOOKUP(A15,Drank!A:S,16,FALSE),"")=0,"",IFERROR(VLOOKUP(A15,Drank!A:S,16,FALSE),""))</f>
        <v>2021</v>
      </c>
      <c r="T15" s="10"/>
      <c r="U15" s="37" t="s">
        <v>196</v>
      </c>
      <c r="V15" s="18">
        <f>IF(IFERROR(VLOOKUP(A15,Drank!A:T,19,FALSE),"")=0,"",IFERROR(VLOOKUP(A15,Drank!A:T,19,FALSE),""))</f>
        <v>91</v>
      </c>
      <c r="W15" s="1">
        <f>IF(IFERROR(VLOOKUP(A15,Drank!A:T,20,FALSE),"")=0,"",IFERROR(VLOOKUP(A15,Drank!A:T,20,FALSE),""))</f>
        <v>44009</v>
      </c>
      <c r="X15" s="10">
        <f>SUMIF(A:A,A15,I:I)</f>
        <v>9</v>
      </c>
      <c r="Y15" s="10">
        <f>IF(Table1[[#This Row],[Drank]]&gt;0,VLOOKUP(Table1[[#This Row],[ID]],Drank!A:P,16,FALSE),IF(Table1[[#This Row],[WALDD]]&gt;0,VLOOKUP(Table1[[#This Row],[ID]],Wine1!A:Q,17,FALSE),Table1[[#This Row],[EP]]))</f>
        <v>2021</v>
      </c>
      <c r="Z15" s="18">
        <f>IF(Table1[[#This Row],[My Rating]]="",IF(Table1[[#This Row],[WA Rating Clean]]="","",Table1[[#This Row],[WA Rating Clean]]),Table1[[#This Row],[My Rating]])</f>
        <v>91</v>
      </c>
      <c r="AA15" s="37">
        <v>2020</v>
      </c>
      <c r="AB15" s="4">
        <v>16.28</v>
      </c>
      <c r="AC15" s="2">
        <f t="shared" si="1"/>
        <v>16.28</v>
      </c>
      <c r="AD15" s="8">
        <v>0</v>
      </c>
      <c r="AE15" s="61">
        <f>IF(Table1[[#This Row],[P/750]]&lt;20,1,IF(Table1[[#This Row],[P/750]]&lt;50,2,3))</f>
        <v>1</v>
      </c>
      <c r="AF15" s="61">
        <f>IF(Table1[[#This Row],[P/750]]&lt;Expenses!$C$30,1,IF(Table1[[#This Row],[P/750]]&lt;Expenses!$C$31,2,IF(Table1[[#This Row],[P/750]]&lt;Expenses!$C$32,3,4)))</f>
        <v>1</v>
      </c>
      <c r="AH15" s="37" t="s">
        <v>384</v>
      </c>
      <c r="AI15" s="11">
        <f>Table1[[#This Row],[Price]]/Table1[[#This Row],[Size (ml)]]*750</f>
        <v>16.28</v>
      </c>
      <c r="AJ15" s="37">
        <v>91</v>
      </c>
      <c r="AK15" s="10">
        <f>COUNTIF(UniqueID!A:A,Table1[[#This Row],[ID]])</f>
        <v>0</v>
      </c>
      <c r="AL15" s="10" t="str">
        <f>VLOOKUP(Table1[[#This Row],[Cellar Location]],Location!A:F,6,FALSE)</f>
        <v>K</v>
      </c>
      <c r="AN15" s="1">
        <v>44000</v>
      </c>
      <c r="AO15" s="10" t="str">
        <f>TEXT(Table1[[#This Row],[Purchased]],"mmmm")</f>
        <v>June</v>
      </c>
      <c r="AP15" s="10" t="str">
        <f>TEXT(Table1[[#This Row],[Purchased]],"yyyy")</f>
        <v>2020</v>
      </c>
      <c r="AQ15" s="10"/>
    </row>
    <row r="16" spans="1:43" s="37" customFormat="1" x14ac:dyDescent="0.25">
      <c r="A16" s="37" t="str">
        <f t="shared" si="0"/>
        <v>2010Diez-CaballeroReserva</v>
      </c>
      <c r="B16" s="37">
        <v>2010</v>
      </c>
      <c r="C16" s="103" t="s">
        <v>1216</v>
      </c>
      <c r="D16" s="37" t="s">
        <v>106</v>
      </c>
      <c r="E16" s="67" t="s">
        <v>1220</v>
      </c>
      <c r="F16" s="37" t="s">
        <v>729</v>
      </c>
      <c r="G16" s="37" t="s">
        <v>823</v>
      </c>
      <c r="I16" s="37">
        <v>1</v>
      </c>
      <c r="J16" s="37">
        <v>750</v>
      </c>
      <c r="K16" s="8" t="s">
        <v>58</v>
      </c>
      <c r="L16" s="10">
        <f>COUNTIF(Drank!A:A,Table1[[#This Row],[ID]])</f>
        <v>3</v>
      </c>
      <c r="M16" s="37" t="s">
        <v>202</v>
      </c>
      <c r="N16" s="37" t="s">
        <v>207</v>
      </c>
      <c r="O16" s="37">
        <v>1</v>
      </c>
      <c r="P16" s="37">
        <v>2016</v>
      </c>
      <c r="Q16" s="37">
        <v>2022</v>
      </c>
      <c r="R16" s="10">
        <f>IF(IFERROR(VLOOKUP(A16,Drank!A:S,15,FALSE),"")=0,"",IFERROR(VLOOKUP(A16,Drank!A:S,15,FALSE),""))</f>
        <v>2020</v>
      </c>
      <c r="S16" s="10">
        <f>IF(IFERROR(VLOOKUP(A16,Drank!A:S,16,FALSE),"")=0,"",IFERROR(VLOOKUP(A16,Drank!A:S,16,FALSE),""))</f>
        <v>2021</v>
      </c>
      <c r="T16" s="10"/>
      <c r="U16" s="37" t="s">
        <v>196</v>
      </c>
      <c r="V16" s="18">
        <f>IF(IFERROR(VLOOKUP(A16,Drank!A:T,19,FALSE),"")=0,"",IFERROR(VLOOKUP(A16,Drank!A:T,19,FALSE),""))</f>
        <v>91</v>
      </c>
      <c r="W16" s="1">
        <f>IF(IFERROR(VLOOKUP(A16,Drank!A:T,20,FALSE),"")=0,"",IFERROR(VLOOKUP(A16,Drank!A:T,20,FALSE),""))</f>
        <v>44009</v>
      </c>
      <c r="X16" s="10">
        <f>SUMIF(A:A,A16,I:I)</f>
        <v>9</v>
      </c>
      <c r="Y16" s="10">
        <f>IF(Table1[[#This Row],[Drank]]&gt;0,VLOOKUP(Table1[[#This Row],[ID]],Drank!A:P,16,FALSE),IF(Table1[[#This Row],[WALDD]]&gt;0,VLOOKUP(Table1[[#This Row],[ID]],Wine1!A:Q,17,FALSE),Table1[[#This Row],[EP]]))</f>
        <v>2021</v>
      </c>
      <c r="Z16" s="18">
        <f>IF(Table1[[#This Row],[My Rating]]="",IF(Table1[[#This Row],[WA Rating Clean]]="","",Table1[[#This Row],[WA Rating Clean]]),Table1[[#This Row],[My Rating]])</f>
        <v>91</v>
      </c>
      <c r="AA16" s="37">
        <v>2020</v>
      </c>
      <c r="AB16" s="4">
        <v>16.28</v>
      </c>
      <c r="AC16" s="2">
        <f t="shared" si="1"/>
        <v>16.28</v>
      </c>
      <c r="AD16" s="8">
        <v>0</v>
      </c>
      <c r="AE16" s="61">
        <f>IF(Table1[[#This Row],[P/750]]&lt;20,1,IF(Table1[[#This Row],[P/750]]&lt;50,2,3))</f>
        <v>1</v>
      </c>
      <c r="AF16" s="61">
        <f>IF(Table1[[#This Row],[P/750]]&lt;Expenses!$C$30,1,IF(Table1[[#This Row],[P/750]]&lt;Expenses!$C$31,2,IF(Table1[[#This Row],[P/750]]&lt;Expenses!$C$32,3,4)))</f>
        <v>1</v>
      </c>
      <c r="AH16" s="37" t="s">
        <v>384</v>
      </c>
      <c r="AI16" s="11">
        <f>Table1[[#This Row],[Price]]/Table1[[#This Row],[Size (ml)]]*750</f>
        <v>16.28</v>
      </c>
      <c r="AJ16" s="37">
        <v>91</v>
      </c>
      <c r="AK16" s="10">
        <f>COUNTIF(UniqueID!A:A,Table1[[#This Row],[ID]])</f>
        <v>0</v>
      </c>
      <c r="AL16" s="10" t="str">
        <f>VLOOKUP(Table1[[#This Row],[Cellar Location]],Location!A:F,6,FALSE)</f>
        <v>K</v>
      </c>
      <c r="AN16" s="1">
        <v>44000</v>
      </c>
      <c r="AO16" s="10" t="str">
        <f>TEXT(Table1[[#This Row],[Purchased]],"mmmm")</f>
        <v>June</v>
      </c>
      <c r="AP16" s="10" t="str">
        <f>TEXT(Table1[[#This Row],[Purchased]],"yyyy")</f>
        <v>2020</v>
      </c>
      <c r="AQ16" s="10"/>
    </row>
    <row r="17" spans="1:43" s="37" customFormat="1" x14ac:dyDescent="0.25">
      <c r="A17" s="37" t="str">
        <f t="shared" si="0"/>
        <v>2010Diez-CaballeroReserva</v>
      </c>
      <c r="B17" s="37">
        <v>2010</v>
      </c>
      <c r="C17" s="8" t="s">
        <v>1216</v>
      </c>
      <c r="D17" s="37" t="s">
        <v>106</v>
      </c>
      <c r="E17" s="67" t="s">
        <v>1220</v>
      </c>
      <c r="F17" s="37" t="s">
        <v>729</v>
      </c>
      <c r="G17" s="37" t="s">
        <v>823</v>
      </c>
      <c r="I17" s="37">
        <v>1</v>
      </c>
      <c r="J17" s="37">
        <v>750</v>
      </c>
      <c r="K17" s="8" t="s">
        <v>58</v>
      </c>
      <c r="L17" s="10">
        <f>COUNTIF(Drank!A:A,Table1[[#This Row],[ID]])</f>
        <v>3</v>
      </c>
      <c r="M17" s="37" t="s">
        <v>202</v>
      </c>
      <c r="N17" s="37" t="s">
        <v>207</v>
      </c>
      <c r="O17" s="37">
        <v>1</v>
      </c>
      <c r="P17" s="37">
        <v>2016</v>
      </c>
      <c r="Q17" s="37">
        <v>2022</v>
      </c>
      <c r="R17" s="10">
        <f>IF(IFERROR(VLOOKUP(A17,Drank!A:S,15,FALSE),"")=0,"",IFERROR(VLOOKUP(A17,Drank!A:S,15,FALSE),""))</f>
        <v>2020</v>
      </c>
      <c r="S17" s="10">
        <f>IF(IFERROR(VLOOKUP(A17,Drank!A:S,16,FALSE),"")=0,"",IFERROR(VLOOKUP(A17,Drank!A:S,16,FALSE),""))</f>
        <v>2021</v>
      </c>
      <c r="T17" s="10"/>
      <c r="U17" s="37" t="s">
        <v>196</v>
      </c>
      <c r="V17" s="18">
        <f>IF(IFERROR(VLOOKUP(A17,Drank!A:T,19,FALSE),"")=0,"",IFERROR(VLOOKUP(A17,Drank!A:T,19,FALSE),""))</f>
        <v>91</v>
      </c>
      <c r="W17" s="1">
        <f>IF(IFERROR(VLOOKUP(A17,Drank!A:T,20,FALSE),"")=0,"",IFERROR(VLOOKUP(A17,Drank!A:T,20,FALSE),""))</f>
        <v>44009</v>
      </c>
      <c r="X17" s="10">
        <f>SUMIF(A:A,A17,I:I)</f>
        <v>9</v>
      </c>
      <c r="Y17" s="10">
        <f>IF(Table1[[#This Row],[Drank]]&gt;0,VLOOKUP(Table1[[#This Row],[ID]],Drank!A:P,16,FALSE),IF(Table1[[#This Row],[WALDD]]&gt;0,VLOOKUP(Table1[[#This Row],[ID]],Wine1!A:Q,17,FALSE),Table1[[#This Row],[EP]]))</f>
        <v>2021</v>
      </c>
      <c r="Z17" s="18">
        <f>IF(Table1[[#This Row],[My Rating]]="",IF(Table1[[#This Row],[WA Rating Clean]]="","",Table1[[#This Row],[WA Rating Clean]]),Table1[[#This Row],[My Rating]])</f>
        <v>91</v>
      </c>
      <c r="AA17" s="37">
        <v>2020</v>
      </c>
      <c r="AB17" s="4">
        <v>16.28</v>
      </c>
      <c r="AC17" s="2">
        <f t="shared" si="1"/>
        <v>16.28</v>
      </c>
      <c r="AD17" s="8">
        <v>0</v>
      </c>
      <c r="AE17" s="61">
        <f>IF(Table1[[#This Row],[P/750]]&lt;20,1,IF(Table1[[#This Row],[P/750]]&lt;50,2,3))</f>
        <v>1</v>
      </c>
      <c r="AF17" s="61">
        <f>IF(Table1[[#This Row],[P/750]]&lt;Expenses!$C$30,1,IF(Table1[[#This Row],[P/750]]&lt;Expenses!$C$31,2,IF(Table1[[#This Row],[P/750]]&lt;Expenses!$C$32,3,4)))</f>
        <v>1</v>
      </c>
      <c r="AH17" s="37" t="s">
        <v>384</v>
      </c>
      <c r="AI17" s="11">
        <f>Table1[[#This Row],[Price]]/Table1[[#This Row],[Size (ml)]]*750</f>
        <v>16.28</v>
      </c>
      <c r="AJ17" s="37">
        <v>91</v>
      </c>
      <c r="AK17" s="10">
        <f>COUNTIF(UniqueID!A:A,Table1[[#This Row],[ID]])</f>
        <v>0</v>
      </c>
      <c r="AL17" s="10" t="str">
        <f>VLOOKUP(Table1[[#This Row],[Cellar Location]],Location!A:F,6,FALSE)</f>
        <v>K</v>
      </c>
      <c r="AN17" s="1">
        <v>44000</v>
      </c>
      <c r="AO17" s="10" t="str">
        <f>TEXT(Table1[[#This Row],[Purchased]],"mmmm")</f>
        <v>June</v>
      </c>
      <c r="AP17" s="10" t="str">
        <f>TEXT(Table1[[#This Row],[Purchased]],"yyyy")</f>
        <v>2020</v>
      </c>
      <c r="AQ17" s="10"/>
    </row>
    <row r="18" spans="1:43" s="37" customFormat="1" x14ac:dyDescent="0.25">
      <c r="A18" s="37" t="str">
        <f t="shared" si="0"/>
        <v>2010Diez-CaballeroReserva</v>
      </c>
      <c r="B18" s="37">
        <v>2010</v>
      </c>
      <c r="C18" s="8" t="s">
        <v>1216</v>
      </c>
      <c r="D18" s="37" t="s">
        <v>106</v>
      </c>
      <c r="E18" s="67" t="s">
        <v>1220</v>
      </c>
      <c r="F18" s="37" t="s">
        <v>729</v>
      </c>
      <c r="G18" s="37" t="s">
        <v>823</v>
      </c>
      <c r="I18" s="37">
        <v>1</v>
      </c>
      <c r="J18" s="37">
        <v>750</v>
      </c>
      <c r="K18" s="8" t="s">
        <v>589</v>
      </c>
      <c r="L18" s="10">
        <f>COUNTIF(Drank!A:A,Table1[[#This Row],[ID]])</f>
        <v>3</v>
      </c>
      <c r="M18" s="37" t="s">
        <v>202</v>
      </c>
      <c r="N18" s="37" t="s">
        <v>207</v>
      </c>
      <c r="O18" s="37">
        <v>1</v>
      </c>
      <c r="P18" s="37">
        <v>2016</v>
      </c>
      <c r="Q18" s="37">
        <v>2022</v>
      </c>
      <c r="R18" s="10">
        <f>IF(IFERROR(VLOOKUP(A18,Drank!A:S,15,FALSE),"")=0,"",IFERROR(VLOOKUP(A18,Drank!A:S,15,FALSE),""))</f>
        <v>2020</v>
      </c>
      <c r="S18" s="10">
        <f>IF(IFERROR(VLOOKUP(A18,Drank!A:S,16,FALSE),"")=0,"",IFERROR(VLOOKUP(A18,Drank!A:S,16,FALSE),""))</f>
        <v>2021</v>
      </c>
      <c r="T18" s="10"/>
      <c r="U18" s="37" t="s">
        <v>196</v>
      </c>
      <c r="V18" s="18">
        <f>IF(IFERROR(VLOOKUP(A18,Drank!A:T,19,FALSE),"")=0,"",IFERROR(VLOOKUP(A18,Drank!A:T,19,FALSE),""))</f>
        <v>91</v>
      </c>
      <c r="W18" s="1">
        <f>IF(IFERROR(VLOOKUP(A18,Drank!A:T,20,FALSE),"")=0,"",IFERROR(VLOOKUP(A18,Drank!A:T,20,FALSE),""))</f>
        <v>44009</v>
      </c>
      <c r="X18" s="10">
        <f>SUMIF(A:A,A18,I:I)</f>
        <v>9</v>
      </c>
      <c r="Y18" s="10">
        <f>IF(Table1[[#This Row],[Drank]]&gt;0,VLOOKUP(Table1[[#This Row],[ID]],Drank!A:P,16,FALSE),IF(Table1[[#This Row],[WALDD]]&gt;0,VLOOKUP(Table1[[#This Row],[ID]],Wine1!A:Q,17,FALSE),Table1[[#This Row],[EP]]))</f>
        <v>2021</v>
      </c>
      <c r="Z18" s="18">
        <f>IF(Table1[[#This Row],[My Rating]]="",IF(Table1[[#This Row],[WA Rating Clean]]="","",Table1[[#This Row],[WA Rating Clean]]),Table1[[#This Row],[My Rating]])</f>
        <v>91</v>
      </c>
      <c r="AA18" s="37">
        <v>2020</v>
      </c>
      <c r="AB18" s="4">
        <v>16.28</v>
      </c>
      <c r="AC18" s="2">
        <f t="shared" si="1"/>
        <v>16.28</v>
      </c>
      <c r="AD18" s="8">
        <v>0</v>
      </c>
      <c r="AE18" s="61">
        <f>IF(Table1[[#This Row],[P/750]]&lt;20,1,IF(Table1[[#This Row],[P/750]]&lt;50,2,3))</f>
        <v>1</v>
      </c>
      <c r="AF18" s="61">
        <f>IF(Table1[[#This Row],[P/750]]&lt;Expenses!$C$30,1,IF(Table1[[#This Row],[P/750]]&lt;Expenses!$C$31,2,IF(Table1[[#This Row],[P/750]]&lt;Expenses!$C$32,3,4)))</f>
        <v>1</v>
      </c>
      <c r="AH18" s="37" t="s">
        <v>384</v>
      </c>
      <c r="AI18" s="11">
        <f>Table1[[#This Row],[Price]]/Table1[[#This Row],[Size (ml)]]*750</f>
        <v>16.28</v>
      </c>
      <c r="AJ18" s="37">
        <v>91</v>
      </c>
      <c r="AK18" s="10">
        <f>COUNTIF(UniqueID!A:A,Table1[[#This Row],[ID]])</f>
        <v>0</v>
      </c>
      <c r="AL18" s="10" t="str">
        <f>VLOOKUP(Table1[[#This Row],[Cellar Location]],Location!A:F,6,FALSE)</f>
        <v>C</v>
      </c>
      <c r="AN18" s="1">
        <v>44000</v>
      </c>
      <c r="AO18" s="10" t="str">
        <f>TEXT(Table1[[#This Row],[Purchased]],"mmmm")</f>
        <v>June</v>
      </c>
      <c r="AP18" s="10" t="str">
        <f>TEXT(Table1[[#This Row],[Purchased]],"yyyy")</f>
        <v>2020</v>
      </c>
      <c r="AQ18" s="10"/>
    </row>
    <row r="19" spans="1:43" s="37" customFormat="1" x14ac:dyDescent="0.25">
      <c r="A19" s="37" t="str">
        <f t="shared" si="0"/>
        <v>2010Cosimo TaurinoSalice Salentino Riserva</v>
      </c>
      <c r="B19" s="8">
        <v>2010</v>
      </c>
      <c r="C19" s="120" t="s">
        <v>56</v>
      </c>
      <c r="D19" s="119" t="s">
        <v>57</v>
      </c>
      <c r="E19" s="67" t="s">
        <v>1204</v>
      </c>
      <c r="F19" s="37" t="s">
        <v>728</v>
      </c>
      <c r="G19" s="37" t="s">
        <v>785</v>
      </c>
      <c r="H19" s="37" t="s">
        <v>769</v>
      </c>
      <c r="I19" s="37">
        <v>1</v>
      </c>
      <c r="J19" s="37">
        <v>750</v>
      </c>
      <c r="K19" s="8" t="s">
        <v>839</v>
      </c>
      <c r="L19" s="37">
        <f>COUNTIF(Drank!A:A,Table1[[#This Row],[ID]])</f>
        <v>33</v>
      </c>
      <c r="M19" s="37" t="s">
        <v>202</v>
      </c>
      <c r="N19" s="37" t="s">
        <v>207</v>
      </c>
      <c r="O19" s="37">
        <v>1</v>
      </c>
      <c r="R19" s="37">
        <f>IF(IFERROR(VLOOKUP(A19,Drank!A:S,15,FALSE),"")=0,"",IFERROR(VLOOKUP(A19,Drank!A:S,15,FALSE),""))</f>
        <v>2020</v>
      </c>
      <c r="S19" s="37">
        <f>IF(IFERROR(VLOOKUP(A19,Drank!A:S,16,FALSE),"")=0,"",IFERROR(VLOOKUP(A19,Drank!A:S,16,FALSE),""))</f>
        <v>2021</v>
      </c>
      <c r="V19" s="18">
        <f>IF(IFERROR(VLOOKUP(A19,Drank!A:T,19,FALSE),"")=0,"",IFERROR(VLOOKUP(A19,Drank!A:T,19,FALSE),""))</f>
        <v>89.46875</v>
      </c>
      <c r="W19" s="1">
        <f>IF(IFERROR(VLOOKUP(A19,Drank!A:T,20,FALSE),"")=0,"",IFERROR(VLOOKUP(A19,Drank!A:T,20,FALSE),""))</f>
        <v>44092</v>
      </c>
      <c r="X19" s="37">
        <f>SUMIF(A:A,A19,I:I)</f>
        <v>19</v>
      </c>
      <c r="Y19" s="37">
        <f>IF(Table1[[#This Row],[Drank]]&gt;0,VLOOKUP(Table1[[#This Row],[ID]],Drank!A:P,16,FALSE),IF(Table1[[#This Row],[WALDD]]&gt;0,VLOOKUP(Table1[[#This Row],[ID]],Wine1!A:Q,17,FALSE),Table1[[#This Row],[EP]]))</f>
        <v>2021</v>
      </c>
      <c r="Z19" s="18">
        <f>IF(Table1[[#This Row],[My Rating]]="",IF(Table1[[#This Row],[WA Rating Clean]]="","",Table1[[#This Row],[WA Rating Clean]]),Table1[[#This Row],[My Rating]])</f>
        <v>89.46875</v>
      </c>
      <c r="AA19" s="37">
        <v>2020</v>
      </c>
      <c r="AB19" s="2">
        <v>14.66</v>
      </c>
      <c r="AC19" s="2">
        <f t="shared" si="1"/>
        <v>14.66</v>
      </c>
      <c r="AD19" s="8">
        <v>0</v>
      </c>
      <c r="AE19" s="37">
        <f>IF(Table1[[#This Row],[P/750]]&lt;20,1,IF(Table1[[#This Row],[P/750]]&lt;50,2,3))</f>
        <v>1</v>
      </c>
      <c r="AF19" s="37">
        <f>IF(Table1[[#This Row],[P/750]]&lt;Expenses!$C$30,1,IF(Table1[[#This Row],[P/750]]&lt;Expenses!$C$31,2,IF(Table1[[#This Row],[P/750]]&lt;Expenses!$C$32,3,4)))</f>
        <v>1</v>
      </c>
      <c r="AH19" s="37" t="s">
        <v>1128</v>
      </c>
      <c r="AI19" s="11">
        <f>Table1[[#This Row],[Price]]/Table1[[#This Row],[Size (ml)]]*750</f>
        <v>14.66</v>
      </c>
      <c r="AK19" s="37">
        <f>COUNTIF(UniqueID!A:A,Table1[[#This Row],[ID]])</f>
        <v>1</v>
      </c>
      <c r="AL19" s="37" t="str">
        <f>VLOOKUP(Table1[[#This Row],[Cellar Location]],Location!A:F,6,FALSE)</f>
        <v>C</v>
      </c>
      <c r="AN19" s="1">
        <v>43966</v>
      </c>
      <c r="AO19" s="37" t="str">
        <f>TEXT(Table1[[#This Row],[Purchased]],"mmmm")</f>
        <v>May</v>
      </c>
      <c r="AP19" s="10" t="str">
        <f>TEXT(Table1[[#This Row],[Purchased]],"yyyy")</f>
        <v>2020</v>
      </c>
      <c r="AQ19" s="10"/>
    </row>
    <row r="20" spans="1:43" x14ac:dyDescent="0.25">
      <c r="A20" t="str">
        <f t="shared" si="0"/>
        <v>2010Cosimo TaurinoSalice Salentino Riserva</v>
      </c>
      <c r="B20" s="60">
        <v>2010</v>
      </c>
      <c r="C20" s="8" t="s">
        <v>56</v>
      </c>
      <c r="D20" s="32" t="s">
        <v>57</v>
      </c>
      <c r="E20" s="67" t="s">
        <v>1204</v>
      </c>
      <c r="F20" s="37" t="s">
        <v>728</v>
      </c>
      <c r="G20" s="37" t="s">
        <v>785</v>
      </c>
      <c r="H20" s="37" t="s">
        <v>769</v>
      </c>
      <c r="I20" s="37">
        <v>1</v>
      </c>
      <c r="J20" s="37">
        <v>750</v>
      </c>
      <c r="K20" s="8" t="s">
        <v>213</v>
      </c>
      <c r="L20" s="37">
        <f>COUNTIF(Drank!A:A,Table1[[#This Row],[ID]])</f>
        <v>33</v>
      </c>
      <c r="M20" t="s">
        <v>202</v>
      </c>
      <c r="N20" t="s">
        <v>207</v>
      </c>
      <c r="O20">
        <v>1</v>
      </c>
      <c r="P20" s="37"/>
      <c r="R20" s="37">
        <f>IF(IFERROR(VLOOKUP(A20,Drank!A:S,15,FALSE),"")=0,"",IFERROR(VLOOKUP(A20,Drank!A:S,15,FALSE),""))</f>
        <v>2020</v>
      </c>
      <c r="S20" s="37">
        <f>IF(IFERROR(VLOOKUP(A20,Drank!A:S,16,FALSE),"")=0,"",IFERROR(VLOOKUP(A20,Drank!A:S,16,FALSE),""))</f>
        <v>2021</v>
      </c>
      <c r="T20" s="37"/>
      <c r="V20" s="18">
        <f>IF(IFERROR(VLOOKUP(A20,Drank!A:T,19,FALSE),"")=0,"",IFERROR(VLOOKUP(A20,Drank!A:T,19,FALSE),""))</f>
        <v>89.46875</v>
      </c>
      <c r="W20" s="1">
        <f>IF(IFERROR(VLOOKUP(A20,Drank!A:T,20,FALSE),"")=0,"",IFERROR(VLOOKUP(A20,Drank!A:T,20,FALSE),""))</f>
        <v>44092</v>
      </c>
      <c r="X20" s="37">
        <f>SUMIF(A:A,A20,I:I)</f>
        <v>19</v>
      </c>
      <c r="Y20" s="37">
        <f>IF(Table1[[#This Row],[Drank]]&gt;0,VLOOKUP(Table1[[#This Row],[ID]],Drank!A:P,16,FALSE),IF(Table1[[#This Row],[WALDD]]&gt;0,VLOOKUP(Table1[[#This Row],[ID]],Wine1!A:Q,17,FALSE),Table1[[#This Row],[EP]]))</f>
        <v>2021</v>
      </c>
      <c r="Z20" s="18">
        <f>IF(Table1[[#This Row],[My Rating]]="",IF(Table1[[#This Row],[WA Rating Clean]]="","",Table1[[#This Row],[WA Rating Clean]]),Table1[[#This Row],[My Rating]])</f>
        <v>89.46875</v>
      </c>
      <c r="AA20" s="37">
        <v>2020</v>
      </c>
      <c r="AB20" s="2">
        <v>14.66</v>
      </c>
      <c r="AC20" s="2">
        <f t="shared" si="1"/>
        <v>14.66</v>
      </c>
      <c r="AD20" s="8">
        <v>0</v>
      </c>
      <c r="AE20" s="37">
        <f>IF(Table1[[#This Row],[P/750]]&lt;20,1,IF(Table1[[#This Row],[P/750]]&lt;50,2,3))</f>
        <v>1</v>
      </c>
      <c r="AF20" s="37">
        <f>IF(Table1[[#This Row],[P/750]]&lt;Expenses!$C$30,1,IF(Table1[[#This Row],[P/750]]&lt;Expenses!$C$31,2,IF(Table1[[#This Row],[P/750]]&lt;Expenses!$C$32,3,4)))</f>
        <v>1</v>
      </c>
      <c r="AH20" s="37" t="s">
        <v>1128</v>
      </c>
      <c r="AI20" s="11">
        <f>Table1[[#This Row],[Price]]/Table1[[#This Row],[Size (ml)]]*750</f>
        <v>14.66</v>
      </c>
      <c r="AJ20" s="37"/>
      <c r="AK20" s="37">
        <f>COUNTIF(UniqueID!A:A,Table1[[#This Row],[ID]])</f>
        <v>1</v>
      </c>
      <c r="AL20" s="37" t="str">
        <f>VLOOKUP(Table1[[#This Row],[Cellar Location]],Location!A:F,6,FALSE)</f>
        <v>N</v>
      </c>
      <c r="AM20" s="37"/>
      <c r="AN20" s="1">
        <v>43966</v>
      </c>
      <c r="AO20" s="37" t="str">
        <f>TEXT(Table1[[#This Row],[Purchased]],"mmmm")</f>
        <v>May</v>
      </c>
      <c r="AP20" s="10" t="str">
        <f>TEXT(Table1[[#This Row],[Purchased]],"yyyy")</f>
        <v>2020</v>
      </c>
      <c r="AQ20" s="10"/>
    </row>
    <row r="21" spans="1:43" s="37" customFormat="1" x14ac:dyDescent="0.25">
      <c r="A21" s="37" t="str">
        <f t="shared" si="0"/>
        <v>2010Cosimo TaurinoSalice Salentino Riserva</v>
      </c>
      <c r="B21" s="8">
        <v>2010</v>
      </c>
      <c r="C21" s="37" t="s">
        <v>56</v>
      </c>
      <c r="D21" s="32" t="s">
        <v>57</v>
      </c>
      <c r="E21" s="67" t="s">
        <v>1204</v>
      </c>
      <c r="F21" s="37" t="s">
        <v>728</v>
      </c>
      <c r="G21" s="37" t="s">
        <v>785</v>
      </c>
      <c r="H21" s="37" t="s">
        <v>769</v>
      </c>
      <c r="I21" s="37">
        <v>1</v>
      </c>
      <c r="J21" s="37">
        <v>750</v>
      </c>
      <c r="K21" s="8" t="s">
        <v>839</v>
      </c>
      <c r="L21" s="37">
        <f>COUNTIF(Drank!A:A,Table1[[#This Row],[ID]])</f>
        <v>33</v>
      </c>
      <c r="M21" s="37" t="s">
        <v>202</v>
      </c>
      <c r="N21" s="37" t="s">
        <v>207</v>
      </c>
      <c r="O21" s="37">
        <v>1</v>
      </c>
      <c r="R21" s="37">
        <f>IF(IFERROR(VLOOKUP(A21,Drank!A:S,15,FALSE),"")=0,"",IFERROR(VLOOKUP(A21,Drank!A:S,15,FALSE),""))</f>
        <v>2020</v>
      </c>
      <c r="S21" s="37">
        <f>IF(IFERROR(VLOOKUP(A21,Drank!A:S,16,FALSE),"")=0,"",IFERROR(VLOOKUP(A21,Drank!A:S,16,FALSE),""))</f>
        <v>2021</v>
      </c>
      <c r="V21" s="18">
        <f>IF(IFERROR(VLOOKUP(A21,Drank!A:T,19,FALSE),"")=0,"",IFERROR(VLOOKUP(A21,Drank!A:T,19,FALSE),""))</f>
        <v>89.46875</v>
      </c>
      <c r="W21" s="1">
        <f>IF(IFERROR(VLOOKUP(A21,Drank!A:T,20,FALSE),"")=0,"",IFERROR(VLOOKUP(A21,Drank!A:T,20,FALSE),""))</f>
        <v>44092</v>
      </c>
      <c r="X21" s="37">
        <f>SUMIF(A:A,A21,I:I)</f>
        <v>19</v>
      </c>
      <c r="Y21" s="37">
        <f>IF(Table1[[#This Row],[Drank]]&gt;0,VLOOKUP(Table1[[#This Row],[ID]],Drank!A:P,16,FALSE),IF(Table1[[#This Row],[WALDD]]&gt;0,VLOOKUP(Table1[[#This Row],[ID]],Wine1!A:Q,17,FALSE),Table1[[#This Row],[EP]]))</f>
        <v>2021</v>
      </c>
      <c r="Z21" s="18">
        <f>IF(Table1[[#This Row],[My Rating]]="",IF(Table1[[#This Row],[WA Rating Clean]]="","",Table1[[#This Row],[WA Rating Clean]]),Table1[[#This Row],[My Rating]])</f>
        <v>89.46875</v>
      </c>
      <c r="AA21" s="37">
        <v>2020</v>
      </c>
      <c r="AB21" s="2">
        <v>12.99</v>
      </c>
      <c r="AC21" s="2">
        <f t="shared" si="1"/>
        <v>12.99</v>
      </c>
      <c r="AD21" s="8">
        <v>0</v>
      </c>
      <c r="AE21" s="37">
        <f>IF(Table1[[#This Row],[P/750]]&lt;20,1,IF(Table1[[#This Row],[P/750]]&lt;50,2,3))</f>
        <v>1</v>
      </c>
      <c r="AF21" s="37">
        <f>IF(Table1[[#This Row],[P/750]]&lt;Expenses!$C$30,1,IF(Table1[[#This Row],[P/750]]&lt;Expenses!$C$31,2,IF(Table1[[#This Row],[P/750]]&lt;Expenses!$C$32,3,4)))</f>
        <v>1</v>
      </c>
      <c r="AH21" s="37" t="s">
        <v>1128</v>
      </c>
      <c r="AI21" s="11">
        <f>Table1[[#This Row],[Price]]/Table1[[#This Row],[Size (ml)]]*750</f>
        <v>12.989999999999998</v>
      </c>
      <c r="AK21" s="37">
        <f>COUNTIF(UniqueID!A:A,Table1[[#This Row],[ID]])</f>
        <v>1</v>
      </c>
      <c r="AL21" s="37" t="str">
        <f>VLOOKUP(Table1[[#This Row],[Cellar Location]],Location!A:F,6,FALSE)</f>
        <v>C</v>
      </c>
      <c r="AN21" s="1">
        <v>43879</v>
      </c>
      <c r="AO21" s="37" t="str">
        <f>TEXT(Table1[[#This Row],[Purchased]],"mmmm")</f>
        <v>February</v>
      </c>
      <c r="AP21" s="10" t="str">
        <f>TEXT(Table1[[#This Row],[Purchased]],"yyyy")</f>
        <v>2020</v>
      </c>
      <c r="AQ21" s="10"/>
    </row>
    <row r="22" spans="1:43" s="37" customFormat="1" x14ac:dyDescent="0.25">
      <c r="A22" s="37" t="str">
        <f t="shared" si="0"/>
        <v>2017San AlejandroLas Rocas</v>
      </c>
      <c r="B22" s="60">
        <v>2017</v>
      </c>
      <c r="C22" s="67" t="s">
        <v>152</v>
      </c>
      <c r="D22" s="25" t="s">
        <v>153</v>
      </c>
      <c r="E22" s="67" t="s">
        <v>1248</v>
      </c>
      <c r="F22" s="37" t="s">
        <v>729</v>
      </c>
      <c r="G22" s="37" t="s">
        <v>811</v>
      </c>
      <c r="H22" s="37" t="s">
        <v>812</v>
      </c>
      <c r="I22" s="37">
        <v>1</v>
      </c>
      <c r="J22" s="37">
        <v>750</v>
      </c>
      <c r="K22" s="8" t="s">
        <v>213</v>
      </c>
      <c r="L22" s="37">
        <f>COUNTIF(Drank!A:A,Table1[[#This Row],[ID]])</f>
        <v>10</v>
      </c>
      <c r="M22" s="37" t="s">
        <v>202</v>
      </c>
      <c r="N22" s="37" t="s">
        <v>207</v>
      </c>
      <c r="O22" s="37">
        <v>0</v>
      </c>
      <c r="R22" s="37">
        <f>IF(IFERROR(VLOOKUP(A22,Drank!A:S,15,FALSE),"")=0,"",IFERROR(VLOOKUP(A22,Drank!A:S,15,FALSE),""))</f>
        <v>2020</v>
      </c>
      <c r="S22" s="37">
        <f>IF(IFERROR(VLOOKUP(A22,Drank!A:S,16,FALSE),"")=0,"",IFERROR(VLOOKUP(A22,Drank!A:S,16,FALSE),""))</f>
        <v>2021</v>
      </c>
      <c r="V22" s="18">
        <f>IF(IFERROR(VLOOKUP(A22,Drank!A:T,19,FALSE),"")=0,"",IFERROR(VLOOKUP(A22,Drank!A:T,19,FALSE),""))</f>
        <v>88.4</v>
      </c>
      <c r="W22" s="1">
        <f>IF(IFERROR(VLOOKUP(A22,Drank!A:T,20,FALSE),"")=0,"",IFERROR(VLOOKUP(A22,Drank!A:T,20,FALSE),""))</f>
        <v>44058</v>
      </c>
      <c r="X22" s="37">
        <f>SUMIF(A:A,A22,I:I)</f>
        <v>3</v>
      </c>
      <c r="Y22" s="37">
        <f>IF(Table1[[#This Row],[Drank]]&gt;0,VLOOKUP(Table1[[#This Row],[ID]],Drank!A:P,16,FALSE),IF(Table1[[#This Row],[WALDD]]&gt;0,VLOOKUP(Table1[[#This Row],[ID]],Wine1!A:Q,17,FALSE),Table1[[#This Row],[EP]]))</f>
        <v>2021</v>
      </c>
      <c r="Z22" s="18">
        <f>IF(Table1[[#This Row],[My Rating]]="",IF(Table1[[#This Row],[WA Rating Clean]]="","",Table1[[#This Row],[WA Rating Clean]]),Table1[[#This Row],[My Rating]])</f>
        <v>88.4</v>
      </c>
      <c r="AA22" s="37">
        <v>2020</v>
      </c>
      <c r="AB22" s="2">
        <v>10.74</v>
      </c>
      <c r="AC22" s="2">
        <f t="shared" si="1"/>
        <v>10.74</v>
      </c>
      <c r="AD22" s="8">
        <v>0</v>
      </c>
      <c r="AE22" s="37">
        <f>IF(Table1[[#This Row],[P/750]]&lt;20,1,IF(Table1[[#This Row],[P/750]]&lt;50,2,3))</f>
        <v>1</v>
      </c>
      <c r="AF22" s="37">
        <f>IF(Table1[[#This Row],[P/750]]&lt;Expenses!$C$30,1,IF(Table1[[#This Row],[P/750]]&lt;Expenses!$C$31,2,IF(Table1[[#This Row],[P/750]]&lt;Expenses!$C$32,3,4)))</f>
        <v>1</v>
      </c>
      <c r="AH22" s="37" t="s">
        <v>1128</v>
      </c>
      <c r="AI22" s="11">
        <f>Table1[[#This Row],[Price]]/Table1[[#This Row],[Size (ml)]]*750</f>
        <v>10.74</v>
      </c>
      <c r="AK22" s="37">
        <f>COUNTIF(UniqueID!A:A,Table1[[#This Row],[ID]])</f>
        <v>0</v>
      </c>
      <c r="AL22" s="37" t="str">
        <f>VLOOKUP(Table1[[#This Row],[Cellar Location]],Location!A:F,6,FALSE)</f>
        <v>N</v>
      </c>
      <c r="AM22" s="1"/>
      <c r="AN22" s="1">
        <v>44037</v>
      </c>
      <c r="AO22" s="37" t="str">
        <f>TEXT(Table1[[#This Row],[Purchased]],"mmmm")</f>
        <v>July</v>
      </c>
      <c r="AP22" s="10" t="str">
        <f>TEXT(Table1[[#This Row],[Purchased]],"yyyy")</f>
        <v>2020</v>
      </c>
      <c r="AQ22" s="10"/>
    </row>
    <row r="23" spans="1:43" s="37" customFormat="1" x14ac:dyDescent="0.25">
      <c r="A23" s="37" t="str">
        <f t="shared" si="0"/>
        <v>2017San AlejandroLas Rocas</v>
      </c>
      <c r="B23" s="8">
        <v>2017</v>
      </c>
      <c r="C23" s="37" t="s">
        <v>152</v>
      </c>
      <c r="D23" s="25" t="s">
        <v>153</v>
      </c>
      <c r="E23" s="67" t="s">
        <v>1248</v>
      </c>
      <c r="F23" s="37" t="s">
        <v>729</v>
      </c>
      <c r="G23" s="37" t="s">
        <v>811</v>
      </c>
      <c r="H23" s="37" t="s">
        <v>812</v>
      </c>
      <c r="I23" s="37">
        <v>1</v>
      </c>
      <c r="J23" s="37">
        <v>750</v>
      </c>
      <c r="K23" s="8" t="s">
        <v>1541</v>
      </c>
      <c r="L23" s="37">
        <f>COUNTIF(Drank!A:A,Table1[[#This Row],[ID]])</f>
        <v>10</v>
      </c>
      <c r="M23" s="37" t="s">
        <v>202</v>
      </c>
      <c r="N23" s="37" t="s">
        <v>207</v>
      </c>
      <c r="O23" s="37">
        <v>0</v>
      </c>
      <c r="R23" s="37">
        <f>IF(IFERROR(VLOOKUP(A23,Drank!A:S,15,FALSE),"")=0,"",IFERROR(VLOOKUP(A23,Drank!A:S,15,FALSE),""))</f>
        <v>2020</v>
      </c>
      <c r="S23" s="37">
        <f>IF(IFERROR(VLOOKUP(A23,Drank!A:S,16,FALSE),"")=0,"",IFERROR(VLOOKUP(A23,Drank!A:S,16,FALSE),""))</f>
        <v>2021</v>
      </c>
      <c r="V23" s="18">
        <f>IF(IFERROR(VLOOKUP(A23,Drank!A:T,19,FALSE),"")=0,"",IFERROR(VLOOKUP(A23,Drank!A:T,19,FALSE),""))</f>
        <v>88.4</v>
      </c>
      <c r="W23" s="1">
        <f>IF(IFERROR(VLOOKUP(A23,Drank!A:T,20,FALSE),"")=0,"",IFERROR(VLOOKUP(A23,Drank!A:T,20,FALSE),""))</f>
        <v>44058</v>
      </c>
      <c r="X23" s="37">
        <f>SUMIF(A:A,A23,I:I)</f>
        <v>3</v>
      </c>
      <c r="Y23" s="37">
        <f>IF(Table1[[#This Row],[Drank]]&gt;0,VLOOKUP(Table1[[#This Row],[ID]],Drank!A:P,16,FALSE),IF(Table1[[#This Row],[WALDD]]&gt;0,VLOOKUP(Table1[[#This Row],[ID]],Wine1!A:Q,17,FALSE),Table1[[#This Row],[EP]]))</f>
        <v>2021</v>
      </c>
      <c r="Z23" s="18">
        <f>IF(Table1[[#This Row],[My Rating]]="",IF(Table1[[#This Row],[WA Rating Clean]]="","",Table1[[#This Row],[WA Rating Clean]]),Table1[[#This Row],[My Rating]])</f>
        <v>88.4</v>
      </c>
      <c r="AA23" s="37">
        <v>2020</v>
      </c>
      <c r="AB23" s="2">
        <v>10.74</v>
      </c>
      <c r="AC23" s="2">
        <f t="shared" si="1"/>
        <v>10.74</v>
      </c>
      <c r="AD23" s="8">
        <v>0</v>
      </c>
      <c r="AE23" s="37">
        <f>IF(Table1[[#This Row],[P/750]]&lt;20,1,IF(Table1[[#This Row],[P/750]]&lt;50,2,3))</f>
        <v>1</v>
      </c>
      <c r="AF23" s="37">
        <f>IF(Table1[[#This Row],[P/750]]&lt;Expenses!$C$30,1,IF(Table1[[#This Row],[P/750]]&lt;Expenses!$C$31,2,IF(Table1[[#This Row],[P/750]]&lt;Expenses!$C$32,3,4)))</f>
        <v>1</v>
      </c>
      <c r="AH23" s="37" t="s">
        <v>1128</v>
      </c>
      <c r="AI23" s="11">
        <f>Table1[[#This Row],[Price]]/Table1[[#This Row],[Size (ml)]]*750</f>
        <v>10.74</v>
      </c>
      <c r="AK23" s="37">
        <f>COUNTIF(UniqueID!A:A,Table1[[#This Row],[ID]])</f>
        <v>0</v>
      </c>
      <c r="AL23" s="37" t="str">
        <f>VLOOKUP(Table1[[#This Row],[Cellar Location]],Location!A:F,6,FALSE)</f>
        <v>C</v>
      </c>
      <c r="AM23" s="1"/>
      <c r="AN23" s="1">
        <v>44037</v>
      </c>
      <c r="AO23" s="37" t="str">
        <f>TEXT(Table1[[#This Row],[Purchased]],"mmmm")</f>
        <v>July</v>
      </c>
      <c r="AP23" s="10" t="str">
        <f>TEXT(Table1[[#This Row],[Purchased]],"yyyy")</f>
        <v>2020</v>
      </c>
      <c r="AQ23" s="10"/>
    </row>
    <row r="24" spans="1:43" s="37" customFormat="1" x14ac:dyDescent="0.25">
      <c r="A24" s="37" t="str">
        <f t="shared" si="0"/>
        <v>2017San AlejandroLas Rocas</v>
      </c>
      <c r="B24" s="8">
        <v>2017</v>
      </c>
      <c r="C24" s="37" t="s">
        <v>152</v>
      </c>
      <c r="D24" s="25" t="s">
        <v>153</v>
      </c>
      <c r="E24" s="67" t="s">
        <v>1248</v>
      </c>
      <c r="F24" s="37" t="s">
        <v>729</v>
      </c>
      <c r="G24" s="37" t="s">
        <v>811</v>
      </c>
      <c r="H24" s="37" t="s">
        <v>812</v>
      </c>
      <c r="I24" s="37">
        <v>1</v>
      </c>
      <c r="J24" s="37">
        <v>750</v>
      </c>
      <c r="K24" s="8" t="s">
        <v>1541</v>
      </c>
      <c r="L24" s="37">
        <f>COUNTIF(Drank!A:A,Table1[[#This Row],[ID]])</f>
        <v>10</v>
      </c>
      <c r="M24" s="37" t="s">
        <v>202</v>
      </c>
      <c r="N24" s="37" t="s">
        <v>207</v>
      </c>
      <c r="O24" s="37">
        <v>0</v>
      </c>
      <c r="R24" s="37">
        <f>IF(IFERROR(VLOOKUP(A24,Drank!A:S,15,FALSE),"")=0,"",IFERROR(VLOOKUP(A24,Drank!A:S,15,FALSE),""))</f>
        <v>2020</v>
      </c>
      <c r="S24" s="37">
        <f>IF(IFERROR(VLOOKUP(A24,Drank!A:S,16,FALSE),"")=0,"",IFERROR(VLOOKUP(A24,Drank!A:S,16,FALSE),""))</f>
        <v>2021</v>
      </c>
      <c r="V24" s="18">
        <f>IF(IFERROR(VLOOKUP(A24,Drank!A:T,19,FALSE),"")=0,"",IFERROR(VLOOKUP(A24,Drank!A:T,19,FALSE),""))</f>
        <v>88.4</v>
      </c>
      <c r="W24" s="1">
        <f>IF(IFERROR(VLOOKUP(A24,Drank!A:T,20,FALSE),"")=0,"",IFERROR(VLOOKUP(A24,Drank!A:T,20,FALSE),""))</f>
        <v>44058</v>
      </c>
      <c r="X24" s="37">
        <f>SUMIF(A:A,A24,I:I)</f>
        <v>3</v>
      </c>
      <c r="Y24" s="37">
        <f>IF(Table1[[#This Row],[Drank]]&gt;0,VLOOKUP(Table1[[#This Row],[ID]],Drank!A:P,16,FALSE),IF(Table1[[#This Row],[WALDD]]&gt;0,VLOOKUP(Table1[[#This Row],[ID]],Wine1!A:Q,17,FALSE),Table1[[#This Row],[EP]]))</f>
        <v>2021</v>
      </c>
      <c r="Z24" s="18">
        <f>IF(Table1[[#This Row],[My Rating]]="",IF(Table1[[#This Row],[WA Rating Clean]]="","",Table1[[#This Row],[WA Rating Clean]]),Table1[[#This Row],[My Rating]])</f>
        <v>88.4</v>
      </c>
      <c r="AA24" s="37">
        <v>2020</v>
      </c>
      <c r="AB24" s="2">
        <v>10.74</v>
      </c>
      <c r="AC24" s="2">
        <f t="shared" si="1"/>
        <v>10.74</v>
      </c>
      <c r="AD24" s="8">
        <v>0</v>
      </c>
      <c r="AE24" s="37">
        <f>IF(Table1[[#This Row],[P/750]]&lt;20,1,IF(Table1[[#This Row],[P/750]]&lt;50,2,3))</f>
        <v>1</v>
      </c>
      <c r="AF24" s="37">
        <f>IF(Table1[[#This Row],[P/750]]&lt;Expenses!$C$30,1,IF(Table1[[#This Row],[P/750]]&lt;Expenses!$C$31,2,IF(Table1[[#This Row],[P/750]]&lt;Expenses!$C$32,3,4)))</f>
        <v>1</v>
      </c>
      <c r="AH24" s="37" t="s">
        <v>1128</v>
      </c>
      <c r="AI24" s="11">
        <f>Table1[[#This Row],[Price]]/Table1[[#This Row],[Size (ml)]]*750</f>
        <v>10.74</v>
      </c>
      <c r="AK24" s="37">
        <f>COUNTIF(UniqueID!A:A,Table1[[#This Row],[ID]])</f>
        <v>0</v>
      </c>
      <c r="AL24" s="37" t="str">
        <f>VLOOKUP(Table1[[#This Row],[Cellar Location]],Location!A:F,6,FALSE)</f>
        <v>C</v>
      </c>
      <c r="AM24" s="1"/>
      <c r="AN24" s="1">
        <v>44037</v>
      </c>
      <c r="AO24" s="37" t="str">
        <f>TEXT(Table1[[#This Row],[Purchased]],"mmmm")</f>
        <v>July</v>
      </c>
      <c r="AP24" s="10" t="str">
        <f>TEXT(Table1[[#This Row],[Purchased]],"yyyy")</f>
        <v>2020</v>
      </c>
      <c r="AQ24" s="10"/>
    </row>
    <row r="25" spans="1:43" s="37" customFormat="1" x14ac:dyDescent="0.25">
      <c r="A25" s="37" t="str">
        <f t="shared" si="0"/>
        <v>2013Domaine de BellevueSaint Pourcain Roche Grises</v>
      </c>
      <c r="B25" s="37">
        <v>2013</v>
      </c>
      <c r="C25" s="38" t="s">
        <v>1719</v>
      </c>
      <c r="D25" s="37" t="s">
        <v>1720</v>
      </c>
      <c r="E25" s="67" t="s">
        <v>1721</v>
      </c>
      <c r="F25" s="37" t="s">
        <v>742</v>
      </c>
      <c r="G25" s="37" t="s">
        <v>1366</v>
      </c>
      <c r="I25" s="37">
        <v>1</v>
      </c>
      <c r="J25" s="37">
        <v>750</v>
      </c>
      <c r="K25" s="8" t="s">
        <v>1795</v>
      </c>
      <c r="L25" s="10">
        <f>COUNTIF(Drank!A:A,Table1[[#This Row],[ID]])</f>
        <v>0</v>
      </c>
      <c r="M25" s="37" t="s">
        <v>202</v>
      </c>
      <c r="N25" s="37" t="s">
        <v>207</v>
      </c>
      <c r="O25" s="37">
        <v>0</v>
      </c>
      <c r="R25" s="10" t="str">
        <f>IF(IFERROR(VLOOKUP(A25,Drank!A:S,15,FALSE),"")=0,"",IFERROR(VLOOKUP(A25,Drank!A:S,15,FALSE),""))</f>
        <v/>
      </c>
      <c r="S25" s="10" t="str">
        <f>IF(IFERROR(VLOOKUP(A25,Drank!A:S,16,FALSE),"")=0,"",IFERROR(VLOOKUP(A25,Drank!A:S,16,FALSE),""))</f>
        <v/>
      </c>
      <c r="T25" s="10">
        <v>2021</v>
      </c>
      <c r="V25" s="18" t="str">
        <f>IF(IFERROR(VLOOKUP(A25,Drank!A:T,19,FALSE),"")=0,"",IFERROR(VLOOKUP(A25,Drank!A:T,19,FALSE),""))</f>
        <v/>
      </c>
      <c r="W25" s="1" t="str">
        <f>IF(IFERROR(VLOOKUP(A25,Drank!A:T,20,FALSE),"")=0,"",IFERROR(VLOOKUP(A25,Drank!A:T,20,FALSE),""))</f>
        <v/>
      </c>
      <c r="X25" s="10">
        <f>SUMIF(A:A,A25,I:I)</f>
        <v>1</v>
      </c>
      <c r="Y25" s="10">
        <f>IF(Table1[[#This Row],[Drank]]&gt;0,VLOOKUP(Table1[[#This Row],[ID]],Drank!A:P,16,FALSE),IF(Table1[[#This Row],[WALDD]]&gt;0,VLOOKUP(Table1[[#This Row],[ID]],Wine1!A:Q,17,FALSE),Table1[[#This Row],[EP]]))</f>
        <v>2021</v>
      </c>
      <c r="Z25" s="18" t="str">
        <f>IF(Table1[[#This Row],[My Rating]]="",IF(Table1[[#This Row],[WA Rating Clean]]="","",Table1[[#This Row],[WA Rating Clean]]),Table1[[#This Row],[My Rating]])</f>
        <v/>
      </c>
      <c r="AA25" s="8">
        <v>2020</v>
      </c>
      <c r="AB25" s="4">
        <v>22.81</v>
      </c>
      <c r="AC25" s="2">
        <f t="shared" si="1"/>
        <v>22.81</v>
      </c>
      <c r="AD25" s="8">
        <v>0</v>
      </c>
      <c r="AE25" s="10">
        <f>IF(Table1[[#This Row],[P/750]]&lt;20,1,IF(Table1[[#This Row],[P/750]]&lt;50,2,3))</f>
        <v>2</v>
      </c>
      <c r="AF25" s="10">
        <f>IF(Table1[[#This Row],[P/750]]&lt;Expenses!$C$30,1,IF(Table1[[#This Row],[P/750]]&lt;Expenses!$C$31,2,IF(Table1[[#This Row],[P/750]]&lt;Expenses!$C$32,3,4)))</f>
        <v>2</v>
      </c>
      <c r="AH25" s="37" t="s">
        <v>1709</v>
      </c>
      <c r="AI25" s="11">
        <f>Table1[[#This Row],[Price]]/Table1[[#This Row],[Size (ml)]]*750</f>
        <v>22.81</v>
      </c>
      <c r="AK25" s="10">
        <f>COUNTIF(UniqueID!A:A,Table1[[#This Row],[ID]])</f>
        <v>0</v>
      </c>
      <c r="AL25" s="10" t="str">
        <f>VLOOKUP(Table1[[#This Row],[Cellar Location]],Location!A:F,6,FALSE)</f>
        <v>C</v>
      </c>
      <c r="AN25" s="1">
        <v>44062</v>
      </c>
      <c r="AO25" s="10" t="str">
        <f>TEXT(Table1[[#This Row],[Purchased]],"mmmm")</f>
        <v>August</v>
      </c>
      <c r="AP25" s="10" t="str">
        <f>TEXT(Table1[[#This Row],[Purchased]],"yyyy")</f>
        <v>2020</v>
      </c>
      <c r="AQ25" s="10"/>
    </row>
    <row r="26" spans="1:43" s="37" customFormat="1" x14ac:dyDescent="0.25">
      <c r="A26" s="37" t="str">
        <f t="shared" si="0"/>
        <v>2013Domaine GigouCoteaux du Loir L'Ancetre</v>
      </c>
      <c r="B26" s="37">
        <v>2013</v>
      </c>
      <c r="C26" s="15" t="s">
        <v>1722</v>
      </c>
      <c r="D26" s="37" t="s">
        <v>1723</v>
      </c>
      <c r="E26" s="67" t="s">
        <v>1724</v>
      </c>
      <c r="F26" s="37" t="s">
        <v>742</v>
      </c>
      <c r="G26" s="37" t="s">
        <v>1366</v>
      </c>
      <c r="I26" s="37">
        <v>1</v>
      </c>
      <c r="J26" s="37">
        <v>750</v>
      </c>
      <c r="K26" s="8" t="s">
        <v>1795</v>
      </c>
      <c r="L26" s="10">
        <f>COUNTIF(Drank!A:A,Table1[[#This Row],[ID]])</f>
        <v>0</v>
      </c>
      <c r="M26" s="37" t="s">
        <v>202</v>
      </c>
      <c r="N26" s="37" t="s">
        <v>207</v>
      </c>
      <c r="O26" s="37">
        <v>0</v>
      </c>
      <c r="R26" s="10" t="str">
        <f>IF(IFERROR(VLOOKUP(A26,Drank!A:S,15,FALSE),"")=0,"",IFERROR(VLOOKUP(A26,Drank!A:S,15,FALSE),""))</f>
        <v/>
      </c>
      <c r="S26" s="10" t="str">
        <f>IF(IFERROR(VLOOKUP(A26,Drank!A:S,16,FALSE),"")=0,"",IFERROR(VLOOKUP(A26,Drank!A:S,16,FALSE),""))</f>
        <v/>
      </c>
      <c r="T26" s="10">
        <v>2021</v>
      </c>
      <c r="V26" s="18" t="str">
        <f>IF(IFERROR(VLOOKUP(A26,Drank!A:T,19,FALSE),"")=0,"",IFERROR(VLOOKUP(A26,Drank!A:T,19,FALSE),""))</f>
        <v/>
      </c>
      <c r="W26" s="1" t="str">
        <f>IF(IFERROR(VLOOKUP(A26,Drank!A:T,20,FALSE),"")=0,"",IFERROR(VLOOKUP(A26,Drank!A:T,20,FALSE),""))</f>
        <v/>
      </c>
      <c r="X26" s="10">
        <f>SUMIF(A:A,A26,I:I)</f>
        <v>1</v>
      </c>
      <c r="Y26" s="10">
        <f>IF(Table1[[#This Row],[Drank]]&gt;0,VLOOKUP(Table1[[#This Row],[ID]],Drank!A:P,16,FALSE),IF(Table1[[#This Row],[WALDD]]&gt;0,VLOOKUP(Table1[[#This Row],[ID]],Wine1!A:Q,17,FALSE),Table1[[#This Row],[EP]]))</f>
        <v>2021</v>
      </c>
      <c r="Z26" s="18" t="str">
        <f>IF(Table1[[#This Row],[My Rating]]="",IF(Table1[[#This Row],[WA Rating Clean]]="","",Table1[[#This Row],[WA Rating Clean]]),Table1[[#This Row],[My Rating]])</f>
        <v/>
      </c>
      <c r="AA26" s="8">
        <v>2020</v>
      </c>
      <c r="AB26" s="4">
        <v>28.79</v>
      </c>
      <c r="AC26" s="2">
        <f t="shared" si="1"/>
        <v>28.79</v>
      </c>
      <c r="AD26" s="8">
        <v>0</v>
      </c>
      <c r="AE26" s="10">
        <f>IF(Table1[[#This Row],[P/750]]&lt;20,1,IF(Table1[[#This Row],[P/750]]&lt;50,2,3))</f>
        <v>2</v>
      </c>
      <c r="AF26" s="10">
        <f>IF(Table1[[#This Row],[P/750]]&lt;Expenses!$C$30,1,IF(Table1[[#This Row],[P/750]]&lt;Expenses!$C$31,2,IF(Table1[[#This Row],[P/750]]&lt;Expenses!$C$32,3,4)))</f>
        <v>2</v>
      </c>
      <c r="AH26" s="37" t="s">
        <v>1709</v>
      </c>
      <c r="AI26" s="11">
        <f>Table1[[#This Row],[Price]]/Table1[[#This Row],[Size (ml)]]*750</f>
        <v>28.79</v>
      </c>
      <c r="AK26" s="10">
        <f>COUNTIF(UniqueID!A:A,Table1[[#This Row],[ID]])</f>
        <v>0</v>
      </c>
      <c r="AL26" s="10" t="str">
        <f>VLOOKUP(Table1[[#This Row],[Cellar Location]],Location!A:F,6,FALSE)</f>
        <v>C</v>
      </c>
      <c r="AN26" s="1">
        <v>44062</v>
      </c>
      <c r="AO26" s="10" t="str">
        <f>TEXT(Table1[[#This Row],[Purchased]],"mmmm")</f>
        <v>August</v>
      </c>
      <c r="AP26" s="10" t="str">
        <f>TEXT(Table1[[#This Row],[Purchased]],"yyyy")</f>
        <v>2020</v>
      </c>
      <c r="AQ26" s="10"/>
    </row>
    <row r="27" spans="1:43" s="37" customFormat="1" x14ac:dyDescent="0.25">
      <c r="A27" s="37" t="str">
        <f t="shared" si="0"/>
        <v>2018Chateau MusarJeune Red</v>
      </c>
      <c r="B27" s="37">
        <v>2018</v>
      </c>
      <c r="C27" s="37" t="s">
        <v>1587</v>
      </c>
      <c r="D27" s="37" t="s">
        <v>1588</v>
      </c>
      <c r="E27" s="69" t="s">
        <v>1591</v>
      </c>
      <c r="F27" s="37" t="s">
        <v>1589</v>
      </c>
      <c r="G27" s="37" t="s">
        <v>1590</v>
      </c>
      <c r="I27" s="8">
        <v>1</v>
      </c>
      <c r="J27" s="38">
        <v>750</v>
      </c>
      <c r="K27" s="38" t="s">
        <v>1139</v>
      </c>
      <c r="L27" s="10">
        <f>COUNTIF(Drank!A:A,Table1[[#This Row],[ID]])</f>
        <v>0</v>
      </c>
      <c r="M27" s="37" t="s">
        <v>202</v>
      </c>
      <c r="N27" s="37" t="s">
        <v>207</v>
      </c>
      <c r="O27" s="37">
        <v>0</v>
      </c>
      <c r="P27" s="10"/>
      <c r="R27" s="10" t="str">
        <f>IF(IFERROR(VLOOKUP(A27,Drank!A:S,15,FALSE),"")=0,"",IFERROR(VLOOKUP(A27,Drank!A:S,15,FALSE),""))</f>
        <v/>
      </c>
      <c r="S27" s="10" t="str">
        <f>IF(IFERROR(VLOOKUP(A27,Drank!A:S,16,FALSE),"")=0,"",IFERROR(VLOOKUP(A27,Drank!A:S,16,FALSE),""))</f>
        <v/>
      </c>
      <c r="T27" s="10">
        <v>2021</v>
      </c>
      <c r="V27" s="18" t="str">
        <f>IF(IFERROR(VLOOKUP(A27,Drank!A:T,19,FALSE),"")=0,"",IFERROR(VLOOKUP(A27,Drank!A:T,19,FALSE),""))</f>
        <v/>
      </c>
      <c r="W27" s="1" t="str">
        <f>IF(IFERROR(VLOOKUP(A27,Drank!A:T,20,FALSE),"")=0,"",IFERROR(VLOOKUP(A27,Drank!A:T,20,FALSE),""))</f>
        <v/>
      </c>
      <c r="X27" s="10">
        <f>SUMIF(A:A,A27,I:I)</f>
        <v>1</v>
      </c>
      <c r="Y27" s="10">
        <f>IF(Table1[[#This Row],[Drank]]&gt;0,VLOOKUP(Table1[[#This Row],[ID]],Drank!A:P,16,FALSE),IF(Table1[[#This Row],[WALDD]]&gt;0,VLOOKUP(Table1[[#This Row],[ID]],Wine1!A:Q,17,FALSE),Table1[[#This Row],[EP]]))</f>
        <v>2021</v>
      </c>
      <c r="Z27" s="18" t="str">
        <f>IF(Table1[[#This Row],[My Rating]]="",IF(Table1[[#This Row],[WA Rating Clean]]="","",Table1[[#This Row],[WA Rating Clean]]),Table1[[#This Row],[My Rating]])</f>
        <v/>
      </c>
      <c r="AA27" s="37">
        <v>2020</v>
      </c>
      <c r="AB27" s="4">
        <v>21.5</v>
      </c>
      <c r="AC27" s="2">
        <f t="shared" si="1"/>
        <v>21.5</v>
      </c>
      <c r="AD27" s="8">
        <v>1</v>
      </c>
      <c r="AE27" s="10">
        <f>IF(Table1[[#This Row],[P/750]]&lt;20,1,IF(Table1[[#This Row],[P/750]]&lt;50,2,3))</f>
        <v>2</v>
      </c>
      <c r="AF27" s="10">
        <f>IF(Table1[[#This Row],[P/750]]&lt;Expenses!$C$30,1,IF(Table1[[#This Row],[P/750]]&lt;Expenses!$C$31,2,IF(Table1[[#This Row],[P/750]]&lt;Expenses!$C$32,3,4)))</f>
        <v>2</v>
      </c>
      <c r="AH27" s="37" t="s">
        <v>1139</v>
      </c>
      <c r="AI27" s="11">
        <f>Table1[[#This Row],[Price]]/Table1[[#This Row],[Size (ml)]]*750</f>
        <v>21.5</v>
      </c>
      <c r="AK27" s="10">
        <f>COUNTIF(UniqueID!A:A,Table1[[#This Row],[ID]])</f>
        <v>0</v>
      </c>
      <c r="AL27" s="10" t="str">
        <f>VLOOKUP(Table1[[#This Row],[Cellar Location]],Location!A:F,6,FALSE)</f>
        <v>W</v>
      </c>
      <c r="AN27" s="1">
        <v>44058</v>
      </c>
      <c r="AO27" s="10" t="str">
        <f>TEXT(Table1[[#This Row],[Purchased]],"mmmm")</f>
        <v>August</v>
      </c>
      <c r="AP27" s="10" t="str">
        <f>TEXT(Table1[[#This Row],[Purchased]],"yyyy")</f>
        <v>2020</v>
      </c>
      <c r="AQ27" s="1">
        <v>44132</v>
      </c>
    </row>
    <row r="28" spans="1:43" s="37" customFormat="1" x14ac:dyDescent="0.25">
      <c r="A28" s="37" t="str">
        <f t="shared" si="0"/>
        <v>2010Cosimo TaurinoSalice Salentino Riserva</v>
      </c>
      <c r="B28" s="8">
        <v>2010</v>
      </c>
      <c r="C28" s="37" t="s">
        <v>56</v>
      </c>
      <c r="D28" s="8" t="s">
        <v>57</v>
      </c>
      <c r="E28" s="67" t="s">
        <v>1204</v>
      </c>
      <c r="F28" s="37" t="s">
        <v>728</v>
      </c>
      <c r="G28" s="37" t="s">
        <v>785</v>
      </c>
      <c r="H28" s="37" t="s">
        <v>769</v>
      </c>
      <c r="I28" s="37">
        <v>1</v>
      </c>
      <c r="J28" s="37">
        <v>750</v>
      </c>
      <c r="K28" s="8" t="s">
        <v>1828</v>
      </c>
      <c r="L28" s="10">
        <f>COUNTIF(Drank!A:A,Table1[[#This Row],[ID]])</f>
        <v>33</v>
      </c>
      <c r="M28" s="37" t="s">
        <v>202</v>
      </c>
      <c r="N28" s="37" t="s">
        <v>207</v>
      </c>
      <c r="O28" s="37">
        <v>1</v>
      </c>
      <c r="P28" s="10"/>
      <c r="R28" s="10">
        <f>IF(IFERROR(VLOOKUP(A28,Drank!A:S,15,FALSE),"")=0,"",IFERROR(VLOOKUP(A28,Drank!A:S,15,FALSE),""))</f>
        <v>2020</v>
      </c>
      <c r="S28" s="10">
        <f>IF(IFERROR(VLOOKUP(A28,Drank!A:S,16,FALSE),"")=0,"",IFERROR(VLOOKUP(A28,Drank!A:S,16,FALSE),""))</f>
        <v>2021</v>
      </c>
      <c r="T28" s="10"/>
      <c r="V28" s="18">
        <f>IF(IFERROR(VLOOKUP(A28,Drank!A:T,19,FALSE),"")=0,"",IFERROR(VLOOKUP(A28,Drank!A:T,19,FALSE),""))</f>
        <v>89.46875</v>
      </c>
      <c r="W28" s="1">
        <f>IF(IFERROR(VLOOKUP(A28,Drank!A:T,20,FALSE),"")=0,"",IFERROR(VLOOKUP(A28,Drank!A:T,20,FALSE),""))</f>
        <v>44092</v>
      </c>
      <c r="X28" s="10">
        <f>SUMIF(A:A,A28,I:I)</f>
        <v>19</v>
      </c>
      <c r="Y28" s="10">
        <f>IF(Table1[[#This Row],[Drank]]&gt;0,VLOOKUP(Table1[[#This Row],[ID]],Drank!A:P,16,FALSE),IF(Table1[[#This Row],[WALDD]]&gt;0,VLOOKUP(Table1[[#This Row],[ID]],Wine1!A:Q,17,FALSE),Table1[[#This Row],[EP]]))</f>
        <v>2021</v>
      </c>
      <c r="Z28" s="18">
        <f>IF(Table1[[#This Row],[My Rating]]="",IF(Table1[[#This Row],[WA Rating Clean]]="","",Table1[[#This Row],[WA Rating Clean]]),Table1[[#This Row],[My Rating]])</f>
        <v>89.46875</v>
      </c>
      <c r="AA28" s="37">
        <v>2020</v>
      </c>
      <c r="AB28" s="129">
        <v>14.65</v>
      </c>
      <c r="AC28" s="2">
        <f t="shared" si="1"/>
        <v>14.65</v>
      </c>
      <c r="AD28" s="8">
        <v>1</v>
      </c>
      <c r="AE28" s="10">
        <f>IF(Table1[[#This Row],[P/750]]&lt;20,1,IF(Table1[[#This Row],[P/750]]&lt;50,2,3))</f>
        <v>1</v>
      </c>
      <c r="AF28" s="10">
        <f>IF(Table1[[#This Row],[P/750]]&lt;Expenses!$C$30,1,IF(Table1[[#This Row],[P/750]]&lt;Expenses!$C$31,2,IF(Table1[[#This Row],[P/750]]&lt;Expenses!$C$32,3,4)))</f>
        <v>1</v>
      </c>
      <c r="AH28" s="37" t="s">
        <v>1128</v>
      </c>
      <c r="AI28" s="11">
        <f>Table1[[#This Row],[Price]]/Table1[[#This Row],[Size (ml)]]*750</f>
        <v>14.65</v>
      </c>
      <c r="AK28" s="10">
        <f>COUNTIF(UniqueID!A:A,Table1[[#This Row],[ID]])</f>
        <v>1</v>
      </c>
      <c r="AL28" s="10" t="str">
        <f>VLOOKUP(Table1[[#This Row],[Cellar Location]],Location!A:F,6,FALSE)</f>
        <v>C</v>
      </c>
      <c r="AN28" s="1">
        <v>44070</v>
      </c>
      <c r="AO28" s="10" t="str">
        <f>TEXT(Table1[[#This Row],[Purchased]],"mmmm")</f>
        <v>August</v>
      </c>
      <c r="AP28" s="10" t="str">
        <f>TEXT(Table1[[#This Row],[Purchased]],"yyyy")</f>
        <v>2020</v>
      </c>
      <c r="AQ28" s="1"/>
    </row>
    <row r="29" spans="1:43" s="37" customFormat="1" x14ac:dyDescent="0.25">
      <c r="A29" s="37" t="str">
        <f t="shared" si="0"/>
        <v>2018SaracosaGoverno</v>
      </c>
      <c r="B29" s="37">
        <v>2018</v>
      </c>
      <c r="C29" s="37" t="s">
        <v>1660</v>
      </c>
      <c r="D29" s="37" t="s">
        <v>1661</v>
      </c>
      <c r="E29" s="69" t="s">
        <v>280</v>
      </c>
      <c r="F29" s="37" t="s">
        <v>728</v>
      </c>
      <c r="G29" s="37" t="s">
        <v>790</v>
      </c>
      <c r="H29" s="37" t="s">
        <v>796</v>
      </c>
      <c r="I29" s="8">
        <v>1</v>
      </c>
      <c r="J29" s="38">
        <v>750</v>
      </c>
      <c r="K29" s="38" t="s">
        <v>1526</v>
      </c>
      <c r="L29" s="10">
        <f>COUNTIF(Drank!A:A,Table1[[#This Row],[ID]])</f>
        <v>0</v>
      </c>
      <c r="M29" s="37" t="s">
        <v>202</v>
      </c>
      <c r="N29" s="37" t="s">
        <v>207</v>
      </c>
      <c r="O29" s="37">
        <v>0</v>
      </c>
      <c r="R29" s="10" t="str">
        <f>IF(IFERROR(VLOOKUP(A29,Drank!A:S,15,FALSE),"")=0,"",IFERROR(VLOOKUP(A29,Drank!A:S,15,FALSE),""))</f>
        <v/>
      </c>
      <c r="S29" s="10" t="str">
        <f>IF(IFERROR(VLOOKUP(A29,Drank!A:S,16,FALSE),"")=0,"",IFERROR(VLOOKUP(A29,Drank!A:S,16,FALSE),""))</f>
        <v/>
      </c>
      <c r="T29" s="10">
        <v>2022</v>
      </c>
      <c r="V29" s="18" t="str">
        <f>IF(IFERROR(VLOOKUP(A29,Drank!A:T,19,FALSE),"")=0,"",IFERROR(VLOOKUP(A29,Drank!A:T,19,FALSE),""))</f>
        <v/>
      </c>
      <c r="W29" s="1" t="str">
        <f>IF(IFERROR(VLOOKUP(A29,Drank!A:T,20,FALSE),"")=0,"",IFERROR(VLOOKUP(A29,Drank!A:T,20,FALSE),""))</f>
        <v/>
      </c>
      <c r="X29" s="10">
        <f>SUMIF(A:A,A29,I:I)</f>
        <v>2</v>
      </c>
      <c r="Y29" s="10">
        <f>IF(Table1[[#This Row],[Drank]]&gt;0,VLOOKUP(Table1[[#This Row],[ID]],Drank!A:P,16,FALSE),IF(Table1[[#This Row],[WALDD]]&gt;0,VLOOKUP(Table1[[#This Row],[ID]],Wine1!A:Q,17,FALSE),Table1[[#This Row],[EP]]))</f>
        <v>2022</v>
      </c>
      <c r="Z29" s="18" t="str">
        <f>IF(Table1[[#This Row],[My Rating]]="",IF(Table1[[#This Row],[WA Rating Clean]]="","",Table1[[#This Row],[WA Rating Clean]]),Table1[[#This Row],[My Rating]])</f>
        <v/>
      </c>
      <c r="AA29" s="8">
        <v>2020</v>
      </c>
      <c r="AB29" s="4">
        <v>5.71</v>
      </c>
      <c r="AC29" s="2">
        <f t="shared" si="1"/>
        <v>5.71</v>
      </c>
      <c r="AD29" s="8">
        <v>1</v>
      </c>
      <c r="AE29" s="10">
        <f>IF(Table1[[#This Row],[P/750]]&lt;20,1,IF(Table1[[#This Row],[P/750]]&lt;50,2,3))</f>
        <v>1</v>
      </c>
      <c r="AF29" s="10">
        <f>IF(Table1[[#This Row],[P/750]]&lt;Expenses!$C$30,1,IF(Table1[[#This Row],[P/750]]&lt;Expenses!$C$31,2,IF(Table1[[#This Row],[P/750]]&lt;Expenses!$C$32,3,4)))</f>
        <v>1</v>
      </c>
      <c r="AH29" s="37" t="s">
        <v>1685</v>
      </c>
      <c r="AI29" s="11">
        <f>Table1[[#This Row],[Price]]/Table1[[#This Row],[Size (ml)]]*750</f>
        <v>5.71</v>
      </c>
      <c r="AK29" s="10">
        <f>COUNTIF(UniqueID!A:A,Table1[[#This Row],[ID]])</f>
        <v>0</v>
      </c>
      <c r="AL29" s="10" t="str">
        <f>VLOOKUP(Table1[[#This Row],[Cellar Location]],Location!A:F,6,FALSE)</f>
        <v>W</v>
      </c>
      <c r="AN29" s="1">
        <v>44061</v>
      </c>
      <c r="AO29" s="10" t="str">
        <f>TEXT(Table1[[#This Row],[Purchased]],"mmmm")</f>
        <v>August</v>
      </c>
      <c r="AP29" s="10" t="str">
        <f>TEXT(Table1[[#This Row],[Purchased]],"yyyy")</f>
        <v>2020</v>
      </c>
      <c r="AQ29" s="1">
        <v>44077</v>
      </c>
    </row>
    <row r="30" spans="1:43" s="37" customFormat="1" x14ac:dyDescent="0.25">
      <c r="A30" s="37" t="str">
        <f t="shared" si="0"/>
        <v>2018Collezione di PaoloChianti</v>
      </c>
      <c r="B30" s="37">
        <v>2018</v>
      </c>
      <c r="C30" s="37" t="s">
        <v>1664</v>
      </c>
      <c r="D30" s="37" t="s">
        <v>267</v>
      </c>
      <c r="E30" s="69" t="s">
        <v>399</v>
      </c>
      <c r="F30" s="37" t="s">
        <v>728</v>
      </c>
      <c r="G30" s="37" t="s">
        <v>790</v>
      </c>
      <c r="I30" s="8">
        <v>1</v>
      </c>
      <c r="J30" s="38">
        <v>750</v>
      </c>
      <c r="K30" s="38" t="s">
        <v>1526</v>
      </c>
      <c r="L30" s="10">
        <f>COUNTIF(Drank!A:A,Table1[[#This Row],[ID]])</f>
        <v>0</v>
      </c>
      <c r="M30" s="37" t="s">
        <v>202</v>
      </c>
      <c r="N30" s="37" t="s">
        <v>207</v>
      </c>
      <c r="O30" s="37">
        <v>0</v>
      </c>
      <c r="R30" s="10" t="str">
        <f>IF(IFERROR(VLOOKUP(A30,Drank!A:S,15,FALSE),"")=0,"",IFERROR(VLOOKUP(A30,Drank!A:S,15,FALSE),""))</f>
        <v/>
      </c>
      <c r="S30" s="10" t="str">
        <f>IF(IFERROR(VLOOKUP(A30,Drank!A:S,16,FALSE),"")=0,"",IFERROR(VLOOKUP(A30,Drank!A:S,16,FALSE),""))</f>
        <v/>
      </c>
      <c r="T30" s="10">
        <v>2022</v>
      </c>
      <c r="V30" s="18" t="str">
        <f>IF(IFERROR(VLOOKUP(A30,Drank!A:T,19,FALSE),"")=0,"",IFERROR(VLOOKUP(A30,Drank!A:T,19,FALSE),""))</f>
        <v/>
      </c>
      <c r="W30" s="1" t="str">
        <f>IF(IFERROR(VLOOKUP(A30,Drank!A:T,20,FALSE),"")=0,"",IFERROR(VLOOKUP(A30,Drank!A:T,20,FALSE),""))</f>
        <v/>
      </c>
      <c r="X30" s="10">
        <f>SUMIF(A:A,A30,I:I)</f>
        <v>1</v>
      </c>
      <c r="Y30" s="10">
        <f>IF(Table1[[#This Row],[Drank]]&gt;0,VLOOKUP(Table1[[#This Row],[ID]],Drank!A:P,16,FALSE),IF(Table1[[#This Row],[WALDD]]&gt;0,VLOOKUP(Table1[[#This Row],[ID]],Wine1!A:Q,17,FALSE),Table1[[#This Row],[EP]]))</f>
        <v>2022</v>
      </c>
      <c r="Z30" s="18" t="str">
        <f>IF(Table1[[#This Row],[My Rating]]="",IF(Table1[[#This Row],[WA Rating Clean]]="","",Table1[[#This Row],[WA Rating Clean]]),Table1[[#This Row],[My Rating]])</f>
        <v/>
      </c>
      <c r="AA30" s="8">
        <v>2020</v>
      </c>
      <c r="AB30" s="4">
        <v>5.71</v>
      </c>
      <c r="AC30" s="2">
        <f t="shared" si="1"/>
        <v>5.71</v>
      </c>
      <c r="AD30" s="8">
        <v>1</v>
      </c>
      <c r="AE30" s="10">
        <f>IF(Table1[[#This Row],[P/750]]&lt;20,1,IF(Table1[[#This Row],[P/750]]&lt;50,2,3))</f>
        <v>1</v>
      </c>
      <c r="AF30" s="10">
        <f>IF(Table1[[#This Row],[P/750]]&lt;Expenses!$C$30,1,IF(Table1[[#This Row],[P/750]]&lt;Expenses!$C$31,2,IF(Table1[[#This Row],[P/750]]&lt;Expenses!$C$32,3,4)))</f>
        <v>1</v>
      </c>
      <c r="AH30" s="37" t="s">
        <v>1685</v>
      </c>
      <c r="AI30" s="11">
        <f>Table1[[#This Row],[Price]]/Table1[[#This Row],[Size (ml)]]*750</f>
        <v>5.71</v>
      </c>
      <c r="AK30" s="10">
        <f>COUNTIF(UniqueID!A:A,Table1[[#This Row],[ID]])</f>
        <v>0</v>
      </c>
      <c r="AL30" s="10" t="str">
        <f>VLOOKUP(Table1[[#This Row],[Cellar Location]],Location!A:F,6,FALSE)</f>
        <v>W</v>
      </c>
      <c r="AN30" s="1">
        <v>44061</v>
      </c>
      <c r="AO30" s="10" t="str">
        <f>TEXT(Table1[[#This Row],[Purchased]],"mmmm")</f>
        <v>August</v>
      </c>
      <c r="AP30" s="10" t="str">
        <f>TEXT(Table1[[#This Row],[Purchased]],"yyyy")</f>
        <v>2020</v>
      </c>
      <c r="AQ30" s="1">
        <v>44077</v>
      </c>
    </row>
    <row r="31" spans="1:43" s="37" customFormat="1" x14ac:dyDescent="0.25">
      <c r="A31" s="37" t="str">
        <f t="shared" si="0"/>
        <v>2019J OpiMalbec</v>
      </c>
      <c r="B31" s="37">
        <v>2019</v>
      </c>
      <c r="C31" s="37" t="s">
        <v>1670</v>
      </c>
      <c r="D31" s="37" t="s">
        <v>281</v>
      </c>
      <c r="E31" s="69" t="s">
        <v>281</v>
      </c>
      <c r="F31" s="37" t="s">
        <v>731</v>
      </c>
      <c r="G31" s="37" t="s">
        <v>732</v>
      </c>
      <c r="I31" s="8">
        <v>1</v>
      </c>
      <c r="J31" s="38">
        <v>750</v>
      </c>
      <c r="K31" s="38" t="s">
        <v>1526</v>
      </c>
      <c r="L31" s="10">
        <f>COUNTIF(Drank!A:A,Table1[[#This Row],[ID]])</f>
        <v>0</v>
      </c>
      <c r="M31" s="37" t="s">
        <v>202</v>
      </c>
      <c r="N31" s="37" t="s">
        <v>207</v>
      </c>
      <c r="O31" s="37">
        <v>0</v>
      </c>
      <c r="R31" s="10" t="str">
        <f>IF(IFERROR(VLOOKUP(A31,Drank!A:S,15,FALSE),"")=0,"",IFERROR(VLOOKUP(A31,Drank!A:S,15,FALSE),""))</f>
        <v/>
      </c>
      <c r="S31" s="10" t="str">
        <f>IF(IFERROR(VLOOKUP(A31,Drank!A:S,16,FALSE),"")=0,"",IFERROR(VLOOKUP(A31,Drank!A:S,16,FALSE),""))</f>
        <v/>
      </c>
      <c r="T31" s="10">
        <v>2022</v>
      </c>
      <c r="V31" s="18" t="str">
        <f>IF(IFERROR(VLOOKUP(A31,Drank!A:T,19,FALSE),"")=0,"",IFERROR(VLOOKUP(A31,Drank!A:T,19,FALSE),""))</f>
        <v/>
      </c>
      <c r="W31" s="1" t="str">
        <f>IF(IFERROR(VLOOKUP(A31,Drank!A:T,20,FALSE),"")=0,"",IFERROR(VLOOKUP(A31,Drank!A:T,20,FALSE),""))</f>
        <v/>
      </c>
      <c r="X31" s="10">
        <f>SUMIF(A:A,A31,I:I)</f>
        <v>1</v>
      </c>
      <c r="Y31" s="10">
        <f>IF(Table1[[#This Row],[Drank]]&gt;0,VLOOKUP(Table1[[#This Row],[ID]],Drank!A:P,16,FALSE),IF(Table1[[#This Row],[WALDD]]&gt;0,VLOOKUP(Table1[[#This Row],[ID]],Wine1!A:Q,17,FALSE),Table1[[#This Row],[EP]]))</f>
        <v>2022</v>
      </c>
      <c r="Z31" s="18" t="str">
        <f>IF(Table1[[#This Row],[My Rating]]="",IF(Table1[[#This Row],[WA Rating Clean]]="","",Table1[[#This Row],[WA Rating Clean]]),Table1[[#This Row],[My Rating]])</f>
        <v/>
      </c>
      <c r="AA31" s="8">
        <v>2020</v>
      </c>
      <c r="AB31" s="4">
        <v>5.71</v>
      </c>
      <c r="AC31" s="2">
        <f t="shared" si="1"/>
        <v>5.71</v>
      </c>
      <c r="AD31" s="8">
        <v>1</v>
      </c>
      <c r="AE31" s="10">
        <f>IF(Table1[[#This Row],[P/750]]&lt;20,1,IF(Table1[[#This Row],[P/750]]&lt;50,2,3))</f>
        <v>1</v>
      </c>
      <c r="AF31" s="10">
        <f>IF(Table1[[#This Row],[P/750]]&lt;Expenses!$C$30,1,IF(Table1[[#This Row],[P/750]]&lt;Expenses!$C$31,2,IF(Table1[[#This Row],[P/750]]&lt;Expenses!$C$32,3,4)))</f>
        <v>1</v>
      </c>
      <c r="AH31" s="37" t="s">
        <v>1685</v>
      </c>
      <c r="AI31" s="11">
        <f>Table1[[#This Row],[Price]]/Table1[[#This Row],[Size (ml)]]*750</f>
        <v>5.71</v>
      </c>
      <c r="AK31" s="10">
        <f>COUNTIF(UniqueID!A:A,Table1[[#This Row],[ID]])</f>
        <v>0</v>
      </c>
      <c r="AL31" s="10" t="str">
        <f>VLOOKUP(Table1[[#This Row],[Cellar Location]],Location!A:F,6,FALSE)</f>
        <v>W</v>
      </c>
      <c r="AN31" s="1">
        <v>44061</v>
      </c>
      <c r="AO31" s="10" t="str">
        <f>TEXT(Table1[[#This Row],[Purchased]],"mmmm")</f>
        <v>August</v>
      </c>
      <c r="AP31" s="10" t="str">
        <f>TEXT(Table1[[#This Row],[Purchased]],"yyyy")</f>
        <v>2020</v>
      </c>
      <c r="AQ31" s="1">
        <v>44077</v>
      </c>
    </row>
    <row r="32" spans="1:43" s="37" customFormat="1" x14ac:dyDescent="0.25">
      <c r="A32" s="37" t="str">
        <f t="shared" si="0"/>
        <v>2016CesariValpolicella Ripasso Superiore Mara</v>
      </c>
      <c r="B32" s="37">
        <v>2016</v>
      </c>
      <c r="C32" s="63" t="s">
        <v>314</v>
      </c>
      <c r="D32" s="37" t="s">
        <v>315</v>
      </c>
      <c r="E32" s="69" t="s">
        <v>1257</v>
      </c>
      <c r="F32" s="37" t="s">
        <v>728</v>
      </c>
      <c r="G32" s="37" t="s">
        <v>799</v>
      </c>
      <c r="H32" s="37" t="s">
        <v>800</v>
      </c>
      <c r="I32" s="37">
        <v>1</v>
      </c>
      <c r="J32" s="37">
        <v>750</v>
      </c>
      <c r="K32" s="8" t="s">
        <v>652</v>
      </c>
      <c r="L32" s="37">
        <f>COUNTIF(Drank!A:A,Table1[[#This Row],[ID]])</f>
        <v>1</v>
      </c>
      <c r="M32" s="37" t="s">
        <v>202</v>
      </c>
      <c r="N32" s="37" t="s">
        <v>207</v>
      </c>
      <c r="O32" s="37">
        <v>1</v>
      </c>
      <c r="R32" s="10">
        <f>IF(IFERROR(VLOOKUP(A32,Drank!A:S,15,FALSE),"")=0,"",IFERROR(VLOOKUP(A32,Drank!A:S,15,FALSE),""))</f>
        <v>2019</v>
      </c>
      <c r="S32" s="10">
        <f>IF(IFERROR(VLOOKUP(A32,Drank!A:S,16,FALSE),"")=0,"",IFERROR(VLOOKUP(A32,Drank!A:S,16,FALSE),""))</f>
        <v>2022</v>
      </c>
      <c r="T32" s="10"/>
      <c r="V32" s="18">
        <f>IF(IFERROR(VLOOKUP(A32,Drank!A:T,19,FALSE),"")=0,"",IFERROR(VLOOKUP(A32,Drank!A:T,19,FALSE),""))</f>
        <v>87</v>
      </c>
      <c r="W32" s="1">
        <f>IF(IFERROR(VLOOKUP(A32,Drank!A:T,20,FALSE),"")=0,"",IFERROR(VLOOKUP(A32,Drank!A:T,20,FALSE),""))</f>
        <v>43602</v>
      </c>
      <c r="X32" s="10">
        <f>SUMIF(A:A,A32,I:I)</f>
        <v>1</v>
      </c>
      <c r="Y32" s="37">
        <f>IF(Table1[[#This Row],[Drank]]&gt;0,VLOOKUP(Table1[[#This Row],[ID]],Drank!A:P,16,FALSE),IF(Table1[[#This Row],[WALDD]]&gt;0,VLOOKUP(Table1[[#This Row],[ID]],Wine1!A:Q,17,FALSE),Table1[[#This Row],[EP]]))</f>
        <v>2022</v>
      </c>
      <c r="Z32" s="18">
        <f>IF(Table1[[#This Row],[My Rating]]="",IF(Table1[[#This Row],[WA Rating Clean]]="","",Table1[[#This Row],[WA Rating Clean]]),Table1[[#This Row],[My Rating]])</f>
        <v>87</v>
      </c>
      <c r="AA32" s="37">
        <v>2020</v>
      </c>
      <c r="AB32" s="4">
        <v>16.190000000000001</v>
      </c>
      <c r="AC32" s="2">
        <f t="shared" si="1"/>
        <v>16.190000000000001</v>
      </c>
      <c r="AD32" s="8">
        <v>0</v>
      </c>
      <c r="AE32" s="37">
        <f>IF(Table1[[#This Row],[P/750]]&lt;20,1,IF(Table1[[#This Row],[P/750]]&lt;50,2,3))</f>
        <v>1</v>
      </c>
      <c r="AF32" s="37">
        <f>IF(Table1[[#This Row],[P/750]]&lt;Expenses!$C$30,1,IF(Table1[[#This Row],[P/750]]&lt;Expenses!$C$31,2,IF(Table1[[#This Row],[P/750]]&lt;Expenses!$C$32,3,4)))</f>
        <v>1</v>
      </c>
      <c r="AH32" s="37" t="s">
        <v>1128</v>
      </c>
      <c r="AI32" s="11">
        <f>Table1[[#This Row],[Price]]/Table1[[#This Row],[Size (ml)]]*750</f>
        <v>16.190000000000001</v>
      </c>
      <c r="AK32" s="37">
        <f>COUNTIF(UniqueID!A:A,Table1[[#This Row],[ID]])</f>
        <v>1</v>
      </c>
      <c r="AL32" s="37" t="str">
        <f>VLOOKUP(Table1[[#This Row],[Cellar Location]],Location!A:F,6,FALSE)</f>
        <v>C</v>
      </c>
      <c r="AO32" s="37" t="str">
        <f>TEXT(Table1[[#This Row],[Purchased]],"mmmm")</f>
        <v>January</v>
      </c>
      <c r="AP32" s="10" t="str">
        <f>TEXT(Table1[[#This Row],[Purchased]],"yyyy")</f>
        <v>1900</v>
      </c>
      <c r="AQ32" s="10"/>
    </row>
    <row r="33" spans="1:43" s="37" customFormat="1" x14ac:dyDescent="0.25">
      <c r="A33" s="37" t="str">
        <f t="shared" si="0"/>
        <v>2017Masseria Li VeliPrimitivo Orion</v>
      </c>
      <c r="B33" s="8">
        <v>2017</v>
      </c>
      <c r="C33" s="8" t="s">
        <v>630</v>
      </c>
      <c r="D33" s="8" t="s">
        <v>631</v>
      </c>
      <c r="E33" s="64" t="s">
        <v>588</v>
      </c>
      <c r="F33" s="8" t="s">
        <v>728</v>
      </c>
      <c r="G33" s="37" t="s">
        <v>785</v>
      </c>
      <c r="H33" s="37" t="s">
        <v>786</v>
      </c>
      <c r="I33" s="37">
        <v>1</v>
      </c>
      <c r="J33" s="37">
        <v>750</v>
      </c>
      <c r="K33" s="8" t="s">
        <v>1316</v>
      </c>
      <c r="L33" s="10">
        <f>COUNTIF(Drank!A:A,Table1[[#This Row],[ID]])</f>
        <v>1</v>
      </c>
      <c r="M33" s="37" t="s">
        <v>202</v>
      </c>
      <c r="N33" s="37" t="s">
        <v>207</v>
      </c>
      <c r="O33" s="37">
        <v>1</v>
      </c>
      <c r="R33" s="10">
        <f>IF(IFERROR(VLOOKUP(A33,Drank!A:S,15,FALSE),"")=0,"",IFERROR(VLOOKUP(A33,Drank!A:S,15,FALSE),""))</f>
        <v>2020</v>
      </c>
      <c r="S33" s="10">
        <f>IF(IFERROR(VLOOKUP(A33,Drank!A:S,16,FALSE),"")=0,"",IFERROR(VLOOKUP(A33,Drank!A:S,16,FALSE),""))</f>
        <v>2022</v>
      </c>
      <c r="T33" s="10"/>
      <c r="V33" s="18">
        <f>IF(IFERROR(VLOOKUP(A33,Drank!A:T,19,FALSE),"")=0,"",IFERROR(VLOOKUP(A33,Drank!A:T,19,FALSE),""))</f>
        <v>88</v>
      </c>
      <c r="W33" s="1">
        <f>IF(IFERROR(VLOOKUP(A33,Drank!A:T,20,FALSE),"")=0,"",IFERROR(VLOOKUP(A33,Drank!A:T,20,FALSE),""))</f>
        <v>43911</v>
      </c>
      <c r="X33" s="10">
        <f>SUMIF(A:A,A33,I:I)</f>
        <v>2</v>
      </c>
      <c r="Y33" s="10">
        <f>IF(Table1[[#This Row],[Drank]]&gt;0,VLOOKUP(Table1[[#This Row],[ID]],Drank!A:P,16,FALSE),IF(Table1[[#This Row],[WALDD]]&gt;0,VLOOKUP(Table1[[#This Row],[ID]],Wine1!A:Q,17,FALSE),Table1[[#This Row],[EP]]))</f>
        <v>2022</v>
      </c>
      <c r="Z33" s="18">
        <f>IF(Table1[[#This Row],[My Rating]]="",IF(Table1[[#This Row],[WA Rating Clean]]="","",Table1[[#This Row],[WA Rating Clean]]),Table1[[#This Row],[My Rating]])</f>
        <v>88</v>
      </c>
      <c r="AA33" s="8">
        <v>2020</v>
      </c>
      <c r="AB33" s="4">
        <v>12.99</v>
      </c>
      <c r="AC33" s="2">
        <f t="shared" si="1"/>
        <v>12.99</v>
      </c>
      <c r="AD33" s="8">
        <v>0</v>
      </c>
      <c r="AE33" s="10">
        <f>IF(Table1[[#This Row],[P/750]]&lt;20,1,IF(Table1[[#This Row],[P/750]]&lt;50,2,3))</f>
        <v>1</v>
      </c>
      <c r="AF33" s="10">
        <f>IF(Table1[[#This Row],[P/750]]&lt;Expenses!$C$30,1,IF(Table1[[#This Row],[P/750]]&lt;Expenses!$C$31,2,IF(Table1[[#This Row],[P/750]]&lt;Expenses!$C$32,3,4)))</f>
        <v>1</v>
      </c>
      <c r="AG33" s="37">
        <v>6</v>
      </c>
      <c r="AH33" s="37" t="s">
        <v>1128</v>
      </c>
      <c r="AI33" s="11">
        <f>Table1[[#This Row],[Price]]/Table1[[#This Row],[Size (ml)]]*750</f>
        <v>12.989999999999998</v>
      </c>
      <c r="AK33" s="10">
        <f>COUNTIF(UniqueID!A:A,Table1[[#This Row],[ID]])</f>
        <v>0</v>
      </c>
      <c r="AL33" s="37" t="str">
        <f>VLOOKUP(Table1[[#This Row],[Cellar Location]],Location!A:F,6,FALSE)</f>
        <v>C</v>
      </c>
      <c r="AN33" s="1">
        <v>43879</v>
      </c>
      <c r="AO33" s="37" t="str">
        <f>TEXT(Table1[[#This Row],[Purchased]],"mmmm")</f>
        <v>February</v>
      </c>
      <c r="AP33" s="10" t="str">
        <f>TEXT(Table1[[#This Row],[Purchased]],"yyyy")</f>
        <v>2020</v>
      </c>
      <c r="AQ33" s="10"/>
    </row>
    <row r="34" spans="1:43" s="37" customFormat="1" x14ac:dyDescent="0.25">
      <c r="A34" s="37" t="str">
        <f t="shared" si="0"/>
        <v>2017Masseria Li VeliPrimitivo Orion</v>
      </c>
      <c r="B34" s="8">
        <v>2017</v>
      </c>
      <c r="C34" s="8" t="s">
        <v>630</v>
      </c>
      <c r="D34" s="8" t="s">
        <v>631</v>
      </c>
      <c r="E34" s="64" t="s">
        <v>588</v>
      </c>
      <c r="F34" s="8" t="s">
        <v>728</v>
      </c>
      <c r="G34" s="37" t="s">
        <v>785</v>
      </c>
      <c r="H34" s="37" t="s">
        <v>786</v>
      </c>
      <c r="I34" s="37">
        <v>1</v>
      </c>
      <c r="J34" s="37">
        <v>750</v>
      </c>
      <c r="K34" s="8" t="s">
        <v>1316</v>
      </c>
      <c r="L34" s="10">
        <f>COUNTIF(Drank!A:A,Table1[[#This Row],[ID]])</f>
        <v>1</v>
      </c>
      <c r="M34" s="37" t="s">
        <v>202</v>
      </c>
      <c r="N34" s="37" t="s">
        <v>207</v>
      </c>
      <c r="O34" s="37">
        <v>1</v>
      </c>
      <c r="R34" s="10">
        <f>IF(IFERROR(VLOOKUP(A34,Drank!A:S,15,FALSE),"")=0,"",IFERROR(VLOOKUP(A34,Drank!A:S,15,FALSE),""))</f>
        <v>2020</v>
      </c>
      <c r="S34" s="10">
        <f>IF(IFERROR(VLOOKUP(A34,Drank!A:S,16,FALSE),"")=0,"",IFERROR(VLOOKUP(A34,Drank!A:S,16,FALSE),""))</f>
        <v>2022</v>
      </c>
      <c r="T34" s="10"/>
      <c r="V34" s="18">
        <f>IF(IFERROR(VLOOKUP(A34,Drank!A:T,19,FALSE),"")=0,"",IFERROR(VLOOKUP(A34,Drank!A:T,19,FALSE),""))</f>
        <v>88</v>
      </c>
      <c r="W34" s="1">
        <f>IF(IFERROR(VLOOKUP(A34,Drank!A:T,20,FALSE),"")=0,"",IFERROR(VLOOKUP(A34,Drank!A:T,20,FALSE),""))</f>
        <v>43911</v>
      </c>
      <c r="X34" s="10">
        <f>SUMIF(A:A,A34,I:I)</f>
        <v>2</v>
      </c>
      <c r="Y34" s="10">
        <f>IF(Table1[[#This Row],[Drank]]&gt;0,VLOOKUP(Table1[[#This Row],[ID]],Drank!A:P,16,FALSE),IF(Table1[[#This Row],[WALDD]]&gt;0,VLOOKUP(Table1[[#This Row],[ID]],Wine1!A:Q,17,FALSE),Table1[[#This Row],[EP]]))</f>
        <v>2022</v>
      </c>
      <c r="Z34" s="18">
        <f>IF(Table1[[#This Row],[My Rating]]="",IF(Table1[[#This Row],[WA Rating Clean]]="","",Table1[[#This Row],[WA Rating Clean]]),Table1[[#This Row],[My Rating]])</f>
        <v>88</v>
      </c>
      <c r="AA34" s="8">
        <v>2020</v>
      </c>
      <c r="AB34" s="4">
        <v>12.99</v>
      </c>
      <c r="AC34" s="2">
        <f t="shared" si="1"/>
        <v>12.99</v>
      </c>
      <c r="AD34" s="8">
        <v>0</v>
      </c>
      <c r="AE34" s="10">
        <f>IF(Table1[[#This Row],[P/750]]&lt;20,1,IF(Table1[[#This Row],[P/750]]&lt;50,2,3))</f>
        <v>1</v>
      </c>
      <c r="AF34" s="10">
        <f>IF(Table1[[#This Row],[P/750]]&lt;Expenses!$C$30,1,IF(Table1[[#This Row],[P/750]]&lt;Expenses!$C$31,2,IF(Table1[[#This Row],[P/750]]&lt;Expenses!$C$32,3,4)))</f>
        <v>1</v>
      </c>
      <c r="AG34" s="37">
        <v>6</v>
      </c>
      <c r="AH34" s="37" t="s">
        <v>1128</v>
      </c>
      <c r="AI34" s="11">
        <f>Table1[[#This Row],[Price]]/Table1[[#This Row],[Size (ml)]]*750</f>
        <v>12.989999999999998</v>
      </c>
      <c r="AK34" s="10">
        <f>COUNTIF(UniqueID!A:A,Table1[[#This Row],[ID]])</f>
        <v>0</v>
      </c>
      <c r="AL34" s="37" t="str">
        <f>VLOOKUP(Table1[[#This Row],[Cellar Location]],Location!A:F,6,FALSE)</f>
        <v>C</v>
      </c>
      <c r="AN34" s="1">
        <v>43879</v>
      </c>
      <c r="AO34" s="37" t="str">
        <f>TEXT(Table1[[#This Row],[Purchased]],"mmmm")</f>
        <v>February</v>
      </c>
      <c r="AP34" s="10" t="str">
        <f>TEXT(Table1[[#This Row],[Purchased]],"yyyy")</f>
        <v>2020</v>
      </c>
      <c r="AQ34" s="10"/>
    </row>
    <row r="35" spans="1:43" s="37" customFormat="1" x14ac:dyDescent="0.25">
      <c r="A35" s="37" t="str">
        <f t="shared" si="0"/>
        <v>2015Condamine PaulignanMinervois</v>
      </c>
      <c r="B35" s="8">
        <v>2015</v>
      </c>
      <c r="C35" s="103" t="s">
        <v>1321</v>
      </c>
      <c r="D35" s="123" t="s">
        <v>1322</v>
      </c>
      <c r="E35" s="67" t="s">
        <v>1323</v>
      </c>
      <c r="F35" s="37" t="s">
        <v>742</v>
      </c>
      <c r="G35" s="37" t="s">
        <v>1324</v>
      </c>
      <c r="H35" s="37" t="s">
        <v>1322</v>
      </c>
      <c r="I35" s="37">
        <v>1</v>
      </c>
      <c r="J35" s="37">
        <v>750</v>
      </c>
      <c r="K35" s="8" t="s">
        <v>929</v>
      </c>
      <c r="L35" s="10">
        <f>COUNTIF(Drank!A:A,Table1[[#This Row],[ID]])</f>
        <v>1</v>
      </c>
      <c r="M35" s="37" t="s">
        <v>202</v>
      </c>
      <c r="N35" s="37" t="s">
        <v>207</v>
      </c>
      <c r="O35" s="37">
        <v>1</v>
      </c>
      <c r="P35" s="10">
        <v>2017</v>
      </c>
      <c r="Q35" s="37">
        <v>2023</v>
      </c>
      <c r="R35" s="10">
        <f>IF(IFERROR(VLOOKUP(A35,Drank!A:S,15,FALSE),"")=0,"",IFERROR(VLOOKUP(A35,Drank!A:S,15,FALSE),""))</f>
        <v>2020</v>
      </c>
      <c r="S35" s="10">
        <f>IF(IFERROR(VLOOKUP(A35,Drank!A:S,16,FALSE),"")=0,"",IFERROR(VLOOKUP(A35,Drank!A:S,16,FALSE),""))</f>
        <v>2022</v>
      </c>
      <c r="T35" s="10"/>
      <c r="U35" s="37" t="s">
        <v>1325</v>
      </c>
      <c r="V35" s="18">
        <f>IF(IFERROR(VLOOKUP(A35,Drank!A:T,19,FALSE),"")=0,"",IFERROR(VLOOKUP(A35,Drank!A:T,19,FALSE),""))</f>
        <v>88</v>
      </c>
      <c r="W35" s="1">
        <f>IF(IFERROR(VLOOKUP(A35,Drank!A:T,20,FALSE),"")=0,"",IFERROR(VLOOKUP(A35,Drank!A:T,20,FALSE),""))</f>
        <v>43990</v>
      </c>
      <c r="X35" s="10">
        <f>SUMIF(A:A,A35,I:I)</f>
        <v>3</v>
      </c>
      <c r="Y35" s="10">
        <f>IF(Table1[[#This Row],[Drank]]&gt;0,VLOOKUP(Table1[[#This Row],[ID]],Drank!A:P,16,FALSE),IF(Table1[[#This Row],[WALDD]]&gt;0,VLOOKUP(Table1[[#This Row],[ID]],Wine1!A:Q,17,FALSE),Table1[[#This Row],[EP]]))</f>
        <v>2022</v>
      </c>
      <c r="Z35" s="18">
        <f>IF(Table1[[#This Row],[My Rating]]="",IF(Table1[[#This Row],[WA Rating Clean]]="","",Table1[[#This Row],[WA Rating Clean]]),Table1[[#This Row],[My Rating]])</f>
        <v>88</v>
      </c>
      <c r="AA35" s="37">
        <v>2020</v>
      </c>
      <c r="AB35" s="4">
        <v>13.11</v>
      </c>
      <c r="AC35" s="2">
        <f t="shared" si="1"/>
        <v>13.11</v>
      </c>
      <c r="AD35" s="8">
        <v>0</v>
      </c>
      <c r="AE35" s="10">
        <f>IF(Table1[[#This Row],[P/750]]&lt;20,1,IF(Table1[[#This Row],[P/750]]&lt;50,2,3))</f>
        <v>1</v>
      </c>
      <c r="AF35" s="10">
        <f>IF(Table1[[#This Row],[P/750]]&lt;Expenses!$C$30,1,IF(Table1[[#This Row],[P/750]]&lt;Expenses!$C$31,2,IF(Table1[[#This Row],[P/750]]&lt;Expenses!$C$32,3,4)))</f>
        <v>1</v>
      </c>
      <c r="AH35" s="37" t="s">
        <v>385</v>
      </c>
      <c r="AI35" s="11">
        <f>Table1[[#This Row],[Price]]/Table1[[#This Row],[Size (ml)]]*750</f>
        <v>13.11</v>
      </c>
      <c r="AJ35" s="37">
        <v>87</v>
      </c>
      <c r="AK35" s="10">
        <f>COUNTIF(UniqueID!A:A,Table1[[#This Row],[ID]])</f>
        <v>0</v>
      </c>
      <c r="AL35" s="10" t="str">
        <f>VLOOKUP(Table1[[#This Row],[Cellar Location]],Location!A:F,6,FALSE)</f>
        <v>C</v>
      </c>
      <c r="AN35" s="1">
        <v>43923</v>
      </c>
      <c r="AO35" s="10" t="str">
        <f>TEXT(Table1[[#This Row],[Purchased]],"mmmm")</f>
        <v>April</v>
      </c>
      <c r="AP35" s="10" t="str">
        <f>TEXT(Table1[[#This Row],[Purchased]],"yyyy")</f>
        <v>2020</v>
      </c>
      <c r="AQ35" s="10"/>
    </row>
    <row r="36" spans="1:43" s="37" customFormat="1" x14ac:dyDescent="0.25">
      <c r="A36" s="37" t="str">
        <f t="shared" si="0"/>
        <v>2015Condamine PaulignanMinervois</v>
      </c>
      <c r="B36" s="37">
        <v>2015</v>
      </c>
      <c r="C36" s="37" t="s">
        <v>1321</v>
      </c>
      <c r="D36" s="37" t="s">
        <v>1322</v>
      </c>
      <c r="E36" s="67" t="s">
        <v>1323</v>
      </c>
      <c r="F36" s="37" t="s">
        <v>742</v>
      </c>
      <c r="G36" s="37" t="s">
        <v>1324</v>
      </c>
      <c r="H36" s="37" t="s">
        <v>1322</v>
      </c>
      <c r="I36" s="37">
        <v>1</v>
      </c>
      <c r="J36" s="37">
        <v>750</v>
      </c>
      <c r="K36" s="8" t="s">
        <v>1427</v>
      </c>
      <c r="L36" s="10">
        <f>COUNTIF(Drank!A:A,Table1[[#This Row],[ID]])</f>
        <v>1</v>
      </c>
      <c r="M36" s="37" t="s">
        <v>202</v>
      </c>
      <c r="N36" s="37" t="s">
        <v>207</v>
      </c>
      <c r="O36" s="37">
        <v>1</v>
      </c>
      <c r="P36" s="10">
        <v>2017</v>
      </c>
      <c r="Q36" s="37">
        <v>2023</v>
      </c>
      <c r="R36" s="10">
        <f>IF(IFERROR(VLOOKUP(A36,Drank!A:S,15,FALSE),"")=0,"",IFERROR(VLOOKUP(A36,Drank!A:S,15,FALSE),""))</f>
        <v>2020</v>
      </c>
      <c r="S36" s="10">
        <f>IF(IFERROR(VLOOKUP(A36,Drank!A:S,16,FALSE),"")=0,"",IFERROR(VLOOKUP(A36,Drank!A:S,16,FALSE),""))</f>
        <v>2022</v>
      </c>
      <c r="T36" s="10"/>
      <c r="U36" s="37" t="s">
        <v>1325</v>
      </c>
      <c r="V36" s="18">
        <f>IF(IFERROR(VLOOKUP(A36,Drank!A:T,19,FALSE),"")=0,"",IFERROR(VLOOKUP(A36,Drank!A:T,19,FALSE),""))</f>
        <v>88</v>
      </c>
      <c r="W36" s="1">
        <f>IF(IFERROR(VLOOKUP(A36,Drank!A:T,20,FALSE),"")=0,"",IFERROR(VLOOKUP(A36,Drank!A:T,20,FALSE),""))</f>
        <v>43990</v>
      </c>
      <c r="X36" s="10">
        <f>SUMIF(A:A,A36,I:I)</f>
        <v>3</v>
      </c>
      <c r="Y36" s="10">
        <f>IF(Table1[[#This Row],[Drank]]&gt;0,VLOOKUP(Table1[[#This Row],[ID]],Drank!A:P,16,FALSE),IF(Table1[[#This Row],[WALDD]]&gt;0,VLOOKUP(Table1[[#This Row],[ID]],Wine1!A:Q,17,FALSE),Table1[[#This Row],[EP]]))</f>
        <v>2022</v>
      </c>
      <c r="Z36" s="18">
        <f>IF(Table1[[#This Row],[My Rating]]="",IF(Table1[[#This Row],[WA Rating Clean]]="","",Table1[[#This Row],[WA Rating Clean]]),Table1[[#This Row],[My Rating]])</f>
        <v>88</v>
      </c>
      <c r="AA36" s="37">
        <v>2020</v>
      </c>
      <c r="AB36" s="4">
        <v>13.11</v>
      </c>
      <c r="AC36" s="2">
        <f t="shared" si="1"/>
        <v>13.11</v>
      </c>
      <c r="AD36" s="8">
        <v>0</v>
      </c>
      <c r="AE36" s="10">
        <f>IF(Table1[[#This Row],[P/750]]&lt;20,1,IF(Table1[[#This Row],[P/750]]&lt;50,2,3))</f>
        <v>1</v>
      </c>
      <c r="AF36" s="10">
        <f>IF(Table1[[#This Row],[P/750]]&lt;Expenses!$C$30,1,IF(Table1[[#This Row],[P/750]]&lt;Expenses!$C$31,2,IF(Table1[[#This Row],[P/750]]&lt;Expenses!$C$32,3,4)))</f>
        <v>1</v>
      </c>
      <c r="AH36" s="37" t="s">
        <v>385</v>
      </c>
      <c r="AI36" s="11">
        <f>Table1[[#This Row],[Price]]/Table1[[#This Row],[Size (ml)]]*750</f>
        <v>13.11</v>
      </c>
      <c r="AJ36" s="37">
        <v>87</v>
      </c>
      <c r="AK36" s="10">
        <f>COUNTIF(UniqueID!A:A,Table1[[#This Row],[ID]])</f>
        <v>0</v>
      </c>
      <c r="AL36" s="10" t="str">
        <f>VLOOKUP(Table1[[#This Row],[Cellar Location]],Location!A:F,6,FALSE)</f>
        <v>C</v>
      </c>
      <c r="AN36" s="1">
        <v>43923</v>
      </c>
      <c r="AO36" s="10" t="str">
        <f>TEXT(Table1[[#This Row],[Purchased]],"mmmm")</f>
        <v>April</v>
      </c>
      <c r="AP36" s="10" t="str">
        <f>TEXT(Table1[[#This Row],[Purchased]],"yyyy")</f>
        <v>2020</v>
      </c>
      <c r="AQ36" s="10"/>
    </row>
    <row r="37" spans="1:43" s="37" customFormat="1" x14ac:dyDescent="0.25">
      <c r="A37" s="37" t="str">
        <f t="shared" si="0"/>
        <v>2015Methven Family VineyardsPinot Noir Citizen's Cuvee</v>
      </c>
      <c r="B37" s="8">
        <v>2015</v>
      </c>
      <c r="C37" s="120" t="s">
        <v>1458</v>
      </c>
      <c r="D37" s="123" t="s">
        <v>1459</v>
      </c>
      <c r="E37" s="98" t="s">
        <v>1462</v>
      </c>
      <c r="F37" s="8" t="s">
        <v>727</v>
      </c>
      <c r="G37" s="37" t="s">
        <v>1460</v>
      </c>
      <c r="H37" s="37" t="s">
        <v>1461</v>
      </c>
      <c r="I37" s="37">
        <v>1</v>
      </c>
      <c r="J37" s="37">
        <v>750</v>
      </c>
      <c r="K37" s="8" t="s">
        <v>1316</v>
      </c>
      <c r="L37" s="10">
        <f>COUNTIF(Drank!A:A,Table1[[#This Row],[ID]])</f>
        <v>1</v>
      </c>
      <c r="M37" s="37" t="s">
        <v>202</v>
      </c>
      <c r="N37" s="37" t="s">
        <v>207</v>
      </c>
      <c r="O37" s="37">
        <v>1</v>
      </c>
      <c r="P37" s="37">
        <v>2018</v>
      </c>
      <c r="Q37" s="37">
        <v>2022</v>
      </c>
      <c r="R37" s="10">
        <f>IF(IFERROR(VLOOKUP(A37,Drank!A:S,15,FALSE),"")=0,"",IFERROR(VLOOKUP(A37,Drank!A:S,15,FALSE),""))</f>
        <v>2020</v>
      </c>
      <c r="S37" s="10">
        <f>IF(IFERROR(VLOOKUP(A37,Drank!A:S,16,FALSE),"")=0,"",IFERROR(VLOOKUP(A37,Drank!A:S,16,FALSE),""))</f>
        <v>2022</v>
      </c>
      <c r="T37" s="10"/>
      <c r="U37" s="37">
        <v>91</v>
      </c>
      <c r="V37" s="18">
        <f>IF(IFERROR(VLOOKUP(A37,Drank!A:T,19,FALSE),"")=0,"",IFERROR(VLOOKUP(A37,Drank!A:T,19,FALSE),""))</f>
        <v>89</v>
      </c>
      <c r="W37" s="1">
        <f>IF(IFERROR(VLOOKUP(A37,Drank!A:T,20,FALSE),"")=0,"",IFERROR(VLOOKUP(A37,Drank!A:T,20,FALSE),""))</f>
        <v>44012</v>
      </c>
      <c r="X37" s="10">
        <f>SUMIF(A:A,A37,I:I)</f>
        <v>7</v>
      </c>
      <c r="Y37" s="10">
        <f>IF(Table1[[#This Row],[Drank]]&gt;0,VLOOKUP(Table1[[#This Row],[ID]],Drank!A:P,16,FALSE),IF(Table1[[#This Row],[WALDD]]&gt;0,VLOOKUP(Table1[[#This Row],[ID]],Wine1!A:Q,17,FALSE),Table1[[#This Row],[EP]]))</f>
        <v>2022</v>
      </c>
      <c r="Z37" s="18">
        <f>IF(Table1[[#This Row],[My Rating]]="",IF(Table1[[#This Row],[WA Rating Clean]]="","",Table1[[#This Row],[WA Rating Clean]]),Table1[[#This Row],[My Rating]])</f>
        <v>89</v>
      </c>
      <c r="AA37" s="37">
        <v>2020</v>
      </c>
      <c r="AB37" s="4">
        <v>16.28</v>
      </c>
      <c r="AC37" s="2">
        <f t="shared" si="1"/>
        <v>16.28</v>
      </c>
      <c r="AD37" s="8">
        <v>0</v>
      </c>
      <c r="AE37" s="61">
        <f>IF(Table1[[#This Row],[P/750]]&lt;20,1,IF(Table1[[#This Row],[P/750]]&lt;50,2,3))</f>
        <v>1</v>
      </c>
      <c r="AF37" s="61">
        <f>IF(Table1[[#This Row],[P/750]]&lt;Expenses!$C$30,1,IF(Table1[[#This Row],[P/750]]&lt;Expenses!$C$31,2,IF(Table1[[#This Row],[P/750]]&lt;Expenses!$C$32,3,4)))</f>
        <v>1</v>
      </c>
      <c r="AH37" s="37" t="s">
        <v>384</v>
      </c>
      <c r="AI37" s="11">
        <f>Table1[[#This Row],[Price]]/Table1[[#This Row],[Size (ml)]]*750</f>
        <v>16.28</v>
      </c>
      <c r="AJ37" s="37">
        <v>91</v>
      </c>
      <c r="AK37" s="10">
        <f>COUNTIF(UniqueID!A:A,Table1[[#This Row],[ID]])</f>
        <v>0</v>
      </c>
      <c r="AL37" s="10" t="str">
        <f>VLOOKUP(Table1[[#This Row],[Cellar Location]],Location!A:F,6,FALSE)</f>
        <v>C</v>
      </c>
      <c r="AN37" s="1">
        <v>44010</v>
      </c>
      <c r="AO37" s="10" t="str">
        <f>TEXT(Table1[[#This Row],[Purchased]],"mmmm")</f>
        <v>June</v>
      </c>
      <c r="AP37" s="10" t="str">
        <f>TEXT(Table1[[#This Row],[Purchased]],"yyyy")</f>
        <v>2020</v>
      </c>
      <c r="AQ37" s="10"/>
    </row>
    <row r="38" spans="1:43" s="37" customFormat="1" x14ac:dyDescent="0.25">
      <c r="A38" s="37" t="str">
        <f t="shared" si="0"/>
        <v>2015Methven Family VineyardsPinot Noir Citizen's Cuvee</v>
      </c>
      <c r="B38" s="8">
        <v>2015</v>
      </c>
      <c r="C38" s="8" t="s">
        <v>1458</v>
      </c>
      <c r="D38" s="37" t="s">
        <v>1459</v>
      </c>
      <c r="E38" s="98" t="s">
        <v>1462</v>
      </c>
      <c r="F38" s="8" t="s">
        <v>727</v>
      </c>
      <c r="G38" s="37" t="s">
        <v>1460</v>
      </c>
      <c r="H38" s="37" t="s">
        <v>1461</v>
      </c>
      <c r="I38" s="37">
        <v>1</v>
      </c>
      <c r="J38" s="37">
        <v>750</v>
      </c>
      <c r="K38" s="8" t="s">
        <v>1316</v>
      </c>
      <c r="L38" s="10">
        <f>COUNTIF(Drank!A:A,Table1[[#This Row],[ID]])</f>
        <v>1</v>
      </c>
      <c r="M38" s="37" t="s">
        <v>202</v>
      </c>
      <c r="N38" s="37" t="s">
        <v>207</v>
      </c>
      <c r="O38" s="37">
        <v>1</v>
      </c>
      <c r="P38" s="37">
        <v>2018</v>
      </c>
      <c r="Q38" s="37">
        <v>2022</v>
      </c>
      <c r="R38" s="10">
        <f>IF(IFERROR(VLOOKUP(A38,Drank!A:S,15,FALSE),"")=0,"",IFERROR(VLOOKUP(A38,Drank!A:S,15,FALSE),""))</f>
        <v>2020</v>
      </c>
      <c r="S38" s="10">
        <f>IF(IFERROR(VLOOKUP(A38,Drank!A:S,16,FALSE),"")=0,"",IFERROR(VLOOKUP(A38,Drank!A:S,16,FALSE),""))</f>
        <v>2022</v>
      </c>
      <c r="T38" s="10"/>
      <c r="U38" s="37">
        <v>91</v>
      </c>
      <c r="V38" s="18">
        <f>IF(IFERROR(VLOOKUP(A38,Drank!A:T,19,FALSE),"")=0,"",IFERROR(VLOOKUP(A38,Drank!A:T,19,FALSE),""))</f>
        <v>89</v>
      </c>
      <c r="W38" s="1">
        <f>IF(IFERROR(VLOOKUP(A38,Drank!A:T,20,FALSE),"")=0,"",IFERROR(VLOOKUP(A38,Drank!A:T,20,FALSE),""))</f>
        <v>44012</v>
      </c>
      <c r="X38" s="10">
        <f>SUMIF(A:A,A38,I:I)</f>
        <v>7</v>
      </c>
      <c r="Y38" s="10">
        <f>IF(Table1[[#This Row],[Drank]]&gt;0,VLOOKUP(Table1[[#This Row],[ID]],Drank!A:P,16,FALSE),IF(Table1[[#This Row],[WALDD]]&gt;0,VLOOKUP(Table1[[#This Row],[ID]],Wine1!A:Q,17,FALSE),Table1[[#This Row],[EP]]))</f>
        <v>2022</v>
      </c>
      <c r="Z38" s="18">
        <f>IF(Table1[[#This Row],[My Rating]]="",IF(Table1[[#This Row],[WA Rating Clean]]="","",Table1[[#This Row],[WA Rating Clean]]),Table1[[#This Row],[My Rating]])</f>
        <v>89</v>
      </c>
      <c r="AA38" s="37">
        <v>2020</v>
      </c>
      <c r="AB38" s="4">
        <v>16.28</v>
      </c>
      <c r="AC38" s="2">
        <f t="shared" si="1"/>
        <v>16.28</v>
      </c>
      <c r="AD38" s="8">
        <v>0</v>
      </c>
      <c r="AE38" s="61">
        <f>IF(Table1[[#This Row],[P/750]]&lt;20,1,IF(Table1[[#This Row],[P/750]]&lt;50,2,3))</f>
        <v>1</v>
      </c>
      <c r="AF38" s="61">
        <f>IF(Table1[[#This Row],[P/750]]&lt;Expenses!$C$30,1,IF(Table1[[#This Row],[P/750]]&lt;Expenses!$C$31,2,IF(Table1[[#This Row],[P/750]]&lt;Expenses!$C$32,3,4)))</f>
        <v>1</v>
      </c>
      <c r="AH38" s="37" t="s">
        <v>384</v>
      </c>
      <c r="AI38" s="11">
        <f>Table1[[#This Row],[Price]]/Table1[[#This Row],[Size (ml)]]*750</f>
        <v>16.28</v>
      </c>
      <c r="AJ38" s="37">
        <v>91</v>
      </c>
      <c r="AK38" s="10">
        <f>COUNTIF(UniqueID!A:A,Table1[[#This Row],[ID]])</f>
        <v>0</v>
      </c>
      <c r="AL38" s="10" t="str">
        <f>VLOOKUP(Table1[[#This Row],[Cellar Location]],Location!A:F,6,FALSE)</f>
        <v>C</v>
      </c>
      <c r="AN38" s="1">
        <v>44010</v>
      </c>
      <c r="AO38" s="10" t="str">
        <f>TEXT(Table1[[#This Row],[Purchased]],"mmmm")</f>
        <v>June</v>
      </c>
      <c r="AP38" s="10" t="str">
        <f>TEXT(Table1[[#This Row],[Purchased]],"yyyy")</f>
        <v>2020</v>
      </c>
      <c r="AQ38" s="10"/>
    </row>
    <row r="39" spans="1:43" s="37" customFormat="1" x14ac:dyDescent="0.25">
      <c r="A39" s="37" t="str">
        <f t="shared" si="0"/>
        <v>2015Methven Family VineyardsPinot Noir Citizen's Cuvee</v>
      </c>
      <c r="B39" s="8">
        <v>2015</v>
      </c>
      <c r="C39" s="8" t="s">
        <v>1458</v>
      </c>
      <c r="D39" s="37" t="s">
        <v>1459</v>
      </c>
      <c r="E39" s="98" t="s">
        <v>1462</v>
      </c>
      <c r="F39" s="8" t="s">
        <v>727</v>
      </c>
      <c r="G39" s="37" t="s">
        <v>1460</v>
      </c>
      <c r="H39" s="37" t="s">
        <v>1461</v>
      </c>
      <c r="I39" s="37">
        <v>1</v>
      </c>
      <c r="J39" s="37">
        <v>750</v>
      </c>
      <c r="K39" s="8" t="s">
        <v>1316</v>
      </c>
      <c r="L39" s="10">
        <f>COUNTIF(Drank!A:A,Table1[[#This Row],[ID]])</f>
        <v>1</v>
      </c>
      <c r="M39" s="37" t="s">
        <v>202</v>
      </c>
      <c r="N39" s="37" t="s">
        <v>207</v>
      </c>
      <c r="O39" s="37">
        <v>1</v>
      </c>
      <c r="P39" s="37">
        <v>2018</v>
      </c>
      <c r="Q39" s="37">
        <v>2022</v>
      </c>
      <c r="R39" s="10">
        <f>IF(IFERROR(VLOOKUP(A39,Drank!A:S,15,FALSE),"")=0,"",IFERROR(VLOOKUP(A39,Drank!A:S,15,FALSE),""))</f>
        <v>2020</v>
      </c>
      <c r="S39" s="10">
        <f>IF(IFERROR(VLOOKUP(A39,Drank!A:S,16,FALSE),"")=0,"",IFERROR(VLOOKUP(A39,Drank!A:S,16,FALSE),""))</f>
        <v>2022</v>
      </c>
      <c r="T39" s="10"/>
      <c r="U39" s="37">
        <v>91</v>
      </c>
      <c r="V39" s="18">
        <f>IF(IFERROR(VLOOKUP(A39,Drank!A:T,19,FALSE),"")=0,"",IFERROR(VLOOKUP(A39,Drank!A:T,19,FALSE),""))</f>
        <v>89</v>
      </c>
      <c r="W39" s="1">
        <f>IF(IFERROR(VLOOKUP(A39,Drank!A:T,20,FALSE),"")=0,"",IFERROR(VLOOKUP(A39,Drank!A:T,20,FALSE),""))</f>
        <v>44012</v>
      </c>
      <c r="X39" s="10">
        <f>SUMIF(A:A,A39,I:I)</f>
        <v>7</v>
      </c>
      <c r="Y39" s="10">
        <f>IF(Table1[[#This Row],[Drank]]&gt;0,VLOOKUP(Table1[[#This Row],[ID]],Drank!A:P,16,FALSE),IF(Table1[[#This Row],[WALDD]]&gt;0,VLOOKUP(Table1[[#This Row],[ID]],Wine1!A:Q,17,FALSE),Table1[[#This Row],[EP]]))</f>
        <v>2022</v>
      </c>
      <c r="Z39" s="18">
        <f>IF(Table1[[#This Row],[My Rating]]="",IF(Table1[[#This Row],[WA Rating Clean]]="","",Table1[[#This Row],[WA Rating Clean]]),Table1[[#This Row],[My Rating]])</f>
        <v>89</v>
      </c>
      <c r="AA39" s="37">
        <v>2020</v>
      </c>
      <c r="AB39" s="4">
        <v>16.28</v>
      </c>
      <c r="AC39" s="2">
        <f t="shared" si="1"/>
        <v>16.28</v>
      </c>
      <c r="AD39" s="8">
        <v>0</v>
      </c>
      <c r="AE39" s="61">
        <f>IF(Table1[[#This Row],[P/750]]&lt;20,1,IF(Table1[[#This Row],[P/750]]&lt;50,2,3))</f>
        <v>1</v>
      </c>
      <c r="AF39" s="61">
        <f>IF(Table1[[#This Row],[P/750]]&lt;Expenses!$C$30,1,IF(Table1[[#This Row],[P/750]]&lt;Expenses!$C$31,2,IF(Table1[[#This Row],[P/750]]&lt;Expenses!$C$32,3,4)))</f>
        <v>1</v>
      </c>
      <c r="AH39" s="37" t="s">
        <v>384</v>
      </c>
      <c r="AI39" s="11">
        <f>Table1[[#This Row],[Price]]/Table1[[#This Row],[Size (ml)]]*750</f>
        <v>16.28</v>
      </c>
      <c r="AJ39" s="37">
        <v>91</v>
      </c>
      <c r="AK39" s="10">
        <f>COUNTIF(UniqueID!A:A,Table1[[#This Row],[ID]])</f>
        <v>0</v>
      </c>
      <c r="AL39" s="10" t="str">
        <f>VLOOKUP(Table1[[#This Row],[Cellar Location]],Location!A:F,6,FALSE)</f>
        <v>C</v>
      </c>
      <c r="AN39" s="1">
        <v>44010</v>
      </c>
      <c r="AO39" s="10" t="str">
        <f>TEXT(Table1[[#This Row],[Purchased]],"mmmm")</f>
        <v>June</v>
      </c>
      <c r="AP39" s="10" t="str">
        <f>TEXT(Table1[[#This Row],[Purchased]],"yyyy")</f>
        <v>2020</v>
      </c>
      <c r="AQ39" s="10"/>
    </row>
    <row r="40" spans="1:43" s="37" customFormat="1" x14ac:dyDescent="0.25">
      <c r="A40" s="37" t="str">
        <f t="shared" si="0"/>
        <v>2014Domaine GigouCuvee Gigout</v>
      </c>
      <c r="B40" s="37">
        <v>2014</v>
      </c>
      <c r="C40" s="8" t="s">
        <v>1722</v>
      </c>
      <c r="D40" s="37" t="s">
        <v>1727</v>
      </c>
      <c r="E40" s="67" t="s">
        <v>1295</v>
      </c>
      <c r="F40" s="37" t="s">
        <v>742</v>
      </c>
      <c r="G40" s="37" t="s">
        <v>1366</v>
      </c>
      <c r="I40" s="37">
        <v>1</v>
      </c>
      <c r="J40" s="37">
        <v>750</v>
      </c>
      <c r="K40" s="8" t="s">
        <v>1795</v>
      </c>
      <c r="L40" s="10">
        <f>COUNTIF(Drank!A:A,Table1[[#This Row],[ID]])</f>
        <v>0</v>
      </c>
      <c r="M40" s="37" t="s">
        <v>202</v>
      </c>
      <c r="N40" s="37" t="s">
        <v>207</v>
      </c>
      <c r="O40" s="37">
        <v>0</v>
      </c>
      <c r="R40" s="10" t="str">
        <f>IF(IFERROR(VLOOKUP(A40,Drank!A:S,15,FALSE),"")=0,"",IFERROR(VLOOKUP(A40,Drank!A:S,15,FALSE),""))</f>
        <v/>
      </c>
      <c r="S40" s="10" t="str">
        <f>IF(IFERROR(VLOOKUP(A40,Drank!A:S,16,FALSE),"")=0,"",IFERROR(VLOOKUP(A40,Drank!A:S,16,FALSE),""))</f>
        <v/>
      </c>
      <c r="T40" s="10">
        <v>2022</v>
      </c>
      <c r="V40" s="18" t="str">
        <f>IF(IFERROR(VLOOKUP(A40,Drank!A:T,19,FALSE),"")=0,"",IFERROR(VLOOKUP(A40,Drank!A:T,19,FALSE),""))</f>
        <v/>
      </c>
      <c r="W40" s="1" t="str">
        <f>IF(IFERROR(VLOOKUP(A40,Drank!A:T,20,FALSE),"")=0,"",IFERROR(VLOOKUP(A40,Drank!A:T,20,FALSE),""))</f>
        <v/>
      </c>
      <c r="X40" s="10">
        <f>SUMIF(A:A,A40,I:I)</f>
        <v>1</v>
      </c>
      <c r="Y40" s="10">
        <f>IF(Table1[[#This Row],[Drank]]&gt;0,VLOOKUP(Table1[[#This Row],[ID]],Drank!A:P,16,FALSE),IF(Table1[[#This Row],[WALDD]]&gt;0,VLOOKUP(Table1[[#This Row],[ID]],Wine1!A:Q,17,FALSE),Table1[[#This Row],[EP]]))</f>
        <v>2022</v>
      </c>
      <c r="Z40" s="18" t="str">
        <f>IF(Table1[[#This Row],[My Rating]]="",IF(Table1[[#This Row],[WA Rating Clean]]="","",Table1[[#This Row],[WA Rating Clean]]),Table1[[#This Row],[My Rating]])</f>
        <v/>
      </c>
      <c r="AA40" s="8">
        <v>2020</v>
      </c>
      <c r="AB40" s="4">
        <v>21.73</v>
      </c>
      <c r="AC40" s="2">
        <f t="shared" si="1"/>
        <v>21.73</v>
      </c>
      <c r="AD40" s="8">
        <v>0</v>
      </c>
      <c r="AE40" s="10">
        <f>IF(Table1[[#This Row],[P/750]]&lt;20,1,IF(Table1[[#This Row],[P/750]]&lt;50,2,3))</f>
        <v>2</v>
      </c>
      <c r="AF40" s="10">
        <f>IF(Table1[[#This Row],[P/750]]&lt;Expenses!$C$30,1,IF(Table1[[#This Row],[P/750]]&lt;Expenses!$C$31,2,IF(Table1[[#This Row],[P/750]]&lt;Expenses!$C$32,3,4)))</f>
        <v>2</v>
      </c>
      <c r="AH40" s="37" t="s">
        <v>1709</v>
      </c>
      <c r="AI40" s="11">
        <f>Table1[[#This Row],[Price]]/Table1[[#This Row],[Size (ml)]]*750</f>
        <v>21.73</v>
      </c>
      <c r="AK40" s="10">
        <f>COUNTIF(UniqueID!A:A,Table1[[#This Row],[ID]])</f>
        <v>0</v>
      </c>
      <c r="AL40" s="10" t="str">
        <f>VLOOKUP(Table1[[#This Row],[Cellar Location]],Location!A:F,6,FALSE)</f>
        <v>C</v>
      </c>
      <c r="AN40" s="1">
        <v>44062</v>
      </c>
      <c r="AO40" s="10" t="str">
        <f>TEXT(Table1[[#This Row],[Purchased]],"mmmm")</f>
        <v>August</v>
      </c>
      <c r="AP40" s="10" t="str">
        <f>TEXT(Table1[[#This Row],[Purchased]],"yyyy")</f>
        <v>2020</v>
      </c>
      <c r="AQ40" s="10"/>
    </row>
    <row r="41" spans="1:43" s="37" customFormat="1" x14ac:dyDescent="0.25">
      <c r="A41" s="37" t="str">
        <f t="shared" si="0"/>
        <v>2014Domaine Nau FreresBourgueil Vieilles Vignes</v>
      </c>
      <c r="B41" s="37">
        <v>2014</v>
      </c>
      <c r="C41" s="8" t="s">
        <v>1728</v>
      </c>
      <c r="D41" s="37" t="s">
        <v>1729</v>
      </c>
      <c r="E41" s="67" t="s">
        <v>1365</v>
      </c>
      <c r="F41" s="37" t="s">
        <v>742</v>
      </c>
      <c r="G41" s="37" t="s">
        <v>1366</v>
      </c>
      <c r="I41" s="37">
        <v>1</v>
      </c>
      <c r="J41" s="37">
        <v>750</v>
      </c>
      <c r="K41" s="8" t="s">
        <v>1795</v>
      </c>
      <c r="L41" s="10">
        <f>COUNTIF(Drank!A:A,Table1[[#This Row],[ID]])</f>
        <v>0</v>
      </c>
      <c r="M41" s="37" t="s">
        <v>202</v>
      </c>
      <c r="N41" s="37" t="s">
        <v>207</v>
      </c>
      <c r="O41" s="37">
        <v>0</v>
      </c>
      <c r="R41" s="10" t="str">
        <f>IF(IFERROR(VLOOKUP(A41,Drank!A:S,15,FALSE),"")=0,"",IFERROR(VLOOKUP(A41,Drank!A:S,15,FALSE),""))</f>
        <v/>
      </c>
      <c r="S41" s="10" t="str">
        <f>IF(IFERROR(VLOOKUP(A41,Drank!A:S,16,FALSE),"")=0,"",IFERROR(VLOOKUP(A41,Drank!A:S,16,FALSE),""))</f>
        <v/>
      </c>
      <c r="T41" s="10">
        <v>2022</v>
      </c>
      <c r="V41" s="18" t="str">
        <f>IF(IFERROR(VLOOKUP(A41,Drank!A:T,19,FALSE),"")=0,"",IFERROR(VLOOKUP(A41,Drank!A:T,19,FALSE),""))</f>
        <v/>
      </c>
      <c r="W41" s="1" t="str">
        <f>IF(IFERROR(VLOOKUP(A41,Drank!A:T,20,FALSE),"")=0,"",IFERROR(VLOOKUP(A41,Drank!A:T,20,FALSE),""))</f>
        <v/>
      </c>
      <c r="X41" s="10">
        <f>SUMIF(A:A,A41,I:I)</f>
        <v>1</v>
      </c>
      <c r="Y41" s="10">
        <f>IF(Table1[[#This Row],[Drank]]&gt;0,VLOOKUP(Table1[[#This Row],[ID]],Drank!A:P,16,FALSE),IF(Table1[[#This Row],[WALDD]]&gt;0,VLOOKUP(Table1[[#This Row],[ID]],Wine1!A:Q,17,FALSE),Table1[[#This Row],[EP]]))</f>
        <v>2022</v>
      </c>
      <c r="Z41" s="18" t="str">
        <f>IF(Table1[[#This Row],[My Rating]]="",IF(Table1[[#This Row],[WA Rating Clean]]="","",Table1[[#This Row],[WA Rating Clean]]),Table1[[#This Row],[My Rating]])</f>
        <v/>
      </c>
      <c r="AA41" s="8">
        <v>2020</v>
      </c>
      <c r="AB41" s="4">
        <v>24.98</v>
      </c>
      <c r="AC41" s="2">
        <f t="shared" si="1"/>
        <v>24.98</v>
      </c>
      <c r="AD41" s="8">
        <v>0</v>
      </c>
      <c r="AE41" s="10">
        <f>IF(Table1[[#This Row],[P/750]]&lt;20,1,IF(Table1[[#This Row],[P/750]]&lt;50,2,3))</f>
        <v>2</v>
      </c>
      <c r="AF41" s="10">
        <f>IF(Table1[[#This Row],[P/750]]&lt;Expenses!$C$30,1,IF(Table1[[#This Row],[P/750]]&lt;Expenses!$C$31,2,IF(Table1[[#This Row],[P/750]]&lt;Expenses!$C$32,3,4)))</f>
        <v>2</v>
      </c>
      <c r="AH41" s="37" t="s">
        <v>1709</v>
      </c>
      <c r="AI41" s="11">
        <f>Table1[[#This Row],[Price]]/Table1[[#This Row],[Size (ml)]]*750</f>
        <v>24.98</v>
      </c>
      <c r="AK41" s="10">
        <f>COUNTIF(UniqueID!A:A,Table1[[#This Row],[ID]])</f>
        <v>0</v>
      </c>
      <c r="AL41" s="10" t="str">
        <f>VLOOKUP(Table1[[#This Row],[Cellar Location]],Location!A:F,6,FALSE)</f>
        <v>C</v>
      </c>
      <c r="AN41" s="1">
        <v>44062</v>
      </c>
      <c r="AO41" s="10" t="str">
        <f>TEXT(Table1[[#This Row],[Purchased]],"mmmm")</f>
        <v>August</v>
      </c>
      <c r="AP41" s="10" t="str">
        <f>TEXT(Table1[[#This Row],[Purchased]],"yyyy")</f>
        <v>2020</v>
      </c>
      <c r="AQ41" s="10"/>
    </row>
    <row r="42" spans="1:43" x14ac:dyDescent="0.25">
      <c r="A42" t="str">
        <f t="shared" si="0"/>
        <v>2017Enrique MendozaLa Tremenda</v>
      </c>
      <c r="B42" s="37">
        <v>2017</v>
      </c>
      <c r="C42" s="37" t="s">
        <v>234</v>
      </c>
      <c r="D42" s="37" t="s">
        <v>235</v>
      </c>
      <c r="E42" s="69" t="s">
        <v>1223</v>
      </c>
      <c r="F42" s="37" t="s">
        <v>729</v>
      </c>
      <c r="G42" s="37" t="s">
        <v>826</v>
      </c>
      <c r="H42" s="37" t="s">
        <v>827</v>
      </c>
      <c r="I42" s="8">
        <v>1</v>
      </c>
      <c r="J42" s="38">
        <v>750</v>
      </c>
      <c r="K42" s="38" t="s">
        <v>1687</v>
      </c>
      <c r="L42" s="10">
        <f>COUNTIF(Drank!A:A,Table1[[#This Row],[ID]])</f>
        <v>0</v>
      </c>
      <c r="M42" t="s">
        <v>202</v>
      </c>
      <c r="N42" t="s">
        <v>207</v>
      </c>
      <c r="O42">
        <v>1</v>
      </c>
      <c r="P42" s="37">
        <v>2019</v>
      </c>
      <c r="Q42">
        <v>2022</v>
      </c>
      <c r="R42" s="10" t="str">
        <f>IF(IFERROR(VLOOKUP(A42,Drank!A:S,15,FALSE),"")=0,"",IFERROR(VLOOKUP(A42,Drank!A:S,15,FALSE),""))</f>
        <v/>
      </c>
      <c r="S42" s="10" t="str">
        <f>IF(IFERROR(VLOOKUP(A42,Drank!A:S,16,FALSE),"")=0,"",IFERROR(VLOOKUP(A42,Drank!A:S,16,FALSE),""))</f>
        <v/>
      </c>
      <c r="T42" s="10"/>
      <c r="U42">
        <v>92</v>
      </c>
      <c r="V42" s="18" t="str">
        <f>IF(IFERROR(VLOOKUP(A42,Drank!A:T,19,FALSE),"")=0,"",IFERROR(VLOOKUP(A42,Drank!A:T,19,FALSE),""))</f>
        <v/>
      </c>
      <c r="W42" s="1" t="str">
        <f>IF(IFERROR(VLOOKUP(A42,Drank!A:T,20,FALSE),"")=0,"",IFERROR(VLOOKUP(A42,Drank!A:T,20,FALSE),""))</f>
        <v/>
      </c>
      <c r="X42" s="10">
        <f>SUMIF(A:A,A42,I:I)</f>
        <v>8</v>
      </c>
      <c r="Y42" s="10">
        <f>IF(Table1[[#This Row],[Drank]]&gt;0,VLOOKUP(Table1[[#This Row],[ID]],Drank!A:P,16,FALSE),IF(Table1[[#This Row],[WALDD]]&gt;0,VLOOKUP(Table1[[#This Row],[ID]],Wine1!A:Q,17,FALSE),Table1[[#This Row],[EP]]))</f>
        <v>2022</v>
      </c>
      <c r="Z42" s="18">
        <f>IF(Table1[[#This Row],[My Rating]]="",IF(Table1[[#This Row],[WA Rating Clean]]="","",Table1[[#This Row],[WA Rating Clean]]),Table1[[#This Row],[My Rating]])</f>
        <v>92</v>
      </c>
      <c r="AA42" s="8">
        <v>2020</v>
      </c>
      <c r="AB42" s="4">
        <v>12.62</v>
      </c>
      <c r="AC42" s="2">
        <f t="shared" si="1"/>
        <v>12.62</v>
      </c>
      <c r="AD42" s="8">
        <v>1</v>
      </c>
      <c r="AE42" s="10">
        <f>IF(Table1[[#This Row],[P/750]]&lt;20,1,IF(Table1[[#This Row],[P/750]]&lt;50,2,3))</f>
        <v>1</v>
      </c>
      <c r="AF42" s="10">
        <f>IF(Table1[[#This Row],[P/750]]&lt;Expenses!$C$30,1,IF(Table1[[#This Row],[P/750]]&lt;Expenses!$C$31,2,IF(Table1[[#This Row],[P/750]]&lt;Expenses!$C$32,3,4)))</f>
        <v>1</v>
      </c>
      <c r="AH42" s="37" t="s">
        <v>1189</v>
      </c>
      <c r="AI42" s="11">
        <f>Table1[[#This Row],[Price]]/Table1[[#This Row],[Size (ml)]]*750</f>
        <v>12.620000000000001</v>
      </c>
      <c r="AJ42">
        <v>92</v>
      </c>
      <c r="AK42" s="10">
        <f>COUNTIF(UniqueID!A:A,Table1[[#This Row],[ID]])</f>
        <v>0</v>
      </c>
      <c r="AL42" s="10" t="str">
        <f>VLOOKUP(Table1[[#This Row],[Cellar Location]],Location!A:F,6,FALSE)</f>
        <v>W</v>
      </c>
      <c r="AN42" s="1">
        <v>44061</v>
      </c>
      <c r="AO42" s="10" t="str">
        <f>TEXT(Table1[[#This Row],[Purchased]],"mmmm")</f>
        <v>August</v>
      </c>
      <c r="AP42" s="10" t="str">
        <f>TEXT(Table1[[#This Row],[Purchased]],"yyyy")</f>
        <v>2020</v>
      </c>
      <c r="AQ42" s="1">
        <v>44137</v>
      </c>
    </row>
    <row r="43" spans="1:43" s="37" customFormat="1" ht="14.25" customHeight="1" x14ac:dyDescent="0.25">
      <c r="A43" s="37" t="str">
        <f t="shared" si="0"/>
        <v>2017Enrique MendozaLa Tremenda</v>
      </c>
      <c r="B43" s="37">
        <v>2017</v>
      </c>
      <c r="C43" s="37" t="s">
        <v>234</v>
      </c>
      <c r="D43" s="37" t="s">
        <v>235</v>
      </c>
      <c r="E43" s="69" t="s">
        <v>1223</v>
      </c>
      <c r="F43" s="37" t="s">
        <v>729</v>
      </c>
      <c r="G43" s="37" t="s">
        <v>826</v>
      </c>
      <c r="H43" s="37" t="s">
        <v>827</v>
      </c>
      <c r="I43" s="8">
        <v>1</v>
      </c>
      <c r="J43" s="38">
        <v>750</v>
      </c>
      <c r="K43" s="38" t="s">
        <v>1687</v>
      </c>
      <c r="L43" s="10">
        <f>COUNTIF(Drank!A:A,Table1[[#This Row],[ID]])</f>
        <v>0</v>
      </c>
      <c r="M43" s="37" t="s">
        <v>202</v>
      </c>
      <c r="N43" s="37" t="s">
        <v>207</v>
      </c>
      <c r="O43" s="37">
        <v>1</v>
      </c>
      <c r="P43" s="37">
        <v>2019</v>
      </c>
      <c r="Q43" s="37">
        <v>2022</v>
      </c>
      <c r="R43" s="10" t="str">
        <f>IF(IFERROR(VLOOKUP(A43,Drank!A:S,15,FALSE),"")=0,"",IFERROR(VLOOKUP(A43,Drank!A:S,15,FALSE),""))</f>
        <v/>
      </c>
      <c r="S43" s="10" t="str">
        <f>IF(IFERROR(VLOOKUP(A43,Drank!A:S,16,FALSE),"")=0,"",IFERROR(VLOOKUP(A43,Drank!A:S,16,FALSE),""))</f>
        <v/>
      </c>
      <c r="T43" s="10"/>
      <c r="U43" s="37">
        <v>92</v>
      </c>
      <c r="V43" s="18" t="str">
        <f>IF(IFERROR(VLOOKUP(A43,Drank!A:T,19,FALSE),"")=0,"",IFERROR(VLOOKUP(A43,Drank!A:T,19,FALSE),""))</f>
        <v/>
      </c>
      <c r="W43" s="1" t="str">
        <f>IF(IFERROR(VLOOKUP(A43,Drank!A:T,20,FALSE),"")=0,"",IFERROR(VLOOKUP(A43,Drank!A:T,20,FALSE),""))</f>
        <v/>
      </c>
      <c r="X43" s="10">
        <f>SUMIF(A:A,A43,I:I)</f>
        <v>8</v>
      </c>
      <c r="Y43" s="10">
        <f>IF(Table1[[#This Row],[Drank]]&gt;0,VLOOKUP(Table1[[#This Row],[ID]],Drank!A:P,16,FALSE),IF(Table1[[#This Row],[WALDD]]&gt;0,VLOOKUP(Table1[[#This Row],[ID]],Wine1!A:Q,17,FALSE),Table1[[#This Row],[EP]]))</f>
        <v>2022</v>
      </c>
      <c r="Z43" s="18">
        <f>IF(Table1[[#This Row],[My Rating]]="",IF(Table1[[#This Row],[WA Rating Clean]]="","",Table1[[#This Row],[WA Rating Clean]]),Table1[[#This Row],[My Rating]])</f>
        <v>92</v>
      </c>
      <c r="AA43" s="8">
        <v>2020</v>
      </c>
      <c r="AB43" s="4">
        <v>12.62</v>
      </c>
      <c r="AC43" s="2">
        <f t="shared" si="1"/>
        <v>12.62</v>
      </c>
      <c r="AD43" s="8">
        <v>1</v>
      </c>
      <c r="AE43" s="10">
        <f>IF(Table1[[#This Row],[P/750]]&lt;20,1,IF(Table1[[#This Row],[P/750]]&lt;50,2,3))</f>
        <v>1</v>
      </c>
      <c r="AF43" s="10">
        <f>IF(Table1[[#This Row],[P/750]]&lt;Expenses!$C$30,1,IF(Table1[[#This Row],[P/750]]&lt;Expenses!$C$31,2,IF(Table1[[#This Row],[P/750]]&lt;Expenses!$C$32,3,4)))</f>
        <v>1</v>
      </c>
      <c r="AH43" s="37" t="s">
        <v>1189</v>
      </c>
      <c r="AI43" s="11">
        <f>Table1[[#This Row],[Price]]/Table1[[#This Row],[Size (ml)]]*750</f>
        <v>12.620000000000001</v>
      </c>
      <c r="AJ43" s="37">
        <v>92</v>
      </c>
      <c r="AK43" s="10">
        <f>COUNTIF(UniqueID!A:A,Table1[[#This Row],[ID]])</f>
        <v>0</v>
      </c>
      <c r="AL43" s="10" t="str">
        <f>VLOOKUP(Table1[[#This Row],[Cellar Location]],Location!A:F,6,FALSE)</f>
        <v>W</v>
      </c>
      <c r="AN43" s="1">
        <v>44061</v>
      </c>
      <c r="AO43" s="10" t="str">
        <f>TEXT(Table1[[#This Row],[Purchased]],"mmmm")</f>
        <v>August</v>
      </c>
      <c r="AP43" s="10" t="str">
        <f>TEXT(Table1[[#This Row],[Purchased]],"yyyy")</f>
        <v>2020</v>
      </c>
      <c r="AQ43" s="1">
        <v>44137</v>
      </c>
    </row>
    <row r="44" spans="1:43" ht="14.25" customHeight="1" x14ac:dyDescent="0.25">
      <c r="A44" t="str">
        <f t="shared" si="0"/>
        <v>2013Marques de RiscalReserva</v>
      </c>
      <c r="B44" s="8">
        <v>2013</v>
      </c>
      <c r="C44" s="120" t="s">
        <v>1536</v>
      </c>
      <c r="D44" s="37" t="s">
        <v>106</v>
      </c>
      <c r="E44" s="67" t="s">
        <v>1296</v>
      </c>
      <c r="F44" s="37" t="s">
        <v>729</v>
      </c>
      <c r="G44" s="37" t="s">
        <v>823</v>
      </c>
      <c r="I44" s="8">
        <v>1</v>
      </c>
      <c r="J44">
        <v>750</v>
      </c>
      <c r="K44" s="8" t="s">
        <v>652</v>
      </c>
      <c r="L44" s="10">
        <f>COUNTIF(Drank!A:A,Table1[[#This Row],[ID]])</f>
        <v>5</v>
      </c>
      <c r="M44" t="s">
        <v>202</v>
      </c>
      <c r="N44" t="s">
        <v>207</v>
      </c>
      <c r="O44">
        <v>1</v>
      </c>
      <c r="P44" s="37"/>
      <c r="R44" s="10">
        <f>IF(IFERROR(VLOOKUP(A44,Drank!A:S,15,FALSE),"")=0,"",IFERROR(VLOOKUP(A44,Drank!A:S,15,FALSE),""))</f>
        <v>2020</v>
      </c>
      <c r="S44" s="10">
        <f>IF(IFERROR(VLOOKUP(A44,Drank!A:S,16,FALSE),"")=0,"",IFERROR(VLOOKUP(A44,Drank!A:S,16,FALSE),""))</f>
        <v>2023</v>
      </c>
      <c r="T44" s="10"/>
      <c r="V44" s="18">
        <f>IF(IFERROR(VLOOKUP(A44,Drank!A:T,19,FALSE),"")=0,"",IFERROR(VLOOKUP(A44,Drank!A:T,19,FALSE),""))</f>
        <v>90.8</v>
      </c>
      <c r="W44" s="1">
        <f>IF(IFERROR(VLOOKUP(A44,Drank!A:T,20,FALSE),"")=0,"",IFERROR(VLOOKUP(A44,Drank!A:T,20,FALSE),""))</f>
        <v>44015</v>
      </c>
      <c r="X44" s="10">
        <f>SUMIF(A:A,A44,I:I)</f>
        <v>3</v>
      </c>
      <c r="Y44" s="10">
        <f>IF(Table1[[#This Row],[Drank]]&gt;0,VLOOKUP(Table1[[#This Row],[ID]],Drank!A:P,16,FALSE),IF(Table1[[#This Row],[WALDD]]&gt;0,VLOOKUP(Table1[[#This Row],[ID]],Wine1!A:Q,17,FALSE),Table1[[#This Row],[EP]]))</f>
        <v>2023</v>
      </c>
      <c r="Z44" s="18">
        <f>IF(Table1[[#This Row],[My Rating]]="",IF(Table1[[#This Row],[WA Rating Clean]]="","",Table1[[#This Row],[WA Rating Clean]]),Table1[[#This Row],[My Rating]])</f>
        <v>90.8</v>
      </c>
      <c r="AA44" s="37">
        <v>2020</v>
      </c>
      <c r="AB44" s="4">
        <v>17.600000000000001</v>
      </c>
      <c r="AC44" s="2">
        <f t="shared" si="1"/>
        <v>17.600000000000001</v>
      </c>
      <c r="AD44" s="8">
        <v>0</v>
      </c>
      <c r="AE44" s="10">
        <f>IF(Table1[[#This Row],[P/750]]&lt;20,1,IF(Table1[[#This Row],[P/750]]&lt;50,2,3))</f>
        <v>1</v>
      </c>
      <c r="AF44" s="10">
        <f>IF(Table1[[#This Row],[P/750]]&lt;Expenses!$C$30,1,IF(Table1[[#This Row],[P/750]]&lt;Expenses!$C$31,2,IF(Table1[[#This Row],[P/750]]&lt;Expenses!$C$32,3,4)))</f>
        <v>2</v>
      </c>
      <c r="AH44" s="37" t="s">
        <v>1128</v>
      </c>
      <c r="AI44" s="11">
        <f>Table1[[#This Row],[Price]]/Table1[[#This Row],[Size (ml)]]*750</f>
        <v>17.600000000000001</v>
      </c>
      <c r="AK44" s="10">
        <f>COUNTIF(UniqueID!A:A,Table1[[#This Row],[ID]])</f>
        <v>0</v>
      </c>
      <c r="AL44" s="10" t="str">
        <f>VLOOKUP(Table1[[#This Row],[Cellar Location]],Location!A:F,6,FALSE)</f>
        <v>C</v>
      </c>
      <c r="AN44" s="1">
        <v>43966</v>
      </c>
      <c r="AO44" s="10" t="str">
        <f>TEXT(Table1[[#This Row],[Purchased]],"mmmm")</f>
        <v>May</v>
      </c>
      <c r="AP44" s="10" t="str">
        <f>TEXT(Table1[[#This Row],[Purchased]],"yyyy")</f>
        <v>2020</v>
      </c>
      <c r="AQ44" s="10"/>
    </row>
    <row r="45" spans="1:43" ht="14.25" customHeight="1" x14ac:dyDescent="0.25">
      <c r="A45" t="str">
        <f t="shared" si="0"/>
        <v>2013Marques de RiscalReserva</v>
      </c>
      <c r="B45" s="8">
        <v>2013</v>
      </c>
      <c r="C45" s="37" t="s">
        <v>1536</v>
      </c>
      <c r="D45" s="37" t="s">
        <v>106</v>
      </c>
      <c r="E45" s="67" t="s">
        <v>1296</v>
      </c>
      <c r="F45" s="37" t="s">
        <v>729</v>
      </c>
      <c r="G45" s="37" t="s">
        <v>823</v>
      </c>
      <c r="I45" s="8">
        <v>1</v>
      </c>
      <c r="J45">
        <v>750</v>
      </c>
      <c r="K45" s="8" t="s">
        <v>25</v>
      </c>
      <c r="L45" s="10">
        <f>COUNTIF(Drank!A:A,Table1[[#This Row],[ID]])</f>
        <v>5</v>
      </c>
      <c r="M45" t="s">
        <v>202</v>
      </c>
      <c r="N45" t="s">
        <v>207</v>
      </c>
      <c r="O45">
        <v>1</v>
      </c>
      <c r="P45" s="37"/>
      <c r="R45" s="10">
        <f>IF(IFERROR(VLOOKUP(A45,Drank!A:S,15,FALSE),"")=0,"",IFERROR(VLOOKUP(A45,Drank!A:S,15,FALSE),""))</f>
        <v>2020</v>
      </c>
      <c r="S45" s="10">
        <f>IF(IFERROR(VLOOKUP(A45,Drank!A:S,16,FALSE),"")=0,"",IFERROR(VLOOKUP(A45,Drank!A:S,16,FALSE),""))</f>
        <v>2023</v>
      </c>
      <c r="T45" s="10"/>
      <c r="V45" s="18">
        <f>IF(IFERROR(VLOOKUP(A45,Drank!A:T,19,FALSE),"")=0,"",IFERROR(VLOOKUP(A45,Drank!A:T,19,FALSE),""))</f>
        <v>90.8</v>
      </c>
      <c r="W45" s="1">
        <f>IF(IFERROR(VLOOKUP(A45,Drank!A:T,20,FALSE),"")=0,"",IFERROR(VLOOKUP(A45,Drank!A:T,20,FALSE),""))</f>
        <v>44015</v>
      </c>
      <c r="X45" s="10">
        <f>SUMIF(A:A,A45,I:I)</f>
        <v>3</v>
      </c>
      <c r="Y45" s="10">
        <f>IF(Table1[[#This Row],[Drank]]&gt;0,VLOOKUP(Table1[[#This Row],[ID]],Drank!A:P,16,FALSE),IF(Table1[[#This Row],[WALDD]]&gt;0,VLOOKUP(Table1[[#This Row],[ID]],Wine1!A:Q,17,FALSE),Table1[[#This Row],[EP]]))</f>
        <v>2023</v>
      </c>
      <c r="Z45" s="18">
        <f>IF(Table1[[#This Row],[My Rating]]="",IF(Table1[[#This Row],[WA Rating Clean]]="","",Table1[[#This Row],[WA Rating Clean]]),Table1[[#This Row],[My Rating]])</f>
        <v>90.8</v>
      </c>
      <c r="AA45" s="37">
        <v>2020</v>
      </c>
      <c r="AB45" s="4">
        <v>17.600000000000001</v>
      </c>
      <c r="AC45" s="2">
        <f t="shared" si="1"/>
        <v>17.600000000000001</v>
      </c>
      <c r="AD45" s="8">
        <v>0</v>
      </c>
      <c r="AE45" s="10">
        <f>IF(Table1[[#This Row],[P/750]]&lt;20,1,IF(Table1[[#This Row],[P/750]]&lt;50,2,3))</f>
        <v>1</v>
      </c>
      <c r="AF45" s="10">
        <f>IF(Table1[[#This Row],[P/750]]&lt;Expenses!$C$30,1,IF(Table1[[#This Row],[P/750]]&lt;Expenses!$C$31,2,IF(Table1[[#This Row],[P/750]]&lt;Expenses!$C$32,3,4)))</f>
        <v>2</v>
      </c>
      <c r="AH45" s="37" t="s">
        <v>1128</v>
      </c>
      <c r="AI45" s="11">
        <f>Table1[[#This Row],[Price]]/Table1[[#This Row],[Size (ml)]]*750</f>
        <v>17.600000000000001</v>
      </c>
      <c r="AK45" s="10">
        <f>COUNTIF(UniqueID!A:A,Table1[[#This Row],[ID]])</f>
        <v>0</v>
      </c>
      <c r="AL45" s="10" t="str">
        <f>VLOOKUP(Table1[[#This Row],[Cellar Location]],Location!A:F,6,FALSE)</f>
        <v>K</v>
      </c>
      <c r="AM45" s="37"/>
      <c r="AN45" s="1">
        <v>43966</v>
      </c>
      <c r="AO45" s="10" t="str">
        <f>TEXT(Table1[[#This Row],[Purchased]],"mmmm")</f>
        <v>May</v>
      </c>
      <c r="AP45" s="10" t="str">
        <f>TEXT(Table1[[#This Row],[Purchased]],"yyyy")</f>
        <v>2020</v>
      </c>
      <c r="AQ45" s="10"/>
    </row>
    <row r="46" spans="1:43" s="37" customFormat="1" ht="14.25" customHeight="1" x14ac:dyDescent="0.25">
      <c r="A46" s="37" t="str">
        <f t="shared" si="0"/>
        <v>2018Masseria Li VeliPrimitivo Orion</v>
      </c>
      <c r="B46" s="8">
        <v>2018</v>
      </c>
      <c r="C46" s="8" t="s">
        <v>630</v>
      </c>
      <c r="D46" s="8" t="s">
        <v>631</v>
      </c>
      <c r="E46" s="64" t="s">
        <v>588</v>
      </c>
      <c r="F46" s="37" t="s">
        <v>728</v>
      </c>
      <c r="G46" s="37" t="s">
        <v>785</v>
      </c>
      <c r="H46" s="37" t="s">
        <v>786</v>
      </c>
      <c r="I46" s="37">
        <v>1</v>
      </c>
      <c r="J46" s="37">
        <v>750</v>
      </c>
      <c r="K46" s="8" t="s">
        <v>929</v>
      </c>
      <c r="L46" s="10">
        <f>COUNTIF(Drank!A:A,Table1[[#This Row],[ID]])</f>
        <v>9</v>
      </c>
      <c r="M46" s="37" t="s">
        <v>202</v>
      </c>
      <c r="N46" s="37" t="s">
        <v>207</v>
      </c>
      <c r="O46" s="37">
        <v>1</v>
      </c>
      <c r="R46" s="10">
        <f>IF(IFERROR(VLOOKUP(A46,Drank!A:S,15,FALSE),"")=0,"",IFERROR(VLOOKUP(A46,Drank!A:S,15,FALSE),""))</f>
        <v>2020</v>
      </c>
      <c r="S46" s="10">
        <f>IF(IFERROR(VLOOKUP(A46,Drank!A:S,16,FALSE),"")=0,"",IFERROR(VLOOKUP(A46,Drank!A:S,16,FALSE),""))</f>
        <v>2023</v>
      </c>
      <c r="T46" s="10"/>
      <c r="V46" s="18">
        <f>IF(IFERROR(VLOOKUP(A46,Drank!A:T,19,FALSE),"")=0,"",IFERROR(VLOOKUP(A46,Drank!A:T,19,FALSE),""))</f>
        <v>88.555555555555557</v>
      </c>
      <c r="W46" s="1">
        <f>IF(IFERROR(VLOOKUP(A46,Drank!A:T,20,FALSE),"")=0,"",IFERROR(VLOOKUP(A46,Drank!A:T,20,FALSE),""))</f>
        <v>44037</v>
      </c>
      <c r="X46" s="10">
        <f>SUMIF(A:A,A46,I:I)</f>
        <v>3</v>
      </c>
      <c r="Y46" s="10">
        <f>IF(Table1[[#This Row],[Drank]]&gt;0,VLOOKUP(Table1[[#This Row],[ID]],Drank!A:P,16,FALSE),IF(Table1[[#This Row],[WALDD]]&gt;0,VLOOKUP(Table1[[#This Row],[ID]],Wine1!A:Q,17,FALSE),Table1[[#This Row],[EP]]))</f>
        <v>2023</v>
      </c>
      <c r="Z46" s="18">
        <f>IF(Table1[[#This Row],[My Rating]]="",IF(Table1[[#This Row],[WA Rating Clean]]="","",Table1[[#This Row],[WA Rating Clean]]),Table1[[#This Row],[My Rating]])</f>
        <v>88.555555555555557</v>
      </c>
      <c r="AA46" s="8">
        <v>2020</v>
      </c>
      <c r="AB46" s="4">
        <v>14.66</v>
      </c>
      <c r="AC46" s="2">
        <f t="shared" si="1"/>
        <v>14.66</v>
      </c>
      <c r="AD46" s="8">
        <v>0</v>
      </c>
      <c r="AE46" s="10">
        <f>IF(Table1[[#This Row],[P/750]]&lt;20,1,IF(Table1[[#This Row],[P/750]]&lt;50,2,3))</f>
        <v>1</v>
      </c>
      <c r="AF46" s="10">
        <f>IF(Table1[[#This Row],[P/750]]&lt;Expenses!$C$30,1,IF(Table1[[#This Row],[P/750]]&lt;Expenses!$C$31,2,IF(Table1[[#This Row],[P/750]]&lt;Expenses!$C$32,3,4)))</f>
        <v>1</v>
      </c>
      <c r="AH46" s="37" t="s">
        <v>1128</v>
      </c>
      <c r="AI46" s="11">
        <f>Table1[[#This Row],[Price]]/Table1[[#This Row],[Size (ml)]]*750</f>
        <v>14.66</v>
      </c>
      <c r="AK46" s="10">
        <f>COUNTIF(UniqueID!A:A,Table1[[#This Row],[ID]])</f>
        <v>1</v>
      </c>
      <c r="AL46" s="37" t="str">
        <f>VLOOKUP(Table1[[#This Row],[Cellar Location]],Location!A:F,6,FALSE)</f>
        <v>C</v>
      </c>
      <c r="AN46" s="1">
        <v>43966</v>
      </c>
      <c r="AO46" s="37" t="str">
        <f>TEXT(Table1[[#This Row],[Purchased]],"mmmm")</f>
        <v>May</v>
      </c>
      <c r="AP46" s="10" t="str">
        <f>TEXT(Table1[[#This Row],[Purchased]],"yyyy")</f>
        <v>2020</v>
      </c>
      <c r="AQ46" s="10"/>
    </row>
    <row r="47" spans="1:43" s="37" customFormat="1" ht="14.25" customHeight="1" x14ac:dyDescent="0.25">
      <c r="A47" s="37" t="str">
        <f t="shared" si="0"/>
        <v>2018Masseria Li VeliPrimitivo Orion</v>
      </c>
      <c r="B47" s="8">
        <v>2018</v>
      </c>
      <c r="C47" s="8" t="s">
        <v>630</v>
      </c>
      <c r="D47" s="8" t="s">
        <v>631</v>
      </c>
      <c r="E47" s="64" t="s">
        <v>588</v>
      </c>
      <c r="F47" s="37" t="s">
        <v>728</v>
      </c>
      <c r="G47" s="37" t="s">
        <v>785</v>
      </c>
      <c r="H47" s="37" t="s">
        <v>786</v>
      </c>
      <c r="I47" s="37">
        <v>1</v>
      </c>
      <c r="J47" s="37">
        <v>750</v>
      </c>
      <c r="K47" s="8" t="s">
        <v>1427</v>
      </c>
      <c r="L47" s="10">
        <f>COUNTIF(Drank!A:A,Table1[[#This Row],[ID]])</f>
        <v>9</v>
      </c>
      <c r="M47" s="37" t="s">
        <v>202</v>
      </c>
      <c r="N47" s="37" t="s">
        <v>207</v>
      </c>
      <c r="O47" s="37">
        <v>1</v>
      </c>
      <c r="R47" s="10">
        <f>IF(IFERROR(VLOOKUP(A47,Drank!A:S,15,FALSE),"")=0,"",IFERROR(VLOOKUP(A47,Drank!A:S,15,FALSE),""))</f>
        <v>2020</v>
      </c>
      <c r="S47" s="10">
        <f>IF(IFERROR(VLOOKUP(A47,Drank!A:S,16,FALSE),"")=0,"",IFERROR(VLOOKUP(A47,Drank!A:S,16,FALSE),""))</f>
        <v>2023</v>
      </c>
      <c r="T47" s="10"/>
      <c r="V47" s="18">
        <f>IF(IFERROR(VLOOKUP(A47,Drank!A:T,19,FALSE),"")=0,"",IFERROR(VLOOKUP(A47,Drank!A:T,19,FALSE),""))</f>
        <v>88.555555555555557</v>
      </c>
      <c r="W47" s="1">
        <f>IF(IFERROR(VLOOKUP(A47,Drank!A:T,20,FALSE),"")=0,"",IFERROR(VLOOKUP(A47,Drank!A:T,20,FALSE),""))</f>
        <v>44037</v>
      </c>
      <c r="X47" s="10">
        <f>SUMIF(A:A,A47,I:I)</f>
        <v>3</v>
      </c>
      <c r="Y47" s="10">
        <f>IF(Table1[[#This Row],[Drank]]&gt;0,VLOOKUP(Table1[[#This Row],[ID]],Drank!A:P,16,FALSE),IF(Table1[[#This Row],[WALDD]]&gt;0,VLOOKUP(Table1[[#This Row],[ID]],Wine1!A:Q,17,FALSE),Table1[[#This Row],[EP]]))</f>
        <v>2023</v>
      </c>
      <c r="Z47" s="18">
        <f>IF(Table1[[#This Row],[My Rating]]="",IF(Table1[[#This Row],[WA Rating Clean]]="","",Table1[[#This Row],[WA Rating Clean]]),Table1[[#This Row],[My Rating]])</f>
        <v>88.555555555555557</v>
      </c>
      <c r="AA47" s="8">
        <v>2020</v>
      </c>
      <c r="AB47" s="4">
        <v>14.66</v>
      </c>
      <c r="AC47" s="2">
        <f t="shared" si="1"/>
        <v>14.66</v>
      </c>
      <c r="AD47" s="8">
        <v>0</v>
      </c>
      <c r="AE47" s="10">
        <f>IF(Table1[[#This Row],[P/750]]&lt;20,1,IF(Table1[[#This Row],[P/750]]&lt;50,2,3))</f>
        <v>1</v>
      </c>
      <c r="AF47" s="10">
        <f>IF(Table1[[#This Row],[P/750]]&lt;Expenses!$C$30,1,IF(Table1[[#This Row],[P/750]]&lt;Expenses!$C$31,2,IF(Table1[[#This Row],[P/750]]&lt;Expenses!$C$32,3,4)))</f>
        <v>1</v>
      </c>
      <c r="AH47" s="37" t="s">
        <v>1128</v>
      </c>
      <c r="AI47" s="11">
        <f>Table1[[#This Row],[Price]]/Table1[[#This Row],[Size (ml)]]*750</f>
        <v>14.66</v>
      </c>
      <c r="AK47" s="10">
        <f>COUNTIF(UniqueID!A:A,Table1[[#This Row],[ID]])</f>
        <v>1</v>
      </c>
      <c r="AL47" s="37" t="str">
        <f>VLOOKUP(Table1[[#This Row],[Cellar Location]],Location!A:F,6,FALSE)</f>
        <v>C</v>
      </c>
      <c r="AN47" s="1">
        <v>43966</v>
      </c>
      <c r="AO47" s="37" t="str">
        <f>TEXT(Table1[[#This Row],[Purchased]],"mmmm")</f>
        <v>May</v>
      </c>
      <c r="AP47" s="10" t="str">
        <f>TEXT(Table1[[#This Row],[Purchased]],"yyyy")</f>
        <v>2020</v>
      </c>
      <c r="AQ47" s="10"/>
    </row>
    <row r="48" spans="1:43" s="37" customFormat="1" ht="14.25" customHeight="1" x14ac:dyDescent="0.25">
      <c r="A48" s="37" t="str">
        <f t="shared" si="0"/>
        <v>2016San AlejandroLas Rocas</v>
      </c>
      <c r="B48" s="8">
        <v>2016</v>
      </c>
      <c r="C48" s="37" t="s">
        <v>152</v>
      </c>
      <c r="D48" s="25" t="s">
        <v>153</v>
      </c>
      <c r="E48" s="67" t="s">
        <v>1248</v>
      </c>
      <c r="F48" s="37" t="s">
        <v>729</v>
      </c>
      <c r="G48" s="37" t="s">
        <v>811</v>
      </c>
      <c r="H48" s="37" t="s">
        <v>812</v>
      </c>
      <c r="I48" s="37">
        <v>1</v>
      </c>
      <c r="J48" s="37">
        <v>750</v>
      </c>
      <c r="K48" s="8" t="s">
        <v>589</v>
      </c>
      <c r="L48" s="37">
        <f>COUNTIF(Drank!A:A,Table1[[#This Row],[ID]])</f>
        <v>21</v>
      </c>
      <c r="M48" s="37" t="s">
        <v>202</v>
      </c>
      <c r="N48" s="37" t="s">
        <v>207</v>
      </c>
      <c r="O48" s="37">
        <v>1</v>
      </c>
      <c r="P48" s="37">
        <v>2019</v>
      </c>
      <c r="Q48" s="37">
        <v>2021</v>
      </c>
      <c r="R48" s="37">
        <f>IF(IFERROR(VLOOKUP(A48,Drank!A:S,15,FALSE),"")=0,"",IFERROR(VLOOKUP(A48,Drank!A:S,15,FALSE),""))</f>
        <v>2020</v>
      </c>
      <c r="S48" s="37">
        <f>IF(IFERROR(VLOOKUP(A48,Drank!A:S,16,FALSE),"")=0,"",IFERROR(VLOOKUP(A48,Drank!A:S,16,FALSE),""))</f>
        <v>2023</v>
      </c>
      <c r="U48" s="37">
        <v>89</v>
      </c>
      <c r="V48" s="18">
        <f>IF(IFERROR(VLOOKUP(A48,Drank!A:T,19,FALSE),"")=0,"",IFERROR(VLOOKUP(A48,Drank!A:T,19,FALSE),""))</f>
        <v>88.944444444444443</v>
      </c>
      <c r="W48" s="1">
        <f>IF(IFERROR(VLOOKUP(A48,Drank!A:T,20,FALSE),"")=0,"",IFERROR(VLOOKUP(A48,Drank!A:T,20,FALSE),""))</f>
        <v>43889</v>
      </c>
      <c r="X48" s="37">
        <f>SUMIF(A:A,A48,I:I)</f>
        <v>4</v>
      </c>
      <c r="Y48" s="37">
        <f>IF(Table1[[#This Row],[Drank]]&gt;0,VLOOKUP(Table1[[#This Row],[ID]],Drank!A:P,16,FALSE),IF(Table1[[#This Row],[WALDD]]&gt;0,VLOOKUP(Table1[[#This Row],[ID]],Wine1!A:Q,17,FALSE),Table1[[#This Row],[EP]]))</f>
        <v>2023</v>
      </c>
      <c r="Z48" s="18">
        <f>IF(Table1[[#This Row],[My Rating]]="",IF(Table1[[#This Row],[WA Rating Clean]]="","",Table1[[#This Row],[WA Rating Clean]]),Table1[[#This Row],[My Rating]])</f>
        <v>88.944444444444443</v>
      </c>
      <c r="AA48" s="37">
        <v>2020</v>
      </c>
      <c r="AB48" s="2">
        <v>8.99</v>
      </c>
      <c r="AC48" s="2">
        <f t="shared" si="1"/>
        <v>8.99</v>
      </c>
      <c r="AD48" s="8">
        <v>0</v>
      </c>
      <c r="AE48" s="37">
        <f>IF(Table1[[#This Row],[P/750]]&lt;20,1,IF(Table1[[#This Row],[P/750]]&lt;50,2,3))</f>
        <v>1</v>
      </c>
      <c r="AF48" s="37">
        <f>IF(Table1[[#This Row],[P/750]]&lt;Expenses!$C$30,1,IF(Table1[[#This Row],[P/750]]&lt;Expenses!$C$31,2,IF(Table1[[#This Row],[P/750]]&lt;Expenses!$C$32,3,4)))</f>
        <v>1</v>
      </c>
      <c r="AH48" s="37" t="s">
        <v>1128</v>
      </c>
      <c r="AI48" s="11">
        <f>Table1[[#This Row],[Price]]/Table1[[#This Row],[Size (ml)]]*750</f>
        <v>8.99</v>
      </c>
      <c r="AJ48" s="37">
        <v>89</v>
      </c>
      <c r="AK48" s="37">
        <f>COUNTIF(UniqueID!A:A,Table1[[#This Row],[ID]])</f>
        <v>1</v>
      </c>
      <c r="AL48" s="37" t="str">
        <f>VLOOKUP(Table1[[#This Row],[Cellar Location]],Location!A:F,6,FALSE)</f>
        <v>C</v>
      </c>
      <c r="AM48" s="1"/>
      <c r="AN48" s="1">
        <v>43879</v>
      </c>
      <c r="AO48" s="37" t="str">
        <f>TEXT(Table1[[#This Row],[Purchased]],"mmmm")</f>
        <v>February</v>
      </c>
      <c r="AP48" s="10" t="str">
        <f>TEXT(Table1[[#This Row],[Purchased]],"yyyy")</f>
        <v>2020</v>
      </c>
      <c r="AQ48" s="10"/>
    </row>
    <row r="49" spans="1:43" s="37" customFormat="1" ht="14.25" customHeight="1" x14ac:dyDescent="0.25">
      <c r="A49" s="37" t="str">
        <f t="shared" si="0"/>
        <v>2016Tenuta Due MariPrimitivo Salento IGT</v>
      </c>
      <c r="B49" s="60">
        <v>2016</v>
      </c>
      <c r="C49" s="8" t="s">
        <v>608</v>
      </c>
      <c r="D49" s="37" t="s">
        <v>1368</v>
      </c>
      <c r="E49" s="67" t="s">
        <v>1369</v>
      </c>
      <c r="F49" s="37" t="s">
        <v>728</v>
      </c>
      <c r="G49" s="37" t="s">
        <v>785</v>
      </c>
      <c r="H49" s="37" t="s">
        <v>786</v>
      </c>
      <c r="I49" s="37">
        <v>1</v>
      </c>
      <c r="J49" s="9">
        <v>750</v>
      </c>
      <c r="K49" s="8" t="s">
        <v>58</v>
      </c>
      <c r="L49" s="10">
        <f>COUNTIF(Drank!A:A,Table1[[#This Row],[ID]])</f>
        <v>1</v>
      </c>
      <c r="M49" s="37" t="s">
        <v>202</v>
      </c>
      <c r="N49" s="37" t="s">
        <v>207</v>
      </c>
      <c r="O49" s="37">
        <v>0</v>
      </c>
      <c r="P49" s="10"/>
      <c r="R49" s="10">
        <f>IF(IFERROR(VLOOKUP(A49,Drank!A:S,15,FALSE),"")=0,"",IFERROR(VLOOKUP(A49,Drank!A:S,15,FALSE),""))</f>
        <v>2020</v>
      </c>
      <c r="S49" s="10">
        <f>IF(IFERROR(VLOOKUP(A49,Drank!A:S,16,FALSE),"")=0,"",IFERROR(VLOOKUP(A49,Drank!A:S,16,FALSE),""))</f>
        <v>2023</v>
      </c>
      <c r="T49" s="10">
        <v>2022</v>
      </c>
      <c r="V49" s="18">
        <f>IF(IFERROR(VLOOKUP(A49,Drank!A:T,19,FALSE),"")=0,"",IFERROR(VLOOKUP(A49,Drank!A:T,19,FALSE),""))</f>
        <v>86</v>
      </c>
      <c r="W49" s="1">
        <f>IF(IFERROR(VLOOKUP(A49,Drank!A:T,20,FALSE),"")=0,"",IFERROR(VLOOKUP(A49,Drank!A:T,20,FALSE),""))</f>
        <v>43945</v>
      </c>
      <c r="X49" s="10">
        <f>SUMIF(A:A,A49,I:I)</f>
        <v>1</v>
      </c>
      <c r="Y49" s="10">
        <f>IF(Table1[[#This Row],[Drank]]&gt;0,VLOOKUP(Table1[[#This Row],[ID]],Drank!A:P,16,FALSE),IF(Table1[[#This Row],[WALDD]]&gt;0,VLOOKUP(Table1[[#This Row],[ID]],Wine1!A:Q,17,FALSE),Table1[[#This Row],[EP]]))</f>
        <v>2023</v>
      </c>
      <c r="Z49" s="18">
        <f>IF(Table1[[#This Row],[My Rating]]="",IF(Table1[[#This Row],[WA Rating Clean]]="","",Table1[[#This Row],[WA Rating Clean]]),Table1[[#This Row],[My Rating]])</f>
        <v>86</v>
      </c>
      <c r="AA49" s="37">
        <v>2020</v>
      </c>
      <c r="AB49" s="4">
        <v>10.85</v>
      </c>
      <c r="AC49" s="2">
        <f t="shared" si="1"/>
        <v>10.85</v>
      </c>
      <c r="AD49" s="8">
        <v>0</v>
      </c>
      <c r="AE49" s="10">
        <f>IF(Table1[[#This Row],[P/750]]&lt;20,1,IF(Table1[[#This Row],[P/750]]&lt;50,2,3))</f>
        <v>1</v>
      </c>
      <c r="AF49" s="10">
        <f>IF(Table1[[#This Row],[P/750]]&lt;Expenses!$C$30,1,IF(Table1[[#This Row],[P/750]]&lt;Expenses!$C$31,2,IF(Table1[[#This Row],[P/750]]&lt;Expenses!$C$32,3,4)))</f>
        <v>1</v>
      </c>
      <c r="AH49" s="37" t="s">
        <v>384</v>
      </c>
      <c r="AI49" s="11">
        <f>Table1[[#This Row],[Price]]/Table1[[#This Row],[Size (ml)]]*750</f>
        <v>10.85</v>
      </c>
      <c r="AK49" s="10">
        <f>COUNTIF(UniqueID!A:A,Table1[[#This Row],[ID]])</f>
        <v>0</v>
      </c>
      <c r="AL49" s="10" t="str">
        <f>VLOOKUP(Table1[[#This Row],[Cellar Location]],Location!A:F,6,FALSE)</f>
        <v>K</v>
      </c>
      <c r="AN49" s="1">
        <v>43934</v>
      </c>
      <c r="AO49" s="10" t="str">
        <f>TEXT(Table1[[#This Row],[Purchased]],"mmmm")</f>
        <v>April</v>
      </c>
      <c r="AP49" s="10" t="str">
        <f>TEXT(Table1[[#This Row],[Purchased]],"yyyy")</f>
        <v>2020</v>
      </c>
      <c r="AQ49" s="10"/>
    </row>
    <row r="50" spans="1:43" s="37" customFormat="1" ht="14.25" customHeight="1" x14ac:dyDescent="0.25">
      <c r="A50" s="37" t="str">
        <f t="shared" si="0"/>
        <v>2015AllegriniPalazzo della Torre</v>
      </c>
      <c r="B50" s="8">
        <v>2015</v>
      </c>
      <c r="C50" s="9" t="s">
        <v>111</v>
      </c>
      <c r="D50" s="9" t="s">
        <v>112</v>
      </c>
      <c r="E50" s="67" t="s">
        <v>1258</v>
      </c>
      <c r="F50" s="37" t="s">
        <v>728</v>
      </c>
      <c r="G50" s="37" t="s">
        <v>799</v>
      </c>
      <c r="H50" s="37" t="s">
        <v>800</v>
      </c>
      <c r="I50" s="37">
        <v>1</v>
      </c>
      <c r="J50" s="37">
        <v>750</v>
      </c>
      <c r="K50" s="8" t="s">
        <v>1427</v>
      </c>
      <c r="L50" s="37">
        <f>COUNTIF(Drank!A:A,Table1[[#This Row],[ID]])</f>
        <v>11</v>
      </c>
      <c r="M50" s="37" t="s">
        <v>202</v>
      </c>
      <c r="N50" s="37" t="s">
        <v>207</v>
      </c>
      <c r="O50" s="37">
        <v>1</v>
      </c>
      <c r="P50" s="37">
        <v>2019</v>
      </c>
      <c r="Q50" s="37">
        <v>2025</v>
      </c>
      <c r="R50" s="10">
        <f>IF(IFERROR(VLOOKUP(A50,Drank!A:S,15,FALSE),"")=0,"",IFERROR(VLOOKUP(A50,Drank!A:S,15,FALSE),""))</f>
        <v>2020</v>
      </c>
      <c r="S50" s="10">
        <f>IF(IFERROR(VLOOKUP(A50,Drank!A:S,16,FALSE),"")=0,"",IFERROR(VLOOKUP(A50,Drank!A:S,16,FALSE),""))</f>
        <v>2023</v>
      </c>
      <c r="T50" s="10"/>
      <c r="U50" s="37" t="s">
        <v>1404</v>
      </c>
      <c r="V50" s="18">
        <f>IF(IFERROR(VLOOKUP(A50,Drank!A:T,19,FALSE),"")=0,"",IFERROR(VLOOKUP(A50,Drank!A:T,19,FALSE),""))</f>
        <v>90.909090909090907</v>
      </c>
      <c r="W50" s="1">
        <f>IF(IFERROR(VLOOKUP(A50,Drank!A:T,20,FALSE),"")=0,"",IFERROR(VLOOKUP(A50,Drank!A:T,20,FALSE),""))</f>
        <v>44051</v>
      </c>
      <c r="X50" s="10">
        <f>SUMIF(A:A,A50,I:I)</f>
        <v>6</v>
      </c>
      <c r="Y50" s="37">
        <f>IF(Table1[[#This Row],[Drank]]&gt;0,VLOOKUP(Table1[[#This Row],[ID]],Drank!A:P,16,FALSE),IF(Table1[[#This Row],[WALDD]]&gt;0,VLOOKUP(Table1[[#This Row],[ID]],Wine1!A:Q,17,FALSE),Table1[[#This Row],[EP]]))</f>
        <v>2023</v>
      </c>
      <c r="Z50" s="18">
        <f>IF(Table1[[#This Row],[My Rating]]="",IF(Table1[[#This Row],[WA Rating Clean]]="","",Table1[[#This Row],[WA Rating Clean]]),Table1[[#This Row],[My Rating]])</f>
        <v>90.909090909090907</v>
      </c>
      <c r="AA50" s="37">
        <v>2020</v>
      </c>
      <c r="AB50" s="4">
        <v>19.55</v>
      </c>
      <c r="AC50" s="2">
        <f t="shared" si="1"/>
        <v>19.55</v>
      </c>
      <c r="AD50" s="8">
        <v>0</v>
      </c>
      <c r="AE50" s="37">
        <f>IF(Table1[[#This Row],[P/750]]&lt;20,1,IF(Table1[[#This Row],[P/750]]&lt;50,2,3))</f>
        <v>1</v>
      </c>
      <c r="AF50" s="37">
        <f>IF(Table1[[#This Row],[P/750]]&lt;Expenses!$C$30,1,IF(Table1[[#This Row],[P/750]]&lt;Expenses!$C$31,2,IF(Table1[[#This Row],[P/750]]&lt;Expenses!$C$32,3,4)))</f>
        <v>2</v>
      </c>
      <c r="AH50" s="25" t="s">
        <v>1128</v>
      </c>
      <c r="AI50" s="11">
        <f>Table1[[#This Row],[Price]]/Table1[[#This Row],[Size (ml)]]*750</f>
        <v>19.55</v>
      </c>
      <c r="AJ50" s="37">
        <v>90</v>
      </c>
      <c r="AK50" s="37">
        <f>COUNTIF(UniqueID!A:A,Table1[[#This Row],[ID]])</f>
        <v>1</v>
      </c>
      <c r="AL50" s="37" t="str">
        <f>VLOOKUP(Table1[[#This Row],[Cellar Location]],Location!A:F,6,FALSE)</f>
        <v>C</v>
      </c>
      <c r="AN50" s="1">
        <v>43966</v>
      </c>
      <c r="AO50" s="37" t="str">
        <f>TEXT(Table1[[#This Row],[Purchased]],"mmmm")</f>
        <v>May</v>
      </c>
      <c r="AP50" s="10" t="str">
        <f>TEXT(Table1[[#This Row],[Purchased]],"yyyy")</f>
        <v>2020</v>
      </c>
      <c r="AQ50" s="10"/>
    </row>
    <row r="51" spans="1:43" s="37" customFormat="1" ht="14.25" customHeight="1" x14ac:dyDescent="0.25">
      <c r="A51" s="37" t="str">
        <f t="shared" si="0"/>
        <v>2019G.D. VajraLanghe Nebbiolo Clare J.C.</v>
      </c>
      <c r="B51" s="37">
        <v>2019</v>
      </c>
      <c r="C51" s="37" t="s">
        <v>81</v>
      </c>
      <c r="D51" s="37" t="s">
        <v>1702</v>
      </c>
      <c r="E51" s="37" t="s">
        <v>1206</v>
      </c>
      <c r="F51" s="37" t="s">
        <v>728</v>
      </c>
      <c r="G51" s="37" t="s">
        <v>778</v>
      </c>
      <c r="H51" s="37" t="s">
        <v>1193</v>
      </c>
      <c r="I51" s="8">
        <v>1</v>
      </c>
      <c r="J51" s="38">
        <v>750</v>
      </c>
      <c r="K51" s="38" t="s">
        <v>1687</v>
      </c>
      <c r="L51" s="10">
        <f>COUNTIF(Drank!A:A,Table1[[#This Row],[ID]])</f>
        <v>0</v>
      </c>
      <c r="M51" s="37" t="s">
        <v>202</v>
      </c>
      <c r="N51" s="37" t="s">
        <v>207</v>
      </c>
      <c r="O51" s="37">
        <v>1</v>
      </c>
      <c r="P51" s="37">
        <v>2020</v>
      </c>
      <c r="Q51" s="37">
        <v>2023</v>
      </c>
      <c r="R51" s="10" t="str">
        <f>IF(IFERROR(VLOOKUP(A51,Drank!A:S,15,FALSE),"")=0,"",IFERROR(VLOOKUP(A51,Drank!A:S,15,FALSE),""))</f>
        <v/>
      </c>
      <c r="S51" s="10" t="str">
        <f>IF(IFERROR(VLOOKUP(A51,Drank!A:S,16,FALSE),"")=0,"",IFERROR(VLOOKUP(A51,Drank!A:S,16,FALSE),""))</f>
        <v/>
      </c>
      <c r="T51" s="10"/>
      <c r="U51" s="37" t="s">
        <v>29</v>
      </c>
      <c r="V51" s="18" t="str">
        <f>IF(IFERROR(VLOOKUP(A51,Drank!A:T,19,FALSE),"")=0,"",IFERROR(VLOOKUP(A51,Drank!A:T,19,FALSE),""))</f>
        <v/>
      </c>
      <c r="W51" s="1" t="str">
        <f>IF(IFERROR(VLOOKUP(A51,Drank!A:T,20,FALSE),"")=0,"",IFERROR(VLOOKUP(A51,Drank!A:T,20,FALSE),""))</f>
        <v/>
      </c>
      <c r="X51" s="10">
        <f>SUMIF(A:A,A51,I:I)</f>
        <v>6</v>
      </c>
      <c r="Y51" s="10">
        <f>IF(Table1[[#This Row],[Drank]]&gt;0,VLOOKUP(Table1[[#This Row],[ID]],Drank!A:P,16,FALSE),IF(Table1[[#This Row],[WALDD]]&gt;0,VLOOKUP(Table1[[#This Row],[ID]],Wine1!A:Q,17,FALSE),Table1[[#This Row],[EP]]))</f>
        <v>2023</v>
      </c>
      <c r="Z51" s="18">
        <f>IF(Table1[[#This Row],[My Rating]]="",IF(Table1[[#This Row],[WA Rating Clean]]="","",Table1[[#This Row],[WA Rating Clean]]),Table1[[#This Row],[My Rating]])</f>
        <v>92</v>
      </c>
      <c r="AA51" s="8">
        <v>2020</v>
      </c>
      <c r="AB51" s="4">
        <v>22.4</v>
      </c>
      <c r="AC51" s="2">
        <f t="shared" si="1"/>
        <v>22.4</v>
      </c>
      <c r="AD51" s="8">
        <v>1</v>
      </c>
      <c r="AE51" s="10">
        <f>IF(Table1[[#This Row],[P/750]]&lt;20,1,IF(Table1[[#This Row],[P/750]]&lt;50,2,3))</f>
        <v>2</v>
      </c>
      <c r="AF51" s="10">
        <f>IF(Table1[[#This Row],[P/750]]&lt;Expenses!$C$30,1,IF(Table1[[#This Row],[P/750]]&lt;Expenses!$C$31,2,IF(Table1[[#This Row],[P/750]]&lt;Expenses!$C$32,3,4)))</f>
        <v>2</v>
      </c>
      <c r="AH51" s="37" t="s">
        <v>1189</v>
      </c>
      <c r="AI51" s="11">
        <f>Table1[[#This Row],[Price]]/Table1[[#This Row],[Size (ml)]]*750</f>
        <v>22.4</v>
      </c>
      <c r="AJ51" s="37">
        <v>92</v>
      </c>
      <c r="AK51" s="10">
        <f>COUNTIF(UniqueID!A:A,Table1[[#This Row],[ID]])</f>
        <v>0</v>
      </c>
      <c r="AL51" s="10" t="str">
        <f>VLOOKUP(Table1[[#This Row],[Cellar Location]],Location!A:F,6,FALSE)</f>
        <v>W</v>
      </c>
      <c r="AN51" s="1">
        <v>44061</v>
      </c>
      <c r="AO51" s="10" t="str">
        <f>TEXT(Table1[[#This Row],[Purchased]],"mmmm")</f>
        <v>August</v>
      </c>
      <c r="AP51" s="10" t="str">
        <f>TEXT(Table1[[#This Row],[Purchased]],"yyyy")</f>
        <v>2020</v>
      </c>
      <c r="AQ51" s="1">
        <v>44137</v>
      </c>
    </row>
    <row r="52" spans="1:43" s="37" customFormat="1" ht="14.25" customHeight="1" x14ac:dyDescent="0.25">
      <c r="A52" s="37" t="str">
        <f t="shared" si="0"/>
        <v>2016PoesiaClose des Andes</v>
      </c>
      <c r="B52" s="38">
        <v>2016</v>
      </c>
      <c r="C52" s="37" t="s">
        <v>1552</v>
      </c>
      <c r="D52" s="9" t="s">
        <v>1798</v>
      </c>
      <c r="E52" s="67" t="s">
        <v>1207</v>
      </c>
      <c r="F52" s="37" t="s">
        <v>731</v>
      </c>
      <c r="G52" s="37" t="s">
        <v>732</v>
      </c>
      <c r="H52" s="37" t="s">
        <v>849</v>
      </c>
      <c r="I52" s="37">
        <v>1</v>
      </c>
      <c r="J52" s="37">
        <v>750</v>
      </c>
      <c r="K52" s="8" t="s">
        <v>1833</v>
      </c>
      <c r="L52" s="10">
        <f>COUNTIF(Drank!A:A,Table1[[#This Row],[ID]])</f>
        <v>0</v>
      </c>
      <c r="M52" s="37" t="s">
        <v>202</v>
      </c>
      <c r="N52" s="37" t="s">
        <v>207</v>
      </c>
      <c r="O52" s="37">
        <v>1</v>
      </c>
      <c r="P52" s="10">
        <v>2018</v>
      </c>
      <c r="Q52" s="37">
        <v>2023</v>
      </c>
      <c r="R52" s="10" t="str">
        <f>IF(IFERROR(VLOOKUP(A52,Drank!A:S,15,FALSE),"")=0,"",IFERROR(VLOOKUP(A52,Drank!A:S,15,FALSE),""))</f>
        <v/>
      </c>
      <c r="S52" s="10" t="str">
        <f>IF(IFERROR(VLOOKUP(A52,Drank!A:S,16,FALSE),"")=0,"",IFERROR(VLOOKUP(A52,Drank!A:S,16,FALSE),""))</f>
        <v/>
      </c>
      <c r="T52" s="10"/>
      <c r="U52" s="37">
        <v>92</v>
      </c>
      <c r="V52" s="18" t="str">
        <f>IF(IFERROR(VLOOKUP(A52,Drank!A:T,19,FALSE),"")=0,"",IFERROR(VLOOKUP(A52,Drank!A:T,19,FALSE),""))</f>
        <v/>
      </c>
      <c r="W52" s="1" t="str">
        <f>IF(IFERROR(VLOOKUP(A52,Drank!A:T,20,FALSE),"")=0,"",IFERROR(VLOOKUP(A52,Drank!A:T,20,FALSE),""))</f>
        <v/>
      </c>
      <c r="X52" s="10">
        <f>SUMIF(A:A,A52,I:I)</f>
        <v>1</v>
      </c>
      <c r="Y52" s="10">
        <f>IF(Table1[[#This Row],[Drank]]&gt;0,VLOOKUP(Table1[[#This Row],[ID]],Drank!A:P,16,FALSE),IF(Table1[[#This Row],[WALDD]]&gt;0,VLOOKUP(Table1[[#This Row],[ID]],Wine1!A:Q,17,FALSE),Table1[[#This Row],[EP]]))</f>
        <v>2023</v>
      </c>
      <c r="Z52" s="18">
        <f>IF(Table1[[#This Row],[My Rating]]="",IF(Table1[[#This Row],[WA Rating Clean]]="","",Table1[[#This Row],[WA Rating Clean]]),Table1[[#This Row],[My Rating]])</f>
        <v>92</v>
      </c>
      <c r="AA52" s="37">
        <v>2020</v>
      </c>
      <c r="AB52" s="128">
        <v>15.35</v>
      </c>
      <c r="AC52" s="2">
        <f t="shared" si="1"/>
        <v>15.35</v>
      </c>
      <c r="AD52" s="8"/>
      <c r="AE52" s="10">
        <f>IF(Table1[[#This Row],[P/750]]&lt;20,1,IF(Table1[[#This Row],[P/750]]&lt;50,2,3))</f>
        <v>1</v>
      </c>
      <c r="AF52" s="10">
        <f>IF(Table1[[#This Row],[P/750]]&lt;Expenses!$C$30,1,IF(Table1[[#This Row],[P/750]]&lt;Expenses!$C$31,2,IF(Table1[[#This Row],[P/750]]&lt;Expenses!$C$32,3,4)))</f>
        <v>1</v>
      </c>
      <c r="AH52" s="25" t="s">
        <v>1545</v>
      </c>
      <c r="AI52" s="11">
        <f>Table1[[#This Row],[Price]]/Table1[[#This Row],[Size (ml)]]*750</f>
        <v>15.350000000000001</v>
      </c>
      <c r="AJ52" s="37">
        <v>92</v>
      </c>
      <c r="AK52" s="10">
        <f>COUNTIF(UniqueID!A:A,Table1[[#This Row],[ID]])</f>
        <v>0</v>
      </c>
      <c r="AL52" s="10" t="str">
        <f>VLOOKUP(Table1[[#This Row],[Cellar Location]],Location!A:F,6,FALSE)</f>
        <v>C</v>
      </c>
      <c r="AN52" s="1">
        <v>44065</v>
      </c>
      <c r="AO52" s="10" t="str">
        <f>TEXT(Table1[[#This Row],[Purchased]],"mmmm")</f>
        <v>August</v>
      </c>
      <c r="AP52" s="10" t="str">
        <f>TEXT(Table1[[#This Row],[Purchased]],"yyyy")</f>
        <v>2020</v>
      </c>
      <c r="AQ52" s="10"/>
    </row>
    <row r="53" spans="1:43" s="37" customFormat="1" ht="14.25" customHeight="1" x14ac:dyDescent="0.25">
      <c r="A53" s="37" t="str">
        <f t="shared" si="0"/>
        <v>2019Cuvee du VaticanBenedictus de Vatican Reserve Sacree</v>
      </c>
      <c r="B53" s="37">
        <v>2019</v>
      </c>
      <c r="C53" s="37" t="s">
        <v>1682</v>
      </c>
      <c r="D53" s="37" t="s">
        <v>1683</v>
      </c>
      <c r="E53" s="67"/>
      <c r="F53" s="37" t="s">
        <v>742</v>
      </c>
      <c r="G53" s="37" t="s">
        <v>1681</v>
      </c>
      <c r="I53" s="8">
        <v>1</v>
      </c>
      <c r="J53" s="38">
        <v>750</v>
      </c>
      <c r="K53" s="38" t="s">
        <v>1526</v>
      </c>
      <c r="L53" s="10">
        <f>COUNTIF(Drank!A:A,Table1[[#This Row],[ID]])</f>
        <v>0</v>
      </c>
      <c r="M53" s="37" t="s">
        <v>202</v>
      </c>
      <c r="N53" s="37" t="s">
        <v>207</v>
      </c>
      <c r="O53" s="37">
        <v>0</v>
      </c>
      <c r="R53" s="10" t="str">
        <f>IF(IFERROR(VLOOKUP(A53,Drank!A:S,15,FALSE),"")=0,"",IFERROR(VLOOKUP(A53,Drank!A:S,15,FALSE),""))</f>
        <v/>
      </c>
      <c r="S53" s="10" t="str">
        <f>IF(IFERROR(VLOOKUP(A53,Drank!A:S,16,FALSE),"")=0,"",IFERROR(VLOOKUP(A53,Drank!A:S,16,FALSE),""))</f>
        <v/>
      </c>
      <c r="T53" s="10">
        <v>2024</v>
      </c>
      <c r="V53" s="18" t="str">
        <f>IF(IFERROR(VLOOKUP(A53,Drank!A:T,19,FALSE),"")=0,"",IFERROR(VLOOKUP(A53,Drank!A:T,19,FALSE),""))</f>
        <v/>
      </c>
      <c r="W53" s="1" t="str">
        <f>IF(IFERROR(VLOOKUP(A53,Drank!A:T,20,FALSE),"")=0,"",IFERROR(VLOOKUP(A53,Drank!A:T,20,FALSE),""))</f>
        <v/>
      </c>
      <c r="X53" s="10">
        <f>SUMIF(A:A,A53,I:I)</f>
        <v>1</v>
      </c>
      <c r="Y53" s="10">
        <f>IF(Table1[[#This Row],[Drank]]&gt;0,VLOOKUP(Table1[[#This Row],[ID]],Drank!A:P,16,FALSE),IF(Table1[[#This Row],[WALDD]]&gt;0,VLOOKUP(Table1[[#This Row],[ID]],Wine1!A:Q,17,FALSE),Table1[[#This Row],[EP]]))</f>
        <v>2024</v>
      </c>
      <c r="Z53" s="18" t="str">
        <f>IF(Table1[[#This Row],[My Rating]]="",IF(Table1[[#This Row],[WA Rating Clean]]="","",Table1[[#This Row],[WA Rating Clean]]),Table1[[#This Row],[My Rating]])</f>
        <v/>
      </c>
      <c r="AA53" s="8">
        <v>2020</v>
      </c>
      <c r="AB53" s="4">
        <v>5.71</v>
      </c>
      <c r="AC53" s="2">
        <f t="shared" si="1"/>
        <v>5.71</v>
      </c>
      <c r="AD53" s="8">
        <v>1</v>
      </c>
      <c r="AE53" s="10">
        <f>IF(Table1[[#This Row],[P/750]]&lt;20,1,IF(Table1[[#This Row],[P/750]]&lt;50,2,3))</f>
        <v>1</v>
      </c>
      <c r="AF53" s="10">
        <f>IF(Table1[[#This Row],[P/750]]&lt;Expenses!$C$30,1,IF(Table1[[#This Row],[P/750]]&lt;Expenses!$C$31,2,IF(Table1[[#This Row],[P/750]]&lt;Expenses!$C$32,3,4)))</f>
        <v>1</v>
      </c>
      <c r="AH53" s="37" t="s">
        <v>1685</v>
      </c>
      <c r="AI53" s="11">
        <f>Table1[[#This Row],[Price]]/Table1[[#This Row],[Size (ml)]]*750</f>
        <v>5.71</v>
      </c>
      <c r="AK53" s="10">
        <f>COUNTIF(UniqueID!A:A,Table1[[#This Row],[ID]])</f>
        <v>0</v>
      </c>
      <c r="AL53" s="10" t="str">
        <f>VLOOKUP(Table1[[#This Row],[Cellar Location]],Location!A:F,6,FALSE)</f>
        <v>W</v>
      </c>
      <c r="AN53" s="1">
        <v>44061</v>
      </c>
      <c r="AO53" s="10" t="str">
        <f>TEXT(Table1[[#This Row],[Purchased]],"mmmm")</f>
        <v>August</v>
      </c>
      <c r="AP53" s="10" t="str">
        <f>TEXT(Table1[[#This Row],[Purchased]],"yyyy")</f>
        <v>2020</v>
      </c>
      <c r="AQ53" s="1">
        <v>44077</v>
      </c>
    </row>
    <row r="54" spans="1:43" s="37" customFormat="1" ht="14.25" customHeight="1" x14ac:dyDescent="0.25">
      <c r="A54" s="37" t="str">
        <f t="shared" si="0"/>
        <v>2016BrotteGigondas la Marasque</v>
      </c>
      <c r="B54" s="15">
        <v>2016</v>
      </c>
      <c r="C54" s="8" t="s">
        <v>1230</v>
      </c>
      <c r="D54" s="37" t="s">
        <v>1231</v>
      </c>
      <c r="E54" s="67" t="s">
        <v>1233</v>
      </c>
      <c r="F54" s="37" t="s">
        <v>742</v>
      </c>
      <c r="G54" s="37" t="s">
        <v>759</v>
      </c>
      <c r="H54" s="37" t="s">
        <v>764</v>
      </c>
      <c r="I54" s="37">
        <v>1</v>
      </c>
      <c r="J54" s="35">
        <v>750</v>
      </c>
      <c r="K54" s="8" t="s">
        <v>651</v>
      </c>
      <c r="L54" s="10">
        <f>COUNTIF(Drank!A:A,Table1[[#This Row],[ID]])</f>
        <v>1</v>
      </c>
      <c r="M54" s="37" t="s">
        <v>202</v>
      </c>
      <c r="N54" s="37" t="s">
        <v>207</v>
      </c>
      <c r="O54" s="37">
        <v>1</v>
      </c>
      <c r="P54" s="10">
        <v>2018</v>
      </c>
      <c r="Q54" s="37">
        <v>2023</v>
      </c>
      <c r="R54" s="10">
        <f>IF(IFERROR(VLOOKUP(A54,Drank!A:S,15,FALSE),"")=0,"",IFERROR(VLOOKUP(A54,Drank!A:S,15,FALSE),""))</f>
        <v>2020</v>
      </c>
      <c r="S54" s="10">
        <f>IF(IFERROR(VLOOKUP(A54,Drank!A:S,16,FALSE),"")=0,"",IFERROR(VLOOKUP(A54,Drank!A:S,16,FALSE),""))</f>
        <v>2024</v>
      </c>
      <c r="T54" s="10"/>
      <c r="U54" s="37" t="s">
        <v>1232</v>
      </c>
      <c r="V54" s="18">
        <f>IF(IFERROR(VLOOKUP(A54,Drank!A:T,19,FALSE),"")=0,"",IFERROR(VLOOKUP(A54,Drank!A:T,19,FALSE),""))</f>
        <v>91</v>
      </c>
      <c r="W54" s="1">
        <f>IF(IFERROR(VLOOKUP(A54,Drank!A:T,20,FALSE),"")=0,"",IFERROR(VLOOKUP(A54,Drank!A:T,20,FALSE),""))</f>
        <v>43911</v>
      </c>
      <c r="X54" s="10">
        <f>SUMIF(A:A,A54,I:I)</f>
        <v>4</v>
      </c>
      <c r="Y54" s="10">
        <f>IF(Table1[[#This Row],[Drank]]&gt;0,VLOOKUP(Table1[[#This Row],[ID]],Drank!A:P,16,FALSE),IF(Table1[[#This Row],[WALDD]]&gt;0,VLOOKUP(Table1[[#This Row],[ID]],Wine1!A:Q,17,FALSE),Table1[[#This Row],[EP]]))</f>
        <v>2024</v>
      </c>
      <c r="Z54" s="18">
        <f>IF(Table1[[#This Row],[My Rating]]="",IF(Table1[[#This Row],[WA Rating Clean]]="","",Table1[[#This Row],[WA Rating Clean]]),Table1[[#This Row],[My Rating]])</f>
        <v>91</v>
      </c>
      <c r="AA54" s="37">
        <v>2020</v>
      </c>
      <c r="AB54" s="4">
        <v>16.989999999999998</v>
      </c>
      <c r="AC54" s="2">
        <f t="shared" si="1"/>
        <v>16.989999999999998</v>
      </c>
      <c r="AD54" s="8">
        <v>0</v>
      </c>
      <c r="AE54" s="10">
        <f>IF(Table1[[#This Row],[P/750]]&lt;20,1,IF(Table1[[#This Row],[P/750]]&lt;50,2,3))</f>
        <v>1</v>
      </c>
      <c r="AF54" s="10">
        <f>IF(Table1[[#This Row],[P/750]]&lt;Expenses!$C$30,1,IF(Table1[[#This Row],[P/750]]&lt;Expenses!$C$31,2,IF(Table1[[#This Row],[P/750]]&lt;Expenses!$C$32,3,4)))</f>
        <v>2</v>
      </c>
      <c r="AH54" s="37" t="s">
        <v>384</v>
      </c>
      <c r="AI54" s="11">
        <f>Table1[[#This Row],[Price]]/Table1[[#This Row],[Size (ml)]]*750</f>
        <v>16.989999999999998</v>
      </c>
      <c r="AJ54" s="9">
        <v>91</v>
      </c>
      <c r="AK54" s="10">
        <f>COUNTIF(UniqueID!A:A,Table1[[#This Row],[ID]])</f>
        <v>1</v>
      </c>
      <c r="AL54" s="10" t="str">
        <f>VLOOKUP(Table1[[#This Row],[Cellar Location]],Location!A:F,6,FALSE)</f>
        <v>C</v>
      </c>
      <c r="AN54" s="1">
        <v>43863</v>
      </c>
      <c r="AO54" s="37" t="str">
        <f>TEXT(Table1[[#This Row],[Purchased]],"mmmm")</f>
        <v>February</v>
      </c>
      <c r="AP54" s="10" t="str">
        <f>TEXT(Table1[[#This Row],[Purchased]],"yyyy")</f>
        <v>2020</v>
      </c>
      <c r="AQ54" s="10"/>
    </row>
    <row r="55" spans="1:43" s="37" customFormat="1" ht="14.25" customHeight="1" x14ac:dyDescent="0.25">
      <c r="A55" s="37" t="str">
        <f t="shared" si="0"/>
        <v>2016Chateau de GrangeneuveSainte-Foy</v>
      </c>
      <c r="B55" s="37">
        <v>2016</v>
      </c>
      <c r="C55" s="103" t="s">
        <v>659</v>
      </c>
      <c r="D55" s="123" t="s">
        <v>660</v>
      </c>
      <c r="E55" s="67" t="s">
        <v>1273</v>
      </c>
      <c r="F55" s="37" t="s">
        <v>742</v>
      </c>
      <c r="G55" s="37" t="s">
        <v>748</v>
      </c>
      <c r="I55" s="37">
        <v>1</v>
      </c>
      <c r="J55" s="37">
        <v>750</v>
      </c>
      <c r="K55" s="8" t="s">
        <v>1427</v>
      </c>
      <c r="L55" s="10">
        <f>COUNTIF(Drank!A:A,Table1[[#This Row],[ID]])</f>
        <v>1</v>
      </c>
      <c r="M55" s="37" t="s">
        <v>202</v>
      </c>
      <c r="N55" s="37" t="s">
        <v>207</v>
      </c>
      <c r="O55" s="37">
        <v>1</v>
      </c>
      <c r="P55" s="10"/>
      <c r="R55" s="10" t="str">
        <f>IF(IFERROR(VLOOKUP(A55,Drank!A:S,15,FALSE),"")=0,"",IFERROR(VLOOKUP(A55,Drank!A:S,15,FALSE),""))</f>
        <v/>
      </c>
      <c r="S55" s="10">
        <f>IF(IFERROR(VLOOKUP(A55,Drank!A:S,16,FALSE),"")=0,"",IFERROR(VLOOKUP(A55,Drank!A:S,16,FALSE),""))</f>
        <v>2024</v>
      </c>
      <c r="T55" s="10">
        <v>2023</v>
      </c>
      <c r="V55" s="18">
        <f>IF(IFERROR(VLOOKUP(A55,Drank!A:T,19,FALSE),"")=0,"",IFERROR(VLOOKUP(A55,Drank!A:T,19,FALSE),""))</f>
        <v>88</v>
      </c>
      <c r="W55" s="1">
        <f>IF(IFERROR(VLOOKUP(A55,Drank!A:T,20,FALSE),"")=0,"",IFERROR(VLOOKUP(A55,Drank!A:T,20,FALSE),""))</f>
        <v>43813</v>
      </c>
      <c r="X55" s="10">
        <f>SUMIF(A:A,A55,I:I)</f>
        <v>3</v>
      </c>
      <c r="Y55" s="10">
        <f>IF(Table1[[#This Row],[Drank]]&gt;0,VLOOKUP(Table1[[#This Row],[ID]],Drank!A:P,16,FALSE),IF(Table1[[#This Row],[WALDD]]&gt;0,VLOOKUP(Table1[[#This Row],[ID]],Wine1!A:Q,17,FALSE),Table1[[#This Row],[EP]]))</f>
        <v>2024</v>
      </c>
      <c r="Z55" s="18">
        <f>IF(Table1[[#This Row],[My Rating]]="",IF(Table1[[#This Row],[WA Rating Clean]]="","",Table1[[#This Row],[WA Rating Clean]]),Table1[[#This Row],[My Rating]])</f>
        <v>88</v>
      </c>
      <c r="AA55" s="37">
        <v>2020</v>
      </c>
      <c r="AB55" s="4">
        <v>12.99</v>
      </c>
      <c r="AC55" s="2">
        <f t="shared" si="1"/>
        <v>12.99</v>
      </c>
      <c r="AD55" s="8">
        <v>0</v>
      </c>
      <c r="AE55" s="10">
        <f>IF(Table1[[#This Row],[P/750]]&lt;20,1,IF(Table1[[#This Row],[P/750]]&lt;50,2,3))</f>
        <v>1</v>
      </c>
      <c r="AF55" s="10">
        <f>IF(Table1[[#This Row],[P/750]]&lt;Expenses!$C$30,1,IF(Table1[[#This Row],[P/750]]&lt;Expenses!$C$31,2,IF(Table1[[#This Row],[P/750]]&lt;Expenses!$C$32,3,4)))</f>
        <v>1</v>
      </c>
      <c r="AH55" s="37" t="s">
        <v>384</v>
      </c>
      <c r="AI55" s="11">
        <f>Table1[[#This Row],[Price]]/Table1[[#This Row],[Size (ml)]]*750</f>
        <v>12.989999999999998</v>
      </c>
      <c r="AK55" s="37">
        <f>COUNTIF(UniqueID!A:A,Table1[[#This Row],[ID]])</f>
        <v>1</v>
      </c>
      <c r="AL55" s="37" t="str">
        <f>VLOOKUP(Table1[[#This Row],[Cellar Location]],Location!A:F,6,FALSE)</f>
        <v>C</v>
      </c>
      <c r="AN55" s="1">
        <v>43809</v>
      </c>
      <c r="AO55" s="37" t="str">
        <f>TEXT(Table1[[#This Row],[Purchased]],"mmmm")</f>
        <v>December</v>
      </c>
      <c r="AP55" s="10" t="str">
        <f>TEXT(Table1[[#This Row],[Purchased]],"yyyy")</f>
        <v>2019</v>
      </c>
      <c r="AQ55" s="10"/>
    </row>
    <row r="56" spans="1:43" s="37" customFormat="1" ht="14.25" customHeight="1" x14ac:dyDescent="0.25">
      <c r="A56" s="37" t="str">
        <f t="shared" si="0"/>
        <v>2017Tenuta Due MariLa Chiusa</v>
      </c>
      <c r="B56" s="8">
        <v>2017</v>
      </c>
      <c r="C56" s="37" t="s">
        <v>608</v>
      </c>
      <c r="D56" s="37" t="s">
        <v>609</v>
      </c>
      <c r="E56" s="65" t="s">
        <v>607</v>
      </c>
      <c r="F56" s="37" t="s">
        <v>728</v>
      </c>
      <c r="G56" s="37" t="s">
        <v>785</v>
      </c>
      <c r="H56" s="37" t="s">
        <v>786</v>
      </c>
      <c r="I56" s="37">
        <v>1</v>
      </c>
      <c r="J56" s="37">
        <v>750</v>
      </c>
      <c r="K56" s="8" t="s">
        <v>929</v>
      </c>
      <c r="L56" s="10">
        <f>COUNTIF(Drank!A:A,Table1[[#This Row],[ID]])</f>
        <v>3</v>
      </c>
      <c r="M56" s="37" t="s">
        <v>202</v>
      </c>
      <c r="N56" s="37" t="s">
        <v>207</v>
      </c>
      <c r="O56" s="37">
        <v>1</v>
      </c>
      <c r="P56" s="10"/>
      <c r="R56" s="10">
        <f>IF(IFERROR(VLOOKUP(A56,Drank!A:S,15,FALSE),"")=0,"",IFERROR(VLOOKUP(A56,Drank!A:S,15,FALSE),""))</f>
        <v>2020</v>
      </c>
      <c r="S56" s="10">
        <f>IF(IFERROR(VLOOKUP(A56,Drank!A:S,16,FALSE),"")=0,"",IFERROR(VLOOKUP(A56,Drank!A:S,16,FALSE),""))</f>
        <v>2024</v>
      </c>
      <c r="T56" s="10">
        <v>2024</v>
      </c>
      <c r="V56" s="18">
        <f>IF(IFERROR(VLOOKUP(A56,Drank!A:T,19,FALSE),"")=0,"",IFERROR(VLOOKUP(A56,Drank!A:T,19,FALSE),""))</f>
        <v>88.333333333333329</v>
      </c>
      <c r="W56" s="1">
        <f>IF(IFERROR(VLOOKUP(A56,Drank!A:T,20,FALSE),"")=0,"",IFERROR(VLOOKUP(A56,Drank!A:T,20,FALSE),""))</f>
        <v>43960</v>
      </c>
      <c r="X56" s="10">
        <f>SUMIF(A:A,A56,I:I)</f>
        <v>1</v>
      </c>
      <c r="Y56" s="10">
        <f>IF(Table1[[#This Row],[Drank]]&gt;0,VLOOKUP(Table1[[#This Row],[ID]],Drank!A:P,16,FALSE),IF(Table1[[#This Row],[WALDD]]&gt;0,VLOOKUP(Table1[[#This Row],[ID]],Wine1!A:Q,17,FALSE),Table1[[#This Row],[EP]]))</f>
        <v>2024</v>
      </c>
      <c r="Z56" s="18">
        <f>IF(Table1[[#This Row],[My Rating]]="",IF(Table1[[#This Row],[WA Rating Clean]]="","",Table1[[#This Row],[WA Rating Clean]]),Table1[[#This Row],[My Rating]])</f>
        <v>88.333333333333329</v>
      </c>
      <c r="AA56" s="37">
        <v>2020</v>
      </c>
      <c r="AB56" s="4">
        <v>9.99</v>
      </c>
      <c r="AC56" s="2">
        <f t="shared" si="1"/>
        <v>9.99</v>
      </c>
      <c r="AD56" s="8">
        <v>0</v>
      </c>
      <c r="AE56" s="10">
        <f>IF(Table1[[#This Row],[P/750]]&lt;20,1,IF(Table1[[#This Row],[P/750]]&lt;50,2,3))</f>
        <v>1</v>
      </c>
      <c r="AF56" s="10">
        <f>IF(Table1[[#This Row],[P/750]]&lt;Expenses!$C$30,1,IF(Table1[[#This Row],[P/750]]&lt;Expenses!$C$31,2,IF(Table1[[#This Row],[P/750]]&lt;Expenses!$C$32,3,4)))</f>
        <v>1</v>
      </c>
      <c r="AH56" s="37" t="s">
        <v>384</v>
      </c>
      <c r="AI56" s="11">
        <f>Table1[[#This Row],[Price]]/Table1[[#This Row],[Size (ml)]]*750</f>
        <v>9.99</v>
      </c>
      <c r="AK56" s="37">
        <f>COUNTIF(UniqueID!A:A,Table1[[#This Row],[ID]])</f>
        <v>1</v>
      </c>
      <c r="AL56" s="37" t="str">
        <f>VLOOKUP(Table1[[#This Row],[Cellar Location]],Location!A:F,6,FALSE)</f>
        <v>C</v>
      </c>
      <c r="AN56" s="1">
        <v>43803</v>
      </c>
      <c r="AO56" s="37" t="str">
        <f>TEXT(Table1[[#This Row],[Purchased]],"mmmm")</f>
        <v>December</v>
      </c>
      <c r="AP56" s="10" t="str">
        <f>TEXT(Table1[[#This Row],[Purchased]],"yyyy")</f>
        <v>2019</v>
      </c>
      <c r="AQ56" s="10"/>
    </row>
    <row r="57" spans="1:43" s="37" customFormat="1" ht="14.25" customHeight="1" x14ac:dyDescent="0.25">
      <c r="A57" s="37" t="str">
        <f t="shared" si="0"/>
        <v>2018Grand Serres, LesCotes du Rhone Portes du Castelas</v>
      </c>
      <c r="B57" s="37">
        <v>2018</v>
      </c>
      <c r="C57" s="135" t="s">
        <v>1704</v>
      </c>
      <c r="D57" s="9" t="s">
        <v>1705</v>
      </c>
      <c r="E57" s="68" t="s">
        <v>1706</v>
      </c>
      <c r="F57" s="37" t="s">
        <v>742</v>
      </c>
      <c r="G57" s="37" t="s">
        <v>759</v>
      </c>
      <c r="H57" s="37" t="s">
        <v>761</v>
      </c>
      <c r="I57" s="37">
        <v>1</v>
      </c>
      <c r="J57" s="37">
        <v>750</v>
      </c>
      <c r="K57" s="8" t="s">
        <v>1541</v>
      </c>
      <c r="L57" s="10">
        <f>COUNTIF(Drank!A:A,Table1[[#This Row],[ID]])</f>
        <v>0</v>
      </c>
      <c r="M57" s="37" t="s">
        <v>202</v>
      </c>
      <c r="N57" s="37" t="s">
        <v>207</v>
      </c>
      <c r="O57" s="37">
        <v>0</v>
      </c>
      <c r="R57" s="10" t="str">
        <f>IF(IFERROR(VLOOKUP(A57,Drank!A:S,15,FALSE),"")=0,"",IFERROR(VLOOKUP(A57,Drank!A:S,15,FALSE),""))</f>
        <v/>
      </c>
      <c r="S57" s="10" t="str">
        <f>IF(IFERROR(VLOOKUP(A57,Drank!A:S,16,FALSE),"")=0,"",IFERROR(VLOOKUP(A57,Drank!A:S,16,FALSE),""))</f>
        <v/>
      </c>
      <c r="T57" s="10">
        <v>2024</v>
      </c>
      <c r="V57" s="18" t="str">
        <f>IF(IFERROR(VLOOKUP(A57,Drank!A:T,19,FALSE),"")=0,"",IFERROR(VLOOKUP(A57,Drank!A:T,19,FALSE),""))</f>
        <v/>
      </c>
      <c r="W57" s="1" t="str">
        <f>IF(IFERROR(VLOOKUP(A57,Drank!A:T,20,FALSE),"")=0,"",IFERROR(VLOOKUP(A57,Drank!A:T,20,FALSE),""))</f>
        <v/>
      </c>
      <c r="X57" s="10">
        <f>SUMIF(A:A,A57,I:I)</f>
        <v>4</v>
      </c>
      <c r="Y57" s="10">
        <f>IF(Table1[[#This Row],[Drank]]&gt;0,VLOOKUP(Table1[[#This Row],[ID]],Drank!A:P,16,FALSE),IF(Table1[[#This Row],[WALDD]]&gt;0,VLOOKUP(Table1[[#This Row],[ID]],Wine1!A:Q,17,FALSE),Table1[[#This Row],[EP]]))</f>
        <v>2024</v>
      </c>
      <c r="Z57" s="18" t="str">
        <f>IF(Table1[[#This Row],[My Rating]]="",IF(Table1[[#This Row],[WA Rating Clean]]="","",Table1[[#This Row],[WA Rating Clean]]),Table1[[#This Row],[My Rating]])</f>
        <v/>
      </c>
      <c r="AA57" s="37">
        <v>2020</v>
      </c>
      <c r="AB57" s="4">
        <v>14.11</v>
      </c>
      <c r="AC57" s="2">
        <f t="shared" si="1"/>
        <v>14.11</v>
      </c>
      <c r="AD57" s="8">
        <v>0</v>
      </c>
      <c r="AE57" s="10">
        <f>IF(Table1[[#This Row],[P/750]]&lt;20,1,IF(Table1[[#This Row],[P/750]]&lt;50,2,3))</f>
        <v>1</v>
      </c>
      <c r="AF57" s="10">
        <f>IF(Table1[[#This Row],[P/750]]&lt;Expenses!$C$30,1,IF(Table1[[#This Row],[P/750]]&lt;Expenses!$C$31,2,IF(Table1[[#This Row],[P/750]]&lt;Expenses!$C$32,3,4)))</f>
        <v>1</v>
      </c>
      <c r="AH57" s="37" t="s">
        <v>384</v>
      </c>
      <c r="AI57" s="11">
        <f>Table1[[#This Row],[Price]]/Table1[[#This Row],[Size (ml)]]*750</f>
        <v>14.109999999999998</v>
      </c>
      <c r="AK57" s="10">
        <f>COUNTIF(UniqueID!A:A,Table1[[#This Row],[ID]])</f>
        <v>0</v>
      </c>
      <c r="AL57" s="10" t="str">
        <f>VLOOKUP(Table1[[#This Row],[Cellar Location]],Location!A:F,6,FALSE)</f>
        <v>C</v>
      </c>
      <c r="AN57" s="1">
        <v>44062</v>
      </c>
      <c r="AO57" s="10" t="str">
        <f>TEXT(Table1[[#This Row],[Purchased]],"mmmm")</f>
        <v>August</v>
      </c>
      <c r="AP57" s="10" t="str">
        <f>TEXT(Table1[[#This Row],[Purchased]],"yyyy")</f>
        <v>2020</v>
      </c>
      <c r="AQ57" s="10"/>
    </row>
    <row r="58" spans="1:43" s="37" customFormat="1" ht="14.25" customHeight="1" x14ac:dyDescent="0.25">
      <c r="A58" s="37" t="str">
        <f t="shared" si="0"/>
        <v>1985Caves Sao JoaoFrei Joao Tinto</v>
      </c>
      <c r="B58" s="37">
        <v>1985</v>
      </c>
      <c r="C58" s="37" t="s">
        <v>1582</v>
      </c>
      <c r="D58" s="37" t="s">
        <v>1583</v>
      </c>
      <c r="E58" s="69" t="s">
        <v>1584</v>
      </c>
      <c r="F58" s="37" t="s">
        <v>804</v>
      </c>
      <c r="G58" s="37" t="s">
        <v>1585</v>
      </c>
      <c r="H58" s="37" t="s">
        <v>1586</v>
      </c>
      <c r="I58" s="8">
        <v>1</v>
      </c>
      <c r="J58" s="38">
        <v>750</v>
      </c>
      <c r="K58" s="38" t="s">
        <v>1139</v>
      </c>
      <c r="L58" s="10">
        <f>COUNTIF(Drank!A:A,Table1[[#This Row],[ID]])</f>
        <v>0</v>
      </c>
      <c r="M58" s="37" t="s">
        <v>202</v>
      </c>
      <c r="N58" s="37" t="s">
        <v>207</v>
      </c>
      <c r="O58" s="37">
        <v>0</v>
      </c>
      <c r="P58" s="10"/>
      <c r="R58" s="10" t="str">
        <f>IF(IFERROR(VLOOKUP(A58,Drank!A:S,15,FALSE),"")=0,"",IFERROR(VLOOKUP(A58,Drank!A:S,15,FALSE),""))</f>
        <v/>
      </c>
      <c r="S58" s="10" t="str">
        <f>IF(IFERROR(VLOOKUP(A58,Drank!A:S,16,FALSE),"")=0,"",IFERROR(VLOOKUP(A58,Drank!A:S,16,FALSE),""))</f>
        <v/>
      </c>
      <c r="T58" s="10">
        <v>2024</v>
      </c>
      <c r="V58" s="18" t="str">
        <f>IF(IFERROR(VLOOKUP(A58,Drank!A:T,19,FALSE),"")=0,"",IFERROR(VLOOKUP(A58,Drank!A:T,19,FALSE),""))</f>
        <v/>
      </c>
      <c r="W58" s="1" t="str">
        <f>IF(IFERROR(VLOOKUP(A58,Drank!A:T,20,FALSE),"")=0,"",IFERROR(VLOOKUP(A58,Drank!A:T,20,FALSE),""))</f>
        <v/>
      </c>
      <c r="X58" s="10">
        <f>SUMIF(A:A,A58,I:I)</f>
        <v>1</v>
      </c>
      <c r="Y58" s="10">
        <f>IF(Table1[[#This Row],[Drank]]&gt;0,VLOOKUP(Table1[[#This Row],[ID]],Drank!A:P,16,FALSE),IF(Table1[[#This Row],[WALDD]]&gt;0,VLOOKUP(Table1[[#This Row],[ID]],Wine1!A:Q,17,FALSE),Table1[[#This Row],[EP]]))</f>
        <v>2024</v>
      </c>
      <c r="Z58" s="18" t="str">
        <f>IF(Table1[[#This Row],[My Rating]]="",IF(Table1[[#This Row],[WA Rating Clean]]="","",Table1[[#This Row],[WA Rating Clean]]),Table1[[#This Row],[My Rating]])</f>
        <v/>
      </c>
      <c r="AA58" s="37">
        <v>2020</v>
      </c>
      <c r="AB58" s="4">
        <v>43.99</v>
      </c>
      <c r="AC58" s="2">
        <f t="shared" si="1"/>
        <v>43.99</v>
      </c>
      <c r="AD58" s="8">
        <v>1</v>
      </c>
      <c r="AE58" s="10">
        <f>IF(Table1[[#This Row],[P/750]]&lt;20,1,IF(Table1[[#This Row],[P/750]]&lt;50,2,3))</f>
        <v>2</v>
      </c>
      <c r="AF58" s="10">
        <f>IF(Table1[[#This Row],[P/750]]&lt;Expenses!$C$30,1,IF(Table1[[#This Row],[P/750]]&lt;Expenses!$C$31,2,IF(Table1[[#This Row],[P/750]]&lt;Expenses!$C$32,3,4)))</f>
        <v>3</v>
      </c>
      <c r="AH58" s="37" t="s">
        <v>1139</v>
      </c>
      <c r="AI58" s="11">
        <f>Table1[[#This Row],[Price]]/Table1[[#This Row],[Size (ml)]]*750</f>
        <v>43.99</v>
      </c>
      <c r="AK58" s="10">
        <f>COUNTIF(UniqueID!A:A,Table1[[#This Row],[ID]])</f>
        <v>0</v>
      </c>
      <c r="AL58" s="10" t="str">
        <f>VLOOKUP(Table1[[#This Row],[Cellar Location]],Location!A:F,6,FALSE)</f>
        <v>W</v>
      </c>
      <c r="AN58" s="1">
        <v>44058</v>
      </c>
      <c r="AO58" s="10" t="str">
        <f>TEXT(Table1[[#This Row],[Purchased]],"mmmm")</f>
        <v>August</v>
      </c>
      <c r="AP58" s="10" t="str">
        <f>TEXT(Table1[[#This Row],[Purchased]],"yyyy")</f>
        <v>2020</v>
      </c>
      <c r="AQ58" s="1">
        <v>44132</v>
      </c>
    </row>
    <row r="59" spans="1:43" s="37" customFormat="1" ht="14.25" customHeight="1" x14ac:dyDescent="0.25">
      <c r="A59" s="37" t="str">
        <f t="shared" si="0"/>
        <v>2005LansonGold Label Vintage Brut</v>
      </c>
      <c r="B59" s="37">
        <v>2005</v>
      </c>
      <c r="C59" s="37" t="s">
        <v>1597</v>
      </c>
      <c r="D59" s="37" t="s">
        <v>1598</v>
      </c>
      <c r="E59" s="119" t="s">
        <v>1599</v>
      </c>
      <c r="F59" s="37" t="s">
        <v>742</v>
      </c>
      <c r="G59" s="37" t="s">
        <v>416</v>
      </c>
      <c r="I59" s="8">
        <v>1</v>
      </c>
      <c r="J59" s="38">
        <v>750</v>
      </c>
      <c r="K59" s="38" t="s">
        <v>1139</v>
      </c>
      <c r="L59" s="10">
        <f>COUNTIF(Drank!A:A,Table1[[#This Row],[ID]])</f>
        <v>0</v>
      </c>
      <c r="M59" s="37" t="s">
        <v>201</v>
      </c>
      <c r="N59" s="37" t="s">
        <v>638</v>
      </c>
      <c r="O59" s="37">
        <v>1</v>
      </c>
      <c r="P59" s="10">
        <v>2016</v>
      </c>
      <c r="Q59" s="37">
        <v>2024</v>
      </c>
      <c r="R59" s="10" t="str">
        <f>IF(IFERROR(VLOOKUP(A59,Drank!A:S,15,FALSE),"")=0,"",IFERROR(VLOOKUP(A59,Drank!A:S,15,FALSE),""))</f>
        <v/>
      </c>
      <c r="S59" s="10" t="str">
        <f>IF(IFERROR(VLOOKUP(A59,Drank!A:S,16,FALSE),"")=0,"",IFERROR(VLOOKUP(A59,Drank!A:S,16,FALSE),""))</f>
        <v/>
      </c>
      <c r="T59" s="10"/>
      <c r="U59" s="37">
        <v>92</v>
      </c>
      <c r="V59" s="18" t="str">
        <f>IF(IFERROR(VLOOKUP(A59,Drank!A:T,19,FALSE),"")=0,"",IFERROR(VLOOKUP(A59,Drank!A:T,19,FALSE),""))</f>
        <v/>
      </c>
      <c r="W59" s="1" t="str">
        <f>IF(IFERROR(VLOOKUP(A59,Drank!A:T,20,FALSE),"")=0,"",IFERROR(VLOOKUP(A59,Drank!A:T,20,FALSE),""))</f>
        <v/>
      </c>
      <c r="X59" s="10">
        <f>SUMIF(A:A,A59,I:I)</f>
        <v>2</v>
      </c>
      <c r="Y59" s="10">
        <f>IF(Table1[[#This Row],[Drank]]&gt;0,VLOOKUP(Table1[[#This Row],[ID]],Drank!A:P,16,FALSE),IF(Table1[[#This Row],[WALDD]]&gt;0,VLOOKUP(Table1[[#This Row],[ID]],Wine1!A:Q,17,FALSE),Table1[[#This Row],[EP]]))</f>
        <v>2024</v>
      </c>
      <c r="Z59" s="18">
        <f>IF(Table1[[#This Row],[My Rating]]="",IF(Table1[[#This Row],[WA Rating Clean]]="","",Table1[[#This Row],[WA Rating Clean]]),Table1[[#This Row],[My Rating]])</f>
        <v>92</v>
      </c>
      <c r="AA59" s="37">
        <v>2020</v>
      </c>
      <c r="AB59" s="4">
        <v>77.23</v>
      </c>
      <c r="AC59" s="2">
        <f t="shared" si="1"/>
        <v>77.23</v>
      </c>
      <c r="AD59" s="8">
        <v>1</v>
      </c>
      <c r="AE59" s="10">
        <f>IF(Table1[[#This Row],[P/750]]&lt;20,1,IF(Table1[[#This Row],[P/750]]&lt;50,2,3))</f>
        <v>3</v>
      </c>
      <c r="AF59" s="10">
        <f>IF(Table1[[#This Row],[P/750]]&lt;Expenses!$C$30,1,IF(Table1[[#This Row],[P/750]]&lt;Expenses!$C$31,2,IF(Table1[[#This Row],[P/750]]&lt;Expenses!$C$32,3,4)))</f>
        <v>4</v>
      </c>
      <c r="AH59" s="37" t="s">
        <v>1139</v>
      </c>
      <c r="AI59" s="11">
        <f>Table1[[#This Row],[Price]]/Table1[[#This Row],[Size (ml)]]*750</f>
        <v>77.23</v>
      </c>
      <c r="AJ59" s="37">
        <v>92</v>
      </c>
      <c r="AK59" s="10">
        <f>COUNTIF(UniqueID!A:A,Table1[[#This Row],[ID]])</f>
        <v>0</v>
      </c>
      <c r="AL59" s="10" t="str">
        <f>VLOOKUP(Table1[[#This Row],[Cellar Location]],Location!A:F,6,FALSE)</f>
        <v>W</v>
      </c>
      <c r="AN59" s="1">
        <v>44058</v>
      </c>
      <c r="AO59" s="10" t="str">
        <f>TEXT(Table1[[#This Row],[Purchased]],"mmmm")</f>
        <v>August</v>
      </c>
      <c r="AP59" s="10" t="str">
        <f>TEXT(Table1[[#This Row],[Purchased]],"yyyy")</f>
        <v>2020</v>
      </c>
      <c r="AQ59" s="1">
        <v>44132</v>
      </c>
    </row>
    <row r="60" spans="1:43" s="37" customFormat="1" ht="14.25" customHeight="1" x14ac:dyDescent="0.25">
      <c r="A60" s="37" t="str">
        <f t="shared" si="0"/>
        <v>2018RaymondThe Inaugural R Collection</v>
      </c>
      <c r="B60" s="37">
        <v>2018</v>
      </c>
      <c r="C60" s="37" t="s">
        <v>1662</v>
      </c>
      <c r="D60" s="37" t="s">
        <v>1663</v>
      </c>
      <c r="E60" s="69" t="s">
        <v>1443</v>
      </c>
      <c r="F60" s="37" t="s">
        <v>727</v>
      </c>
      <c r="G60" s="37" t="s">
        <v>806</v>
      </c>
      <c r="H60" s="37" t="s">
        <v>832</v>
      </c>
      <c r="I60" s="8">
        <v>1</v>
      </c>
      <c r="J60" s="38">
        <v>750</v>
      </c>
      <c r="K60" s="38" t="s">
        <v>1526</v>
      </c>
      <c r="L60" s="10">
        <f>COUNTIF(Drank!A:A,Table1[[#This Row],[ID]])</f>
        <v>0</v>
      </c>
      <c r="M60" s="37" t="s">
        <v>202</v>
      </c>
      <c r="N60" s="37" t="s">
        <v>207</v>
      </c>
      <c r="O60" s="37">
        <v>0</v>
      </c>
      <c r="R60" s="10" t="str">
        <f>IF(IFERROR(VLOOKUP(A60,Drank!A:S,15,FALSE),"")=0,"",IFERROR(VLOOKUP(A60,Drank!A:S,15,FALSE),""))</f>
        <v/>
      </c>
      <c r="S60" s="10" t="str">
        <f>IF(IFERROR(VLOOKUP(A60,Drank!A:S,16,FALSE),"")=0,"",IFERROR(VLOOKUP(A60,Drank!A:S,16,FALSE),""))</f>
        <v/>
      </c>
      <c r="T60" s="10">
        <v>2025</v>
      </c>
      <c r="V60" s="18" t="str">
        <f>IF(IFERROR(VLOOKUP(A60,Drank!A:T,19,FALSE),"")=0,"",IFERROR(VLOOKUP(A60,Drank!A:T,19,FALSE),""))</f>
        <v/>
      </c>
      <c r="W60" s="1" t="str">
        <f>IF(IFERROR(VLOOKUP(A60,Drank!A:T,20,FALSE),"")=0,"",IFERROR(VLOOKUP(A60,Drank!A:T,20,FALSE),""))</f>
        <v/>
      </c>
      <c r="X60" s="10">
        <f>SUMIF(A:A,A60,I:I)</f>
        <v>1</v>
      </c>
      <c r="Y60" s="10">
        <f>IF(Table1[[#This Row],[Drank]]&gt;0,VLOOKUP(Table1[[#This Row],[ID]],Drank!A:P,16,FALSE),IF(Table1[[#This Row],[WALDD]]&gt;0,VLOOKUP(Table1[[#This Row],[ID]],Wine1!A:Q,17,FALSE),Table1[[#This Row],[EP]]))</f>
        <v>2025</v>
      </c>
      <c r="Z60" s="18" t="str">
        <f>IF(Table1[[#This Row],[My Rating]]="",IF(Table1[[#This Row],[WA Rating Clean]]="","",Table1[[#This Row],[WA Rating Clean]]),Table1[[#This Row],[My Rating]])</f>
        <v/>
      </c>
      <c r="AA60" s="8">
        <v>2020</v>
      </c>
      <c r="AB60" s="4">
        <v>5.71</v>
      </c>
      <c r="AC60" s="2">
        <f t="shared" si="1"/>
        <v>5.71</v>
      </c>
      <c r="AD60" s="8">
        <v>1</v>
      </c>
      <c r="AE60" s="10">
        <f>IF(Table1[[#This Row],[P/750]]&lt;20,1,IF(Table1[[#This Row],[P/750]]&lt;50,2,3))</f>
        <v>1</v>
      </c>
      <c r="AF60" s="10">
        <f>IF(Table1[[#This Row],[P/750]]&lt;Expenses!$C$30,1,IF(Table1[[#This Row],[P/750]]&lt;Expenses!$C$31,2,IF(Table1[[#This Row],[P/750]]&lt;Expenses!$C$32,3,4)))</f>
        <v>1</v>
      </c>
      <c r="AH60" s="37" t="s">
        <v>1685</v>
      </c>
      <c r="AI60" s="11">
        <f>Table1[[#This Row],[Price]]/Table1[[#This Row],[Size (ml)]]*750</f>
        <v>5.71</v>
      </c>
      <c r="AK60" s="10">
        <f>COUNTIF(UniqueID!A:A,Table1[[#This Row],[ID]])</f>
        <v>0</v>
      </c>
      <c r="AL60" s="10" t="str">
        <f>VLOOKUP(Table1[[#This Row],[Cellar Location]],Location!A:F,6,FALSE)</f>
        <v>W</v>
      </c>
      <c r="AN60" s="1">
        <v>44061</v>
      </c>
      <c r="AO60" s="10" t="str">
        <f>TEXT(Table1[[#This Row],[Purchased]],"mmmm")</f>
        <v>August</v>
      </c>
      <c r="AP60" s="10" t="str">
        <f>TEXT(Table1[[#This Row],[Purchased]],"yyyy")</f>
        <v>2020</v>
      </c>
      <c r="AQ60" s="1">
        <v>44077</v>
      </c>
    </row>
    <row r="61" spans="1:43" s="37" customFormat="1" x14ac:dyDescent="0.25">
      <c r="A61" s="37" t="str">
        <f t="shared" si="0"/>
        <v>2018Diogo SepulvedaStones &amp; Bones</v>
      </c>
      <c r="B61" s="37">
        <v>2018</v>
      </c>
      <c r="C61" s="67" t="s">
        <v>1684</v>
      </c>
      <c r="D61" s="37" t="s">
        <v>1671</v>
      </c>
      <c r="F61" s="37" t="s">
        <v>804</v>
      </c>
      <c r="I61" s="8">
        <v>1</v>
      </c>
      <c r="J61" s="38">
        <v>750</v>
      </c>
      <c r="K61" s="38" t="s">
        <v>1526</v>
      </c>
      <c r="L61" s="10">
        <f>COUNTIF(Drank!A:A,Table1[[#This Row],[ID]])</f>
        <v>0</v>
      </c>
      <c r="M61" s="37" t="s">
        <v>202</v>
      </c>
      <c r="N61" s="37" t="s">
        <v>207</v>
      </c>
      <c r="O61" s="37">
        <v>0</v>
      </c>
      <c r="R61" s="10" t="str">
        <f>IF(IFERROR(VLOOKUP(A61,Drank!A:S,15,FALSE),"")=0,"",IFERROR(VLOOKUP(A61,Drank!A:S,15,FALSE),""))</f>
        <v/>
      </c>
      <c r="S61" s="10" t="str">
        <f>IF(IFERROR(VLOOKUP(A61,Drank!A:S,16,FALSE),"")=0,"",IFERROR(VLOOKUP(A61,Drank!A:S,16,FALSE),""))</f>
        <v/>
      </c>
      <c r="T61" s="10">
        <v>2025</v>
      </c>
      <c r="V61" s="18" t="str">
        <f>IF(IFERROR(VLOOKUP(A61,Drank!A:T,19,FALSE),"")=0,"",IFERROR(VLOOKUP(A61,Drank!A:T,19,FALSE),""))</f>
        <v/>
      </c>
      <c r="W61" s="1" t="str">
        <f>IF(IFERROR(VLOOKUP(A61,Drank!A:T,20,FALSE),"")=0,"",IFERROR(VLOOKUP(A61,Drank!A:T,20,FALSE),""))</f>
        <v/>
      </c>
      <c r="X61" s="10">
        <f>SUMIF(A:A,A61,I:I)</f>
        <v>1</v>
      </c>
      <c r="Y61" s="10">
        <f>IF(Table1[[#This Row],[Drank]]&gt;0,VLOOKUP(Table1[[#This Row],[ID]],Drank!A:P,16,FALSE),IF(Table1[[#This Row],[WALDD]]&gt;0,VLOOKUP(Table1[[#This Row],[ID]],Wine1!A:Q,17,FALSE),Table1[[#This Row],[EP]]))</f>
        <v>2025</v>
      </c>
      <c r="Z61" s="18" t="str">
        <f>IF(Table1[[#This Row],[My Rating]]="",IF(Table1[[#This Row],[WA Rating Clean]]="","",Table1[[#This Row],[WA Rating Clean]]),Table1[[#This Row],[My Rating]])</f>
        <v/>
      </c>
      <c r="AA61" s="8">
        <v>2020</v>
      </c>
      <c r="AB61" s="4">
        <v>5.71</v>
      </c>
      <c r="AC61" s="2">
        <f t="shared" si="1"/>
        <v>5.71</v>
      </c>
      <c r="AD61" s="8">
        <v>1</v>
      </c>
      <c r="AE61" s="10">
        <f>IF(Table1[[#This Row],[P/750]]&lt;20,1,IF(Table1[[#This Row],[P/750]]&lt;50,2,3))</f>
        <v>1</v>
      </c>
      <c r="AF61" s="10">
        <f>IF(Table1[[#This Row],[P/750]]&lt;Expenses!$C$30,1,IF(Table1[[#This Row],[P/750]]&lt;Expenses!$C$31,2,IF(Table1[[#This Row],[P/750]]&lt;Expenses!$C$32,3,4)))</f>
        <v>1</v>
      </c>
      <c r="AH61" s="37" t="s">
        <v>1685</v>
      </c>
      <c r="AI61" s="11">
        <f>Table1[[#This Row],[Price]]/Table1[[#This Row],[Size (ml)]]*750</f>
        <v>5.71</v>
      </c>
      <c r="AK61" s="10">
        <f>COUNTIF(UniqueID!A:A,Table1[[#This Row],[ID]])</f>
        <v>0</v>
      </c>
      <c r="AL61" s="10" t="str">
        <f>VLOOKUP(Table1[[#This Row],[Cellar Location]],Location!A:F,6,FALSE)</f>
        <v>W</v>
      </c>
      <c r="AN61" s="1">
        <v>44061</v>
      </c>
      <c r="AO61" s="10" t="str">
        <f>TEXT(Table1[[#This Row],[Purchased]],"mmmm")</f>
        <v>August</v>
      </c>
      <c r="AP61" s="10" t="str">
        <f>TEXT(Table1[[#This Row],[Purchased]],"yyyy")</f>
        <v>2020</v>
      </c>
      <c r="AQ61" s="1">
        <v>44077</v>
      </c>
    </row>
    <row r="62" spans="1:43" s="37" customFormat="1" x14ac:dyDescent="0.25">
      <c r="A62" s="37" t="str">
        <f t="shared" ref="A62:A125" si="2">CONCATENATE(B62,C62,D62)</f>
        <v>2005EscuderoVidau</v>
      </c>
      <c r="B62" s="8">
        <v>2005</v>
      </c>
      <c r="C62" s="37" t="s">
        <v>217</v>
      </c>
      <c r="D62" s="37" t="s">
        <v>1658</v>
      </c>
      <c r="E62" s="67" t="s">
        <v>1659</v>
      </c>
      <c r="F62" s="37" t="s">
        <v>729</v>
      </c>
      <c r="G62" s="37" t="s">
        <v>823</v>
      </c>
      <c r="I62" s="8">
        <v>1</v>
      </c>
      <c r="J62" s="37">
        <v>750</v>
      </c>
      <c r="K62" s="8" t="s">
        <v>1427</v>
      </c>
      <c r="L62" s="10">
        <f>COUNTIF(Drank!A:A,Table1[[#This Row],[ID]])</f>
        <v>1</v>
      </c>
      <c r="M62" s="37" t="s">
        <v>202</v>
      </c>
      <c r="N62" s="37" t="s">
        <v>207</v>
      </c>
      <c r="O62" s="37">
        <v>1</v>
      </c>
      <c r="P62" s="10">
        <v>2010</v>
      </c>
      <c r="Q62" s="37">
        <v>2020</v>
      </c>
      <c r="R62" s="10" t="str">
        <f>IF(IFERROR(VLOOKUP(A62,Drank!A:S,15,FALSE),"")=0,"",IFERROR(VLOOKUP(A62,Drank!A:S,15,FALSE),""))</f>
        <v/>
      </c>
      <c r="S62" s="10">
        <f>IF(IFERROR(VLOOKUP(A62,Drank!A:S,16,FALSE),"")=0,"",IFERROR(VLOOKUP(A62,Drank!A:S,16,FALSE),""))</f>
        <v>2025</v>
      </c>
      <c r="T62" s="10"/>
      <c r="U62" s="37" t="s">
        <v>1404</v>
      </c>
      <c r="V62" s="18">
        <f>IF(IFERROR(VLOOKUP(A62,Drank!A:T,19,FALSE),"")=0,"",IFERROR(VLOOKUP(A62,Drank!A:T,19,FALSE),""))</f>
        <v>92</v>
      </c>
      <c r="W62" s="1">
        <f>IF(IFERROR(VLOOKUP(A62,Drank!A:T,20,FALSE),"")=0,"",IFERROR(VLOOKUP(A62,Drank!A:T,20,FALSE),""))</f>
        <v>44062</v>
      </c>
      <c r="X62" s="10">
        <f>SUMIF(A:A,A62,I:I)</f>
        <v>11</v>
      </c>
      <c r="Y62" s="10">
        <f>IF(Table1[[#This Row],[Drank]]&gt;0,VLOOKUP(Table1[[#This Row],[ID]],Drank!A:P,16,FALSE),IF(Table1[[#This Row],[WALDD]]&gt;0,VLOOKUP(Table1[[#This Row],[ID]],Wine1!A:Q,17,FALSE),Table1[[#This Row],[EP]]))</f>
        <v>2025</v>
      </c>
      <c r="Z62" s="18">
        <f>IF(Table1[[#This Row],[My Rating]]="",IF(Table1[[#This Row],[WA Rating Clean]]="","",Table1[[#This Row],[WA Rating Clean]]),Table1[[#This Row],[My Rating]])</f>
        <v>92</v>
      </c>
      <c r="AA62" s="37">
        <v>2020</v>
      </c>
      <c r="AB62" s="4">
        <v>21.72</v>
      </c>
      <c r="AC62" s="2">
        <f t="shared" ref="AC62:AC125" si="3">AB62*I62</f>
        <v>21.72</v>
      </c>
      <c r="AD62" s="8">
        <v>0</v>
      </c>
      <c r="AE62" s="10">
        <f>IF(Table1[[#This Row],[P/750]]&lt;20,1,IF(Table1[[#This Row],[P/750]]&lt;50,2,3))</f>
        <v>2</v>
      </c>
      <c r="AF62" s="10">
        <f>IF(Table1[[#This Row],[P/750]]&lt;Expenses!$C$30,1,IF(Table1[[#This Row],[P/750]]&lt;Expenses!$C$31,2,IF(Table1[[#This Row],[P/750]]&lt;Expenses!$C$32,3,4)))</f>
        <v>2</v>
      </c>
      <c r="AH62" s="37" t="s">
        <v>384</v>
      </c>
      <c r="AI62" s="11">
        <f>Table1[[#This Row],[Price]]/Table1[[#This Row],[Size (ml)]]*750</f>
        <v>21.72</v>
      </c>
      <c r="AJ62" s="37">
        <v>90</v>
      </c>
      <c r="AK62" s="10">
        <f>COUNTIF(UniqueID!A:A,Table1[[#This Row],[ID]])</f>
        <v>0</v>
      </c>
      <c r="AL62" s="10" t="str">
        <f>VLOOKUP(Table1[[#This Row],[Cellar Location]],Location!A:F,6,FALSE)</f>
        <v>C</v>
      </c>
      <c r="AN62" s="1">
        <v>44060</v>
      </c>
      <c r="AO62" s="10" t="str">
        <f>TEXT(Table1[[#This Row],[Purchased]],"mmmm")</f>
        <v>August</v>
      </c>
      <c r="AP62" s="10" t="str">
        <f>TEXT(Table1[[#This Row],[Purchased]],"yyyy")</f>
        <v>2020</v>
      </c>
      <c r="AQ62" s="10"/>
    </row>
    <row r="63" spans="1:43" x14ac:dyDescent="0.25">
      <c r="A63" t="str">
        <f t="shared" si="2"/>
        <v>2017Chateau PesquieVentoux Terrasses</v>
      </c>
      <c r="B63" s="8">
        <v>2017</v>
      </c>
      <c r="C63" s="103" t="s">
        <v>1623</v>
      </c>
      <c r="D63" s="124" t="s">
        <v>1624</v>
      </c>
      <c r="E63" s="67" t="s">
        <v>1625</v>
      </c>
      <c r="F63" s="8" t="s">
        <v>742</v>
      </c>
      <c r="G63" s="37" t="s">
        <v>759</v>
      </c>
      <c r="H63" s="37" t="s">
        <v>763</v>
      </c>
      <c r="I63" s="37">
        <v>1</v>
      </c>
      <c r="J63" s="37">
        <v>750</v>
      </c>
      <c r="K63" s="8" t="s">
        <v>1316</v>
      </c>
      <c r="L63" s="10">
        <f>COUNTIF(Drank!A:A,Table1[[#This Row],[ID]])</f>
        <v>0</v>
      </c>
      <c r="M63" t="s">
        <v>202</v>
      </c>
      <c r="N63" t="s">
        <v>207</v>
      </c>
      <c r="O63">
        <v>1</v>
      </c>
      <c r="P63" s="37">
        <v>2018</v>
      </c>
      <c r="Q63">
        <v>2025</v>
      </c>
      <c r="R63" s="10" t="str">
        <f>IF(IFERROR(VLOOKUP(A63,Drank!A:S,15,FALSE),"")=0,"",IFERROR(VLOOKUP(A63,Drank!A:S,15,FALSE),""))</f>
        <v/>
      </c>
      <c r="S63" s="10" t="str">
        <f>IF(IFERROR(VLOOKUP(A63,Drank!A:S,16,FALSE),"")=0,"",IFERROR(VLOOKUP(A63,Drank!A:S,16,FALSE),""))</f>
        <v/>
      </c>
      <c r="T63" s="10"/>
      <c r="U63" t="s">
        <v>855</v>
      </c>
      <c r="V63" s="18" t="str">
        <f>IF(IFERROR(VLOOKUP(A63,Drank!A:T,19,FALSE),"")=0,"",IFERROR(VLOOKUP(A63,Drank!A:T,19,FALSE),""))</f>
        <v/>
      </c>
      <c r="W63" s="1" t="str">
        <f>IF(IFERROR(VLOOKUP(A63,Drank!A:T,20,FALSE),"")=0,"",IFERROR(VLOOKUP(A63,Drank!A:T,20,FALSE),""))</f>
        <v/>
      </c>
      <c r="X63" s="10">
        <f>SUMIF(A:A,A63,I:I)</f>
        <v>1</v>
      </c>
      <c r="Y63" s="10">
        <f>IF(Table1[[#This Row],[Drank]]&gt;0,VLOOKUP(Table1[[#This Row],[ID]],Drank!A:P,16,FALSE),IF(Table1[[#This Row],[WALDD]]&gt;0,VLOOKUP(Table1[[#This Row],[ID]],Wine1!A:Q,17,FALSE),Table1[[#This Row],[EP]]))</f>
        <v>2025</v>
      </c>
      <c r="Z63" s="18">
        <f>IF(Table1[[#This Row],[My Rating]]="",IF(Table1[[#This Row],[WA Rating Clean]]="","",Table1[[#This Row],[WA Rating Clean]]),Table1[[#This Row],[My Rating]])</f>
        <v>92</v>
      </c>
      <c r="AA63" s="37">
        <v>2020</v>
      </c>
      <c r="AB63" s="4">
        <v>16.486825543729754</v>
      </c>
      <c r="AC63" s="2">
        <f t="shared" si="3"/>
        <v>16.486825543729754</v>
      </c>
      <c r="AD63" s="8">
        <v>0</v>
      </c>
      <c r="AE63" s="10">
        <f>IF(Table1[[#This Row],[P/750]]&lt;20,1,IF(Table1[[#This Row],[P/750]]&lt;50,2,3))</f>
        <v>1</v>
      </c>
      <c r="AF63" s="10">
        <f>IF(Table1[[#This Row],[P/750]]&lt;Expenses!$C$30,1,IF(Table1[[#This Row],[P/750]]&lt;Expenses!$C$31,2,IF(Table1[[#This Row],[P/750]]&lt;Expenses!$C$32,3,4)))</f>
        <v>1</v>
      </c>
      <c r="AH63" s="37" t="s">
        <v>1139</v>
      </c>
      <c r="AI63" s="11">
        <f>Table1[[#This Row],[Price]]/Table1[[#This Row],[Size (ml)]]*750</f>
        <v>16.486825543729754</v>
      </c>
      <c r="AJ63" s="37">
        <v>92</v>
      </c>
      <c r="AK63" s="10">
        <f>COUNTIF(UniqueID!A:A,Table1[[#This Row],[ID]])</f>
        <v>0</v>
      </c>
      <c r="AL63" s="10" t="str">
        <f>VLOOKUP(Table1[[#This Row],[Cellar Location]],Location!A:F,6,FALSE)</f>
        <v>C</v>
      </c>
      <c r="AN63" s="1">
        <v>44060</v>
      </c>
      <c r="AO63" s="10" t="str">
        <f>TEXT(Table1[[#This Row],[Purchased]],"mmmm")</f>
        <v>August</v>
      </c>
      <c r="AP63" s="10" t="str">
        <f>TEXT(Table1[[#This Row],[Purchased]],"yyyy")</f>
        <v>2020</v>
      </c>
      <c r="AQ63" s="10"/>
    </row>
    <row r="64" spans="1:43" x14ac:dyDescent="0.25">
      <c r="A64" t="str">
        <f t="shared" si="2"/>
        <v>2017Vintage LongbottomHenry's Drive Shiraz-Cabernet Sauvignon</v>
      </c>
      <c r="B64" s="8">
        <v>2017</v>
      </c>
      <c r="C64" s="120" t="s">
        <v>1547</v>
      </c>
      <c r="D64" s="115" t="s">
        <v>1550</v>
      </c>
      <c r="E64" s="67" t="s">
        <v>1551</v>
      </c>
      <c r="F64" s="37" t="s">
        <v>736</v>
      </c>
      <c r="G64" s="37" t="s">
        <v>737</v>
      </c>
      <c r="I64" s="37">
        <v>1</v>
      </c>
      <c r="J64" s="38">
        <v>750</v>
      </c>
      <c r="K64" s="38" t="s">
        <v>384</v>
      </c>
      <c r="L64" s="10">
        <f>COUNTIF(Drank!A:A,Table1[[#This Row],[ID]])</f>
        <v>0</v>
      </c>
      <c r="M64" t="s">
        <v>202</v>
      </c>
      <c r="N64" t="s">
        <v>207</v>
      </c>
      <c r="O64">
        <v>1</v>
      </c>
      <c r="P64" s="37">
        <v>2019</v>
      </c>
      <c r="Q64">
        <v>2025</v>
      </c>
      <c r="R64" s="10" t="str">
        <f>IF(IFERROR(VLOOKUP(A64,Drank!A:S,15,FALSE),"")=0,"",IFERROR(VLOOKUP(A64,Drank!A:S,15,FALSE),""))</f>
        <v/>
      </c>
      <c r="S64" s="10" t="str">
        <f>IF(IFERROR(VLOOKUP(A64,Drank!A:S,16,FALSE),"")=0,"",IFERROR(VLOOKUP(A64,Drank!A:S,16,FALSE),""))</f>
        <v/>
      </c>
      <c r="T64" s="10"/>
      <c r="U64">
        <v>91</v>
      </c>
      <c r="V64" s="18" t="str">
        <f>IF(IFERROR(VLOOKUP(A64,Drank!A:T,19,FALSE),"")=0,"",IFERROR(VLOOKUP(A64,Drank!A:T,19,FALSE),""))</f>
        <v/>
      </c>
      <c r="W64" s="1" t="str">
        <f>IF(IFERROR(VLOOKUP(A64,Drank!A:T,20,FALSE),"")=0,"",IFERROR(VLOOKUP(A64,Drank!A:T,20,FALSE),""))</f>
        <v/>
      </c>
      <c r="X64" s="10">
        <f>SUMIF(A:A,A64,I:I)</f>
        <v>4</v>
      </c>
      <c r="Y64" s="10">
        <f>IF(Table1[[#This Row],[Drank]]&gt;0,VLOOKUP(Table1[[#This Row],[ID]],Drank!A:P,16,FALSE),IF(Table1[[#This Row],[WALDD]]&gt;0,VLOOKUP(Table1[[#This Row],[ID]],Wine1!A:Q,17,FALSE),Table1[[#This Row],[EP]]))</f>
        <v>2025</v>
      </c>
      <c r="Z64" s="18">
        <f>IF(Table1[[#This Row],[My Rating]]="",IF(Table1[[#This Row],[WA Rating Clean]]="","",Table1[[#This Row],[WA Rating Clean]]),Table1[[#This Row],[My Rating]])</f>
        <v>91</v>
      </c>
      <c r="AA64" s="37">
        <v>2020</v>
      </c>
      <c r="AB64" s="4">
        <v>21.72</v>
      </c>
      <c r="AC64" s="2">
        <f t="shared" si="3"/>
        <v>21.72</v>
      </c>
      <c r="AD64" s="8">
        <v>1</v>
      </c>
      <c r="AE64" s="10">
        <f>IF(Table1[[#This Row],[P/750]]&lt;20,1,IF(Table1[[#This Row],[P/750]]&lt;50,2,3))</f>
        <v>2</v>
      </c>
      <c r="AF64" s="10">
        <f>IF(Table1[[#This Row],[P/750]]&lt;Expenses!$C$30,1,IF(Table1[[#This Row],[P/750]]&lt;Expenses!$C$31,2,IF(Table1[[#This Row],[P/750]]&lt;Expenses!$C$32,3,4)))</f>
        <v>2</v>
      </c>
      <c r="AH64" s="37" t="s">
        <v>384</v>
      </c>
      <c r="AI64" s="11">
        <f>Table1[[#This Row],[Price]]/Table1[[#This Row],[Size (ml)]]*750</f>
        <v>21.72</v>
      </c>
      <c r="AJ64" s="37">
        <v>91</v>
      </c>
      <c r="AK64" s="10">
        <f>COUNTIF(UniqueID!A:A,Table1[[#This Row],[ID]])</f>
        <v>0</v>
      </c>
      <c r="AL64" s="10" t="str">
        <f>VLOOKUP(Table1[[#This Row],[Cellar Location]],Location!A:F,6,FALSE)</f>
        <v>W</v>
      </c>
      <c r="AN64" s="1">
        <v>44041</v>
      </c>
      <c r="AO64" s="10" t="str">
        <f>TEXT(Table1[[#This Row],[Purchased]],"mmmm")</f>
        <v>July</v>
      </c>
      <c r="AP64" s="10" t="str">
        <f>TEXT(Table1[[#This Row],[Purchased]],"yyyy")</f>
        <v>2020</v>
      </c>
      <c r="AQ64" s="1">
        <v>44138</v>
      </c>
    </row>
    <row r="65" spans="1:43" x14ac:dyDescent="0.25">
      <c r="A65" s="37" t="str">
        <f t="shared" si="2"/>
        <v>2010Cosimo TaurinoNegroamaro Notarpanaro</v>
      </c>
      <c r="B65" s="8">
        <v>2010</v>
      </c>
      <c r="C65" s="103" t="s">
        <v>56</v>
      </c>
      <c r="D65" s="69" t="s">
        <v>1310</v>
      </c>
      <c r="E65" s="67" t="s">
        <v>1311</v>
      </c>
      <c r="F65" s="37" t="s">
        <v>728</v>
      </c>
      <c r="G65" s="37" t="s">
        <v>785</v>
      </c>
      <c r="H65" s="37" t="s">
        <v>786</v>
      </c>
      <c r="I65" s="37">
        <v>1</v>
      </c>
      <c r="J65" s="37">
        <v>750</v>
      </c>
      <c r="K65" s="8" t="s">
        <v>25</v>
      </c>
      <c r="L65" s="10">
        <f>COUNTIF(Drank!A:A,Table1[[#This Row],[ID]])</f>
        <v>2</v>
      </c>
      <c r="M65" s="37" t="s">
        <v>202</v>
      </c>
      <c r="N65" s="37" t="s">
        <v>207</v>
      </c>
      <c r="O65" s="37">
        <v>1</v>
      </c>
      <c r="P65" s="37"/>
      <c r="Q65" s="37"/>
      <c r="R65" s="10">
        <f>IF(IFERROR(VLOOKUP(A65,Drank!A:S,15,FALSE),"")=0,"",IFERROR(VLOOKUP(A65,Drank!A:S,15,FALSE),""))</f>
        <v>2020</v>
      </c>
      <c r="S65" s="10">
        <f>IF(IFERROR(VLOOKUP(A65,Drank!A:S,16,FALSE),"")=0,"",IFERROR(VLOOKUP(A65,Drank!A:S,16,FALSE),""))</f>
        <v>2025</v>
      </c>
      <c r="T65" s="10"/>
      <c r="U65" s="37"/>
      <c r="V65" s="18">
        <f>IF(IFERROR(VLOOKUP(A65,Drank!A:T,19,FALSE),"")=0,"",IFERROR(VLOOKUP(A65,Drank!A:T,19,FALSE),""))</f>
        <v>90</v>
      </c>
      <c r="W65" s="1">
        <f>IF(IFERROR(VLOOKUP(A65,Drank!A:T,20,FALSE),"")=0,"",IFERROR(VLOOKUP(A65,Drank!A:T,20,FALSE),""))</f>
        <v>43974</v>
      </c>
      <c r="X65" s="10">
        <f>SUMIF(A:A,A65,I:I)</f>
        <v>3</v>
      </c>
      <c r="Y65" s="10">
        <f>IF(Table1[[#This Row],[Drank]]&gt;0,VLOOKUP(Table1[[#This Row],[ID]],Drank!A:P,16,FALSE),IF(Table1[[#This Row],[WALDD]]&gt;0,VLOOKUP(Table1[[#This Row],[ID]],Wine1!A:Q,17,FALSE),Table1[[#This Row],[EP]]))</f>
        <v>2025</v>
      </c>
      <c r="Z65" s="18">
        <f>IF(Table1[[#This Row],[My Rating]]="",IF(Table1[[#This Row],[WA Rating Clean]]="","",Table1[[#This Row],[WA Rating Clean]]),Table1[[#This Row],[My Rating]])</f>
        <v>90</v>
      </c>
      <c r="AA65" s="37">
        <v>2020</v>
      </c>
      <c r="AB65" s="4">
        <v>16.62</v>
      </c>
      <c r="AC65" s="2">
        <f t="shared" si="3"/>
        <v>16.62</v>
      </c>
      <c r="AD65" s="8">
        <v>0</v>
      </c>
      <c r="AE65" s="10">
        <f>IF(Table1[[#This Row],[P/750]]&lt;20,1,IF(Table1[[#This Row],[P/750]]&lt;50,2,3))</f>
        <v>1</v>
      </c>
      <c r="AF65" s="10">
        <f>IF(Table1[[#This Row],[P/750]]&lt;Expenses!$C$30,1,IF(Table1[[#This Row],[P/750]]&lt;Expenses!$C$31,2,IF(Table1[[#This Row],[P/750]]&lt;Expenses!$C$32,3,4)))</f>
        <v>1</v>
      </c>
      <c r="AG65" s="37"/>
      <c r="AH65" s="37" t="s">
        <v>1128</v>
      </c>
      <c r="AI65" s="11">
        <f>Table1[[#This Row],[Price]]/Table1[[#This Row],[Size (ml)]]*750</f>
        <v>16.62</v>
      </c>
      <c r="AK65" s="10">
        <f>COUNTIF(UniqueID!A:A,Table1[[#This Row],[ID]])</f>
        <v>0</v>
      </c>
      <c r="AL65" s="10" t="str">
        <f>VLOOKUP(Table1[[#This Row],[Cellar Location]],Location!A:F,6,FALSE)</f>
        <v>K</v>
      </c>
      <c r="AN65" s="1">
        <v>43966</v>
      </c>
      <c r="AO65" s="10" t="str">
        <f>TEXT(Table1[[#This Row],[Purchased]],"mmmm")</f>
        <v>May</v>
      </c>
      <c r="AP65" s="10" t="str">
        <f>TEXT(Table1[[#This Row],[Purchased]],"yyyy")</f>
        <v>2020</v>
      </c>
      <c r="AQ65" s="10"/>
    </row>
    <row r="66" spans="1:43" x14ac:dyDescent="0.25">
      <c r="A66" t="str">
        <f t="shared" si="2"/>
        <v>2017Domaine de l'AmandineCotes du Rhone Villages Seguret</v>
      </c>
      <c r="B66" s="8">
        <v>2017</v>
      </c>
      <c r="C66" s="37" t="s">
        <v>361</v>
      </c>
      <c r="D66" s="37" t="s">
        <v>362</v>
      </c>
      <c r="E66" s="37" t="s">
        <v>1197</v>
      </c>
      <c r="F66" s="37" t="s">
        <v>742</v>
      </c>
      <c r="G66" s="37" t="s">
        <v>759</v>
      </c>
      <c r="H66" s="37" t="s">
        <v>760</v>
      </c>
      <c r="I66" s="37">
        <v>1</v>
      </c>
      <c r="J66">
        <v>750</v>
      </c>
      <c r="K66" s="8" t="s">
        <v>839</v>
      </c>
      <c r="L66" s="10">
        <f>COUNTIF(Drank!A:A,Table1[[#This Row],[ID]])</f>
        <v>17</v>
      </c>
      <c r="M66" t="s">
        <v>202</v>
      </c>
      <c r="N66" t="s">
        <v>207</v>
      </c>
      <c r="O66">
        <v>1</v>
      </c>
      <c r="P66" s="37">
        <v>2018</v>
      </c>
      <c r="Q66">
        <v>2025</v>
      </c>
      <c r="R66" s="10">
        <f>IF(IFERROR(VLOOKUP(A66,Drank!A:S,15,FALSE),"")=0,"",IFERROR(VLOOKUP(A66,Drank!A:S,15,FALSE),""))</f>
        <v>2020</v>
      </c>
      <c r="S66" s="10">
        <f>IF(IFERROR(VLOOKUP(A66,Drank!A:S,16,FALSE),"")=0,"",IFERROR(VLOOKUP(A66,Drank!A:S,16,FALSE),""))</f>
        <v>2025</v>
      </c>
      <c r="T66" s="10"/>
      <c r="U66">
        <v>93</v>
      </c>
      <c r="V66" s="18">
        <f>IF(IFERROR(VLOOKUP(A66,Drank!A:T,19,FALSE),"")=0,"",IFERROR(VLOOKUP(A66,Drank!A:T,19,FALSE),""))</f>
        <v>92.470588235294116</v>
      </c>
      <c r="W66" s="1">
        <f>IF(IFERROR(VLOOKUP(A66,Drank!A:T,20,FALSE),"")=0,"",IFERROR(VLOOKUP(A66,Drank!A:T,20,FALSE),""))</f>
        <v>44030</v>
      </c>
      <c r="X66" s="10">
        <f>SUMIF(A:A,A66,I:I)</f>
        <v>20</v>
      </c>
      <c r="Y66" s="10">
        <f>IF(Table1[[#This Row],[Drank]]&gt;0,VLOOKUP(Table1[[#This Row],[ID]],Drank!A:P,16,FALSE),IF(Table1[[#This Row],[WALDD]]&gt;0,VLOOKUP(Table1[[#This Row],[ID]],Wine1!A:Q,17,FALSE),Table1[[#This Row],[EP]]))</f>
        <v>2025</v>
      </c>
      <c r="Z66" s="18">
        <f>IF(Table1[[#This Row],[My Rating]]="",IF(Table1[[#This Row],[WA Rating Clean]]="","",Table1[[#This Row],[WA Rating Clean]]),Table1[[#This Row],[My Rating]])</f>
        <v>92.470588235294116</v>
      </c>
      <c r="AA66" s="8">
        <v>2020</v>
      </c>
      <c r="AB66" s="4">
        <v>16.28</v>
      </c>
      <c r="AC66" s="2">
        <f t="shared" si="3"/>
        <v>16.28</v>
      </c>
      <c r="AD66" s="8">
        <v>0</v>
      </c>
      <c r="AE66" s="37">
        <f>IF(Table1[[#This Row],[P/750]]&lt;20,1,IF(Table1[[#This Row],[P/750]]&lt;50,2,3))</f>
        <v>1</v>
      </c>
      <c r="AF66" s="37">
        <f>IF(Table1[[#This Row],[P/750]]&lt;Expenses!$C$30,1,IF(Table1[[#This Row],[P/750]]&lt;Expenses!$C$31,2,IF(Table1[[#This Row],[P/750]]&lt;Expenses!$C$32,3,4)))</f>
        <v>1</v>
      </c>
      <c r="AH66" s="37" t="s">
        <v>384</v>
      </c>
      <c r="AI66" s="11">
        <f>Table1[[#This Row],[Price]]/Table1[[#This Row],[Size (ml)]]*750</f>
        <v>16.28</v>
      </c>
      <c r="AJ66">
        <v>93</v>
      </c>
      <c r="AK66" s="37">
        <f>COUNTIF(UniqueID!A:A,Table1[[#This Row],[ID]])</f>
        <v>1</v>
      </c>
      <c r="AL66" s="37" t="str">
        <f>VLOOKUP(Table1[[#This Row],[Cellar Location]],Location!A:F,6,FALSE)</f>
        <v>C</v>
      </c>
      <c r="AN66" s="1">
        <v>43885</v>
      </c>
      <c r="AO66" s="37" t="str">
        <f>TEXT(Table1[[#This Row],[Purchased]],"mmmm")</f>
        <v>February</v>
      </c>
      <c r="AP66" s="10" t="str">
        <f>TEXT(Table1[[#This Row],[Purchased]],"yyyy")</f>
        <v>2020</v>
      </c>
      <c r="AQ66" s="10"/>
    </row>
    <row r="67" spans="1:43" x14ac:dyDescent="0.25">
      <c r="A67" s="37" t="str">
        <f t="shared" si="2"/>
        <v>2015Domaine LafageBastide Miraflors Vieilles Vignes</v>
      </c>
      <c r="B67" s="37">
        <v>2015</v>
      </c>
      <c r="C67" s="8" t="s">
        <v>671</v>
      </c>
      <c r="D67" s="37" t="s">
        <v>672</v>
      </c>
      <c r="E67" s="67" t="s">
        <v>1172</v>
      </c>
      <c r="F67" s="37" t="s">
        <v>742</v>
      </c>
      <c r="G67" s="37" t="s">
        <v>766</v>
      </c>
      <c r="H67" s="37" t="s">
        <v>767</v>
      </c>
      <c r="I67" s="37">
        <v>1</v>
      </c>
      <c r="J67" s="37">
        <v>750</v>
      </c>
      <c r="K67" s="8" t="s">
        <v>651</v>
      </c>
      <c r="L67" s="10">
        <f>COUNTIF(Drank!A:A,Table1[[#This Row],[ID]])</f>
        <v>3</v>
      </c>
      <c r="M67" s="37" t="s">
        <v>202</v>
      </c>
      <c r="N67" s="37" t="s">
        <v>207</v>
      </c>
      <c r="O67" s="37">
        <v>1</v>
      </c>
      <c r="P67" s="10">
        <v>2017</v>
      </c>
      <c r="Q67" s="37">
        <v>2021</v>
      </c>
      <c r="R67" s="10">
        <f>IF(IFERROR(VLOOKUP(A67,Drank!A:S,15,FALSE),"")=0,"",IFERROR(VLOOKUP(A67,Drank!A:S,15,FALSE),""))</f>
        <v>2020</v>
      </c>
      <c r="S67" s="10">
        <f>IF(IFERROR(VLOOKUP(A67,Drank!A:S,16,FALSE),"")=0,"",IFERROR(VLOOKUP(A67,Drank!A:S,16,FALSE),""))</f>
        <v>2025</v>
      </c>
      <c r="T67" s="10"/>
      <c r="U67" s="37">
        <v>94</v>
      </c>
      <c r="V67" s="18">
        <f>IF(IFERROR(VLOOKUP(A67,Drank!A:T,19,FALSE),"")=0,"",IFERROR(VLOOKUP(A67,Drank!A:T,19,FALSE),""))</f>
        <v>91.333333333333329</v>
      </c>
      <c r="W67" s="1">
        <f>IF(IFERROR(VLOOKUP(A67,Drank!A:T,20,FALSE),"")=0,"",IFERROR(VLOOKUP(A67,Drank!A:T,20,FALSE),""))</f>
        <v>43966</v>
      </c>
      <c r="X67" s="10">
        <f>SUMIF(A:A,A67,I:I)</f>
        <v>8</v>
      </c>
      <c r="Y67" s="10">
        <f>IF(Table1[[#This Row],[Drank]]&gt;0,VLOOKUP(Table1[[#This Row],[ID]],Drank!A:P,16,FALSE),IF(Table1[[#This Row],[WALDD]]&gt;0,VLOOKUP(Table1[[#This Row],[ID]],Wine1!A:Q,17,FALSE),Table1[[#This Row],[EP]]))</f>
        <v>2025</v>
      </c>
      <c r="Z67" s="18">
        <f>IF(Table1[[#This Row],[My Rating]]="",IF(Table1[[#This Row],[WA Rating Clean]]="","",Table1[[#This Row],[WA Rating Clean]]),Table1[[#This Row],[My Rating]])</f>
        <v>91.333333333333329</v>
      </c>
      <c r="AA67" s="37">
        <v>2020</v>
      </c>
      <c r="AB67" s="4">
        <v>14.99</v>
      </c>
      <c r="AC67" s="2">
        <f t="shared" si="3"/>
        <v>14.99</v>
      </c>
      <c r="AD67" s="8">
        <v>0</v>
      </c>
      <c r="AE67" s="10">
        <f>IF(Table1[[#This Row],[P/750]]&lt;20,1,IF(Table1[[#This Row],[P/750]]&lt;50,2,3))</f>
        <v>1</v>
      </c>
      <c r="AF67" s="10">
        <f>IF(Table1[[#This Row],[P/750]]&lt;Expenses!$C$30,1,IF(Table1[[#This Row],[P/750]]&lt;Expenses!$C$31,2,IF(Table1[[#This Row],[P/750]]&lt;Expenses!$C$32,3,4)))</f>
        <v>1</v>
      </c>
      <c r="AG67" s="37"/>
      <c r="AH67" s="37" t="s">
        <v>674</v>
      </c>
      <c r="AI67" s="11">
        <f>Table1[[#This Row],[Price]]/Table1[[#This Row],[Size (ml)]]*750</f>
        <v>14.99</v>
      </c>
      <c r="AJ67">
        <v>94</v>
      </c>
      <c r="AK67" s="37">
        <f>COUNTIF(UniqueID!A:A,Table1[[#This Row],[ID]])</f>
        <v>1</v>
      </c>
      <c r="AL67" s="37" t="str">
        <f>VLOOKUP(Table1[[#This Row],[Cellar Location]],Location!A:F,6,FALSE)</f>
        <v>C</v>
      </c>
      <c r="AN67" s="37"/>
      <c r="AO67" s="37" t="str">
        <f>TEXT(Table1[[#This Row],[Purchased]],"mmmm")</f>
        <v>January</v>
      </c>
      <c r="AP67" s="10" t="str">
        <f>TEXT(Table1[[#This Row],[Purchased]],"yyyy")</f>
        <v>1900</v>
      </c>
      <c r="AQ67" s="10"/>
    </row>
    <row r="68" spans="1:43" s="37" customFormat="1" x14ac:dyDescent="0.25">
      <c r="A68" s="37" t="str">
        <f t="shared" si="2"/>
        <v>2015Domaine LafageBastide Miraflors Vieilles Vignes</v>
      </c>
      <c r="B68" s="37">
        <v>2015</v>
      </c>
      <c r="C68" s="37" t="s">
        <v>671</v>
      </c>
      <c r="D68" s="37" t="s">
        <v>672</v>
      </c>
      <c r="E68" s="67" t="s">
        <v>1172</v>
      </c>
      <c r="F68" s="37" t="s">
        <v>742</v>
      </c>
      <c r="G68" s="37" t="s">
        <v>766</v>
      </c>
      <c r="H68" s="37" t="s">
        <v>767</v>
      </c>
      <c r="I68" s="37">
        <v>1</v>
      </c>
      <c r="J68" s="37">
        <v>750</v>
      </c>
      <c r="K68" s="8" t="s">
        <v>651</v>
      </c>
      <c r="L68" s="10">
        <f>COUNTIF(Drank!A:A,Table1[[#This Row],[ID]])</f>
        <v>3</v>
      </c>
      <c r="M68" s="37" t="s">
        <v>202</v>
      </c>
      <c r="N68" s="37" t="s">
        <v>207</v>
      </c>
      <c r="O68" s="37">
        <v>1</v>
      </c>
      <c r="P68" s="10">
        <v>2017</v>
      </c>
      <c r="Q68" s="37">
        <v>2021</v>
      </c>
      <c r="R68" s="10">
        <f>IF(IFERROR(VLOOKUP(A68,Drank!A:S,15,FALSE),"")=0,"",IFERROR(VLOOKUP(A68,Drank!A:S,15,FALSE),""))</f>
        <v>2020</v>
      </c>
      <c r="S68" s="10">
        <f>IF(IFERROR(VLOOKUP(A68,Drank!A:S,16,FALSE),"")=0,"",IFERROR(VLOOKUP(A68,Drank!A:S,16,FALSE),""))</f>
        <v>2025</v>
      </c>
      <c r="T68" s="10"/>
      <c r="U68" s="37">
        <v>94</v>
      </c>
      <c r="V68" s="18">
        <f>IF(IFERROR(VLOOKUP(A68,Drank!A:T,19,FALSE),"")=0,"",IFERROR(VLOOKUP(A68,Drank!A:T,19,FALSE),""))</f>
        <v>91.333333333333329</v>
      </c>
      <c r="W68" s="1">
        <f>IF(IFERROR(VLOOKUP(A68,Drank!A:T,20,FALSE),"")=0,"",IFERROR(VLOOKUP(A68,Drank!A:T,20,FALSE),""))</f>
        <v>43966</v>
      </c>
      <c r="X68" s="10">
        <f>SUMIF(A:A,A68,I:I)</f>
        <v>8</v>
      </c>
      <c r="Y68" s="10">
        <f>IF(Table1[[#This Row],[Drank]]&gt;0,VLOOKUP(Table1[[#This Row],[ID]],Drank!A:P,16,FALSE),IF(Table1[[#This Row],[WALDD]]&gt;0,VLOOKUP(Table1[[#This Row],[ID]],Wine1!A:Q,17,FALSE),Table1[[#This Row],[EP]]))</f>
        <v>2025</v>
      </c>
      <c r="Z68" s="18">
        <f>IF(Table1[[#This Row],[My Rating]]="",IF(Table1[[#This Row],[WA Rating Clean]]="","",Table1[[#This Row],[WA Rating Clean]]),Table1[[#This Row],[My Rating]])</f>
        <v>91.333333333333329</v>
      </c>
      <c r="AA68" s="37">
        <v>2020</v>
      </c>
      <c r="AB68" s="4">
        <v>14.99</v>
      </c>
      <c r="AC68" s="2">
        <f t="shared" si="3"/>
        <v>14.99</v>
      </c>
      <c r="AD68" s="8">
        <v>0</v>
      </c>
      <c r="AE68" s="10">
        <f>IF(Table1[[#This Row],[P/750]]&lt;20,1,IF(Table1[[#This Row],[P/750]]&lt;50,2,3))</f>
        <v>1</v>
      </c>
      <c r="AF68" s="10">
        <f>IF(Table1[[#This Row],[P/750]]&lt;Expenses!$C$30,1,IF(Table1[[#This Row],[P/750]]&lt;Expenses!$C$31,2,IF(Table1[[#This Row],[P/750]]&lt;Expenses!$C$32,3,4)))</f>
        <v>1</v>
      </c>
      <c r="AH68" s="37" t="s">
        <v>674</v>
      </c>
      <c r="AI68" s="11">
        <f>Table1[[#This Row],[Price]]/Table1[[#This Row],[Size (ml)]]*750</f>
        <v>14.99</v>
      </c>
      <c r="AJ68" s="37">
        <v>94</v>
      </c>
      <c r="AK68" s="37">
        <f>COUNTIF(UniqueID!A:A,Table1[[#This Row],[ID]])</f>
        <v>1</v>
      </c>
      <c r="AL68" s="37" t="str">
        <f>VLOOKUP(Table1[[#This Row],[Cellar Location]],Location!A:F,6,FALSE)</f>
        <v>C</v>
      </c>
      <c r="AO68" s="37" t="str">
        <f>TEXT(Table1[[#This Row],[Purchased]],"mmmm")</f>
        <v>January</v>
      </c>
      <c r="AP68" s="10" t="str">
        <f>TEXT(Table1[[#This Row],[Purchased]],"yyyy")</f>
        <v>1900</v>
      </c>
      <c r="AQ68" s="10"/>
    </row>
    <row r="69" spans="1:43" s="37" customFormat="1" x14ac:dyDescent="0.25">
      <c r="A69" s="37" t="str">
        <f t="shared" si="2"/>
        <v>2018Cave Les Vignerons de Tavel &amp; LiracLirac Domaine de l'Eyrolle</v>
      </c>
      <c r="B69" s="8">
        <v>2018</v>
      </c>
      <c r="C69" s="8" t="s">
        <v>1424</v>
      </c>
      <c r="D69" s="19" t="s">
        <v>1425</v>
      </c>
      <c r="E69" s="69" t="s">
        <v>286</v>
      </c>
      <c r="F69" s="37" t="s">
        <v>742</v>
      </c>
      <c r="G69" s="37" t="s">
        <v>759</v>
      </c>
      <c r="H69" s="37" t="s">
        <v>1426</v>
      </c>
      <c r="I69" s="8">
        <v>1</v>
      </c>
      <c r="J69" s="37">
        <v>750</v>
      </c>
      <c r="K69" s="8" t="s">
        <v>58</v>
      </c>
      <c r="L69" s="10">
        <f>COUNTIF(Drank!A:A,Table1[[#This Row],[ID]])</f>
        <v>2</v>
      </c>
      <c r="M69" s="37" t="s">
        <v>202</v>
      </c>
      <c r="N69" s="37" t="s">
        <v>207</v>
      </c>
      <c r="O69" s="37">
        <v>1</v>
      </c>
      <c r="P69" s="37">
        <v>2019</v>
      </c>
      <c r="Q69" s="37">
        <v>2025</v>
      </c>
      <c r="R69" s="10">
        <f>IF(IFERROR(VLOOKUP(A69,Drank!A:S,15,FALSE),"")=0,"",IFERROR(VLOOKUP(A69,Drank!A:S,15,FALSE),""))</f>
        <v>2020</v>
      </c>
      <c r="S69" s="10">
        <f>IF(IFERROR(VLOOKUP(A69,Drank!A:S,16,FALSE),"")=0,"",IFERROR(VLOOKUP(A69,Drank!A:S,16,FALSE),""))</f>
        <v>2025</v>
      </c>
      <c r="T69" s="10"/>
      <c r="U69" s="37">
        <v>92</v>
      </c>
      <c r="V69" s="18">
        <f>IF(IFERROR(VLOOKUP(A69,Drank!A:T,19,FALSE),"")=0,"",IFERROR(VLOOKUP(A69,Drank!A:T,19,FALSE),""))</f>
        <v>91.5</v>
      </c>
      <c r="W69" s="1">
        <f>IF(IFERROR(VLOOKUP(A69,Drank!A:T,20,FALSE),"")=0,"",IFERROR(VLOOKUP(A69,Drank!A:T,20,FALSE),""))</f>
        <v>44009</v>
      </c>
      <c r="X69" s="10">
        <f>SUMIF(A:A,A69,I:I)</f>
        <v>10</v>
      </c>
      <c r="Y69" s="10">
        <f>IF(Table1[[#This Row],[Drank]]&gt;0,VLOOKUP(Table1[[#This Row],[ID]],Drank!A:P,16,FALSE),IF(Table1[[#This Row],[WALDD]]&gt;0,VLOOKUP(Table1[[#This Row],[ID]],Wine1!A:Q,17,FALSE),Table1[[#This Row],[EP]]))</f>
        <v>2025</v>
      </c>
      <c r="Z69" s="18">
        <f>IF(Table1[[#This Row],[My Rating]]="",IF(Table1[[#This Row],[WA Rating Clean]]="","",Table1[[#This Row],[WA Rating Clean]]),Table1[[#This Row],[My Rating]])</f>
        <v>91.5</v>
      </c>
      <c r="AA69" s="37">
        <v>2020</v>
      </c>
      <c r="AB69" s="4">
        <v>14.11</v>
      </c>
      <c r="AC69" s="2">
        <f t="shared" si="3"/>
        <v>14.11</v>
      </c>
      <c r="AD69" s="8">
        <v>0</v>
      </c>
      <c r="AE69" s="10">
        <f>IF(Table1[[#This Row],[P/750]]&lt;20,1,IF(Table1[[#This Row],[P/750]]&lt;50,2,3))</f>
        <v>1</v>
      </c>
      <c r="AF69" s="10">
        <f>IF(Table1[[#This Row],[P/750]]&lt;Expenses!$C$30,1,IF(Table1[[#This Row],[P/750]]&lt;Expenses!$C$31,2,IF(Table1[[#This Row],[P/750]]&lt;Expenses!$C$32,3,4)))</f>
        <v>1</v>
      </c>
      <c r="AH69" s="37" t="s">
        <v>384</v>
      </c>
      <c r="AI69" s="11">
        <f>Table1[[#This Row],[Price]]/Table1[[#This Row],[Size (ml)]]*750</f>
        <v>14.109999999999998</v>
      </c>
      <c r="AJ69" s="37">
        <v>92</v>
      </c>
      <c r="AK69" s="10">
        <f>COUNTIF(UniqueID!A:A,Table1[[#This Row],[ID]])</f>
        <v>0</v>
      </c>
      <c r="AL69" s="10" t="str">
        <f>VLOOKUP(Table1[[#This Row],[Cellar Location]],Location!A:F,6,FALSE)</f>
        <v>K</v>
      </c>
      <c r="AN69" s="1">
        <v>43986</v>
      </c>
      <c r="AO69" s="10" t="str">
        <f>TEXT(Table1[[#This Row],[Purchased]],"mmmm")</f>
        <v>June</v>
      </c>
      <c r="AP69" s="10" t="str">
        <f>TEXT(Table1[[#This Row],[Purchased]],"yyyy")</f>
        <v>2020</v>
      </c>
      <c r="AQ69" s="10"/>
    </row>
    <row r="70" spans="1:43" s="37" customFormat="1" x14ac:dyDescent="0.25">
      <c r="A70" s="37" t="str">
        <f t="shared" si="2"/>
        <v>2018Cave Les Vignerons de Tavel &amp; LiracLirac Domaine de l'Eyrolle</v>
      </c>
      <c r="B70" s="8">
        <v>2018</v>
      </c>
      <c r="C70" s="37" t="s">
        <v>1424</v>
      </c>
      <c r="D70" s="19" t="s">
        <v>1425</v>
      </c>
      <c r="E70" s="69" t="s">
        <v>286</v>
      </c>
      <c r="F70" s="37" t="s">
        <v>742</v>
      </c>
      <c r="G70" s="37" t="s">
        <v>759</v>
      </c>
      <c r="H70" s="37" t="s">
        <v>1426</v>
      </c>
      <c r="I70" s="8">
        <v>1</v>
      </c>
      <c r="J70" s="37">
        <v>750</v>
      </c>
      <c r="K70" s="8" t="s">
        <v>58</v>
      </c>
      <c r="L70" s="10">
        <f>COUNTIF(Drank!A:A,Table1[[#This Row],[ID]])</f>
        <v>2</v>
      </c>
      <c r="M70" s="37" t="s">
        <v>202</v>
      </c>
      <c r="N70" s="37" t="s">
        <v>207</v>
      </c>
      <c r="O70" s="37">
        <v>1</v>
      </c>
      <c r="P70" s="37">
        <v>2019</v>
      </c>
      <c r="Q70" s="37">
        <v>2025</v>
      </c>
      <c r="R70" s="10">
        <f>IF(IFERROR(VLOOKUP(A70,Drank!A:S,15,FALSE),"")=0,"",IFERROR(VLOOKUP(A70,Drank!A:S,15,FALSE),""))</f>
        <v>2020</v>
      </c>
      <c r="S70" s="10">
        <f>IF(IFERROR(VLOOKUP(A70,Drank!A:S,16,FALSE),"")=0,"",IFERROR(VLOOKUP(A70,Drank!A:S,16,FALSE),""))</f>
        <v>2025</v>
      </c>
      <c r="T70" s="10"/>
      <c r="U70" s="37">
        <v>92</v>
      </c>
      <c r="V70" s="18">
        <f>IF(IFERROR(VLOOKUP(A70,Drank!A:T,19,FALSE),"")=0,"",IFERROR(VLOOKUP(A70,Drank!A:T,19,FALSE),""))</f>
        <v>91.5</v>
      </c>
      <c r="W70" s="1">
        <f>IF(IFERROR(VLOOKUP(A70,Drank!A:T,20,FALSE),"")=0,"",IFERROR(VLOOKUP(A70,Drank!A:T,20,FALSE),""))</f>
        <v>44009</v>
      </c>
      <c r="X70" s="10">
        <f>SUMIF(A:A,A70,I:I)</f>
        <v>10</v>
      </c>
      <c r="Y70" s="10">
        <f>IF(Table1[[#This Row],[Drank]]&gt;0,VLOOKUP(Table1[[#This Row],[ID]],Drank!A:P,16,FALSE),IF(Table1[[#This Row],[WALDD]]&gt;0,VLOOKUP(Table1[[#This Row],[ID]],Wine1!A:Q,17,FALSE),Table1[[#This Row],[EP]]))</f>
        <v>2025</v>
      </c>
      <c r="Z70" s="18">
        <f>IF(Table1[[#This Row],[My Rating]]="",IF(Table1[[#This Row],[WA Rating Clean]]="","",Table1[[#This Row],[WA Rating Clean]]),Table1[[#This Row],[My Rating]])</f>
        <v>91.5</v>
      </c>
      <c r="AA70" s="37">
        <v>2020</v>
      </c>
      <c r="AB70" s="4">
        <v>14.11</v>
      </c>
      <c r="AC70" s="2">
        <f t="shared" si="3"/>
        <v>14.11</v>
      </c>
      <c r="AD70" s="8">
        <v>0</v>
      </c>
      <c r="AE70" s="10">
        <f>IF(Table1[[#This Row],[P/750]]&lt;20,1,IF(Table1[[#This Row],[P/750]]&lt;50,2,3))</f>
        <v>1</v>
      </c>
      <c r="AF70" s="10">
        <f>IF(Table1[[#This Row],[P/750]]&lt;Expenses!$C$30,1,IF(Table1[[#This Row],[P/750]]&lt;Expenses!$C$31,2,IF(Table1[[#This Row],[P/750]]&lt;Expenses!$C$32,3,4)))</f>
        <v>1</v>
      </c>
      <c r="AH70" s="37" t="s">
        <v>384</v>
      </c>
      <c r="AI70" s="11">
        <f>Table1[[#This Row],[Price]]/Table1[[#This Row],[Size (ml)]]*750</f>
        <v>14.109999999999998</v>
      </c>
      <c r="AJ70" s="37">
        <v>92</v>
      </c>
      <c r="AK70" s="10">
        <f>COUNTIF(UniqueID!A:A,Table1[[#This Row],[ID]])</f>
        <v>0</v>
      </c>
      <c r="AL70" s="10" t="str">
        <f>VLOOKUP(Table1[[#This Row],[Cellar Location]],Location!A:F,6,FALSE)</f>
        <v>K</v>
      </c>
      <c r="AN70" s="1">
        <v>43986</v>
      </c>
      <c r="AO70" s="10" t="str">
        <f>TEXT(Table1[[#This Row],[Purchased]],"mmmm")</f>
        <v>June</v>
      </c>
      <c r="AP70" s="10" t="str">
        <f>TEXT(Table1[[#This Row],[Purchased]],"yyyy")</f>
        <v>2020</v>
      </c>
      <c r="AQ70" s="10"/>
    </row>
    <row r="71" spans="1:43" s="37" customFormat="1" x14ac:dyDescent="0.25">
      <c r="A71" s="37" t="str">
        <f t="shared" si="2"/>
        <v>2018Cave Les Vignerons de Tavel &amp; LiracLirac Domaine de l'Eyrolle</v>
      </c>
      <c r="B71" s="8">
        <v>2018</v>
      </c>
      <c r="C71" s="37" t="s">
        <v>1424</v>
      </c>
      <c r="D71" s="19" t="s">
        <v>1425</v>
      </c>
      <c r="E71" s="69" t="s">
        <v>286</v>
      </c>
      <c r="F71" s="37" t="s">
        <v>742</v>
      </c>
      <c r="G71" s="37" t="s">
        <v>759</v>
      </c>
      <c r="H71" s="37" t="s">
        <v>1426</v>
      </c>
      <c r="I71" s="8">
        <v>1</v>
      </c>
      <c r="J71" s="37">
        <v>750</v>
      </c>
      <c r="K71" s="8" t="s">
        <v>652</v>
      </c>
      <c r="L71" s="10">
        <f>COUNTIF(Drank!A:A,Table1[[#This Row],[ID]])</f>
        <v>2</v>
      </c>
      <c r="M71" s="37" t="s">
        <v>202</v>
      </c>
      <c r="N71" s="37" t="s">
        <v>207</v>
      </c>
      <c r="O71" s="37">
        <v>1</v>
      </c>
      <c r="P71" s="37">
        <v>2019</v>
      </c>
      <c r="Q71" s="37">
        <v>2025</v>
      </c>
      <c r="R71" s="10">
        <f>IF(IFERROR(VLOOKUP(A71,Drank!A:S,15,FALSE),"")=0,"",IFERROR(VLOOKUP(A71,Drank!A:S,15,FALSE),""))</f>
        <v>2020</v>
      </c>
      <c r="S71" s="10">
        <f>IF(IFERROR(VLOOKUP(A71,Drank!A:S,16,FALSE),"")=0,"",IFERROR(VLOOKUP(A71,Drank!A:S,16,FALSE),""))</f>
        <v>2025</v>
      </c>
      <c r="T71" s="10"/>
      <c r="U71" s="37">
        <v>92</v>
      </c>
      <c r="V71" s="18">
        <f>IF(IFERROR(VLOOKUP(A71,Drank!A:T,19,FALSE),"")=0,"",IFERROR(VLOOKUP(A71,Drank!A:T,19,FALSE),""))</f>
        <v>91.5</v>
      </c>
      <c r="W71" s="1">
        <f>IF(IFERROR(VLOOKUP(A71,Drank!A:T,20,FALSE),"")=0,"",IFERROR(VLOOKUP(A71,Drank!A:T,20,FALSE),""))</f>
        <v>44009</v>
      </c>
      <c r="X71" s="10">
        <f>SUMIF(A:A,A71,I:I)</f>
        <v>10</v>
      </c>
      <c r="Y71" s="10">
        <f>IF(Table1[[#This Row],[Drank]]&gt;0,VLOOKUP(Table1[[#This Row],[ID]],Drank!A:P,16,FALSE),IF(Table1[[#This Row],[WALDD]]&gt;0,VLOOKUP(Table1[[#This Row],[ID]],Wine1!A:Q,17,FALSE),Table1[[#This Row],[EP]]))</f>
        <v>2025</v>
      </c>
      <c r="Z71" s="18">
        <f>IF(Table1[[#This Row],[My Rating]]="",IF(Table1[[#This Row],[WA Rating Clean]]="","",Table1[[#This Row],[WA Rating Clean]]),Table1[[#This Row],[My Rating]])</f>
        <v>91.5</v>
      </c>
      <c r="AA71" s="37">
        <v>2020</v>
      </c>
      <c r="AB71" s="4">
        <v>14.11</v>
      </c>
      <c r="AC71" s="2">
        <f t="shared" si="3"/>
        <v>14.11</v>
      </c>
      <c r="AD71" s="8">
        <v>0</v>
      </c>
      <c r="AE71" s="10">
        <f>IF(Table1[[#This Row],[P/750]]&lt;20,1,IF(Table1[[#This Row],[P/750]]&lt;50,2,3))</f>
        <v>1</v>
      </c>
      <c r="AF71" s="10">
        <f>IF(Table1[[#This Row],[P/750]]&lt;Expenses!$C$30,1,IF(Table1[[#This Row],[P/750]]&lt;Expenses!$C$31,2,IF(Table1[[#This Row],[P/750]]&lt;Expenses!$C$32,3,4)))</f>
        <v>1</v>
      </c>
      <c r="AH71" s="37" t="s">
        <v>384</v>
      </c>
      <c r="AI71" s="11">
        <f>Table1[[#This Row],[Price]]/Table1[[#This Row],[Size (ml)]]*750</f>
        <v>14.109999999999998</v>
      </c>
      <c r="AJ71" s="37">
        <v>92</v>
      </c>
      <c r="AK71" s="10">
        <f>COUNTIF(UniqueID!A:A,Table1[[#This Row],[ID]])</f>
        <v>0</v>
      </c>
      <c r="AL71" s="10" t="str">
        <f>VLOOKUP(Table1[[#This Row],[Cellar Location]],Location!A:F,6,FALSE)</f>
        <v>C</v>
      </c>
      <c r="AN71" s="1">
        <v>43986</v>
      </c>
      <c r="AO71" s="10" t="str">
        <f>TEXT(Table1[[#This Row],[Purchased]],"mmmm")</f>
        <v>June</v>
      </c>
      <c r="AP71" s="10" t="str">
        <f>TEXT(Table1[[#This Row],[Purchased]],"yyyy")</f>
        <v>2020</v>
      </c>
      <c r="AQ71" s="10"/>
    </row>
    <row r="72" spans="1:43" s="37" customFormat="1" x14ac:dyDescent="0.25">
      <c r="A72" s="37" t="str">
        <f t="shared" si="2"/>
        <v>2017SichelSichel</v>
      </c>
      <c r="B72" s="8">
        <v>2017</v>
      </c>
      <c r="C72" s="67" t="s">
        <v>409</v>
      </c>
      <c r="D72" s="37" t="s">
        <v>409</v>
      </c>
      <c r="E72" s="37" t="s">
        <v>1200</v>
      </c>
      <c r="F72" s="37" t="s">
        <v>742</v>
      </c>
      <c r="G72" s="37" t="s">
        <v>748</v>
      </c>
      <c r="H72" s="37" t="s">
        <v>260</v>
      </c>
      <c r="I72" s="37">
        <v>1</v>
      </c>
      <c r="J72" s="37">
        <v>375</v>
      </c>
      <c r="K72" s="8" t="s">
        <v>253</v>
      </c>
      <c r="L72" s="37">
        <f>COUNTIF(Drank!A:A,Table1[[#This Row],[ID]])</f>
        <v>10</v>
      </c>
      <c r="M72" s="37" t="s">
        <v>201</v>
      </c>
      <c r="N72" s="37" t="s">
        <v>206</v>
      </c>
      <c r="O72" s="37">
        <v>1</v>
      </c>
      <c r="R72" s="10">
        <f>IF(IFERROR(VLOOKUP(A72,Drank!A:S,15,FALSE),"")=0,"",IFERROR(VLOOKUP(A72,Drank!A:S,15,FALSE),""))</f>
        <v>2020</v>
      </c>
      <c r="S72" s="10">
        <f>IF(IFERROR(VLOOKUP(A72,Drank!A:S,16,FALSE),"")=0,"",IFERROR(VLOOKUP(A72,Drank!A:S,16,FALSE),""))</f>
        <v>2025</v>
      </c>
      <c r="T72" s="10"/>
      <c r="V72" s="18">
        <f>IF(IFERROR(VLOOKUP(A72,Drank!A:T,19,FALSE),"")=0,"",IFERROR(VLOOKUP(A72,Drank!A:T,19,FALSE),""))</f>
        <v>89.7</v>
      </c>
      <c r="W72" s="1">
        <f>IF(IFERROR(VLOOKUP(A72,Drank!A:T,20,FALSE),"")=0,"",IFERROR(VLOOKUP(A72,Drank!A:T,20,FALSE),""))</f>
        <v>44002</v>
      </c>
      <c r="X72" s="10">
        <f>SUMIF(A:A,A72,I:I)</f>
        <v>20</v>
      </c>
      <c r="Y72" s="37">
        <f>IF(Table1[[#This Row],[Drank]]&gt;0,VLOOKUP(Table1[[#This Row],[ID]],Drank!A:P,16,FALSE),IF(Table1[[#This Row],[WALDD]]&gt;0,VLOOKUP(Table1[[#This Row],[ID]],Wine1!A:Q,17,FALSE),Table1[[#This Row],[EP]]))</f>
        <v>2025</v>
      </c>
      <c r="Z72" s="18">
        <f>IF(Table1[[#This Row],[My Rating]]="",IF(Table1[[#This Row],[WA Rating Clean]]="","",Table1[[#This Row],[WA Rating Clean]]),Table1[[#This Row],[My Rating]])</f>
        <v>89.7</v>
      </c>
      <c r="AA72" s="37">
        <v>2020</v>
      </c>
      <c r="AB72" s="4">
        <v>12</v>
      </c>
      <c r="AC72" s="2">
        <f t="shared" si="3"/>
        <v>12</v>
      </c>
      <c r="AD72" s="8">
        <v>0</v>
      </c>
      <c r="AE72" s="37">
        <f>IF(Table1[[#This Row],[P/750]]&lt;20,1,IF(Table1[[#This Row],[P/750]]&lt;50,2,3))</f>
        <v>2</v>
      </c>
      <c r="AF72" s="37">
        <f>IF(Table1[[#This Row],[P/750]]&lt;Expenses!$C$30,1,IF(Table1[[#This Row],[P/750]]&lt;Expenses!$C$31,2,IF(Table1[[#This Row],[P/750]]&lt;Expenses!$C$32,3,4)))</f>
        <v>2</v>
      </c>
      <c r="AH72" s="37" t="s">
        <v>385</v>
      </c>
      <c r="AI72" s="11">
        <f>Table1[[#This Row],[Price]]/Table1[[#This Row],[Size (ml)]]*750</f>
        <v>24</v>
      </c>
      <c r="AK72" s="37">
        <f>COUNTIF(UniqueID!A:A,Table1[[#This Row],[ID]])</f>
        <v>1</v>
      </c>
      <c r="AL72" s="37" t="str">
        <f>VLOOKUP(Table1[[#This Row],[Cellar Location]],Location!A:F,6,FALSE)</f>
        <v>C</v>
      </c>
      <c r="AN72" s="1">
        <v>43845</v>
      </c>
      <c r="AO72" s="37" t="str">
        <f>TEXT(Table1[[#This Row],[Purchased]],"mmmm")</f>
        <v>January</v>
      </c>
      <c r="AP72" s="10" t="str">
        <f>TEXT(Table1[[#This Row],[Purchased]],"yyyy")</f>
        <v>2020</v>
      </c>
      <c r="AQ72" s="10"/>
    </row>
    <row r="73" spans="1:43" s="37" customFormat="1" x14ac:dyDescent="0.25">
      <c r="A73" s="37" t="str">
        <f t="shared" si="2"/>
        <v>2017SichelSichel</v>
      </c>
      <c r="B73" s="8">
        <v>2017</v>
      </c>
      <c r="C73" s="37" t="s">
        <v>409</v>
      </c>
      <c r="D73" s="37" t="s">
        <v>409</v>
      </c>
      <c r="E73" s="37" t="s">
        <v>1200</v>
      </c>
      <c r="F73" s="37" t="s">
        <v>742</v>
      </c>
      <c r="G73" s="37" t="s">
        <v>748</v>
      </c>
      <c r="H73" s="37" t="s">
        <v>260</v>
      </c>
      <c r="I73" s="37">
        <v>1</v>
      </c>
      <c r="J73" s="37">
        <v>375</v>
      </c>
      <c r="K73" s="8" t="s">
        <v>253</v>
      </c>
      <c r="L73" s="37">
        <f>COUNTIF(Drank!A:A,Table1[[#This Row],[ID]])</f>
        <v>10</v>
      </c>
      <c r="M73" s="37" t="s">
        <v>201</v>
      </c>
      <c r="N73" s="37" t="s">
        <v>206</v>
      </c>
      <c r="O73" s="37">
        <v>1</v>
      </c>
      <c r="R73" s="10">
        <f>IF(IFERROR(VLOOKUP(A73,Drank!A:S,15,FALSE),"")=0,"",IFERROR(VLOOKUP(A73,Drank!A:S,15,FALSE),""))</f>
        <v>2020</v>
      </c>
      <c r="S73" s="10">
        <f>IF(IFERROR(VLOOKUP(A73,Drank!A:S,16,FALSE),"")=0,"",IFERROR(VLOOKUP(A73,Drank!A:S,16,FALSE),""))</f>
        <v>2025</v>
      </c>
      <c r="T73" s="10"/>
      <c r="V73" s="18">
        <f>IF(IFERROR(VLOOKUP(A73,Drank!A:T,19,FALSE),"")=0,"",IFERROR(VLOOKUP(A73,Drank!A:T,19,FALSE),""))</f>
        <v>89.7</v>
      </c>
      <c r="W73" s="1">
        <f>IF(IFERROR(VLOOKUP(A73,Drank!A:T,20,FALSE),"")=0,"",IFERROR(VLOOKUP(A73,Drank!A:T,20,FALSE),""))</f>
        <v>44002</v>
      </c>
      <c r="X73" s="10">
        <f>SUMIF(A:A,A73,I:I)</f>
        <v>20</v>
      </c>
      <c r="Y73" s="37">
        <f>IF(Table1[[#This Row],[Drank]]&gt;0,VLOOKUP(Table1[[#This Row],[ID]],Drank!A:P,16,FALSE),IF(Table1[[#This Row],[WALDD]]&gt;0,VLOOKUP(Table1[[#This Row],[ID]],Wine1!A:Q,17,FALSE),Table1[[#This Row],[EP]]))</f>
        <v>2025</v>
      </c>
      <c r="Z73" s="18">
        <f>IF(Table1[[#This Row],[My Rating]]="",IF(Table1[[#This Row],[WA Rating Clean]]="","",Table1[[#This Row],[WA Rating Clean]]),Table1[[#This Row],[My Rating]])</f>
        <v>89.7</v>
      </c>
      <c r="AA73" s="37">
        <v>2020</v>
      </c>
      <c r="AB73" s="4">
        <v>12</v>
      </c>
      <c r="AC73" s="2">
        <f t="shared" si="3"/>
        <v>12</v>
      </c>
      <c r="AD73" s="8">
        <v>0</v>
      </c>
      <c r="AE73" s="37">
        <f>IF(Table1[[#This Row],[P/750]]&lt;20,1,IF(Table1[[#This Row],[P/750]]&lt;50,2,3))</f>
        <v>2</v>
      </c>
      <c r="AF73" s="37">
        <f>IF(Table1[[#This Row],[P/750]]&lt;Expenses!$C$30,1,IF(Table1[[#This Row],[P/750]]&lt;Expenses!$C$31,2,IF(Table1[[#This Row],[P/750]]&lt;Expenses!$C$32,3,4)))</f>
        <v>2</v>
      </c>
      <c r="AH73" s="37" t="s">
        <v>385</v>
      </c>
      <c r="AI73" s="11">
        <f>Table1[[#This Row],[Price]]/Table1[[#This Row],[Size (ml)]]*750</f>
        <v>24</v>
      </c>
      <c r="AK73" s="37">
        <f>COUNTIF(UniqueID!A:A,Table1[[#This Row],[ID]])</f>
        <v>1</v>
      </c>
      <c r="AL73" s="37" t="str">
        <f>VLOOKUP(Table1[[#This Row],[Cellar Location]],Location!A:F,6,FALSE)</f>
        <v>C</v>
      </c>
      <c r="AN73" s="1">
        <v>43845</v>
      </c>
      <c r="AO73" s="37" t="str">
        <f>TEXT(Table1[[#This Row],[Purchased]],"mmmm")</f>
        <v>January</v>
      </c>
      <c r="AP73" s="10" t="str">
        <f>TEXT(Table1[[#This Row],[Purchased]],"yyyy")</f>
        <v>2020</v>
      </c>
      <c r="AQ73" s="10"/>
    </row>
    <row r="74" spans="1:43" s="37" customFormat="1" x14ac:dyDescent="0.25">
      <c r="A74" s="37" t="str">
        <f t="shared" si="2"/>
        <v>2015TraslanzasTinto</v>
      </c>
      <c r="B74" s="8">
        <v>2015</v>
      </c>
      <c r="C74" s="103" t="s">
        <v>1717</v>
      </c>
      <c r="D74" s="37" t="s">
        <v>1371</v>
      </c>
      <c r="E74" s="67" t="s">
        <v>1220</v>
      </c>
      <c r="F74" s="37" t="s">
        <v>729</v>
      </c>
      <c r="G74" s="37" t="s">
        <v>1718</v>
      </c>
      <c r="I74" s="37">
        <v>1</v>
      </c>
      <c r="J74" s="37">
        <v>750</v>
      </c>
      <c r="K74" s="8" t="s">
        <v>1795</v>
      </c>
      <c r="L74" s="10">
        <f>COUNTIF(Drank!A:A,Table1[[#This Row],[ID]])</f>
        <v>0</v>
      </c>
      <c r="M74" s="37" t="s">
        <v>202</v>
      </c>
      <c r="N74" s="37" t="s">
        <v>207</v>
      </c>
      <c r="O74" s="37">
        <v>0</v>
      </c>
      <c r="R74" s="10" t="str">
        <f>IF(IFERROR(VLOOKUP(A74,Drank!A:S,15,FALSE),"")=0,"",IFERROR(VLOOKUP(A74,Drank!A:S,15,FALSE),""))</f>
        <v/>
      </c>
      <c r="S74" s="10" t="str">
        <f>IF(IFERROR(VLOOKUP(A74,Drank!A:S,16,FALSE),"")=0,"",IFERROR(VLOOKUP(A74,Drank!A:S,16,FALSE),""))</f>
        <v/>
      </c>
      <c r="T74" s="10">
        <v>2025</v>
      </c>
      <c r="V74" s="18" t="str">
        <f>IF(IFERROR(VLOOKUP(A74,Drank!A:T,19,FALSE),"")=0,"",IFERROR(VLOOKUP(A74,Drank!A:T,19,FALSE),""))</f>
        <v/>
      </c>
      <c r="W74" s="1" t="str">
        <f>IF(IFERROR(VLOOKUP(A74,Drank!A:T,20,FALSE),"")=0,"",IFERROR(VLOOKUP(A74,Drank!A:T,20,FALSE),""))</f>
        <v/>
      </c>
      <c r="X74" s="10">
        <f>SUMIF(A:A,A74,I:I)</f>
        <v>1</v>
      </c>
      <c r="Y74" s="10">
        <f>IF(Table1[[#This Row],[Drank]]&gt;0,VLOOKUP(Table1[[#This Row],[ID]],Drank!A:P,16,FALSE),IF(Table1[[#This Row],[WALDD]]&gt;0,VLOOKUP(Table1[[#This Row],[ID]],Wine1!A:Q,17,FALSE),Table1[[#This Row],[EP]]))</f>
        <v>2025</v>
      </c>
      <c r="Z74" s="18" t="str">
        <f>IF(Table1[[#This Row],[My Rating]]="",IF(Table1[[#This Row],[WA Rating Clean]]="","",Table1[[#This Row],[WA Rating Clean]]),Table1[[#This Row],[My Rating]])</f>
        <v/>
      </c>
      <c r="AA74" s="8">
        <v>2020</v>
      </c>
      <c r="AB74" s="4">
        <v>36.93</v>
      </c>
      <c r="AC74" s="2">
        <f t="shared" si="3"/>
        <v>36.93</v>
      </c>
      <c r="AD74" s="8">
        <v>0</v>
      </c>
      <c r="AE74" s="10">
        <f>IF(Table1[[#This Row],[P/750]]&lt;20,1,IF(Table1[[#This Row],[P/750]]&lt;50,2,3))</f>
        <v>2</v>
      </c>
      <c r="AF74" s="10">
        <f>IF(Table1[[#This Row],[P/750]]&lt;Expenses!$C$30,1,IF(Table1[[#This Row],[P/750]]&lt;Expenses!$C$31,2,IF(Table1[[#This Row],[P/750]]&lt;Expenses!$C$32,3,4)))</f>
        <v>3</v>
      </c>
      <c r="AH74" s="37" t="s">
        <v>1709</v>
      </c>
      <c r="AI74" s="11">
        <f>Table1[[#This Row],[Price]]/Table1[[#This Row],[Size (ml)]]*750</f>
        <v>36.93</v>
      </c>
      <c r="AK74" s="10">
        <f>COUNTIF(UniqueID!A:A,Table1[[#This Row],[ID]])</f>
        <v>0</v>
      </c>
      <c r="AL74" s="10" t="str">
        <f>VLOOKUP(Table1[[#This Row],[Cellar Location]],Location!A:F,6,FALSE)</f>
        <v>C</v>
      </c>
      <c r="AN74" s="1">
        <v>44062</v>
      </c>
      <c r="AO74" s="10" t="str">
        <f>TEXT(Table1[[#This Row],[Purchased]],"mmmm")</f>
        <v>August</v>
      </c>
      <c r="AP74" s="10" t="str">
        <f>TEXT(Table1[[#This Row],[Purchased]],"yyyy")</f>
        <v>2020</v>
      </c>
      <c r="AQ74" s="10"/>
    </row>
    <row r="75" spans="1:43" s="37" customFormat="1" x14ac:dyDescent="0.25">
      <c r="A75" s="37" t="str">
        <f t="shared" si="2"/>
        <v>2013Vittorio InnocentiVino Nobile di Montipulciano</v>
      </c>
      <c r="B75" s="37">
        <v>2013</v>
      </c>
      <c r="C75" s="103" t="s">
        <v>1730</v>
      </c>
      <c r="D75" s="37" t="s">
        <v>1733</v>
      </c>
      <c r="E75" s="67" t="s">
        <v>1250</v>
      </c>
      <c r="F75" s="37" t="s">
        <v>728</v>
      </c>
      <c r="G75" s="37" t="s">
        <v>790</v>
      </c>
      <c r="H75" s="37" t="s">
        <v>270</v>
      </c>
      <c r="I75" s="37">
        <v>1</v>
      </c>
      <c r="J75" s="37">
        <v>750</v>
      </c>
      <c r="K75" s="8" t="s">
        <v>1795</v>
      </c>
      <c r="L75" s="10">
        <f>COUNTIF(Drank!A:A,Table1[[#This Row],[ID]])</f>
        <v>0</v>
      </c>
      <c r="M75" s="37" t="s">
        <v>202</v>
      </c>
      <c r="N75" s="37" t="s">
        <v>207</v>
      </c>
      <c r="O75" s="37">
        <v>0</v>
      </c>
      <c r="R75" s="10" t="str">
        <f>IF(IFERROR(VLOOKUP(A75,Drank!A:S,15,FALSE),"")=0,"",IFERROR(VLOOKUP(A75,Drank!A:S,15,FALSE),""))</f>
        <v/>
      </c>
      <c r="S75" s="10" t="str">
        <f>IF(IFERROR(VLOOKUP(A75,Drank!A:S,16,FALSE),"")=0,"",IFERROR(VLOOKUP(A75,Drank!A:S,16,FALSE),""))</f>
        <v/>
      </c>
      <c r="T75" s="10">
        <v>2025</v>
      </c>
      <c r="V75" s="18" t="str">
        <f>IF(IFERROR(VLOOKUP(A75,Drank!A:T,19,FALSE),"")=0,"",IFERROR(VLOOKUP(A75,Drank!A:T,19,FALSE),""))</f>
        <v/>
      </c>
      <c r="W75" s="1" t="str">
        <f>IF(IFERROR(VLOOKUP(A75,Drank!A:T,20,FALSE),"")=0,"",IFERROR(VLOOKUP(A75,Drank!A:T,20,FALSE),""))</f>
        <v/>
      </c>
      <c r="X75" s="10">
        <f>SUMIF(A:A,A75,I:I)</f>
        <v>1</v>
      </c>
      <c r="Y75" s="10">
        <f>IF(Table1[[#This Row],[Drank]]&gt;0,VLOOKUP(Table1[[#This Row],[ID]],Drank!A:P,16,FALSE),IF(Table1[[#This Row],[WALDD]]&gt;0,VLOOKUP(Table1[[#This Row],[ID]],Wine1!A:Q,17,FALSE),Table1[[#This Row],[EP]]))</f>
        <v>2025</v>
      </c>
      <c r="Z75" s="18" t="str">
        <f>IF(Table1[[#This Row],[My Rating]]="",IF(Table1[[#This Row],[WA Rating Clean]]="","",Table1[[#This Row],[WA Rating Clean]]),Table1[[#This Row],[My Rating]])</f>
        <v/>
      </c>
      <c r="AA75" s="8">
        <v>2020</v>
      </c>
      <c r="AB75" s="4">
        <v>35.85</v>
      </c>
      <c r="AC75" s="2">
        <f t="shared" si="3"/>
        <v>35.85</v>
      </c>
      <c r="AD75" s="8">
        <v>0</v>
      </c>
      <c r="AE75" s="10">
        <f>IF(Table1[[#This Row],[P/750]]&lt;20,1,IF(Table1[[#This Row],[P/750]]&lt;50,2,3))</f>
        <v>2</v>
      </c>
      <c r="AF75" s="10">
        <f>IF(Table1[[#This Row],[P/750]]&lt;Expenses!$C$30,1,IF(Table1[[#This Row],[P/750]]&lt;Expenses!$C$31,2,IF(Table1[[#This Row],[P/750]]&lt;Expenses!$C$32,3,4)))</f>
        <v>3</v>
      </c>
      <c r="AH75" s="37" t="s">
        <v>1709</v>
      </c>
      <c r="AI75" s="11">
        <f>Table1[[#This Row],[Price]]/Table1[[#This Row],[Size (ml)]]*750</f>
        <v>35.85</v>
      </c>
      <c r="AK75" s="10">
        <f>COUNTIF(UniqueID!A:A,Table1[[#This Row],[ID]])</f>
        <v>0</v>
      </c>
      <c r="AL75" s="10" t="str">
        <f>VLOOKUP(Table1[[#This Row],[Cellar Location]],Location!A:F,6,FALSE)</f>
        <v>C</v>
      </c>
      <c r="AN75" s="1">
        <v>44062</v>
      </c>
      <c r="AO75" s="10" t="str">
        <f>TEXT(Table1[[#This Row],[Purchased]],"mmmm")</f>
        <v>August</v>
      </c>
      <c r="AP75" s="10" t="str">
        <f>TEXT(Table1[[#This Row],[Purchased]],"yyyy")</f>
        <v>2020</v>
      </c>
      <c r="AQ75" s="1">
        <v>44114</v>
      </c>
    </row>
    <row r="76" spans="1:43" s="37" customFormat="1" x14ac:dyDescent="0.25">
      <c r="A76" s="37" t="str">
        <f t="shared" si="2"/>
        <v>2012Vittorio InnocentiVino Nobile di Montipulciano Riserva</v>
      </c>
      <c r="B76" s="37">
        <v>2012</v>
      </c>
      <c r="C76" s="8" t="s">
        <v>1730</v>
      </c>
      <c r="D76" s="37" t="s">
        <v>1734</v>
      </c>
      <c r="E76" s="67" t="s">
        <v>1250</v>
      </c>
      <c r="F76" s="37" t="s">
        <v>728</v>
      </c>
      <c r="G76" s="37" t="s">
        <v>790</v>
      </c>
      <c r="H76" s="37" t="s">
        <v>270</v>
      </c>
      <c r="I76" s="37">
        <v>1</v>
      </c>
      <c r="J76" s="37">
        <v>750</v>
      </c>
      <c r="K76" s="8" t="s">
        <v>1795</v>
      </c>
      <c r="L76" s="10">
        <f>COUNTIF(Drank!A:A,Table1[[#This Row],[ID]])</f>
        <v>0</v>
      </c>
      <c r="M76" s="37" t="s">
        <v>202</v>
      </c>
      <c r="N76" s="37" t="s">
        <v>207</v>
      </c>
      <c r="O76" s="37">
        <v>0</v>
      </c>
      <c r="R76" s="10" t="str">
        <f>IF(IFERROR(VLOOKUP(A76,Drank!A:S,15,FALSE),"")=0,"",IFERROR(VLOOKUP(A76,Drank!A:S,15,FALSE),""))</f>
        <v/>
      </c>
      <c r="S76" s="10" t="str">
        <f>IF(IFERROR(VLOOKUP(A76,Drank!A:S,16,FALSE),"")=0,"",IFERROR(VLOOKUP(A76,Drank!A:S,16,FALSE),""))</f>
        <v/>
      </c>
      <c r="T76" s="10">
        <v>2025</v>
      </c>
      <c r="V76" s="18" t="str">
        <f>IF(IFERROR(VLOOKUP(A76,Drank!A:T,19,FALSE),"")=0,"",IFERROR(VLOOKUP(A76,Drank!A:T,19,FALSE),""))</f>
        <v/>
      </c>
      <c r="W76" s="1" t="str">
        <f>IF(IFERROR(VLOOKUP(A76,Drank!A:T,20,FALSE),"")=0,"",IFERROR(VLOOKUP(A76,Drank!A:T,20,FALSE),""))</f>
        <v/>
      </c>
      <c r="X76" s="10">
        <f>SUMIF(A:A,A76,I:I)</f>
        <v>1</v>
      </c>
      <c r="Y76" s="10">
        <f>IF(Table1[[#This Row],[Drank]]&gt;0,VLOOKUP(Table1[[#This Row],[ID]],Drank!A:P,16,FALSE),IF(Table1[[#This Row],[WALDD]]&gt;0,VLOOKUP(Table1[[#This Row],[ID]],Wine1!A:Q,17,FALSE),Table1[[#This Row],[EP]]))</f>
        <v>2025</v>
      </c>
      <c r="Z76" s="18" t="str">
        <f>IF(Table1[[#This Row],[My Rating]]="",IF(Table1[[#This Row],[WA Rating Clean]]="","",Table1[[#This Row],[WA Rating Clean]]),Table1[[#This Row],[My Rating]])</f>
        <v/>
      </c>
      <c r="AA76" s="8">
        <v>2020</v>
      </c>
      <c r="AB76" s="4">
        <v>43.45</v>
      </c>
      <c r="AC76" s="2">
        <f t="shared" si="3"/>
        <v>43.45</v>
      </c>
      <c r="AD76" s="8">
        <v>0</v>
      </c>
      <c r="AE76" s="10">
        <f>IF(Table1[[#This Row],[P/750]]&lt;20,1,IF(Table1[[#This Row],[P/750]]&lt;50,2,3))</f>
        <v>2</v>
      </c>
      <c r="AF76" s="10">
        <f>IF(Table1[[#This Row],[P/750]]&lt;Expenses!$C$30,1,IF(Table1[[#This Row],[P/750]]&lt;Expenses!$C$31,2,IF(Table1[[#This Row],[P/750]]&lt;Expenses!$C$32,3,4)))</f>
        <v>3</v>
      </c>
      <c r="AH76" s="37" t="s">
        <v>1709</v>
      </c>
      <c r="AI76" s="11">
        <f>Table1[[#This Row],[Price]]/Table1[[#This Row],[Size (ml)]]*750</f>
        <v>43.45</v>
      </c>
      <c r="AK76" s="10">
        <f>COUNTIF(UniqueID!A:A,Table1[[#This Row],[ID]])</f>
        <v>0</v>
      </c>
      <c r="AL76" s="10" t="str">
        <f>VLOOKUP(Table1[[#This Row],[Cellar Location]],Location!A:F,6,FALSE)</f>
        <v>C</v>
      </c>
      <c r="AN76" s="1">
        <v>44062</v>
      </c>
      <c r="AO76" s="10" t="str">
        <f>TEXT(Table1[[#This Row],[Purchased]],"mmmm")</f>
        <v>August</v>
      </c>
      <c r="AP76" s="10" t="str">
        <f>TEXT(Table1[[#This Row],[Purchased]],"yyyy")</f>
        <v>2020</v>
      </c>
      <c r="AQ76" s="1">
        <v>44114</v>
      </c>
    </row>
    <row r="77" spans="1:43" s="37" customFormat="1" x14ac:dyDescent="0.25">
      <c r="A77" s="37" t="str">
        <f t="shared" si="2"/>
        <v>2013PasquaAmarone della Valpolicella</v>
      </c>
      <c r="B77" s="37">
        <v>2013</v>
      </c>
      <c r="C77" s="37" t="s">
        <v>1600</v>
      </c>
      <c r="D77" s="37" t="s">
        <v>10</v>
      </c>
      <c r="E77" s="119" t="s">
        <v>1601</v>
      </c>
      <c r="F77" s="37" t="s">
        <v>728</v>
      </c>
      <c r="G77" s="37" t="s">
        <v>799</v>
      </c>
      <c r="H77" s="37" t="s">
        <v>803</v>
      </c>
      <c r="I77" s="8">
        <v>1</v>
      </c>
      <c r="J77" s="38">
        <v>750</v>
      </c>
      <c r="K77" s="38" t="s">
        <v>1139</v>
      </c>
      <c r="L77" s="10">
        <f>COUNTIF(Drank!A:A,Table1[[#This Row],[ID]])</f>
        <v>0</v>
      </c>
      <c r="M77" s="37" t="s">
        <v>202</v>
      </c>
      <c r="N77" s="37" t="s">
        <v>207</v>
      </c>
      <c r="O77" s="37">
        <v>1</v>
      </c>
      <c r="P77" s="10"/>
      <c r="R77" s="10"/>
      <c r="S77" s="10"/>
      <c r="T77" s="10">
        <v>2025</v>
      </c>
      <c r="V77" s="18" t="str">
        <f>IF(IFERROR(VLOOKUP(A77,Drank!A:T,19,FALSE),"")=0,"",IFERROR(VLOOKUP(A77,Drank!A:T,19,FALSE),""))</f>
        <v/>
      </c>
      <c r="W77" s="1" t="str">
        <f>IF(IFERROR(VLOOKUP(A77,Drank!A:T,20,FALSE),"")=0,"",IFERROR(VLOOKUP(A77,Drank!A:T,20,FALSE),""))</f>
        <v/>
      </c>
      <c r="X77" s="10">
        <f>SUMIF(A:A,A77,I:I)</f>
        <v>1</v>
      </c>
      <c r="Y77" s="10">
        <f>IF(Table1[[#This Row],[Drank]]&gt;0,VLOOKUP(Table1[[#This Row],[ID]],Drank!A:P,16,FALSE),IF(Table1[[#This Row],[WALDD]]&gt;0,VLOOKUP(Table1[[#This Row],[ID]],Wine1!A:Q,17,FALSE),Table1[[#This Row],[EP]]))</f>
        <v>2025</v>
      </c>
      <c r="Z77" s="18" t="str">
        <f>IF(Table1[[#This Row],[My Rating]]="",IF(Table1[[#This Row],[WA Rating Clean]]="","",Table1[[#This Row],[WA Rating Clean]]),Table1[[#This Row],[My Rating]])</f>
        <v/>
      </c>
      <c r="AA77" s="37">
        <v>2020</v>
      </c>
      <c r="AB77" s="4">
        <v>48.87</v>
      </c>
      <c r="AC77" s="2">
        <f t="shared" si="3"/>
        <v>48.87</v>
      </c>
      <c r="AD77" s="8">
        <v>1</v>
      </c>
      <c r="AE77" s="10">
        <f>IF(Table1[[#This Row],[P/750]]&lt;20,1,IF(Table1[[#This Row],[P/750]]&lt;50,2,3))</f>
        <v>2</v>
      </c>
      <c r="AF77" s="10">
        <f>IF(Table1[[#This Row],[P/750]]&lt;Expenses!$C$30,1,IF(Table1[[#This Row],[P/750]]&lt;Expenses!$C$31,2,IF(Table1[[#This Row],[P/750]]&lt;Expenses!$C$32,3,4)))</f>
        <v>3</v>
      </c>
      <c r="AH77" s="37" t="s">
        <v>1139</v>
      </c>
      <c r="AI77" s="11">
        <f>Table1[[#This Row],[Price]]/Table1[[#This Row],[Size (ml)]]*750</f>
        <v>48.87</v>
      </c>
      <c r="AK77" s="10">
        <f>COUNTIF(UniqueID!A:A,Table1[[#This Row],[ID]])</f>
        <v>0</v>
      </c>
      <c r="AL77" s="10" t="str">
        <f>VLOOKUP(Table1[[#This Row],[Cellar Location]],Location!A:F,6,FALSE)</f>
        <v>W</v>
      </c>
      <c r="AN77" s="1">
        <v>44058</v>
      </c>
      <c r="AO77" s="10" t="str">
        <f>TEXT(Table1[[#This Row],[Purchased]],"mmmm")</f>
        <v>August</v>
      </c>
      <c r="AP77" s="10" t="str">
        <f>TEXT(Table1[[#This Row],[Purchased]],"yyyy")</f>
        <v>2020</v>
      </c>
      <c r="AQ77" s="1">
        <v>44132</v>
      </c>
    </row>
    <row r="78" spans="1:43" s="37" customFormat="1" x14ac:dyDescent="0.25">
      <c r="A78" s="37" t="str">
        <f t="shared" si="2"/>
        <v>2015Alejandro FernandezTinto Pesquera Crianza</v>
      </c>
      <c r="B78" s="37">
        <v>2015</v>
      </c>
      <c r="C78" s="37" t="s">
        <v>1602</v>
      </c>
      <c r="D78" s="37" t="s">
        <v>1603</v>
      </c>
      <c r="E78" s="67" t="s">
        <v>1220</v>
      </c>
      <c r="F78" s="37" t="s">
        <v>729</v>
      </c>
      <c r="G78" s="37" t="s">
        <v>1718</v>
      </c>
      <c r="H78" s="37" t="s">
        <v>818</v>
      </c>
      <c r="I78" s="8">
        <v>1</v>
      </c>
      <c r="J78" s="38">
        <v>750</v>
      </c>
      <c r="K78" s="38" t="s">
        <v>1139</v>
      </c>
      <c r="L78" s="10">
        <f>COUNTIF(Drank!A:A,Table1[[#This Row],[ID]])</f>
        <v>0</v>
      </c>
      <c r="M78" s="37" t="s">
        <v>202</v>
      </c>
      <c r="N78" s="37" t="s">
        <v>207</v>
      </c>
      <c r="O78" s="37">
        <v>0</v>
      </c>
      <c r="P78" s="10"/>
      <c r="R78" s="10" t="str">
        <f>IF(IFERROR(VLOOKUP(A78,Drank!A:S,15,FALSE),"")=0,"",IFERROR(VLOOKUP(A78,Drank!A:S,15,FALSE),""))</f>
        <v/>
      </c>
      <c r="S78" s="10" t="str">
        <f>IF(IFERROR(VLOOKUP(A78,Drank!A:S,16,FALSE),"")=0,"",IFERROR(VLOOKUP(A78,Drank!A:S,16,FALSE),""))</f>
        <v/>
      </c>
      <c r="T78" s="10">
        <v>2025</v>
      </c>
      <c r="V78" s="18" t="str">
        <f>IF(IFERROR(VLOOKUP(A78,Drank!A:T,19,FALSE),"")=0,"",IFERROR(VLOOKUP(A78,Drank!A:T,19,FALSE),""))</f>
        <v/>
      </c>
      <c r="W78" s="1" t="str">
        <f>IF(IFERROR(VLOOKUP(A78,Drank!A:T,20,FALSE),"")=0,"",IFERROR(VLOOKUP(A78,Drank!A:T,20,FALSE),""))</f>
        <v/>
      </c>
      <c r="X78" s="10">
        <f>SUMIF(A:A,A78,I:I)</f>
        <v>1</v>
      </c>
      <c r="Y78" s="10">
        <f>IF(Table1[[#This Row],[Drank]]&gt;0,VLOOKUP(Table1[[#This Row],[ID]],Drank!A:P,16,FALSE),IF(Table1[[#This Row],[WALDD]]&gt;0,VLOOKUP(Table1[[#This Row],[ID]],Wine1!A:Q,17,FALSE),Table1[[#This Row],[EP]]))</f>
        <v>2025</v>
      </c>
      <c r="Z78" s="18" t="str">
        <f>IF(Table1[[#This Row],[My Rating]]="",IF(Table1[[#This Row],[WA Rating Clean]]="","",Table1[[#This Row],[WA Rating Clean]]),Table1[[#This Row],[My Rating]])</f>
        <v/>
      </c>
      <c r="AA78" s="37">
        <v>2020</v>
      </c>
      <c r="AB78" s="4">
        <v>33.229999999999997</v>
      </c>
      <c r="AC78" s="2">
        <f t="shared" si="3"/>
        <v>33.229999999999997</v>
      </c>
      <c r="AD78" s="8">
        <v>1</v>
      </c>
      <c r="AE78" s="10">
        <f>IF(Table1[[#This Row],[P/750]]&lt;20,1,IF(Table1[[#This Row],[P/750]]&lt;50,2,3))</f>
        <v>2</v>
      </c>
      <c r="AF78" s="10">
        <f>IF(Table1[[#This Row],[P/750]]&lt;Expenses!$C$30,1,IF(Table1[[#This Row],[P/750]]&lt;Expenses!$C$31,2,IF(Table1[[#This Row],[P/750]]&lt;Expenses!$C$32,3,4)))</f>
        <v>3</v>
      </c>
      <c r="AH78" s="37" t="s">
        <v>1139</v>
      </c>
      <c r="AI78" s="11">
        <f>Table1[[#This Row],[Price]]/Table1[[#This Row],[Size (ml)]]*750</f>
        <v>33.229999999999997</v>
      </c>
      <c r="AK78" s="10">
        <f>COUNTIF(UniqueID!A:A,Table1[[#This Row],[ID]])</f>
        <v>0</v>
      </c>
      <c r="AL78" s="10" t="str">
        <f>VLOOKUP(Table1[[#This Row],[Cellar Location]],Location!A:F,6,FALSE)</f>
        <v>W</v>
      </c>
      <c r="AN78" s="1">
        <v>44058</v>
      </c>
      <c r="AO78" s="10" t="str">
        <f>TEXT(Table1[[#This Row],[Purchased]],"mmmm")</f>
        <v>August</v>
      </c>
      <c r="AP78" s="10" t="str">
        <f>TEXT(Table1[[#This Row],[Purchased]],"yyyy")</f>
        <v>2020</v>
      </c>
      <c r="AQ78" s="1">
        <v>44132</v>
      </c>
    </row>
    <row r="79" spans="1:43" s="37" customFormat="1" x14ac:dyDescent="0.25">
      <c r="A79" s="37" t="str">
        <f t="shared" si="2"/>
        <v>2012Alejandro FernandezTinto Pesquera Reserva</v>
      </c>
      <c r="B79" s="37">
        <v>2012</v>
      </c>
      <c r="C79" s="37" t="s">
        <v>1602</v>
      </c>
      <c r="D79" s="37" t="s">
        <v>1615</v>
      </c>
      <c r="E79" s="67" t="s">
        <v>1220</v>
      </c>
      <c r="F79" s="37" t="s">
        <v>729</v>
      </c>
      <c r="G79" s="37" t="s">
        <v>1718</v>
      </c>
      <c r="H79" s="37" t="s">
        <v>818</v>
      </c>
      <c r="I79" s="8">
        <v>1</v>
      </c>
      <c r="J79" s="38">
        <v>750</v>
      </c>
      <c r="K79" s="38" t="s">
        <v>1139</v>
      </c>
      <c r="L79" s="10">
        <f>COUNTIF(Drank!A:A,Table1[[#This Row],[ID]])</f>
        <v>0</v>
      </c>
      <c r="M79" s="37" t="s">
        <v>202</v>
      </c>
      <c r="N79" s="37" t="s">
        <v>207</v>
      </c>
      <c r="O79" s="37">
        <v>0</v>
      </c>
      <c r="P79" s="10"/>
      <c r="R79" s="10" t="str">
        <f>IF(IFERROR(VLOOKUP(A79,Drank!A:S,15,FALSE),"")=0,"",IFERROR(VLOOKUP(A79,Drank!A:S,15,FALSE),""))</f>
        <v/>
      </c>
      <c r="S79" s="10" t="str">
        <f>IF(IFERROR(VLOOKUP(A79,Drank!A:S,16,FALSE),"")=0,"",IFERROR(VLOOKUP(A79,Drank!A:S,16,FALSE),""))</f>
        <v/>
      </c>
      <c r="T79" s="10">
        <v>2025</v>
      </c>
      <c r="V79" s="18" t="str">
        <f>IF(IFERROR(VLOOKUP(A79,Drank!A:T,19,FALSE),"")=0,"",IFERROR(VLOOKUP(A79,Drank!A:T,19,FALSE),""))</f>
        <v/>
      </c>
      <c r="W79" s="1" t="str">
        <f>IF(IFERROR(VLOOKUP(A79,Drank!A:T,20,FALSE),"")=0,"",IFERROR(VLOOKUP(A79,Drank!A:T,20,FALSE),""))</f>
        <v/>
      </c>
      <c r="X79" s="10">
        <f>SUMIF(A:A,A79,I:I)</f>
        <v>1</v>
      </c>
      <c r="Y79" s="10">
        <f>IF(Table1[[#This Row],[Drank]]&gt;0,VLOOKUP(Table1[[#This Row],[ID]],Drank!A:P,16,FALSE),IF(Table1[[#This Row],[WALDD]]&gt;0,VLOOKUP(Table1[[#This Row],[ID]],Wine1!A:Q,17,FALSE),Table1[[#This Row],[EP]]))</f>
        <v>2025</v>
      </c>
      <c r="Z79" s="18" t="str">
        <f>IF(Table1[[#This Row],[My Rating]]="",IF(Table1[[#This Row],[WA Rating Clean]]="","",Table1[[#This Row],[WA Rating Clean]]),Table1[[#This Row],[My Rating]])</f>
        <v/>
      </c>
      <c r="AA79" s="37">
        <v>2020</v>
      </c>
      <c r="AB79" s="4">
        <v>50.83</v>
      </c>
      <c r="AC79" s="2">
        <f t="shared" si="3"/>
        <v>50.83</v>
      </c>
      <c r="AD79" s="8">
        <v>1</v>
      </c>
      <c r="AE79" s="10">
        <f>IF(Table1[[#This Row],[P/750]]&lt;20,1,IF(Table1[[#This Row],[P/750]]&lt;50,2,3))</f>
        <v>3</v>
      </c>
      <c r="AF79" s="10">
        <f>IF(Table1[[#This Row],[P/750]]&lt;Expenses!$C$30,1,IF(Table1[[#This Row],[P/750]]&lt;Expenses!$C$31,2,IF(Table1[[#This Row],[P/750]]&lt;Expenses!$C$32,3,4)))</f>
        <v>3</v>
      </c>
      <c r="AH79" s="37" t="s">
        <v>1139</v>
      </c>
      <c r="AI79" s="11">
        <f>Table1[[#This Row],[Price]]/Table1[[#This Row],[Size (ml)]]*750</f>
        <v>50.829999999999991</v>
      </c>
      <c r="AK79" s="10">
        <f>COUNTIF(UniqueID!A:A,Table1[[#This Row],[ID]])</f>
        <v>0</v>
      </c>
      <c r="AL79" s="10" t="str">
        <f>VLOOKUP(Table1[[#This Row],[Cellar Location]],Location!A:F,6,FALSE)</f>
        <v>W</v>
      </c>
      <c r="AN79" s="1">
        <v>44058</v>
      </c>
      <c r="AO79" s="10" t="str">
        <f>TEXT(Table1[[#This Row],[Purchased]],"mmmm")</f>
        <v>August</v>
      </c>
      <c r="AP79" s="10" t="str">
        <f>TEXT(Table1[[#This Row],[Purchased]],"yyyy")</f>
        <v>2020</v>
      </c>
      <c r="AQ79" s="1">
        <v>44132</v>
      </c>
    </row>
    <row r="80" spans="1:43" s="37" customFormat="1" x14ac:dyDescent="0.25">
      <c r="A80" s="37" t="str">
        <f t="shared" si="2"/>
        <v>2018Schloss VollradsRiesling Kabinett</v>
      </c>
      <c r="B80" s="37">
        <v>2018</v>
      </c>
      <c r="C80" s="37" t="s">
        <v>1604</v>
      </c>
      <c r="D80" s="37" t="s">
        <v>1605</v>
      </c>
      <c r="E80" s="67" t="s">
        <v>1608</v>
      </c>
      <c r="F80" s="37" t="s">
        <v>1606</v>
      </c>
      <c r="G80" s="37" t="s">
        <v>1607</v>
      </c>
      <c r="I80" s="8">
        <v>1</v>
      </c>
      <c r="J80" s="38">
        <v>750</v>
      </c>
      <c r="K80" s="38" t="s">
        <v>1139</v>
      </c>
      <c r="L80" s="10">
        <f>COUNTIF(Drank!A:A,Table1[[#This Row],[ID]])</f>
        <v>0</v>
      </c>
      <c r="M80" s="37" t="s">
        <v>201</v>
      </c>
      <c r="N80" s="37" t="s">
        <v>207</v>
      </c>
      <c r="O80" s="37">
        <v>0</v>
      </c>
      <c r="P80" s="10"/>
      <c r="R80" s="10" t="str">
        <f>IF(IFERROR(VLOOKUP(A80,Drank!A:S,15,FALSE),"")=0,"",IFERROR(VLOOKUP(A80,Drank!A:S,15,FALSE),""))</f>
        <v/>
      </c>
      <c r="S80" s="10" t="str">
        <f>IF(IFERROR(VLOOKUP(A80,Drank!A:S,16,FALSE),"")=0,"",IFERROR(VLOOKUP(A80,Drank!A:S,16,FALSE),""))</f>
        <v/>
      </c>
      <c r="T80" s="10">
        <v>2025</v>
      </c>
      <c r="V80" s="18" t="str">
        <f>IF(IFERROR(VLOOKUP(A80,Drank!A:T,19,FALSE),"")=0,"",IFERROR(VLOOKUP(A80,Drank!A:T,19,FALSE),""))</f>
        <v/>
      </c>
      <c r="W80" s="1" t="str">
        <f>IF(IFERROR(VLOOKUP(A80,Drank!A:T,20,FALSE),"")=0,"",IFERROR(VLOOKUP(A80,Drank!A:T,20,FALSE),""))</f>
        <v/>
      </c>
      <c r="X80" s="10">
        <f>SUMIF(A:A,A80,I:I)</f>
        <v>2</v>
      </c>
      <c r="Y80" s="10">
        <f>IF(Table1[[#This Row],[Drank]]&gt;0,VLOOKUP(Table1[[#This Row],[ID]],Drank!A:P,16,FALSE),IF(Table1[[#This Row],[WALDD]]&gt;0,VLOOKUP(Table1[[#This Row],[ID]],Wine1!A:Q,17,FALSE),Table1[[#This Row],[EP]]))</f>
        <v>2025</v>
      </c>
      <c r="Z80" s="18" t="str">
        <f>IF(Table1[[#This Row],[My Rating]]="",IF(Table1[[#This Row],[WA Rating Clean]]="","",Table1[[#This Row],[WA Rating Clean]]),Table1[[#This Row],[My Rating]])</f>
        <v/>
      </c>
      <c r="AA80" s="37">
        <v>2020</v>
      </c>
      <c r="AB80" s="4">
        <v>27.36</v>
      </c>
      <c r="AC80" s="2">
        <f t="shared" si="3"/>
        <v>27.36</v>
      </c>
      <c r="AD80" s="8">
        <v>1</v>
      </c>
      <c r="AE80" s="10">
        <f>IF(Table1[[#This Row],[P/750]]&lt;20,1,IF(Table1[[#This Row],[P/750]]&lt;50,2,3))</f>
        <v>2</v>
      </c>
      <c r="AF80" s="10">
        <f>IF(Table1[[#This Row],[P/750]]&lt;Expenses!$C$30,1,IF(Table1[[#This Row],[P/750]]&lt;Expenses!$C$31,2,IF(Table1[[#This Row],[P/750]]&lt;Expenses!$C$32,3,4)))</f>
        <v>2</v>
      </c>
      <c r="AH80" s="37" t="s">
        <v>1139</v>
      </c>
      <c r="AI80" s="11">
        <f>Table1[[#This Row],[Price]]/Table1[[#This Row],[Size (ml)]]*750</f>
        <v>27.36</v>
      </c>
      <c r="AK80" s="10">
        <f>COUNTIF(UniqueID!A:A,Table1[[#This Row],[ID]])</f>
        <v>0</v>
      </c>
      <c r="AL80" s="10" t="str">
        <f>VLOOKUP(Table1[[#This Row],[Cellar Location]],Location!A:F,6,FALSE)</f>
        <v>W</v>
      </c>
      <c r="AN80" s="1">
        <v>44058</v>
      </c>
      <c r="AO80" s="10" t="str">
        <f>TEXT(Table1[[#This Row],[Purchased]],"mmmm")</f>
        <v>August</v>
      </c>
      <c r="AP80" s="10" t="str">
        <f>TEXT(Table1[[#This Row],[Purchased]],"yyyy")</f>
        <v>2020</v>
      </c>
      <c r="AQ80" s="1">
        <v>44132</v>
      </c>
    </row>
    <row r="81" spans="1:43" s="37" customFormat="1" x14ac:dyDescent="0.25">
      <c r="A81" s="37" t="str">
        <f t="shared" si="2"/>
        <v>2015Avignonesi Vino Nobile di Montepulciano</v>
      </c>
      <c r="B81" s="37">
        <v>2015</v>
      </c>
      <c r="C81" s="37" t="s">
        <v>1747</v>
      </c>
      <c r="D81" s="37" t="s">
        <v>1748</v>
      </c>
      <c r="E81" s="67" t="s">
        <v>1250</v>
      </c>
      <c r="F81" s="37" t="s">
        <v>728</v>
      </c>
      <c r="G81" s="37" t="s">
        <v>790</v>
      </c>
      <c r="H81" s="37" t="s">
        <v>270</v>
      </c>
      <c r="I81" s="8">
        <v>1</v>
      </c>
      <c r="J81" s="38">
        <v>375</v>
      </c>
      <c r="K81" s="38" t="s">
        <v>435</v>
      </c>
      <c r="L81" s="10">
        <f>COUNTIF(Drank!A:A,Table1[[#This Row],[ID]])</f>
        <v>0</v>
      </c>
      <c r="M81" s="37" t="s">
        <v>202</v>
      </c>
      <c r="N81" s="37" t="s">
        <v>207</v>
      </c>
      <c r="O81" s="37">
        <v>1</v>
      </c>
      <c r="P81" s="10">
        <v>2015</v>
      </c>
      <c r="Q81" s="37">
        <v>2025</v>
      </c>
      <c r="R81" s="10" t="str">
        <f>IF(IFERROR(VLOOKUP(A81,Drank!A:S,15,FALSE),"")=0,"",IFERROR(VLOOKUP(A81,Drank!A:S,15,FALSE),""))</f>
        <v/>
      </c>
      <c r="S81" s="10" t="str">
        <f>IF(IFERROR(VLOOKUP(A81,Drank!A:S,16,FALSE),"")=0,"",IFERROR(VLOOKUP(A81,Drank!A:S,16,FALSE),""))</f>
        <v/>
      </c>
      <c r="T81" s="10"/>
      <c r="U81" s="37">
        <v>89</v>
      </c>
      <c r="V81" s="18" t="str">
        <f>IF(IFERROR(VLOOKUP(A81,Drank!A:T,19,FALSE),"")=0,"",IFERROR(VLOOKUP(A81,Drank!A:T,19,FALSE),""))</f>
        <v/>
      </c>
      <c r="W81" s="1" t="str">
        <f>IF(IFERROR(VLOOKUP(A81,Drank!A:T,20,FALSE),"")=0,"",IFERROR(VLOOKUP(A81,Drank!A:T,20,FALSE),""))</f>
        <v/>
      </c>
      <c r="X81" s="10">
        <f>SUMIF(A:A,A81,I:I)</f>
        <v>1</v>
      </c>
      <c r="Y81" s="10">
        <f>IF(Table1[[#This Row],[Drank]]&gt;0,VLOOKUP(Table1[[#This Row],[ID]],Drank!A:P,16,FALSE),IF(Table1[[#This Row],[WALDD]]&gt;0,VLOOKUP(Table1[[#This Row],[ID]],Wine1!A:Q,17,FALSE),Table1[[#This Row],[EP]]))</f>
        <v>2025</v>
      </c>
      <c r="Z81" s="18">
        <f>IF(Table1[[#This Row],[My Rating]]="",IF(Table1[[#This Row],[WA Rating Clean]]="","",Table1[[#This Row],[WA Rating Clean]]),Table1[[#This Row],[My Rating]])</f>
        <v>89</v>
      </c>
      <c r="AA81" s="37">
        <v>2020</v>
      </c>
      <c r="AB81" s="4">
        <v>15.99</v>
      </c>
      <c r="AC81" s="2">
        <f t="shared" si="3"/>
        <v>15.99</v>
      </c>
      <c r="AD81" s="8">
        <v>1</v>
      </c>
      <c r="AE81" s="10">
        <f>IF(Table1[[#This Row],[P/750]]&lt;20,1,IF(Table1[[#This Row],[P/750]]&lt;50,2,3))</f>
        <v>2</v>
      </c>
      <c r="AF81" s="10">
        <f>IF(Table1[[#This Row],[P/750]]&lt;Expenses!$C$30,1,IF(Table1[[#This Row],[P/750]]&lt;Expenses!$C$31,2,IF(Table1[[#This Row],[P/750]]&lt;Expenses!$C$32,3,4)))</f>
        <v>3</v>
      </c>
      <c r="AH81" s="37" t="s">
        <v>1744</v>
      </c>
      <c r="AI81" s="11">
        <f>Table1[[#This Row],[Price]]/Table1[[#This Row],[Size (ml)]]*750</f>
        <v>31.979999999999997</v>
      </c>
      <c r="AJ81" s="37">
        <v>89</v>
      </c>
      <c r="AK81" s="10">
        <f>COUNTIF(UniqueID!A:A,Table1[[#This Row],[ID]])</f>
        <v>0</v>
      </c>
      <c r="AL81" s="10" t="str">
        <f>VLOOKUP(Table1[[#This Row],[Cellar Location]],Location!A:F,6,FALSE)</f>
        <v>W</v>
      </c>
      <c r="AN81" s="1">
        <v>44063</v>
      </c>
      <c r="AO81" s="10" t="str">
        <f>TEXT(Table1[[#This Row],[Purchased]],"mmmm")</f>
        <v>August</v>
      </c>
      <c r="AP81" s="10" t="str">
        <f>TEXT(Table1[[#This Row],[Purchased]],"yyyy")</f>
        <v>2020</v>
      </c>
      <c r="AQ81" s="1">
        <v>44132</v>
      </c>
    </row>
    <row r="82" spans="1:43" s="37" customFormat="1" x14ac:dyDescent="0.25">
      <c r="A82" s="37" t="str">
        <f t="shared" si="2"/>
        <v>2018DeLoachPrivate Collection Pinot Noir</v>
      </c>
      <c r="B82" s="37">
        <v>2018</v>
      </c>
      <c r="C82" s="37" t="s">
        <v>1665</v>
      </c>
      <c r="D82" s="37" t="s">
        <v>1666</v>
      </c>
      <c r="E82" s="69" t="s">
        <v>263</v>
      </c>
      <c r="F82" s="37" t="s">
        <v>727</v>
      </c>
      <c r="G82" s="37" t="s">
        <v>806</v>
      </c>
      <c r="I82" s="8">
        <v>1</v>
      </c>
      <c r="J82" s="38">
        <v>750</v>
      </c>
      <c r="K82" s="38" t="s">
        <v>1526</v>
      </c>
      <c r="L82" s="10">
        <f>COUNTIF(Drank!A:A,Table1[[#This Row],[ID]])</f>
        <v>0</v>
      </c>
      <c r="M82" s="37" t="s">
        <v>202</v>
      </c>
      <c r="N82" s="37" t="s">
        <v>207</v>
      </c>
      <c r="O82" s="37">
        <v>0</v>
      </c>
      <c r="R82" s="10" t="str">
        <f>IF(IFERROR(VLOOKUP(A82,Drank!A:S,15,FALSE),"")=0,"",IFERROR(VLOOKUP(A82,Drank!A:S,15,FALSE),""))</f>
        <v/>
      </c>
      <c r="S82" s="10" t="str">
        <f>IF(IFERROR(VLOOKUP(A82,Drank!A:S,16,FALSE),"")=0,"",IFERROR(VLOOKUP(A82,Drank!A:S,16,FALSE),""))</f>
        <v/>
      </c>
      <c r="T82" s="10">
        <v>2026</v>
      </c>
      <c r="V82" s="18" t="str">
        <f>IF(IFERROR(VLOOKUP(A82,Drank!A:T,19,FALSE),"")=0,"",IFERROR(VLOOKUP(A82,Drank!A:T,19,FALSE),""))</f>
        <v/>
      </c>
      <c r="W82" s="1" t="str">
        <f>IF(IFERROR(VLOOKUP(A82,Drank!A:T,20,FALSE),"")=0,"",IFERROR(VLOOKUP(A82,Drank!A:T,20,FALSE),""))</f>
        <v/>
      </c>
      <c r="X82" s="10">
        <f>SUMIF(A:A,A82,I:I)</f>
        <v>1</v>
      </c>
      <c r="Y82" s="10">
        <f>IF(Table1[[#This Row],[Drank]]&gt;0,VLOOKUP(Table1[[#This Row],[ID]],Drank!A:P,16,FALSE),IF(Table1[[#This Row],[WALDD]]&gt;0,VLOOKUP(Table1[[#This Row],[ID]],Wine1!A:Q,17,FALSE),Table1[[#This Row],[EP]]))</f>
        <v>2026</v>
      </c>
      <c r="Z82" s="18" t="str">
        <f>IF(Table1[[#This Row],[My Rating]]="",IF(Table1[[#This Row],[WA Rating Clean]]="","",Table1[[#This Row],[WA Rating Clean]]),Table1[[#This Row],[My Rating]])</f>
        <v/>
      </c>
      <c r="AA82" s="8">
        <v>2020</v>
      </c>
      <c r="AB82" s="4">
        <v>5.71</v>
      </c>
      <c r="AC82" s="2">
        <f t="shared" si="3"/>
        <v>5.71</v>
      </c>
      <c r="AD82" s="8">
        <v>1</v>
      </c>
      <c r="AE82" s="10">
        <f>IF(Table1[[#This Row],[P/750]]&lt;20,1,IF(Table1[[#This Row],[P/750]]&lt;50,2,3))</f>
        <v>1</v>
      </c>
      <c r="AF82" s="10">
        <f>IF(Table1[[#This Row],[P/750]]&lt;Expenses!$C$30,1,IF(Table1[[#This Row],[P/750]]&lt;Expenses!$C$31,2,IF(Table1[[#This Row],[P/750]]&lt;Expenses!$C$32,3,4)))</f>
        <v>1</v>
      </c>
      <c r="AH82" s="37" t="s">
        <v>1685</v>
      </c>
      <c r="AI82" s="11">
        <f>Table1[[#This Row],[Price]]/Table1[[#This Row],[Size (ml)]]*750</f>
        <v>5.71</v>
      </c>
      <c r="AK82" s="10">
        <f>COUNTIF(UniqueID!A:A,Table1[[#This Row],[ID]])</f>
        <v>0</v>
      </c>
      <c r="AL82" s="10" t="str">
        <f>VLOOKUP(Table1[[#This Row],[Cellar Location]],Location!A:F,6,FALSE)</f>
        <v>W</v>
      </c>
      <c r="AN82" s="1">
        <v>44061</v>
      </c>
      <c r="AO82" s="10" t="str">
        <f>TEXT(Table1[[#This Row],[Purchased]],"mmmm")</f>
        <v>August</v>
      </c>
      <c r="AP82" s="10" t="str">
        <f>TEXT(Table1[[#This Row],[Purchased]],"yyyy")</f>
        <v>2020</v>
      </c>
      <c r="AQ82" s="1">
        <v>44077</v>
      </c>
    </row>
    <row r="83" spans="1:43" s="37" customFormat="1" x14ac:dyDescent="0.25">
      <c r="A83" s="37" t="str">
        <f t="shared" si="2"/>
        <v>2019Tenuta AlbrizziCabernet Sauvignon-Primitivo</v>
      </c>
      <c r="B83" s="37">
        <v>2019</v>
      </c>
      <c r="C83" s="37" t="s">
        <v>1668</v>
      </c>
      <c r="D83" s="37" t="s">
        <v>1669</v>
      </c>
      <c r="E83" s="69" t="s">
        <v>1855</v>
      </c>
      <c r="F83" s="37" t="s">
        <v>728</v>
      </c>
      <c r="G83" s="37" t="s">
        <v>785</v>
      </c>
      <c r="I83" s="8">
        <v>1</v>
      </c>
      <c r="J83" s="38">
        <v>750</v>
      </c>
      <c r="K83" s="38" t="s">
        <v>1526</v>
      </c>
      <c r="L83" s="10">
        <f>COUNTIF(Drank!A:A,Table1[[#This Row],[ID]])</f>
        <v>0</v>
      </c>
      <c r="M83" s="37" t="s">
        <v>202</v>
      </c>
      <c r="N83" s="37" t="s">
        <v>207</v>
      </c>
      <c r="O83" s="37">
        <v>0</v>
      </c>
      <c r="R83" s="10" t="str">
        <f>IF(IFERROR(VLOOKUP(A83,Drank!A:S,15,FALSE),"")=0,"",IFERROR(VLOOKUP(A83,Drank!A:S,15,FALSE),""))</f>
        <v/>
      </c>
      <c r="S83" s="10" t="str">
        <f>IF(IFERROR(VLOOKUP(A83,Drank!A:S,16,FALSE),"")=0,"",IFERROR(VLOOKUP(A83,Drank!A:S,16,FALSE),""))</f>
        <v/>
      </c>
      <c r="T83" s="10">
        <v>2026</v>
      </c>
      <c r="V83" s="18" t="str">
        <f>IF(IFERROR(VLOOKUP(A83,Drank!A:T,19,FALSE),"")=0,"",IFERROR(VLOOKUP(A83,Drank!A:T,19,FALSE),""))</f>
        <v/>
      </c>
      <c r="W83" s="1" t="str">
        <f>IF(IFERROR(VLOOKUP(A83,Drank!A:T,20,FALSE),"")=0,"",IFERROR(VLOOKUP(A83,Drank!A:T,20,FALSE),""))</f>
        <v/>
      </c>
      <c r="X83" s="10">
        <f>SUMIF(A:A,A83,I:I)</f>
        <v>1</v>
      </c>
      <c r="Y83" s="10">
        <f>IF(Table1[[#This Row],[Drank]]&gt;0,VLOOKUP(Table1[[#This Row],[ID]],Drank!A:P,16,FALSE),IF(Table1[[#This Row],[WALDD]]&gt;0,VLOOKUP(Table1[[#This Row],[ID]],Wine1!A:Q,17,FALSE),Table1[[#This Row],[EP]]))</f>
        <v>2026</v>
      </c>
      <c r="Z83" s="18" t="str">
        <f>IF(Table1[[#This Row],[My Rating]]="",IF(Table1[[#This Row],[WA Rating Clean]]="","",Table1[[#This Row],[WA Rating Clean]]),Table1[[#This Row],[My Rating]])</f>
        <v/>
      </c>
      <c r="AA83" s="8">
        <v>2020</v>
      </c>
      <c r="AB83" s="4">
        <v>5.71</v>
      </c>
      <c r="AC83" s="2">
        <f t="shared" si="3"/>
        <v>5.71</v>
      </c>
      <c r="AD83" s="8">
        <v>1</v>
      </c>
      <c r="AE83" s="10">
        <f>IF(Table1[[#This Row],[P/750]]&lt;20,1,IF(Table1[[#This Row],[P/750]]&lt;50,2,3))</f>
        <v>1</v>
      </c>
      <c r="AF83" s="10">
        <f>IF(Table1[[#This Row],[P/750]]&lt;Expenses!$C$30,1,IF(Table1[[#This Row],[P/750]]&lt;Expenses!$C$31,2,IF(Table1[[#This Row],[P/750]]&lt;Expenses!$C$32,3,4)))</f>
        <v>1</v>
      </c>
      <c r="AH83" s="37" t="s">
        <v>1685</v>
      </c>
      <c r="AI83" s="11">
        <f>Table1[[#This Row],[Price]]/Table1[[#This Row],[Size (ml)]]*750</f>
        <v>5.71</v>
      </c>
      <c r="AK83" s="10">
        <f>COUNTIF(UniqueID!A:A,Table1[[#This Row],[ID]])</f>
        <v>0</v>
      </c>
      <c r="AL83" s="10" t="str">
        <f>VLOOKUP(Table1[[#This Row],[Cellar Location]],Location!A:F,6,FALSE)</f>
        <v>W</v>
      </c>
      <c r="AN83" s="1">
        <v>44061</v>
      </c>
      <c r="AO83" s="10" t="str">
        <f>TEXT(Table1[[#This Row],[Purchased]],"mmmm")</f>
        <v>August</v>
      </c>
      <c r="AP83" s="10" t="str">
        <f>TEXT(Table1[[#This Row],[Purchased]],"yyyy")</f>
        <v>2020</v>
      </c>
      <c r="AQ83" s="1">
        <v>44077</v>
      </c>
    </row>
    <row r="84" spans="1:43" s="37" customFormat="1" x14ac:dyDescent="0.25">
      <c r="A84" s="37" t="str">
        <f t="shared" si="2"/>
        <v>2019AluadoAlicante Bouschet</v>
      </c>
      <c r="B84" s="37">
        <v>2019</v>
      </c>
      <c r="C84" s="37" t="s">
        <v>1674</v>
      </c>
      <c r="D84" s="37" t="s">
        <v>1148</v>
      </c>
      <c r="E84" s="69" t="s">
        <v>1148</v>
      </c>
      <c r="F84" s="37" t="s">
        <v>804</v>
      </c>
      <c r="I84" s="8">
        <v>1</v>
      </c>
      <c r="J84" s="38">
        <v>750</v>
      </c>
      <c r="K84" s="38" t="s">
        <v>1526</v>
      </c>
      <c r="L84" s="10">
        <f>COUNTIF(Drank!A:A,Table1[[#This Row],[ID]])</f>
        <v>0</v>
      </c>
      <c r="M84" s="37" t="s">
        <v>202</v>
      </c>
      <c r="N84" s="37" t="s">
        <v>207</v>
      </c>
      <c r="R84" s="10" t="str">
        <f>IF(IFERROR(VLOOKUP(A84,Drank!A:S,15,FALSE),"")=0,"",IFERROR(VLOOKUP(A84,Drank!A:S,15,FALSE),""))</f>
        <v/>
      </c>
      <c r="S84" s="10" t="str">
        <f>IF(IFERROR(VLOOKUP(A84,Drank!A:S,16,FALSE),"")=0,"",IFERROR(VLOOKUP(A84,Drank!A:S,16,FALSE),""))</f>
        <v/>
      </c>
      <c r="T84" s="10">
        <v>2026</v>
      </c>
      <c r="V84" s="18" t="str">
        <f>IF(IFERROR(VLOOKUP(A84,Drank!A:T,19,FALSE),"")=0,"",IFERROR(VLOOKUP(A84,Drank!A:T,19,FALSE),""))</f>
        <v/>
      </c>
      <c r="W84" s="1" t="str">
        <f>IF(IFERROR(VLOOKUP(A84,Drank!A:T,20,FALSE),"")=0,"",IFERROR(VLOOKUP(A84,Drank!A:T,20,FALSE),""))</f>
        <v/>
      </c>
      <c r="X84" s="10">
        <f>SUMIF(A:A,A84,I:I)</f>
        <v>1</v>
      </c>
      <c r="Y84" s="10">
        <f>IF(Table1[[#This Row],[Drank]]&gt;0,VLOOKUP(Table1[[#This Row],[ID]],Drank!A:P,16,FALSE),IF(Table1[[#This Row],[WALDD]]&gt;0,VLOOKUP(Table1[[#This Row],[ID]],Wine1!A:Q,17,FALSE),Table1[[#This Row],[EP]]))</f>
        <v>2026</v>
      </c>
      <c r="Z84" s="18" t="str">
        <f>IF(Table1[[#This Row],[My Rating]]="",IF(Table1[[#This Row],[WA Rating Clean]]="","",Table1[[#This Row],[WA Rating Clean]]),Table1[[#This Row],[My Rating]])</f>
        <v/>
      </c>
      <c r="AA84" s="8">
        <v>2020</v>
      </c>
      <c r="AB84" s="4">
        <v>5.71</v>
      </c>
      <c r="AC84" s="2">
        <f t="shared" si="3"/>
        <v>5.71</v>
      </c>
      <c r="AD84" s="8">
        <v>1</v>
      </c>
      <c r="AE84" s="10">
        <f>IF(Table1[[#This Row],[P/750]]&lt;20,1,IF(Table1[[#This Row],[P/750]]&lt;50,2,3))</f>
        <v>1</v>
      </c>
      <c r="AF84" s="10">
        <f>IF(Table1[[#This Row],[P/750]]&lt;Expenses!$C$30,1,IF(Table1[[#This Row],[P/750]]&lt;Expenses!$C$31,2,IF(Table1[[#This Row],[P/750]]&lt;Expenses!$C$32,3,4)))</f>
        <v>1</v>
      </c>
      <c r="AH84" s="37" t="s">
        <v>1685</v>
      </c>
      <c r="AI84" s="11">
        <f>Table1[[#This Row],[Price]]/Table1[[#This Row],[Size (ml)]]*750</f>
        <v>5.71</v>
      </c>
      <c r="AK84" s="10">
        <f>COUNTIF(UniqueID!A:A,Table1[[#This Row],[ID]])</f>
        <v>0</v>
      </c>
      <c r="AL84" s="10" t="str">
        <f>VLOOKUP(Table1[[#This Row],[Cellar Location]],Location!A:F,6,FALSE)</f>
        <v>W</v>
      </c>
      <c r="AN84" s="1">
        <v>44061</v>
      </c>
      <c r="AO84" s="10" t="str">
        <f>TEXT(Table1[[#This Row],[Purchased]],"mmmm")</f>
        <v>August</v>
      </c>
      <c r="AP84" s="10" t="str">
        <f>TEXT(Table1[[#This Row],[Purchased]],"yyyy")</f>
        <v>2020</v>
      </c>
      <c r="AQ84" s="1">
        <v>44077</v>
      </c>
    </row>
    <row r="85" spans="1:43" s="37" customFormat="1" x14ac:dyDescent="0.25">
      <c r="A85" s="37" t="str">
        <f t="shared" si="2"/>
        <v>2018AH WinesZinfandel Black Saint Peter Old Vine</v>
      </c>
      <c r="B85" s="37">
        <v>2018</v>
      </c>
      <c r="C85" s="37" t="s">
        <v>1679</v>
      </c>
      <c r="D85" s="37" t="s">
        <v>1680</v>
      </c>
      <c r="E85" s="69" t="s">
        <v>151</v>
      </c>
      <c r="F85" s="37" t="s">
        <v>727</v>
      </c>
      <c r="G85" s="37" t="s">
        <v>1481</v>
      </c>
      <c r="H85" s="37" t="s">
        <v>1678</v>
      </c>
      <c r="I85" s="8">
        <v>1</v>
      </c>
      <c r="J85" s="38">
        <v>750</v>
      </c>
      <c r="K85" s="38" t="s">
        <v>1526</v>
      </c>
      <c r="L85" s="10">
        <f>COUNTIF(Drank!A:A,Table1[[#This Row],[ID]])</f>
        <v>0</v>
      </c>
      <c r="M85" s="37" t="s">
        <v>202</v>
      </c>
      <c r="N85" s="37" t="s">
        <v>207</v>
      </c>
      <c r="O85" s="37">
        <v>0</v>
      </c>
      <c r="R85" s="10" t="str">
        <f>IF(IFERROR(VLOOKUP(A85,Drank!A:S,15,FALSE),"")=0,"",IFERROR(VLOOKUP(A85,Drank!A:S,15,FALSE),""))</f>
        <v/>
      </c>
      <c r="S85" s="10" t="str">
        <f>IF(IFERROR(VLOOKUP(A85,Drank!A:S,16,FALSE),"")=0,"",IFERROR(VLOOKUP(A85,Drank!A:S,16,FALSE),""))</f>
        <v/>
      </c>
      <c r="T85" s="10">
        <v>2026</v>
      </c>
      <c r="V85" s="18" t="str">
        <f>IF(IFERROR(VLOOKUP(A85,Drank!A:T,19,FALSE),"")=0,"",IFERROR(VLOOKUP(A85,Drank!A:T,19,FALSE),""))</f>
        <v/>
      </c>
      <c r="W85" s="1" t="str">
        <f>IF(IFERROR(VLOOKUP(A85,Drank!A:T,20,FALSE),"")=0,"",IFERROR(VLOOKUP(A85,Drank!A:T,20,FALSE),""))</f>
        <v/>
      </c>
      <c r="X85" s="10">
        <f>SUMIF(A:A,A85,I:I)</f>
        <v>1</v>
      </c>
      <c r="Y85" s="10">
        <f>IF(Table1[[#This Row],[Drank]]&gt;0,VLOOKUP(Table1[[#This Row],[ID]],Drank!A:P,16,FALSE),IF(Table1[[#This Row],[WALDD]]&gt;0,VLOOKUP(Table1[[#This Row],[ID]],Wine1!A:Q,17,FALSE),Table1[[#This Row],[EP]]))</f>
        <v>2026</v>
      </c>
      <c r="Z85" s="18" t="str">
        <f>IF(Table1[[#This Row],[My Rating]]="",IF(Table1[[#This Row],[WA Rating Clean]]="","",Table1[[#This Row],[WA Rating Clean]]),Table1[[#This Row],[My Rating]])</f>
        <v/>
      </c>
      <c r="AA85" s="8">
        <v>2020</v>
      </c>
      <c r="AB85" s="4">
        <v>5.71</v>
      </c>
      <c r="AC85" s="2">
        <f t="shared" si="3"/>
        <v>5.71</v>
      </c>
      <c r="AD85" s="8">
        <v>1</v>
      </c>
      <c r="AE85" s="10">
        <f>IF(Table1[[#This Row],[P/750]]&lt;20,1,IF(Table1[[#This Row],[P/750]]&lt;50,2,3))</f>
        <v>1</v>
      </c>
      <c r="AF85" s="10">
        <f>IF(Table1[[#This Row],[P/750]]&lt;Expenses!$C$30,1,IF(Table1[[#This Row],[P/750]]&lt;Expenses!$C$31,2,IF(Table1[[#This Row],[P/750]]&lt;Expenses!$C$32,3,4)))</f>
        <v>1</v>
      </c>
      <c r="AH85" s="37" t="s">
        <v>1685</v>
      </c>
      <c r="AI85" s="11">
        <f>Table1[[#This Row],[Price]]/Table1[[#This Row],[Size (ml)]]*750</f>
        <v>5.71</v>
      </c>
      <c r="AK85" s="10">
        <f>COUNTIF(UniqueID!A:A,Table1[[#This Row],[ID]])</f>
        <v>0</v>
      </c>
      <c r="AL85" s="10" t="str">
        <f>VLOOKUP(Table1[[#This Row],[Cellar Location]],Location!A:F,6,FALSE)</f>
        <v>W</v>
      </c>
      <c r="AN85" s="1">
        <v>44061</v>
      </c>
      <c r="AO85" s="10" t="str">
        <f>TEXT(Table1[[#This Row],[Purchased]],"mmmm")</f>
        <v>August</v>
      </c>
      <c r="AP85" s="10" t="str">
        <f>TEXT(Table1[[#This Row],[Purchased]],"yyyy")</f>
        <v>2020</v>
      </c>
      <c r="AQ85" s="1">
        <v>44077</v>
      </c>
    </row>
    <row r="86" spans="1:43" s="37" customFormat="1" x14ac:dyDescent="0.25">
      <c r="A86" s="37" t="str">
        <f t="shared" si="2"/>
        <v>2017Descendientes de Jose PalaciosCorullon</v>
      </c>
      <c r="B86" s="8">
        <v>2017</v>
      </c>
      <c r="C86" s="37" t="s">
        <v>1627</v>
      </c>
      <c r="D86" s="131" t="s">
        <v>1628</v>
      </c>
      <c r="E86" s="69" t="s">
        <v>612</v>
      </c>
      <c r="F86" s="37" t="s">
        <v>729</v>
      </c>
      <c r="G86" s="37" t="s">
        <v>1718</v>
      </c>
      <c r="H86" s="37" t="s">
        <v>815</v>
      </c>
      <c r="I86" s="37">
        <v>1</v>
      </c>
      <c r="J86" s="37">
        <v>750</v>
      </c>
      <c r="K86" s="8" t="s">
        <v>1427</v>
      </c>
      <c r="L86" s="10">
        <f>COUNTIF(Drank!A:A,Table1[[#This Row],[ID]])</f>
        <v>0</v>
      </c>
      <c r="M86" s="37" t="s">
        <v>202</v>
      </c>
      <c r="N86" s="37" t="s">
        <v>207</v>
      </c>
      <c r="O86" s="37">
        <v>1</v>
      </c>
      <c r="P86" s="37">
        <v>2020</v>
      </c>
      <c r="Q86" s="37">
        <v>2026</v>
      </c>
      <c r="R86" s="10" t="str">
        <f>IF(IFERROR(VLOOKUP(A86,Drank!A:S,15,FALSE),"")=0,"",IFERROR(VLOOKUP(A86,Drank!A:S,15,FALSE),""))</f>
        <v/>
      </c>
      <c r="S86" s="10" t="str">
        <f>IF(IFERROR(VLOOKUP(A86,Drank!A:S,16,FALSE),"")=0,"",IFERROR(VLOOKUP(A86,Drank!A:S,16,FALSE),""))</f>
        <v/>
      </c>
      <c r="T86" s="10"/>
      <c r="U86" s="37" t="s">
        <v>1629</v>
      </c>
      <c r="V86" s="18" t="str">
        <f>IF(IFERROR(VLOOKUP(A86,Drank!A:T,19,FALSE),"")=0,"",IFERROR(VLOOKUP(A86,Drank!A:T,19,FALSE),""))</f>
        <v/>
      </c>
      <c r="W86" s="1" t="str">
        <f>IF(IFERROR(VLOOKUP(A86,Drank!A:T,20,FALSE),"")=0,"",IFERROR(VLOOKUP(A86,Drank!A:T,20,FALSE),""))</f>
        <v/>
      </c>
      <c r="X86" s="10">
        <f>SUMIF(A:A,A86,I:I)</f>
        <v>1</v>
      </c>
      <c r="Y86" s="10">
        <f>IF(Table1[[#This Row],[Drank]]&gt;0,VLOOKUP(Table1[[#This Row],[ID]],Drank!A:P,16,FALSE),IF(Table1[[#This Row],[WALDD]]&gt;0,VLOOKUP(Table1[[#This Row],[ID]],Wine1!A:Q,17,FALSE),Table1[[#This Row],[EP]]))</f>
        <v>2026</v>
      </c>
      <c r="Z86" s="18">
        <f>IF(Table1[[#This Row],[My Rating]]="",IF(Table1[[#This Row],[WA Rating Clean]]="","",Table1[[#This Row],[WA Rating Clean]]),Table1[[#This Row],[My Rating]])</f>
        <v>95</v>
      </c>
      <c r="AA86" s="37">
        <v>2020</v>
      </c>
      <c r="AB86" s="4">
        <v>54.331804720037027</v>
      </c>
      <c r="AC86" s="2">
        <f t="shared" si="3"/>
        <v>54.331804720037027</v>
      </c>
      <c r="AD86" s="8">
        <v>0</v>
      </c>
      <c r="AE86" s="10">
        <f>IF(Table1[[#This Row],[P/750]]&lt;20,1,IF(Table1[[#This Row],[P/750]]&lt;50,2,3))</f>
        <v>3</v>
      </c>
      <c r="AF86" s="10">
        <f>IF(Table1[[#This Row],[P/750]]&lt;Expenses!$C$30,1,IF(Table1[[#This Row],[P/750]]&lt;Expenses!$C$31,2,IF(Table1[[#This Row],[P/750]]&lt;Expenses!$C$32,3,4)))</f>
        <v>3</v>
      </c>
      <c r="AH86" s="37" t="s">
        <v>1139</v>
      </c>
      <c r="AI86" s="11">
        <f>Table1[[#This Row],[Price]]/Table1[[#This Row],[Size (ml)]]*750</f>
        <v>54.331804720037034</v>
      </c>
      <c r="AJ86" s="37">
        <v>95</v>
      </c>
      <c r="AK86" s="10">
        <f>COUNTIF(UniqueID!A:A,Table1[[#This Row],[ID]])</f>
        <v>0</v>
      </c>
      <c r="AL86" s="10" t="str">
        <f>VLOOKUP(Table1[[#This Row],[Cellar Location]],Location!A:F,6,FALSE)</f>
        <v>C</v>
      </c>
      <c r="AN86" s="1">
        <v>44060</v>
      </c>
      <c r="AO86" s="10" t="str">
        <f>TEXT(Table1[[#This Row],[Purchased]],"mmmm")</f>
        <v>August</v>
      </c>
      <c r="AP86" s="10" t="str">
        <f>TEXT(Table1[[#This Row],[Purchased]],"yyyy")</f>
        <v>2020</v>
      </c>
      <c r="AQ86" s="10"/>
    </row>
    <row r="87" spans="1:43" s="37" customFormat="1" x14ac:dyDescent="0.25">
      <c r="A87" s="37" t="str">
        <f t="shared" si="2"/>
        <v>2014LutumPinot Noir Sanford &amp; Benedict Vineyard</v>
      </c>
      <c r="B87" s="63">
        <v>2014</v>
      </c>
      <c r="C87" s="103" t="s">
        <v>333</v>
      </c>
      <c r="D87" s="111" t="s">
        <v>373</v>
      </c>
      <c r="E87" s="64" t="s">
        <v>263</v>
      </c>
      <c r="F87" s="37" t="s">
        <v>727</v>
      </c>
      <c r="G87" s="37" t="s">
        <v>806</v>
      </c>
      <c r="H87" s="37" t="s">
        <v>830</v>
      </c>
      <c r="I87" s="37">
        <v>1</v>
      </c>
      <c r="J87" s="37">
        <v>750</v>
      </c>
      <c r="K87" s="8" t="s">
        <v>25</v>
      </c>
      <c r="L87" s="37">
        <f>COUNTIF(Drank!A:A,Table1[[#This Row],[ID]])</f>
        <v>1</v>
      </c>
      <c r="M87" s="37" t="s">
        <v>202</v>
      </c>
      <c r="N87" s="37" t="s">
        <v>207</v>
      </c>
      <c r="O87" s="37">
        <v>1</v>
      </c>
      <c r="P87" s="37">
        <v>2016</v>
      </c>
      <c r="Q87" s="37">
        <v>2026</v>
      </c>
      <c r="R87" s="10">
        <f>IF(IFERROR(VLOOKUP(A87,Drank!A:S,15,FALSE),"")=0,"",IFERROR(VLOOKUP(A87,Drank!A:S,15,FALSE),""))</f>
        <v>2019</v>
      </c>
      <c r="S87" s="10">
        <f>IF(IFERROR(VLOOKUP(A87,Drank!A:S,16,FALSE),"")=0,"",IFERROR(VLOOKUP(A87,Drank!A:S,16,FALSE),""))</f>
        <v>2026</v>
      </c>
      <c r="T87" s="10"/>
      <c r="U87" s="37">
        <v>95</v>
      </c>
      <c r="V87" s="18">
        <f>IF(IFERROR(VLOOKUP(A87,Drank!A:T,19,FALSE),"")=0,"",IFERROR(VLOOKUP(A87,Drank!A:T,19,FALSE),""))</f>
        <v>93</v>
      </c>
      <c r="W87" s="1">
        <f>IF(IFERROR(VLOOKUP(A87,Drank!A:T,20,FALSE),"")=0,"",IFERROR(VLOOKUP(A87,Drank!A:T,20,FALSE),""))</f>
        <v>43656</v>
      </c>
      <c r="X87" s="10">
        <f>SUMIF(A:A,A87,I:I)</f>
        <v>3</v>
      </c>
      <c r="Y87" s="37">
        <f>IF(Table1[[#This Row],[Drank]]&gt;0,VLOOKUP(Table1[[#This Row],[ID]],Drank!A:P,16,FALSE),IF(Table1[[#This Row],[WALDD]]&gt;0,VLOOKUP(Table1[[#This Row],[ID]],Wine1!A:Q,17,FALSE),Table1[[#This Row],[EP]]))</f>
        <v>2026</v>
      </c>
      <c r="Z87" s="18">
        <f>IF(Table1[[#This Row],[My Rating]]="",IF(Table1[[#This Row],[WA Rating Clean]]="","",Table1[[#This Row],[WA Rating Clean]]),Table1[[#This Row],[My Rating]])</f>
        <v>93</v>
      </c>
      <c r="AA87" s="8">
        <v>2020</v>
      </c>
      <c r="AB87" s="4">
        <v>35</v>
      </c>
      <c r="AC87" s="2">
        <f t="shared" si="3"/>
        <v>35</v>
      </c>
      <c r="AD87" s="8">
        <v>0</v>
      </c>
      <c r="AE87" s="37">
        <f>IF(Table1[[#This Row],[P/750]]&lt;20,1,IF(Table1[[#This Row],[P/750]]&lt;50,2,3))</f>
        <v>2</v>
      </c>
      <c r="AF87" s="37">
        <f>IF(Table1[[#This Row],[P/750]]&lt;Expenses!$C$30,1,IF(Table1[[#This Row],[P/750]]&lt;Expenses!$C$31,2,IF(Table1[[#This Row],[P/750]]&lt;Expenses!$C$32,3,4)))</f>
        <v>3</v>
      </c>
      <c r="AH87" s="37" t="s">
        <v>385</v>
      </c>
      <c r="AI87" s="11">
        <f>Table1[[#This Row],[Price]]/Table1[[#This Row],[Size (ml)]]*750</f>
        <v>35</v>
      </c>
      <c r="AJ87" s="37">
        <v>95</v>
      </c>
      <c r="AK87" s="37">
        <f>COUNTIF(UniqueID!A:A,Table1[[#This Row],[ID]])</f>
        <v>1</v>
      </c>
      <c r="AL87" s="37" t="str">
        <f>VLOOKUP(Table1[[#This Row],[Cellar Location]],Location!A:F,6,FALSE)</f>
        <v>K</v>
      </c>
      <c r="AO87" s="37" t="str">
        <f>TEXT(Table1[[#This Row],[Purchased]],"mmmm")</f>
        <v>January</v>
      </c>
      <c r="AP87" s="10" t="str">
        <f>TEXT(Table1[[#This Row],[Purchased]],"yyyy")</f>
        <v>1900</v>
      </c>
      <c r="AQ87" s="10"/>
    </row>
    <row r="88" spans="1:43" s="37" customFormat="1" x14ac:dyDescent="0.25">
      <c r="A88" s="37" t="str">
        <f t="shared" si="2"/>
        <v>2013PoesiaBodegas Poesia</v>
      </c>
      <c r="B88" s="67">
        <v>2013</v>
      </c>
      <c r="C88" s="103" t="s">
        <v>1552</v>
      </c>
      <c r="D88" s="110" t="s">
        <v>730</v>
      </c>
      <c r="E88" s="67" t="s">
        <v>1553</v>
      </c>
      <c r="F88" s="37" t="s">
        <v>731</v>
      </c>
      <c r="G88" s="37" t="s">
        <v>732</v>
      </c>
      <c r="H88" s="37" t="s">
        <v>849</v>
      </c>
      <c r="I88" s="37">
        <v>1</v>
      </c>
      <c r="J88" s="38">
        <v>750</v>
      </c>
      <c r="K88" s="38" t="s">
        <v>385</v>
      </c>
      <c r="L88" s="10">
        <f>COUNTIF(Drank!A:A,Table1[[#This Row],[ID]])</f>
        <v>0</v>
      </c>
      <c r="M88" s="37" t="s">
        <v>202</v>
      </c>
      <c r="N88" s="37" t="s">
        <v>207</v>
      </c>
      <c r="O88" s="37">
        <v>1</v>
      </c>
      <c r="P88" s="37">
        <v>2017</v>
      </c>
      <c r="Q88" s="37">
        <v>2026</v>
      </c>
      <c r="R88" s="10" t="str">
        <f>IF(IFERROR(VLOOKUP(A88,Drank!A:S,15,FALSE),"")=0,"",IFERROR(VLOOKUP(A88,Drank!A:S,15,FALSE),""))</f>
        <v/>
      </c>
      <c r="S88" s="10" t="str">
        <f>IF(IFERROR(VLOOKUP(A88,Drank!A:S,16,FALSE),"")=0,"",IFERROR(VLOOKUP(A88,Drank!A:S,16,FALSE),""))</f>
        <v/>
      </c>
      <c r="T88" s="10"/>
      <c r="U88" s="37">
        <v>94</v>
      </c>
      <c r="V88" s="18" t="str">
        <f>IF(IFERROR(VLOOKUP(A88,Drank!A:T,19,FALSE),"")=0,"",IFERROR(VLOOKUP(A88,Drank!A:T,19,FALSE),""))</f>
        <v/>
      </c>
      <c r="W88" s="1" t="str">
        <f>IF(IFERROR(VLOOKUP(A88,Drank!A:T,20,FALSE),"")=0,"",IFERROR(VLOOKUP(A88,Drank!A:T,20,FALSE),""))</f>
        <v/>
      </c>
      <c r="X88" s="10">
        <f>SUMIF(A:A,A88,I:I)</f>
        <v>4</v>
      </c>
      <c r="Y88" s="10">
        <f>IF(Table1[[#This Row],[Drank]]&gt;0,VLOOKUP(Table1[[#This Row],[ID]],Drank!A:P,16,FALSE),IF(Table1[[#This Row],[WALDD]]&gt;0,VLOOKUP(Table1[[#This Row],[ID]],Wine1!A:Q,17,FALSE),Table1[[#This Row],[EP]]))</f>
        <v>2026</v>
      </c>
      <c r="Z88" s="18">
        <f>IF(Table1[[#This Row],[My Rating]]="",IF(Table1[[#This Row],[WA Rating Clean]]="","",Table1[[#This Row],[WA Rating Clean]]),Table1[[#This Row],[My Rating]])</f>
        <v>94</v>
      </c>
      <c r="AA88" s="8">
        <v>2020</v>
      </c>
      <c r="AB88" s="4">
        <v>31.68</v>
      </c>
      <c r="AC88" s="2">
        <f t="shared" si="3"/>
        <v>31.68</v>
      </c>
      <c r="AD88" s="8">
        <v>1</v>
      </c>
      <c r="AE88" s="10">
        <f>IF(Table1[[#This Row],[P/750]]&lt;20,1,IF(Table1[[#This Row],[P/750]]&lt;50,2,3))</f>
        <v>2</v>
      </c>
      <c r="AF88" s="10">
        <f>IF(Table1[[#This Row],[P/750]]&lt;Expenses!$C$30,1,IF(Table1[[#This Row],[P/750]]&lt;Expenses!$C$31,2,IF(Table1[[#This Row],[P/750]]&lt;Expenses!$C$32,3,4)))</f>
        <v>3</v>
      </c>
      <c r="AH88" s="37" t="s">
        <v>385</v>
      </c>
      <c r="AI88" s="11">
        <f>Table1[[#This Row],[Price]]/Table1[[#This Row],[Size (ml)]]*750</f>
        <v>31.68</v>
      </c>
      <c r="AJ88" s="37">
        <v>94</v>
      </c>
      <c r="AK88" s="10">
        <f>COUNTIF(UniqueID!A:A,Table1[[#This Row],[ID]])</f>
        <v>0</v>
      </c>
      <c r="AL88" s="10" t="str">
        <f>VLOOKUP(Table1[[#This Row],[Cellar Location]],Location!A:F,6,FALSE)</f>
        <v>W</v>
      </c>
      <c r="AN88" s="1">
        <v>44043</v>
      </c>
      <c r="AO88" s="10" t="str">
        <f>TEXT(Table1[[#This Row],[Purchased]],"mmmm")</f>
        <v>July</v>
      </c>
      <c r="AP88" s="10" t="str">
        <f>TEXT(Table1[[#This Row],[Purchased]],"yyyy")</f>
        <v>2020</v>
      </c>
      <c r="AQ88" s="1">
        <v>44114</v>
      </c>
    </row>
    <row r="89" spans="1:43" s="37" customFormat="1" x14ac:dyDescent="0.25">
      <c r="A89" s="37" t="str">
        <f t="shared" si="2"/>
        <v>2018Clos de LuzAzuda Syrah</v>
      </c>
      <c r="B89" s="37">
        <v>2018</v>
      </c>
      <c r="C89" s="37" t="s">
        <v>1573</v>
      </c>
      <c r="D89" s="121" t="s">
        <v>1574</v>
      </c>
      <c r="E89" s="69" t="s">
        <v>1431</v>
      </c>
      <c r="F89" s="67" t="s">
        <v>952</v>
      </c>
      <c r="G89" s="37" t="s">
        <v>1481</v>
      </c>
      <c r="H89" s="37" t="s">
        <v>1575</v>
      </c>
      <c r="I89" s="8">
        <v>1</v>
      </c>
      <c r="J89" s="38">
        <v>750</v>
      </c>
      <c r="K89" s="38" t="s">
        <v>1572</v>
      </c>
      <c r="L89" s="10">
        <f>COUNTIF(Drank!A:A,Table1[[#This Row],[ID]])</f>
        <v>0</v>
      </c>
      <c r="M89" s="37" t="s">
        <v>202</v>
      </c>
      <c r="N89" s="37" t="s">
        <v>207</v>
      </c>
      <c r="O89" s="37">
        <v>1</v>
      </c>
      <c r="P89" s="10">
        <v>2020</v>
      </c>
      <c r="Q89" s="37">
        <v>2026</v>
      </c>
      <c r="R89" s="10" t="str">
        <f>IF(IFERROR(VLOOKUP(A89,Drank!A:S,15,FALSE),"")=0,"",IFERROR(VLOOKUP(A89,Drank!A:S,15,FALSE),""))</f>
        <v/>
      </c>
      <c r="S89" s="10" t="str">
        <f>IF(IFERROR(VLOOKUP(A89,Drank!A:S,16,FALSE),"")=0,"",IFERROR(VLOOKUP(A89,Drank!A:S,16,FALSE),""))</f>
        <v/>
      </c>
      <c r="T89" s="10"/>
      <c r="U89" s="37" t="s">
        <v>29</v>
      </c>
      <c r="V89" s="18" t="str">
        <f>IF(IFERROR(VLOOKUP(A89,Drank!A:T,19,FALSE),"")=0,"",IFERROR(VLOOKUP(A89,Drank!A:T,19,FALSE),""))</f>
        <v/>
      </c>
      <c r="W89" s="1" t="str">
        <f>IF(IFERROR(VLOOKUP(A89,Drank!A:T,20,FALSE),"")=0,"",IFERROR(VLOOKUP(A89,Drank!A:T,20,FALSE),""))</f>
        <v/>
      </c>
      <c r="X89" s="10">
        <f>SUMIF(A:A,A89,I:I)</f>
        <v>2</v>
      </c>
      <c r="Y89" s="10">
        <f>IF(Table1[[#This Row],[Drank]]&gt;0,VLOOKUP(Table1[[#This Row],[ID]],Drank!A:P,16,FALSE),IF(Table1[[#This Row],[WALDD]]&gt;0,VLOOKUP(Table1[[#This Row],[ID]],Wine1!A:Q,17,FALSE),Table1[[#This Row],[EP]]))</f>
        <v>2026</v>
      </c>
      <c r="Z89" s="18">
        <f>IF(Table1[[#This Row],[My Rating]]="",IF(Table1[[#This Row],[WA Rating Clean]]="","",Table1[[#This Row],[WA Rating Clean]]),Table1[[#This Row],[My Rating]])</f>
        <v>92</v>
      </c>
      <c r="AA89" s="8">
        <v>2020</v>
      </c>
      <c r="AB89" s="4">
        <v>18.719297151989981</v>
      </c>
      <c r="AC89" s="2">
        <f t="shared" si="3"/>
        <v>18.719297151989981</v>
      </c>
      <c r="AD89" s="8">
        <v>1</v>
      </c>
      <c r="AE89" s="10">
        <f>IF(Table1[[#This Row],[P/750]]&lt;20,1,IF(Table1[[#This Row],[P/750]]&lt;50,2,3))</f>
        <v>1</v>
      </c>
      <c r="AF89" s="10">
        <f>IF(Table1[[#This Row],[P/750]]&lt;Expenses!$C$30,1,IF(Table1[[#This Row],[P/750]]&lt;Expenses!$C$31,2,IF(Table1[[#This Row],[P/750]]&lt;Expenses!$C$32,3,4)))</f>
        <v>2</v>
      </c>
      <c r="AH89" s="37" t="s">
        <v>1572</v>
      </c>
      <c r="AI89" s="11">
        <f>Table1[[#This Row],[Price]]/Table1[[#This Row],[Size (ml)]]*750</f>
        <v>18.719297151989981</v>
      </c>
      <c r="AJ89" s="37">
        <v>92</v>
      </c>
      <c r="AK89" s="10">
        <f>COUNTIF(UniqueID!A:A,Table1[[#This Row],[ID]])</f>
        <v>0</v>
      </c>
      <c r="AL89" s="10" t="str">
        <f>VLOOKUP(Table1[[#This Row],[Cellar Location]],Location!A:F,6,FALSE)</f>
        <v>W</v>
      </c>
      <c r="AN89" s="1">
        <v>44055</v>
      </c>
      <c r="AO89" s="10" t="str">
        <f>TEXT(Table1[[#This Row],[Purchased]],"mmmm")</f>
        <v>August</v>
      </c>
      <c r="AP89" s="10" t="str">
        <f>TEXT(Table1[[#This Row],[Purchased]],"yyyy")</f>
        <v>2020</v>
      </c>
      <c r="AQ89" s="1">
        <v>44114</v>
      </c>
    </row>
    <row r="90" spans="1:43" s="37" customFormat="1" x14ac:dyDescent="0.25">
      <c r="A90" s="37" t="str">
        <f t="shared" si="2"/>
        <v>2015Palazzo MaffeiAmarone</v>
      </c>
      <c r="B90" s="8">
        <v>2015</v>
      </c>
      <c r="C90" s="120" t="s">
        <v>1539</v>
      </c>
      <c r="D90" s="25" t="s">
        <v>264</v>
      </c>
      <c r="E90" s="64" t="s">
        <v>262</v>
      </c>
      <c r="F90" s="37" t="s">
        <v>728</v>
      </c>
      <c r="G90" s="37" t="s">
        <v>799</v>
      </c>
      <c r="H90" s="37" t="s">
        <v>803</v>
      </c>
      <c r="I90" s="37">
        <v>1</v>
      </c>
      <c r="J90" s="37">
        <v>750</v>
      </c>
      <c r="K90" s="8" t="s">
        <v>1427</v>
      </c>
      <c r="L90" s="10">
        <f>COUNTIF(Drank!A:A,Table1[[#This Row],[ID]])</f>
        <v>0</v>
      </c>
      <c r="M90" s="37" t="s">
        <v>202</v>
      </c>
      <c r="N90" s="37" t="s">
        <v>207</v>
      </c>
      <c r="O90" s="37">
        <v>0</v>
      </c>
      <c r="R90" s="10" t="str">
        <f>IF(IFERROR(VLOOKUP(A90,Drank!A:S,15,FALSE),"")=0,"",IFERROR(VLOOKUP(A90,Drank!A:S,15,FALSE),""))</f>
        <v/>
      </c>
      <c r="S90" s="10" t="str">
        <f>IF(IFERROR(VLOOKUP(A90,Drank!A:S,16,FALSE),"")=0,"",IFERROR(VLOOKUP(A90,Drank!A:S,16,FALSE),""))</f>
        <v/>
      </c>
      <c r="T90" s="10">
        <v>2027</v>
      </c>
      <c r="V90" s="18" t="str">
        <f>IF(IFERROR(VLOOKUP(A90,Drank!A:T,19,FALSE),"")=0,"",IFERROR(VLOOKUP(A90,Drank!A:T,19,FALSE),""))</f>
        <v/>
      </c>
      <c r="W90" s="1" t="str">
        <f>IF(IFERROR(VLOOKUP(A90,Drank!A:T,20,FALSE),"")=0,"",IFERROR(VLOOKUP(A90,Drank!A:T,20,FALSE),""))</f>
        <v/>
      </c>
      <c r="X90" s="10">
        <f>SUMIF(A:A,A90,I:I)</f>
        <v>1</v>
      </c>
      <c r="Y90" s="10">
        <f>IF(Table1[[#This Row],[Drank]]&gt;0,VLOOKUP(Table1[[#This Row],[ID]],Drank!A:P,16,FALSE),IF(Table1[[#This Row],[WALDD]]&gt;0,VLOOKUP(Table1[[#This Row],[ID]],Wine1!A:Q,17,FALSE),Table1[[#This Row],[EP]]))</f>
        <v>2027</v>
      </c>
      <c r="Z90" s="18" t="str">
        <f>IF(Table1[[#This Row],[My Rating]]="",IF(Table1[[#This Row],[WA Rating Clean]]="","",Table1[[#This Row],[WA Rating Clean]]),Table1[[#This Row],[My Rating]])</f>
        <v/>
      </c>
      <c r="AA90" s="37">
        <v>2020</v>
      </c>
      <c r="AB90" s="4">
        <v>37.14</v>
      </c>
      <c r="AC90" s="2">
        <f t="shared" si="3"/>
        <v>37.14</v>
      </c>
      <c r="AD90" s="8">
        <v>0</v>
      </c>
      <c r="AE90" s="10">
        <f>IF(Table1[[#This Row],[P/750]]&lt;20,1,IF(Table1[[#This Row],[P/750]]&lt;50,2,3))</f>
        <v>2</v>
      </c>
      <c r="AF90" s="10">
        <f>IF(Table1[[#This Row],[P/750]]&lt;Expenses!$C$30,1,IF(Table1[[#This Row],[P/750]]&lt;Expenses!$C$31,2,IF(Table1[[#This Row],[P/750]]&lt;Expenses!$C$32,3,4)))</f>
        <v>3</v>
      </c>
      <c r="AH90" s="37" t="s">
        <v>1128</v>
      </c>
      <c r="AI90" s="11">
        <f>Table1[[#This Row],[Price]]/Table1[[#This Row],[Size (ml)]]*750</f>
        <v>37.14</v>
      </c>
      <c r="AK90" s="10">
        <f>COUNTIF(UniqueID!A:A,Table1[[#This Row],[ID]])</f>
        <v>0</v>
      </c>
      <c r="AL90" s="10" t="str">
        <f>VLOOKUP(Table1[[#This Row],[Cellar Location]],Location!A:F,6,FALSE)</f>
        <v>C</v>
      </c>
      <c r="AM90" s="1"/>
      <c r="AN90" s="1">
        <v>44037</v>
      </c>
      <c r="AO90" s="10" t="str">
        <f>TEXT(Table1[[#This Row],[Purchased]],"mmmm")</f>
        <v>July</v>
      </c>
      <c r="AP90" s="10" t="str">
        <f>TEXT(Table1[[#This Row],[Purchased]],"yyyy")</f>
        <v>2020</v>
      </c>
      <c r="AQ90" s="10"/>
    </row>
    <row r="91" spans="1:43" s="37" customFormat="1" x14ac:dyDescent="0.25">
      <c r="A91" s="37" t="str">
        <f t="shared" si="2"/>
        <v>2015CaparsaChianti Classico Riserva Caparsino</v>
      </c>
      <c r="B91" s="8">
        <v>2015</v>
      </c>
      <c r="C91" s="8" t="s">
        <v>1713</v>
      </c>
      <c r="D91" s="37" t="s">
        <v>1895</v>
      </c>
      <c r="E91" s="67" t="s">
        <v>1250</v>
      </c>
      <c r="F91" s="37" t="s">
        <v>728</v>
      </c>
      <c r="G91" s="37" t="s">
        <v>790</v>
      </c>
      <c r="H91" s="37" t="s">
        <v>792</v>
      </c>
      <c r="I91" s="37">
        <v>1</v>
      </c>
      <c r="J91" s="37">
        <v>1500</v>
      </c>
      <c r="K91" s="8" t="s">
        <v>236</v>
      </c>
      <c r="L91" s="10">
        <f>COUNTIF(Drank!A:A,Table1[[#This Row],[ID]])</f>
        <v>0</v>
      </c>
      <c r="M91" s="37" t="s">
        <v>202</v>
      </c>
      <c r="N91" s="37" t="s">
        <v>207</v>
      </c>
      <c r="O91" s="37">
        <v>0</v>
      </c>
      <c r="R91" s="10" t="str">
        <f>IF(IFERROR(VLOOKUP(A91,Drank!A:S,15,FALSE),"")=0,"",IFERROR(VLOOKUP(A91,Drank!A:S,15,FALSE),""))</f>
        <v/>
      </c>
      <c r="S91" s="10" t="str">
        <f>IF(IFERROR(VLOOKUP(A91,Drank!A:S,16,FALSE),"")=0,"",IFERROR(VLOOKUP(A91,Drank!A:S,16,FALSE),""))</f>
        <v/>
      </c>
      <c r="T91" s="10">
        <v>2027</v>
      </c>
      <c r="V91" s="18" t="str">
        <f>IF(IFERROR(VLOOKUP(A91,Drank!A:T,19,FALSE),"")=0,"",IFERROR(VLOOKUP(A91,Drank!A:T,19,FALSE),""))</f>
        <v/>
      </c>
      <c r="W91" s="1" t="str">
        <f>IF(IFERROR(VLOOKUP(A91,Drank!A:T,20,FALSE),"")=0,"",IFERROR(VLOOKUP(A91,Drank!A:T,20,FALSE),""))</f>
        <v/>
      </c>
      <c r="X91" s="10">
        <f>SUMIF(A:A,A91,I:I)</f>
        <v>1</v>
      </c>
      <c r="Y91" s="10">
        <f>IF(Table1[[#This Row],[Drank]]&gt;0,VLOOKUP(Table1[[#This Row],[ID]],Drank!A:P,16,FALSE),IF(Table1[[#This Row],[WALDD]]&gt;0,VLOOKUP(Table1[[#This Row],[ID]],Wine1!A:Q,17,FALSE),Table1[[#This Row],[EP]]))</f>
        <v>2027</v>
      </c>
      <c r="Z91" s="18" t="str">
        <f>IF(Table1[[#This Row],[My Rating]]="",IF(Table1[[#This Row],[WA Rating Clean]]="","",Table1[[#This Row],[WA Rating Clean]]),Table1[[#This Row],[My Rating]])</f>
        <v/>
      </c>
      <c r="AA91" s="8">
        <v>2020</v>
      </c>
      <c r="AB91" s="4">
        <v>76.040000000000006</v>
      </c>
      <c r="AC91" s="2">
        <f t="shared" si="3"/>
        <v>76.040000000000006</v>
      </c>
      <c r="AD91" s="8">
        <v>0</v>
      </c>
      <c r="AE91" s="10">
        <f>IF(Table1[[#This Row],[P/750]]&lt;20,1,IF(Table1[[#This Row],[P/750]]&lt;50,2,3))</f>
        <v>2</v>
      </c>
      <c r="AF91" s="10">
        <f>IF(Table1[[#This Row],[P/750]]&lt;Expenses!$C$30,1,IF(Table1[[#This Row],[P/750]]&lt;Expenses!$C$31,2,IF(Table1[[#This Row],[P/750]]&lt;Expenses!$C$32,3,4)))</f>
        <v>3</v>
      </c>
      <c r="AH91" s="37" t="s">
        <v>1709</v>
      </c>
      <c r="AI91" s="11">
        <f>Table1[[#This Row],[Price]]/Table1[[#This Row],[Size (ml)]]*750</f>
        <v>38.020000000000003</v>
      </c>
      <c r="AK91" s="10">
        <f>COUNTIF(UniqueID!A:A,Table1[[#This Row],[ID]])</f>
        <v>0</v>
      </c>
      <c r="AL91" s="10" t="str">
        <f>VLOOKUP(Table1[[#This Row],[Cellar Location]],Location!A:F,6,FALSE)</f>
        <v>C</v>
      </c>
      <c r="AN91" s="1">
        <v>44062</v>
      </c>
      <c r="AO91" s="10" t="str">
        <f>TEXT(Table1[[#This Row],[Purchased]],"mmmm")</f>
        <v>August</v>
      </c>
      <c r="AP91" s="10" t="str">
        <f>TEXT(Table1[[#This Row],[Purchased]],"yyyy")</f>
        <v>2020</v>
      </c>
      <c r="AQ91" s="10"/>
    </row>
    <row r="92" spans="1:43" s="37" customFormat="1" x14ac:dyDescent="0.25">
      <c r="A92" s="37" t="str">
        <f t="shared" si="2"/>
        <v>2017Raul PerezLa Vizcaina El Rapolao</v>
      </c>
      <c r="B92" s="37">
        <v>2017</v>
      </c>
      <c r="C92" s="37" t="s">
        <v>1487</v>
      </c>
      <c r="D92" s="37" t="s">
        <v>1596</v>
      </c>
      <c r="E92" s="69" t="s">
        <v>363</v>
      </c>
      <c r="F92" s="37" t="s">
        <v>729</v>
      </c>
      <c r="G92" s="37" t="s">
        <v>1718</v>
      </c>
      <c r="H92" s="37" t="s">
        <v>815</v>
      </c>
      <c r="I92" s="8">
        <v>1</v>
      </c>
      <c r="J92" s="38">
        <v>750</v>
      </c>
      <c r="K92" s="38" t="s">
        <v>1139</v>
      </c>
      <c r="L92" s="10">
        <f>COUNTIF(Drank!A:A,Table1[[#This Row],[ID]])</f>
        <v>0</v>
      </c>
      <c r="M92" s="37" t="s">
        <v>202</v>
      </c>
      <c r="N92" s="37" t="s">
        <v>207</v>
      </c>
      <c r="O92" s="37">
        <v>1</v>
      </c>
      <c r="P92" s="10">
        <v>2020</v>
      </c>
      <c r="Q92" s="37">
        <v>2027</v>
      </c>
      <c r="R92" s="10" t="str">
        <f>IF(IFERROR(VLOOKUP(A92,Drank!A:S,15,FALSE),"")=0,"",IFERROR(VLOOKUP(A92,Drank!A:S,15,FALSE),""))</f>
        <v/>
      </c>
      <c r="S92" s="10" t="str">
        <f>IF(IFERROR(VLOOKUP(A92,Drank!A:S,16,FALSE),"")=0,"",IFERROR(VLOOKUP(A92,Drank!A:S,16,FALSE),""))</f>
        <v/>
      </c>
      <c r="T92" s="10"/>
      <c r="U92" s="37">
        <v>95</v>
      </c>
      <c r="V92" s="18" t="str">
        <f>IF(IFERROR(VLOOKUP(A92,Drank!A:T,19,FALSE),"")=0,"",IFERROR(VLOOKUP(A92,Drank!A:T,19,FALSE),""))</f>
        <v/>
      </c>
      <c r="W92" s="1" t="str">
        <f>IF(IFERROR(VLOOKUP(A92,Drank!A:T,20,FALSE),"")=0,"",IFERROR(VLOOKUP(A92,Drank!A:T,20,FALSE),""))</f>
        <v/>
      </c>
      <c r="X92" s="10">
        <f>SUMIF(A:A,A92,I:I)</f>
        <v>1</v>
      </c>
      <c r="Y92" s="10">
        <f>IF(Table1[[#This Row],[Drank]]&gt;0,VLOOKUP(Table1[[#This Row],[ID]],Drank!A:P,16,FALSE),IF(Table1[[#This Row],[WALDD]]&gt;0,VLOOKUP(Table1[[#This Row],[ID]],Wine1!A:Q,17,FALSE),Table1[[#This Row],[EP]]))</f>
        <v>2027</v>
      </c>
      <c r="Z92" s="18">
        <f>IF(Table1[[#This Row],[My Rating]]="",IF(Table1[[#This Row],[WA Rating Clean]]="","",Table1[[#This Row],[WA Rating Clean]]),Table1[[#This Row],[My Rating]])</f>
        <v>95</v>
      </c>
      <c r="AA92" s="37">
        <v>2020</v>
      </c>
      <c r="AB92" s="4">
        <v>44.96</v>
      </c>
      <c r="AC92" s="2">
        <f t="shared" si="3"/>
        <v>44.96</v>
      </c>
      <c r="AD92" s="8">
        <v>1</v>
      </c>
      <c r="AE92" s="10">
        <f>IF(Table1[[#This Row],[P/750]]&lt;20,1,IF(Table1[[#This Row],[P/750]]&lt;50,2,3))</f>
        <v>2</v>
      </c>
      <c r="AF92" s="10">
        <f>IF(Table1[[#This Row],[P/750]]&lt;Expenses!$C$30,1,IF(Table1[[#This Row],[P/750]]&lt;Expenses!$C$31,2,IF(Table1[[#This Row],[P/750]]&lt;Expenses!$C$32,3,4)))</f>
        <v>3</v>
      </c>
      <c r="AH92" s="37" t="s">
        <v>1139</v>
      </c>
      <c r="AI92" s="11">
        <f>Table1[[#This Row],[Price]]/Table1[[#This Row],[Size (ml)]]*750</f>
        <v>44.96</v>
      </c>
      <c r="AJ92" s="37">
        <v>95</v>
      </c>
      <c r="AK92" s="10">
        <f>COUNTIF(UniqueID!A:A,Table1[[#This Row],[ID]])</f>
        <v>0</v>
      </c>
      <c r="AL92" s="10" t="str">
        <f>VLOOKUP(Table1[[#This Row],[Cellar Location]],Location!A:F,6,FALSE)</f>
        <v>W</v>
      </c>
      <c r="AN92" s="1">
        <v>44058</v>
      </c>
      <c r="AO92" s="10" t="str">
        <f>TEXT(Table1[[#This Row],[Purchased]],"mmmm")</f>
        <v>August</v>
      </c>
      <c r="AP92" s="10" t="str">
        <f>TEXT(Table1[[#This Row],[Purchased]],"yyyy")</f>
        <v>2020</v>
      </c>
      <c r="AQ92" s="1">
        <v>44132</v>
      </c>
    </row>
    <row r="93" spans="1:43" s="37" customFormat="1" x14ac:dyDescent="0.25">
      <c r="A93" s="37" t="str">
        <f t="shared" si="2"/>
        <v>2017Vintage LongbottomHenry's Drive Shiraz</v>
      </c>
      <c r="B93" s="8">
        <v>2017</v>
      </c>
      <c r="C93" s="120" t="s">
        <v>1547</v>
      </c>
      <c r="D93" s="115" t="s">
        <v>1548</v>
      </c>
      <c r="E93" s="69" t="s">
        <v>1549</v>
      </c>
      <c r="F93" s="37" t="s">
        <v>736</v>
      </c>
      <c r="G93" s="37" t="s">
        <v>737</v>
      </c>
      <c r="I93" s="37">
        <v>1</v>
      </c>
      <c r="J93" s="38">
        <v>750</v>
      </c>
      <c r="K93" s="38" t="s">
        <v>384</v>
      </c>
      <c r="L93" s="10">
        <f>COUNTIF(Drank!A:A,Table1[[#This Row],[ID]])</f>
        <v>0</v>
      </c>
      <c r="M93" s="37" t="s">
        <v>202</v>
      </c>
      <c r="N93" s="37" t="s">
        <v>207</v>
      </c>
      <c r="O93" s="37">
        <v>1</v>
      </c>
      <c r="P93" s="37">
        <v>2019</v>
      </c>
      <c r="Q93" s="37">
        <v>2028</v>
      </c>
      <c r="R93" s="10" t="str">
        <f>IF(IFERROR(VLOOKUP(A93,Drank!A:S,15,FALSE),"")=0,"",IFERROR(VLOOKUP(A93,Drank!A:S,15,FALSE),""))</f>
        <v/>
      </c>
      <c r="S93" s="10" t="str">
        <f>IF(IFERROR(VLOOKUP(A93,Drank!A:S,16,FALSE),"")=0,"",IFERROR(VLOOKUP(A93,Drank!A:S,16,FALSE),""))</f>
        <v/>
      </c>
      <c r="T93" s="10"/>
      <c r="U93" s="37">
        <v>92</v>
      </c>
      <c r="V93" s="18" t="str">
        <f>IF(IFERROR(VLOOKUP(A93,Drank!A:T,19,FALSE),"")=0,"",IFERROR(VLOOKUP(A93,Drank!A:T,19,FALSE),""))</f>
        <v/>
      </c>
      <c r="W93" s="1" t="str">
        <f>IF(IFERROR(VLOOKUP(A93,Drank!A:T,20,FALSE),"")=0,"",IFERROR(VLOOKUP(A93,Drank!A:T,20,FALSE),""))</f>
        <v/>
      </c>
      <c r="X93" s="10">
        <f>SUMIF(A:A,A93,I:I)</f>
        <v>4</v>
      </c>
      <c r="Y93" s="10">
        <f>IF(Table1[[#This Row],[Drank]]&gt;0,VLOOKUP(Table1[[#This Row],[ID]],Drank!A:P,16,FALSE),IF(Table1[[#This Row],[WALDD]]&gt;0,VLOOKUP(Table1[[#This Row],[ID]],Wine1!A:Q,17,FALSE),Table1[[#This Row],[EP]]))</f>
        <v>2028</v>
      </c>
      <c r="Z93" s="18">
        <f>IF(Table1[[#This Row],[My Rating]]="",IF(Table1[[#This Row],[WA Rating Clean]]="","",Table1[[#This Row],[WA Rating Clean]]),Table1[[#This Row],[My Rating]])</f>
        <v>92</v>
      </c>
      <c r="AA93" s="37">
        <v>2020</v>
      </c>
      <c r="AB93" s="128">
        <v>21.72</v>
      </c>
      <c r="AC93" s="2">
        <f t="shared" si="3"/>
        <v>21.72</v>
      </c>
      <c r="AD93" s="8">
        <v>1</v>
      </c>
      <c r="AE93" s="10">
        <f>IF(Table1[[#This Row],[P/750]]&lt;20,1,IF(Table1[[#This Row],[P/750]]&lt;50,2,3))</f>
        <v>2</v>
      </c>
      <c r="AF93" s="10">
        <f>IF(Table1[[#This Row],[P/750]]&lt;Expenses!$C$30,1,IF(Table1[[#This Row],[P/750]]&lt;Expenses!$C$31,2,IF(Table1[[#This Row],[P/750]]&lt;Expenses!$C$32,3,4)))</f>
        <v>2</v>
      </c>
      <c r="AH93" s="37" t="s">
        <v>384</v>
      </c>
      <c r="AI93" s="11">
        <f>Table1[[#This Row],[Price]]/Table1[[#This Row],[Size (ml)]]*750</f>
        <v>21.72</v>
      </c>
      <c r="AJ93" s="37">
        <v>92</v>
      </c>
      <c r="AK93" s="10">
        <f>COUNTIF(UniqueID!A:A,Table1[[#This Row],[ID]])</f>
        <v>0</v>
      </c>
      <c r="AL93" s="10" t="str">
        <f>VLOOKUP(Table1[[#This Row],[Cellar Location]],Location!A:F,6,FALSE)</f>
        <v>W</v>
      </c>
      <c r="AN93" s="1">
        <v>44036</v>
      </c>
      <c r="AO93" s="10" t="str">
        <f>TEXT(Table1[[#This Row],[Purchased]],"mmmm")</f>
        <v>July</v>
      </c>
      <c r="AP93" s="10" t="str">
        <f>TEXT(Table1[[#This Row],[Purchased]],"yyyy")</f>
        <v>2020</v>
      </c>
      <c r="AQ93" s="1">
        <v>44138</v>
      </c>
    </row>
    <row r="94" spans="1:43" s="37" customFormat="1" x14ac:dyDescent="0.25">
      <c r="A94" s="37" t="str">
        <f t="shared" si="2"/>
        <v>2017Domaine BelleCrozes Hermitage Cuvee Louis Belle</v>
      </c>
      <c r="B94" s="8">
        <v>2017</v>
      </c>
      <c r="C94" s="120" t="s">
        <v>1567</v>
      </c>
      <c r="D94" s="115" t="s">
        <v>1568</v>
      </c>
      <c r="E94" s="67" t="s">
        <v>1431</v>
      </c>
      <c r="F94" s="37" t="s">
        <v>742</v>
      </c>
      <c r="G94" s="37" t="s">
        <v>759</v>
      </c>
      <c r="H94" s="37" t="s">
        <v>1626</v>
      </c>
      <c r="I94" s="37">
        <v>1</v>
      </c>
      <c r="J94" s="38">
        <v>750</v>
      </c>
      <c r="K94" s="38" t="s">
        <v>384</v>
      </c>
      <c r="L94" s="10">
        <f>COUNTIF(Drank!A:A,Table1[[#This Row],[ID]])</f>
        <v>0</v>
      </c>
      <c r="M94" s="37" t="s">
        <v>202</v>
      </c>
      <c r="N94" s="37" t="s">
        <v>207</v>
      </c>
      <c r="O94" s="37">
        <v>1</v>
      </c>
      <c r="P94" s="37">
        <v>2020</v>
      </c>
      <c r="Q94" s="37">
        <v>2028</v>
      </c>
      <c r="R94" s="10" t="str">
        <f>IF(IFERROR(VLOOKUP(A94,Drank!A:S,15,FALSE),"")=0,"",IFERROR(VLOOKUP(A94,Drank!A:S,15,FALSE),""))</f>
        <v/>
      </c>
      <c r="S94" s="10" t="str">
        <f>IF(IFERROR(VLOOKUP(A94,Drank!A:S,16,FALSE),"")=0,"",IFERROR(VLOOKUP(A94,Drank!A:S,16,FALSE),""))</f>
        <v/>
      </c>
      <c r="T94" s="10"/>
      <c r="U94" s="37">
        <v>92</v>
      </c>
      <c r="V94" s="18" t="str">
        <f>IF(IFERROR(VLOOKUP(A94,Drank!A:T,19,FALSE),"")=0,"",IFERROR(VLOOKUP(A94,Drank!A:T,19,FALSE),""))</f>
        <v/>
      </c>
      <c r="W94" s="1" t="str">
        <f>IF(IFERROR(VLOOKUP(A94,Drank!A:T,20,FALSE),"")=0,"",IFERROR(VLOOKUP(A94,Drank!A:T,20,FALSE),""))</f>
        <v/>
      </c>
      <c r="X94" s="10">
        <f>SUMIF(A:A,A94,I:I)</f>
        <v>4</v>
      </c>
      <c r="Y94" s="10">
        <f>IF(Table1[[#This Row],[Drank]]&gt;0,VLOOKUP(Table1[[#This Row],[ID]],Drank!A:P,16,FALSE),IF(Table1[[#This Row],[WALDD]]&gt;0,VLOOKUP(Table1[[#This Row],[ID]],Wine1!A:Q,17,FALSE),Table1[[#This Row],[EP]]))</f>
        <v>2028</v>
      </c>
      <c r="Z94" s="18">
        <f>IF(Table1[[#This Row],[My Rating]]="",IF(Table1[[#This Row],[WA Rating Clean]]="","",Table1[[#This Row],[WA Rating Clean]]),Table1[[#This Row],[My Rating]])</f>
        <v>92</v>
      </c>
      <c r="AA94" s="37">
        <v>2020</v>
      </c>
      <c r="AB94" s="128">
        <v>27.15</v>
      </c>
      <c r="AC94" s="2">
        <f t="shared" si="3"/>
        <v>27.15</v>
      </c>
      <c r="AD94" s="8">
        <v>1</v>
      </c>
      <c r="AE94" s="10">
        <f>IF(Table1[[#This Row],[P/750]]&lt;20,1,IF(Table1[[#This Row],[P/750]]&lt;50,2,3))</f>
        <v>2</v>
      </c>
      <c r="AF94" s="10">
        <f>IF(Table1[[#This Row],[P/750]]&lt;Expenses!$C$30,1,IF(Table1[[#This Row],[P/750]]&lt;Expenses!$C$31,2,IF(Table1[[#This Row],[P/750]]&lt;Expenses!$C$32,3,4)))</f>
        <v>2</v>
      </c>
      <c r="AH94" s="37" t="s">
        <v>384</v>
      </c>
      <c r="AI94" s="11">
        <f>Table1[[#This Row],[Price]]/Table1[[#This Row],[Size (ml)]]*750</f>
        <v>27.15</v>
      </c>
      <c r="AJ94" s="37">
        <v>92</v>
      </c>
      <c r="AK94" s="10">
        <f>COUNTIF(UniqueID!A:A,Table1[[#This Row],[ID]])</f>
        <v>0</v>
      </c>
      <c r="AL94" s="10" t="str">
        <f>VLOOKUP(Table1[[#This Row],[Cellar Location]],Location!A:F,6,FALSE)</f>
        <v>W</v>
      </c>
      <c r="AN94" s="1">
        <v>44050</v>
      </c>
      <c r="AO94" s="10" t="str">
        <f>TEXT(Table1[[#This Row],[Purchased]],"mmmm")</f>
        <v>August</v>
      </c>
      <c r="AP94" s="10" t="str">
        <f>TEXT(Table1[[#This Row],[Purchased]],"yyyy")</f>
        <v>2020</v>
      </c>
      <c r="AQ94" s="1">
        <v>44137</v>
      </c>
    </row>
    <row r="95" spans="1:43" s="37" customFormat="1" x14ac:dyDescent="0.25">
      <c r="A95" s="37" t="str">
        <f t="shared" si="2"/>
        <v>2005Domaine Daniel-Etienne DefaixChablis 1er Cru Les Lys</v>
      </c>
      <c r="B95" s="20">
        <v>2005</v>
      </c>
      <c r="C95" s="38" t="s">
        <v>1418</v>
      </c>
      <c r="D95" s="37" t="s">
        <v>1419</v>
      </c>
      <c r="E95" s="67" t="s">
        <v>1420</v>
      </c>
      <c r="F95" s="37" t="s">
        <v>742</v>
      </c>
      <c r="G95" s="37" t="s">
        <v>754</v>
      </c>
      <c r="H95" s="37" t="s">
        <v>1421</v>
      </c>
      <c r="I95" s="37">
        <v>1</v>
      </c>
      <c r="J95" s="37">
        <v>750</v>
      </c>
      <c r="K95" s="8" t="s">
        <v>25</v>
      </c>
      <c r="L95" s="10">
        <f>COUNTIF(Drank!A:A,Table1[[#This Row],[ID]])</f>
        <v>0</v>
      </c>
      <c r="M95" s="37" t="s">
        <v>201</v>
      </c>
      <c r="N95" s="37" t="s">
        <v>207</v>
      </c>
      <c r="O95" s="37">
        <v>1</v>
      </c>
      <c r="P95" s="10">
        <v>2018</v>
      </c>
      <c r="Q95" s="37">
        <v>2028</v>
      </c>
      <c r="R95" s="10" t="str">
        <f>IF(IFERROR(VLOOKUP(A95,Drank!A:S,15,FALSE),"")=0,"",IFERROR(VLOOKUP(A95,Drank!A:S,15,FALSE),""))</f>
        <v/>
      </c>
      <c r="S95" s="10" t="str">
        <f>IF(IFERROR(VLOOKUP(A95,Drank!A:S,16,FALSE),"")=0,"",IFERROR(VLOOKUP(A95,Drank!A:S,16,FALSE),""))</f>
        <v/>
      </c>
      <c r="T95" s="10"/>
      <c r="U95" s="37">
        <v>93</v>
      </c>
      <c r="V95" s="18" t="str">
        <f>IF(IFERROR(VLOOKUP(A95,Drank!A:T,19,FALSE),"")=0,"",IFERROR(VLOOKUP(A95,Drank!A:T,19,FALSE),""))</f>
        <v/>
      </c>
      <c r="W95" s="1" t="str">
        <f>IF(IFERROR(VLOOKUP(A95,Drank!A:T,20,FALSE),"")=0,"",IFERROR(VLOOKUP(A95,Drank!A:T,20,FALSE),""))</f>
        <v/>
      </c>
      <c r="X95" s="10">
        <f>SUMIF(A:A,A95,I:I)</f>
        <v>1</v>
      </c>
      <c r="Y95" s="10">
        <f>IF(Table1[[#This Row],[Drank]]&gt;0,VLOOKUP(Table1[[#This Row],[ID]],Drank!A:P,16,FALSE),IF(Table1[[#This Row],[WALDD]]&gt;0,VLOOKUP(Table1[[#This Row],[ID]],Wine1!A:Q,17,FALSE),Table1[[#This Row],[EP]]))</f>
        <v>2028</v>
      </c>
      <c r="Z95" s="18">
        <f>IF(Table1[[#This Row],[My Rating]]="",IF(Table1[[#This Row],[WA Rating Clean]]="","",Table1[[#This Row],[WA Rating Clean]]),Table1[[#This Row],[My Rating]])</f>
        <v>93</v>
      </c>
      <c r="AA95" s="37">
        <v>2020</v>
      </c>
      <c r="AB95" s="128">
        <v>48.35</v>
      </c>
      <c r="AC95" s="2">
        <f t="shared" si="3"/>
        <v>48.35</v>
      </c>
      <c r="AD95" s="8">
        <v>0</v>
      </c>
      <c r="AE95" s="10">
        <f>IF(Table1[[#This Row],[P/750]]&lt;20,1,IF(Table1[[#This Row],[P/750]]&lt;50,2,3))</f>
        <v>2</v>
      </c>
      <c r="AF95" s="10">
        <f>IF(Table1[[#This Row],[P/750]]&lt;Expenses!$C$30,1,IF(Table1[[#This Row],[P/750]]&lt;Expenses!$C$31,2,IF(Table1[[#This Row],[P/750]]&lt;Expenses!$C$32,3,4)))</f>
        <v>3</v>
      </c>
      <c r="AH95" s="37" t="s">
        <v>415</v>
      </c>
      <c r="AI95" s="11">
        <f>Table1[[#This Row],[Price]]/Table1[[#This Row],[Size (ml)]]*750</f>
        <v>48.35</v>
      </c>
      <c r="AJ95" s="37">
        <v>93</v>
      </c>
      <c r="AK95" s="10">
        <f>COUNTIF(UniqueID!A:A,Table1[[#This Row],[ID]])</f>
        <v>0</v>
      </c>
      <c r="AL95" s="10" t="str">
        <f>VLOOKUP(Table1[[#This Row],[Cellar Location]],Location!A:F,6,FALSE)</f>
        <v>K</v>
      </c>
      <c r="AN95" s="1">
        <v>43975</v>
      </c>
      <c r="AO95" s="10" t="str">
        <f>TEXT(Table1[[#This Row],[Purchased]],"mmmm")</f>
        <v>May</v>
      </c>
      <c r="AP95" s="10" t="str">
        <f>TEXT(Table1[[#This Row],[Purchased]],"yyyy")</f>
        <v>2020</v>
      </c>
      <c r="AQ95" s="10"/>
    </row>
    <row r="96" spans="1:43" s="37" customFormat="1" x14ac:dyDescent="0.25">
      <c r="A96" s="37" t="str">
        <f t="shared" si="2"/>
        <v>2016Chateau La Croix Des PinsGigondas Les Dessous des Dentelles</v>
      </c>
      <c r="B96" s="8">
        <v>2016</v>
      </c>
      <c r="C96" s="120" t="s">
        <v>1306</v>
      </c>
      <c r="D96" s="117" t="s">
        <v>1307</v>
      </c>
      <c r="E96" s="69" t="s">
        <v>1642</v>
      </c>
      <c r="F96" s="37" t="s">
        <v>742</v>
      </c>
      <c r="G96" s="37" t="s">
        <v>759</v>
      </c>
      <c r="H96" s="37" t="s">
        <v>764</v>
      </c>
      <c r="I96" s="37">
        <v>1</v>
      </c>
      <c r="J96" s="37">
        <v>750</v>
      </c>
      <c r="K96" s="8" t="s">
        <v>58</v>
      </c>
      <c r="L96" s="10">
        <f>COUNTIF(Drank!A:A,Table1[[#This Row],[ID]])</f>
        <v>0</v>
      </c>
      <c r="M96" s="37" t="s">
        <v>202</v>
      </c>
      <c r="N96" s="37" t="s">
        <v>207</v>
      </c>
      <c r="O96" s="37">
        <v>1</v>
      </c>
      <c r="P96" s="37">
        <v>2018</v>
      </c>
      <c r="Q96" s="37">
        <v>2028</v>
      </c>
      <c r="R96" s="10" t="str">
        <f>IF(IFERROR(VLOOKUP(A96,Drank!A:S,15,FALSE),"")=0,"",IFERROR(VLOOKUP(A96,Drank!A:S,15,FALSE),""))</f>
        <v/>
      </c>
      <c r="S96" s="10" t="str">
        <f>IF(IFERROR(VLOOKUP(A96,Drank!A:S,16,FALSE),"")=0,"",IFERROR(VLOOKUP(A96,Drank!A:S,16,FALSE),""))</f>
        <v/>
      </c>
      <c r="T96" s="10"/>
      <c r="U96" s="37">
        <v>93</v>
      </c>
      <c r="V96" s="18" t="str">
        <f>IF(IFERROR(VLOOKUP(A96,Drank!A:T,19,FALSE),"")=0,"",IFERROR(VLOOKUP(A96,Drank!A:T,19,FALSE),""))</f>
        <v/>
      </c>
      <c r="W96" s="1" t="str">
        <f>IF(IFERROR(VLOOKUP(A96,Drank!A:T,20,FALSE),"")=0,"",IFERROR(VLOOKUP(A96,Drank!A:T,20,FALSE),""))</f>
        <v/>
      </c>
      <c r="X96" s="10">
        <f>SUMIF(A:A,A96,I:I)</f>
        <v>2</v>
      </c>
      <c r="Y96" s="10">
        <f>IF(Table1[[#This Row],[Drank]]&gt;0,VLOOKUP(Table1[[#This Row],[ID]],Drank!A:P,16,FALSE),IF(Table1[[#This Row],[WALDD]]&gt;0,VLOOKUP(Table1[[#This Row],[ID]],Wine1!A:Q,17,FALSE),Table1[[#This Row],[EP]]))</f>
        <v>2028</v>
      </c>
      <c r="Z96" s="18">
        <f>IF(Table1[[#This Row],[My Rating]]="",IF(Table1[[#This Row],[WA Rating Clean]]="","",Table1[[#This Row],[WA Rating Clean]]),Table1[[#This Row],[My Rating]])</f>
        <v>93</v>
      </c>
      <c r="AA96" s="8">
        <v>2020</v>
      </c>
      <c r="AB96" s="128">
        <v>21.72</v>
      </c>
      <c r="AC96" s="2">
        <f t="shared" si="3"/>
        <v>21.72</v>
      </c>
      <c r="AD96" s="8">
        <v>0</v>
      </c>
      <c r="AE96" s="10">
        <f>IF(Table1[[#This Row],[P/750]]&lt;20,1,IF(Table1[[#This Row],[P/750]]&lt;50,2,3))</f>
        <v>2</v>
      </c>
      <c r="AF96" s="10">
        <f>IF(Table1[[#This Row],[P/750]]&lt;Expenses!$C$30,1,IF(Table1[[#This Row],[P/750]]&lt;Expenses!$C$31,2,IF(Table1[[#This Row],[P/750]]&lt;Expenses!$C$32,3,4)))</f>
        <v>2</v>
      </c>
      <c r="AH96" s="37" t="s">
        <v>384</v>
      </c>
      <c r="AI96" s="11">
        <f>Table1[[#This Row],[Price]]/Table1[[#This Row],[Size (ml)]]*750</f>
        <v>21.72</v>
      </c>
      <c r="AJ96" s="37">
        <v>93</v>
      </c>
      <c r="AK96" s="10">
        <f>COUNTIF(UniqueID!A:A,Table1[[#This Row],[ID]])</f>
        <v>0</v>
      </c>
      <c r="AL96" s="10" t="str">
        <f>VLOOKUP(Table1[[#This Row],[Cellar Location]],Location!A:F,6,FALSE)</f>
        <v>K</v>
      </c>
      <c r="AN96" s="1">
        <v>43885</v>
      </c>
      <c r="AO96" s="10" t="str">
        <f>TEXT(Table1[[#This Row],[Purchased]],"mmmm")</f>
        <v>February</v>
      </c>
      <c r="AP96" s="10" t="str">
        <f>TEXT(Table1[[#This Row],[Purchased]],"yyyy")</f>
        <v>2020</v>
      </c>
      <c r="AQ96" s="10"/>
    </row>
    <row r="97" spans="1:43" s="37" customFormat="1" x14ac:dyDescent="0.25">
      <c r="A97" s="37" t="str">
        <f t="shared" si="2"/>
        <v>2004ViÃ±edos y Bodegas PabloGran Viu Finca Santiaga</v>
      </c>
      <c r="B97" s="37">
        <v>2004</v>
      </c>
      <c r="C97" s="8" t="s">
        <v>322</v>
      </c>
      <c r="D97" s="8" t="s">
        <v>323</v>
      </c>
      <c r="E97" s="67" t="s">
        <v>1400</v>
      </c>
      <c r="F97" s="37" t="s">
        <v>729</v>
      </c>
      <c r="G97" s="37" t="s">
        <v>811</v>
      </c>
      <c r="H97" s="37" t="s">
        <v>813</v>
      </c>
      <c r="I97" s="37">
        <v>1</v>
      </c>
      <c r="J97" s="37">
        <v>750</v>
      </c>
      <c r="K97" s="8" t="s">
        <v>1427</v>
      </c>
      <c r="L97" s="37">
        <f>COUNTIF(Drank!A:A,Table1[[#This Row],[ID]])</f>
        <v>2</v>
      </c>
      <c r="M97" s="37" t="s">
        <v>202</v>
      </c>
      <c r="N97" s="37" t="s">
        <v>207</v>
      </c>
      <c r="O97" s="37">
        <v>1</v>
      </c>
      <c r="P97" s="37">
        <v>2012</v>
      </c>
      <c r="Q97" s="37">
        <v>2035</v>
      </c>
      <c r="R97" s="10">
        <f>IF(IFERROR(VLOOKUP(A97,Drank!A:S,15,FALSE),"")=0,"",IFERROR(VLOOKUP(A97,Drank!A:S,15,FALSE),""))</f>
        <v>2020</v>
      </c>
      <c r="S97" s="10">
        <f>IF(IFERROR(VLOOKUP(A97,Drank!A:S,16,FALSE),"")=0,"",IFERROR(VLOOKUP(A97,Drank!A:S,16,FALSE),""))</f>
        <v>2028</v>
      </c>
      <c r="T97" s="10"/>
      <c r="U97" s="37">
        <v>94</v>
      </c>
      <c r="V97" s="18">
        <f>IF(IFERROR(VLOOKUP(A97,Drank!A:T,19,FALSE),"")=0,"",IFERROR(VLOOKUP(A97,Drank!A:T,19,FALSE),""))</f>
        <v>91</v>
      </c>
      <c r="W97" s="1">
        <f>IF(IFERROR(VLOOKUP(A97,Drank!A:T,20,FALSE),"")=0,"",IFERROR(VLOOKUP(A97,Drank!A:T,20,FALSE),""))</f>
        <v>43639</v>
      </c>
      <c r="X97" s="10">
        <f>SUMIF(A:A,A97,I:I)</f>
        <v>2</v>
      </c>
      <c r="Y97" s="37">
        <f>IF(Table1[[#This Row],[Drank]]&gt;0,VLOOKUP(Table1[[#This Row],[ID]],Drank!A:P,16,FALSE),IF(Table1[[#This Row],[WALDD]]&gt;0,VLOOKUP(Table1[[#This Row],[ID]],Wine1!A:Q,17,FALSE),Table1[[#This Row],[EP]]))</f>
        <v>2028</v>
      </c>
      <c r="Z97" s="18">
        <f>IF(Table1[[#This Row],[My Rating]]="",IF(Table1[[#This Row],[WA Rating Clean]]="","",Table1[[#This Row],[WA Rating Clean]]),Table1[[#This Row],[My Rating]])</f>
        <v>91</v>
      </c>
      <c r="AA97" s="37">
        <v>2020</v>
      </c>
      <c r="AB97" s="128">
        <v>29.98</v>
      </c>
      <c r="AC97" s="2">
        <f t="shared" si="3"/>
        <v>29.98</v>
      </c>
      <c r="AD97" s="8">
        <v>0</v>
      </c>
      <c r="AE97" s="15">
        <f>IF(Table1[[#This Row],[P/750]]&lt;20,1,IF(Table1[[#This Row],[P/750]]&lt;50,2,3))</f>
        <v>2</v>
      </c>
      <c r="AF97" s="15">
        <f>IF(Table1[[#This Row],[P/750]]&lt;Expenses!$C$30,1,IF(Table1[[#This Row],[P/750]]&lt;Expenses!$C$31,2,IF(Table1[[#This Row],[P/750]]&lt;Expenses!$C$32,3,4)))</f>
        <v>2</v>
      </c>
      <c r="AH97" s="37" t="s">
        <v>384</v>
      </c>
      <c r="AI97" s="11">
        <f>Table1[[#This Row],[Price]]/Table1[[#This Row],[Size (ml)]]*750</f>
        <v>29.98</v>
      </c>
      <c r="AJ97" s="37">
        <v>94</v>
      </c>
      <c r="AK97" s="37">
        <f>COUNTIF(UniqueID!A:A,Table1[[#This Row],[ID]])</f>
        <v>1</v>
      </c>
      <c r="AL97" s="37" t="str">
        <f>VLOOKUP(Table1[[#This Row],[Cellar Location]],Location!A:F,6,FALSE)</f>
        <v>C</v>
      </c>
      <c r="AO97" s="37" t="str">
        <f>TEXT(Table1[[#This Row],[Purchased]],"mmmm")</f>
        <v>January</v>
      </c>
      <c r="AP97" s="10" t="str">
        <f>TEXT(Table1[[#This Row],[Purchased]],"yyyy")</f>
        <v>1900</v>
      </c>
      <c r="AQ97" s="10"/>
    </row>
    <row r="98" spans="1:43" s="37" customFormat="1" x14ac:dyDescent="0.25">
      <c r="A98" s="37" t="str">
        <f t="shared" si="2"/>
        <v>2016Domaine de PiaugierGigondas</v>
      </c>
      <c r="B98" s="37">
        <v>2016</v>
      </c>
      <c r="C98" s="103" t="s">
        <v>1646</v>
      </c>
      <c r="D98" s="21" t="s">
        <v>227</v>
      </c>
      <c r="E98" s="67" t="s">
        <v>1647</v>
      </c>
      <c r="F98" s="37" t="s">
        <v>742</v>
      </c>
      <c r="G98" s="37" t="s">
        <v>759</v>
      </c>
      <c r="H98" s="37" t="s">
        <v>764</v>
      </c>
      <c r="I98" s="37">
        <v>1</v>
      </c>
      <c r="J98" s="37">
        <v>750</v>
      </c>
      <c r="K98" s="8" t="s">
        <v>1795</v>
      </c>
      <c r="L98" s="10">
        <f>COUNTIF(Drank!A:A,Table1[[#This Row],[ID]])</f>
        <v>0</v>
      </c>
      <c r="M98" s="37" t="s">
        <v>202</v>
      </c>
      <c r="N98" s="37" t="s">
        <v>207</v>
      </c>
      <c r="O98" s="37">
        <v>1</v>
      </c>
      <c r="P98" s="37">
        <v>2018</v>
      </c>
      <c r="Q98" s="37">
        <v>2028</v>
      </c>
      <c r="R98" s="10" t="str">
        <f>IF(IFERROR(VLOOKUP(A98,Drank!A:S,15,FALSE),"")=0,"",IFERROR(VLOOKUP(A98,Drank!A:S,15,FALSE),""))</f>
        <v/>
      </c>
      <c r="S98" s="10" t="str">
        <f>IF(IFERROR(VLOOKUP(A98,Drank!A:S,16,FALSE),"")=0,"",IFERROR(VLOOKUP(A98,Drank!A:S,16,FALSE),""))</f>
        <v/>
      </c>
      <c r="T98" s="10"/>
      <c r="U98" s="37">
        <v>94</v>
      </c>
      <c r="V98" s="18" t="str">
        <f>IF(IFERROR(VLOOKUP(A98,Drank!A:T,19,FALSE),"")=0,"",IFERROR(VLOOKUP(A98,Drank!A:T,19,FALSE),""))</f>
        <v/>
      </c>
      <c r="W98" s="1" t="str">
        <f>IF(IFERROR(VLOOKUP(A98,Drank!A:T,20,FALSE),"")=0,"",IFERROR(VLOOKUP(A98,Drank!A:T,20,FALSE),""))</f>
        <v/>
      </c>
      <c r="X98" s="10">
        <f>SUMIF(A:A,A98,I:I)</f>
        <v>1</v>
      </c>
      <c r="Y98" s="10">
        <f>IF(Table1[[#This Row],[Drank]]&gt;0,VLOOKUP(Table1[[#This Row],[ID]],Drank!A:P,16,FALSE),IF(Table1[[#This Row],[WALDD]]&gt;0,VLOOKUP(Table1[[#This Row],[ID]],Wine1!A:Q,17,FALSE),Table1[[#This Row],[EP]]))</f>
        <v>2028</v>
      </c>
      <c r="Z98" s="18">
        <f>IF(Table1[[#This Row],[My Rating]]="",IF(Table1[[#This Row],[WA Rating Clean]]="","",Table1[[#This Row],[WA Rating Clean]]),Table1[[#This Row],[My Rating]])</f>
        <v>94</v>
      </c>
      <c r="AA98" s="8">
        <v>2020</v>
      </c>
      <c r="AB98" s="128">
        <v>26.97</v>
      </c>
      <c r="AC98" s="2">
        <f t="shared" si="3"/>
        <v>26.97</v>
      </c>
      <c r="AD98" s="8">
        <v>0</v>
      </c>
      <c r="AE98" s="10">
        <f>IF(Table1[[#This Row],[P/750]]&lt;20,1,IF(Table1[[#This Row],[P/750]]&lt;50,2,3))</f>
        <v>2</v>
      </c>
      <c r="AF98" s="10">
        <f>IF(Table1[[#This Row],[P/750]]&lt;Expenses!$C$30,1,IF(Table1[[#This Row],[P/750]]&lt;Expenses!$C$31,2,IF(Table1[[#This Row],[P/750]]&lt;Expenses!$C$32,3,4)))</f>
        <v>2</v>
      </c>
      <c r="AH98" s="37" t="s">
        <v>1645</v>
      </c>
      <c r="AI98" s="11">
        <f>Table1[[#This Row],[Price]]/Table1[[#This Row],[Size (ml)]]*750</f>
        <v>26.97</v>
      </c>
      <c r="AJ98" s="37">
        <v>94</v>
      </c>
      <c r="AK98" s="10">
        <f>COUNTIF(UniqueID!A:A,Table1[[#This Row],[ID]])</f>
        <v>0</v>
      </c>
      <c r="AL98" s="10" t="str">
        <f>VLOOKUP(Table1[[#This Row],[Cellar Location]],Location!A:F,6,FALSE)</f>
        <v>C</v>
      </c>
      <c r="AN98" s="1">
        <v>44060</v>
      </c>
      <c r="AO98" s="10" t="str">
        <f>TEXT(Table1[[#This Row],[Purchased]],"mmmm")</f>
        <v>August</v>
      </c>
      <c r="AP98" s="10" t="str">
        <f>TEXT(Table1[[#This Row],[Purchased]],"yyyy")</f>
        <v>2020</v>
      </c>
      <c r="AQ98" s="10"/>
    </row>
    <row r="99" spans="1:43" s="37" customFormat="1" x14ac:dyDescent="0.25">
      <c r="A99" s="37" t="str">
        <f t="shared" si="2"/>
        <v>2015MazzeiCastello di Fonterutoli Concerto</v>
      </c>
      <c r="B99" s="37">
        <v>2015</v>
      </c>
      <c r="C99" s="37" t="s">
        <v>1166</v>
      </c>
      <c r="D99" s="37" t="s">
        <v>1580</v>
      </c>
      <c r="E99" s="67" t="s">
        <v>1581</v>
      </c>
      <c r="F99" s="37" t="s">
        <v>728</v>
      </c>
      <c r="G99" s="37" t="s">
        <v>790</v>
      </c>
      <c r="H99" s="37" t="s">
        <v>796</v>
      </c>
      <c r="I99" s="8">
        <v>1</v>
      </c>
      <c r="J99" s="38">
        <v>750</v>
      </c>
      <c r="K99" s="38" t="s">
        <v>384</v>
      </c>
      <c r="L99" s="10">
        <f>COUNTIF(Drank!A:A,Table1[[#This Row],[ID]])</f>
        <v>0</v>
      </c>
      <c r="M99" s="37" t="s">
        <v>202</v>
      </c>
      <c r="N99" s="37" t="s">
        <v>207</v>
      </c>
      <c r="P99" s="10">
        <v>2017</v>
      </c>
      <c r="Q99" s="37">
        <v>2028</v>
      </c>
      <c r="R99" s="10" t="str">
        <f>IF(IFERROR(VLOOKUP(A99,Drank!A:S,15,FALSE),"")=0,"",IFERROR(VLOOKUP(A99,Drank!A:S,15,FALSE),""))</f>
        <v/>
      </c>
      <c r="S99" s="10" t="str">
        <f>IF(IFERROR(VLOOKUP(A99,Drank!A:S,16,FALSE),"")=0,"",IFERROR(VLOOKUP(A99,Drank!A:S,16,FALSE),""))</f>
        <v/>
      </c>
      <c r="T99" s="10"/>
      <c r="U99" s="37">
        <v>92</v>
      </c>
      <c r="V99" s="18" t="str">
        <f>IF(IFERROR(VLOOKUP(A99,Drank!A:T,19,FALSE),"")=0,"",IFERROR(VLOOKUP(A99,Drank!A:T,19,FALSE),""))</f>
        <v/>
      </c>
      <c r="W99" s="1" t="str">
        <f>IF(IFERROR(VLOOKUP(A99,Drank!A:T,20,FALSE),"")=0,"",IFERROR(VLOOKUP(A99,Drank!A:T,20,FALSE),""))</f>
        <v/>
      </c>
      <c r="X99" s="10">
        <f>SUMIF(A:A,A99,I:I)</f>
        <v>4</v>
      </c>
      <c r="Y99" s="10">
        <f>IF(Table1[[#This Row],[Drank]]&gt;0,VLOOKUP(Table1[[#This Row],[ID]],Drank!A:P,16,FALSE),IF(Table1[[#This Row],[WALDD]]&gt;0,VLOOKUP(Table1[[#This Row],[ID]],Wine1!A:Q,17,FALSE),Table1[[#This Row],[EP]]))</f>
        <v>2028</v>
      </c>
      <c r="Z99" s="18">
        <f>IF(Table1[[#This Row],[My Rating]]="",IF(Table1[[#This Row],[WA Rating Clean]]="","",Table1[[#This Row],[WA Rating Clean]]),Table1[[#This Row],[My Rating]])</f>
        <v>92</v>
      </c>
      <c r="AA99" s="37">
        <v>2020</v>
      </c>
      <c r="AB99" s="128">
        <v>48.87</v>
      </c>
      <c r="AC99" s="2">
        <f t="shared" si="3"/>
        <v>48.87</v>
      </c>
      <c r="AD99" s="8">
        <v>1</v>
      </c>
      <c r="AE99" s="10">
        <f>IF(Table1[[#This Row],[P/750]]&lt;20,1,IF(Table1[[#This Row],[P/750]]&lt;50,2,3))</f>
        <v>2</v>
      </c>
      <c r="AF99" s="10">
        <f>IF(Table1[[#This Row],[P/750]]&lt;Expenses!$C$30,1,IF(Table1[[#This Row],[P/750]]&lt;Expenses!$C$31,2,IF(Table1[[#This Row],[P/750]]&lt;Expenses!$C$32,3,4)))</f>
        <v>3</v>
      </c>
      <c r="AH99" s="37" t="s">
        <v>384</v>
      </c>
      <c r="AI99" s="11">
        <f>Table1[[#This Row],[Price]]/Table1[[#This Row],[Size (ml)]]*750</f>
        <v>48.87</v>
      </c>
      <c r="AJ99" s="37">
        <v>92</v>
      </c>
      <c r="AK99" s="10">
        <f>COUNTIF(UniqueID!A:A,Table1[[#This Row],[ID]])</f>
        <v>0</v>
      </c>
      <c r="AL99" s="10" t="str">
        <f>VLOOKUP(Table1[[#This Row],[Cellar Location]],Location!A:F,6,FALSE)</f>
        <v>W</v>
      </c>
      <c r="AN99" s="1">
        <v>44057</v>
      </c>
      <c r="AO99" s="10" t="str">
        <f>TEXT(Table1[[#This Row],[Purchased]],"mmmm")</f>
        <v>August</v>
      </c>
      <c r="AP99" s="10" t="str">
        <f>TEXT(Table1[[#This Row],[Purchased]],"yyyy")</f>
        <v>2020</v>
      </c>
      <c r="AQ99" s="1">
        <v>44137</v>
      </c>
    </row>
    <row r="100" spans="1:43" s="37" customFormat="1" x14ac:dyDescent="0.25">
      <c r="A100" s="37" t="str">
        <f t="shared" si="2"/>
        <v>2008Tua RitaGiusto di Notri</v>
      </c>
      <c r="B100" s="37">
        <v>2008</v>
      </c>
      <c r="C100" s="37" t="s">
        <v>859</v>
      </c>
      <c r="D100" s="37" t="s">
        <v>860</v>
      </c>
      <c r="E100" s="67" t="s">
        <v>1563</v>
      </c>
      <c r="F100" s="37" t="s">
        <v>728</v>
      </c>
      <c r="G100" s="37" t="s">
        <v>790</v>
      </c>
      <c r="H100" s="37" t="s">
        <v>796</v>
      </c>
      <c r="I100" s="8">
        <v>1</v>
      </c>
      <c r="J100" s="38">
        <v>750</v>
      </c>
      <c r="K100" s="38" t="s">
        <v>1564</v>
      </c>
      <c r="L100" s="10">
        <f>COUNTIF(Drank!A:A,Table1[[#This Row],[ID]])</f>
        <v>0</v>
      </c>
      <c r="M100" s="37" t="s">
        <v>202</v>
      </c>
      <c r="N100" s="37" t="s">
        <v>207</v>
      </c>
      <c r="O100" s="37">
        <v>1</v>
      </c>
      <c r="P100" s="10">
        <v>2016</v>
      </c>
      <c r="Q100" s="37">
        <v>2028</v>
      </c>
      <c r="R100" s="10" t="str">
        <f>IF(IFERROR(VLOOKUP(A100,Drank!A:S,15,FALSE),"")=0,"",IFERROR(VLOOKUP(A100,Drank!A:S,15,FALSE),""))</f>
        <v/>
      </c>
      <c r="S100" s="10" t="str">
        <f>IF(IFERROR(VLOOKUP(A100,Drank!A:S,16,FALSE),"")=0,"",IFERROR(VLOOKUP(A100,Drank!A:S,16,FALSE),""))</f>
        <v/>
      </c>
      <c r="T100" s="10"/>
      <c r="U100" s="37">
        <v>94</v>
      </c>
      <c r="V100" s="18" t="str">
        <f>IF(IFERROR(VLOOKUP(A100,Drank!A:T,19,FALSE),"")=0,"",IFERROR(VLOOKUP(A100,Drank!A:T,19,FALSE),""))</f>
        <v/>
      </c>
      <c r="W100" s="1" t="str">
        <f>IF(IFERROR(VLOOKUP(A100,Drank!A:T,20,FALSE),"")=0,"",IFERROR(VLOOKUP(A100,Drank!A:T,20,FALSE),""))</f>
        <v/>
      </c>
      <c r="X100" s="10">
        <f>SUMIF(A:A,A100,I:I)</f>
        <v>12</v>
      </c>
      <c r="Y100" s="10">
        <f>IF(Table1[[#This Row],[Drank]]&gt;0,VLOOKUP(Table1[[#This Row],[ID]],Drank!A:P,16,FALSE),IF(Table1[[#This Row],[WALDD]]&gt;0,VLOOKUP(Table1[[#This Row],[ID]],Wine1!A:Q,17,FALSE),Table1[[#This Row],[EP]]))</f>
        <v>2028</v>
      </c>
      <c r="Z100" s="18">
        <f>IF(Table1[[#This Row],[My Rating]]="",IF(Table1[[#This Row],[WA Rating Clean]]="","",Table1[[#This Row],[WA Rating Clean]]),Table1[[#This Row],[My Rating]])</f>
        <v>94</v>
      </c>
      <c r="AA100" s="37">
        <v>2020</v>
      </c>
      <c r="AB100" s="128">
        <v>54.41</v>
      </c>
      <c r="AC100" s="2">
        <f t="shared" si="3"/>
        <v>54.41</v>
      </c>
      <c r="AD100" s="8">
        <v>1</v>
      </c>
      <c r="AE100" s="10">
        <f>IF(Table1[[#This Row],[P/750]]&lt;20,1,IF(Table1[[#This Row],[P/750]]&lt;50,2,3))</f>
        <v>3</v>
      </c>
      <c r="AF100" s="10">
        <f>IF(Table1[[#This Row],[P/750]]&lt;Expenses!$C$30,1,IF(Table1[[#This Row],[P/750]]&lt;Expenses!$C$31,2,IF(Table1[[#This Row],[P/750]]&lt;Expenses!$C$32,3,4)))</f>
        <v>3</v>
      </c>
      <c r="AH100" s="37" t="s">
        <v>1564</v>
      </c>
      <c r="AI100" s="11">
        <f>Table1[[#This Row],[Price]]/Table1[[#This Row],[Size (ml)]]*750</f>
        <v>54.41</v>
      </c>
      <c r="AJ100" s="37">
        <v>94</v>
      </c>
      <c r="AK100" s="10">
        <f>COUNTIF(UniqueID!A:A,Table1[[#This Row],[ID]])</f>
        <v>0</v>
      </c>
      <c r="AL100" s="10" t="str">
        <f>VLOOKUP(Table1[[#This Row],[Cellar Location]],Location!A:F,6,FALSE)</f>
        <v>W</v>
      </c>
      <c r="AN100" s="1">
        <v>44045</v>
      </c>
      <c r="AO100" s="10" t="str">
        <f>TEXT(Table1[[#This Row],[Purchased]],"mmmm")</f>
        <v>August</v>
      </c>
      <c r="AP100" s="10" t="str">
        <f>TEXT(Table1[[#This Row],[Purchased]],"yyyy")</f>
        <v>2020</v>
      </c>
      <c r="AQ100" s="1">
        <v>44084</v>
      </c>
    </row>
    <row r="101" spans="1:43" s="37" customFormat="1" x14ac:dyDescent="0.25">
      <c r="A101" s="37" t="str">
        <f t="shared" si="2"/>
        <v>2015Poggio LucinaBrunello di Montalcino</v>
      </c>
      <c r="B101" s="37">
        <v>2015</v>
      </c>
      <c r="C101" s="37" t="s">
        <v>1546</v>
      </c>
      <c r="D101" s="37" t="s">
        <v>19</v>
      </c>
      <c r="E101" s="67" t="s">
        <v>1250</v>
      </c>
      <c r="F101" s="37" t="s">
        <v>728</v>
      </c>
      <c r="G101" s="37" t="s">
        <v>790</v>
      </c>
      <c r="H101" s="37" t="s">
        <v>19</v>
      </c>
      <c r="I101" s="8">
        <v>1</v>
      </c>
      <c r="J101" s="38">
        <v>750</v>
      </c>
      <c r="K101" s="131" t="s">
        <v>384</v>
      </c>
      <c r="L101" s="10">
        <f>COUNTIF(Drank!A:A,Table1[[#This Row],[ID]])</f>
        <v>0</v>
      </c>
      <c r="M101" s="37" t="s">
        <v>202</v>
      </c>
      <c r="N101" s="37" t="s">
        <v>207</v>
      </c>
      <c r="O101" s="37">
        <v>0</v>
      </c>
      <c r="P101" s="10"/>
      <c r="R101" s="10" t="str">
        <f>IF(IFERROR(VLOOKUP(A101,Drank!A:S,15,FALSE),"")=0,"",IFERROR(VLOOKUP(A101,Drank!A:S,15,FALSE),""))</f>
        <v/>
      </c>
      <c r="S101" s="10" t="str">
        <f>IF(IFERROR(VLOOKUP(A101,Drank!A:S,16,FALSE),"")=0,"",IFERROR(VLOOKUP(A101,Drank!A:S,16,FALSE),""))</f>
        <v/>
      </c>
      <c r="T101" s="10">
        <v>2028</v>
      </c>
      <c r="V101" s="18" t="str">
        <f>IF(IFERROR(VLOOKUP(A101,Drank!A:T,19,FALSE),"")=0,"",IFERROR(VLOOKUP(A101,Drank!A:T,19,FALSE),""))</f>
        <v/>
      </c>
      <c r="W101" s="1" t="str">
        <f>IF(IFERROR(VLOOKUP(A101,Drank!A:T,20,FALSE),"")=0,"",IFERROR(VLOOKUP(A101,Drank!A:T,20,FALSE),""))</f>
        <v/>
      </c>
      <c r="X101" s="10">
        <f>SUMIF(A:A,A101,I:I)</f>
        <v>3</v>
      </c>
      <c r="Y101" s="10">
        <f>IF(Table1[[#This Row],[Drank]]&gt;0,VLOOKUP(Table1[[#This Row],[ID]],Drank!A:P,16,FALSE),IF(Table1[[#This Row],[WALDD]]&gt;0,VLOOKUP(Table1[[#This Row],[ID]],Wine1!A:Q,17,FALSE),Table1[[#This Row],[EP]]))</f>
        <v>2028</v>
      </c>
      <c r="Z101" s="18" t="str">
        <f>IF(Table1[[#This Row],[My Rating]]="",IF(Table1[[#This Row],[WA Rating Clean]]="","",Table1[[#This Row],[WA Rating Clean]]),Table1[[#This Row],[My Rating]])</f>
        <v/>
      </c>
      <c r="AA101" s="37">
        <v>2020</v>
      </c>
      <c r="AB101" s="128">
        <v>30.4</v>
      </c>
      <c r="AC101" s="2">
        <f t="shared" si="3"/>
        <v>30.4</v>
      </c>
      <c r="AD101" s="8">
        <v>1</v>
      </c>
      <c r="AE101" s="10">
        <f>IF(Table1[[#This Row],[P/750]]&lt;20,1,IF(Table1[[#This Row],[P/750]]&lt;50,2,3))</f>
        <v>2</v>
      </c>
      <c r="AF101" s="10">
        <f>IF(Table1[[#This Row],[P/750]]&lt;Expenses!$C$30,1,IF(Table1[[#This Row],[P/750]]&lt;Expenses!$C$31,2,IF(Table1[[#This Row],[P/750]]&lt;Expenses!$C$32,3,4)))</f>
        <v>3</v>
      </c>
      <c r="AH101" s="37" t="s">
        <v>384</v>
      </c>
      <c r="AI101" s="11">
        <f>Table1[[#This Row],[Price]]/Table1[[#This Row],[Size (ml)]]*750</f>
        <v>30.4</v>
      </c>
      <c r="AK101" s="10">
        <f>COUNTIF(UniqueID!A:A,Table1[[#This Row],[ID]])</f>
        <v>0</v>
      </c>
      <c r="AL101" s="10" t="str">
        <f>VLOOKUP(Table1[[#This Row],[Cellar Location]],Location!A:F,6,FALSE)</f>
        <v>W</v>
      </c>
      <c r="AN101" s="1">
        <v>44042</v>
      </c>
      <c r="AO101" s="10" t="str">
        <f>TEXT(Table1[[#This Row],[Purchased]],"mmmm")</f>
        <v>July</v>
      </c>
      <c r="AP101" s="10" t="str">
        <f>TEXT(Table1[[#This Row],[Purchased]],"yyyy")</f>
        <v>2020</v>
      </c>
      <c r="AQ101" s="1">
        <v>44138</v>
      </c>
    </row>
    <row r="102" spans="1:43" s="37" customFormat="1" x14ac:dyDescent="0.25">
      <c r="A102" s="37" t="str">
        <f t="shared" si="2"/>
        <v>2015PalaEssentija</v>
      </c>
      <c r="B102" s="8">
        <v>2015</v>
      </c>
      <c r="C102" s="8" t="s">
        <v>1825</v>
      </c>
      <c r="D102" s="19" t="s">
        <v>1827</v>
      </c>
      <c r="E102" s="63" t="s">
        <v>1824</v>
      </c>
      <c r="F102" s="37" t="s">
        <v>728</v>
      </c>
      <c r="G102" s="37" t="s">
        <v>787</v>
      </c>
      <c r="H102" s="37" t="s">
        <v>1826</v>
      </c>
      <c r="I102" s="37">
        <v>1</v>
      </c>
      <c r="J102" s="38">
        <v>750</v>
      </c>
      <c r="K102" s="38" t="s">
        <v>1572</v>
      </c>
      <c r="L102" s="10">
        <f>COUNTIF(Drank!A:A,Table1[[#This Row],[ID]])</f>
        <v>0</v>
      </c>
      <c r="M102" s="37" t="s">
        <v>202</v>
      </c>
      <c r="N102" s="37" t="s">
        <v>207</v>
      </c>
      <c r="O102" s="37">
        <v>0</v>
      </c>
      <c r="P102" s="10"/>
      <c r="R102" s="10" t="str">
        <f>IF(IFERROR(VLOOKUP(A102,Drank!A:S,15,FALSE),"")=0,"",IFERROR(VLOOKUP(A102,Drank!A:S,15,FALSE),""))</f>
        <v/>
      </c>
      <c r="S102" s="10" t="str">
        <f>IF(IFERROR(VLOOKUP(A102,Drank!A:S,16,FALSE),"")=0,"",IFERROR(VLOOKUP(A102,Drank!A:S,16,FALSE),""))</f>
        <v/>
      </c>
      <c r="T102" s="10">
        <v>2028</v>
      </c>
      <c r="V102" s="18" t="str">
        <f>IF(IFERROR(VLOOKUP(A102,Drank!A:T,19,FALSE),"")=0,"",IFERROR(VLOOKUP(A102,Drank!A:T,19,FALSE),""))</f>
        <v/>
      </c>
      <c r="W102" s="1" t="str">
        <f>IF(IFERROR(VLOOKUP(A102,Drank!A:T,20,FALSE),"")=0,"",IFERROR(VLOOKUP(A102,Drank!A:T,20,FALSE),""))</f>
        <v/>
      </c>
      <c r="X102" s="10">
        <f>SUMIF(A:A,A102,I:I)</f>
        <v>5</v>
      </c>
      <c r="Y102" s="10">
        <f>IF(Table1[[#This Row],[Drank]]&gt;0,VLOOKUP(Table1[[#This Row],[ID]],Drank!A:P,16,FALSE),IF(Table1[[#This Row],[WALDD]]&gt;0,VLOOKUP(Table1[[#This Row],[ID]],Wine1!A:Q,17,FALSE),Table1[[#This Row],[EP]]))</f>
        <v>2028</v>
      </c>
      <c r="Z102" s="18" t="str">
        <f>IF(Table1[[#This Row],[My Rating]]="",IF(Table1[[#This Row],[WA Rating Clean]]="","",Table1[[#This Row],[WA Rating Clean]]),Table1[[#This Row],[My Rating]])</f>
        <v/>
      </c>
      <c r="AA102" s="37">
        <v>2020</v>
      </c>
      <c r="AB102" s="128">
        <v>26.8</v>
      </c>
      <c r="AC102" s="2">
        <f t="shared" si="3"/>
        <v>26.8</v>
      </c>
      <c r="AD102" s="8"/>
      <c r="AE102" s="10">
        <f>IF(Table1[[#This Row],[P/750]]&lt;20,1,IF(Table1[[#This Row],[P/750]]&lt;50,2,3))</f>
        <v>2</v>
      </c>
      <c r="AF102" s="10">
        <f>IF(Table1[[#This Row],[P/750]]&lt;Expenses!$C$30,1,IF(Table1[[#This Row],[P/750]]&lt;Expenses!$C$31,2,IF(Table1[[#This Row],[P/750]]&lt;Expenses!$C$32,3,4)))</f>
        <v>2</v>
      </c>
      <c r="AH102" s="25" t="s">
        <v>1572</v>
      </c>
      <c r="AI102" s="11">
        <f>Table1[[#This Row],[Price]]/Table1[[#This Row],[Size (ml)]]*750</f>
        <v>26.8</v>
      </c>
      <c r="AK102" s="10">
        <f>COUNTIF(UniqueID!A:A,Table1[[#This Row],[ID]])</f>
        <v>0</v>
      </c>
      <c r="AL102" s="10" t="str">
        <f>VLOOKUP(Table1[[#This Row],[Cellar Location]],Location!A:F,6,FALSE)</f>
        <v>W</v>
      </c>
      <c r="AN102" s="1">
        <v>44068</v>
      </c>
      <c r="AO102" s="10" t="str">
        <f>TEXT(Table1[[#This Row],[Purchased]],"mmmm")</f>
        <v>August</v>
      </c>
      <c r="AP102" s="10" t="str">
        <f>TEXT(Table1[[#This Row],[Purchased]],"yyyy")</f>
        <v>2020</v>
      </c>
      <c r="AQ102" s="1">
        <v>44114</v>
      </c>
    </row>
    <row r="103" spans="1:43" s="37" customFormat="1" x14ac:dyDescent="0.25">
      <c r="A103" s="37" t="str">
        <f t="shared" si="2"/>
        <v>2018My Favorite NeighborHarvey and Harriet</v>
      </c>
      <c r="B103" s="8">
        <v>2018</v>
      </c>
      <c r="C103" s="103" t="s">
        <v>1630</v>
      </c>
      <c r="D103" s="32" t="s">
        <v>1631</v>
      </c>
      <c r="E103" s="67" t="s">
        <v>1632</v>
      </c>
      <c r="F103" s="37" t="s">
        <v>727</v>
      </c>
      <c r="G103" s="37" t="s">
        <v>806</v>
      </c>
      <c r="H103" s="37" t="s">
        <v>1633</v>
      </c>
      <c r="I103" s="37">
        <v>1</v>
      </c>
      <c r="J103" s="37">
        <v>750</v>
      </c>
      <c r="K103" s="8" t="s">
        <v>1427</v>
      </c>
      <c r="L103" s="10">
        <f>COUNTIF(Drank!A:A,Table1[[#This Row],[ID]])</f>
        <v>0</v>
      </c>
      <c r="M103" s="37" t="s">
        <v>202</v>
      </c>
      <c r="N103" s="37" t="s">
        <v>207</v>
      </c>
      <c r="O103" s="37">
        <v>1</v>
      </c>
      <c r="R103" s="10" t="str">
        <f>IF(IFERROR(VLOOKUP(A103,Drank!A:S,15,FALSE),"")=0,"",IFERROR(VLOOKUP(A103,Drank!A:S,15,FALSE),""))</f>
        <v/>
      </c>
      <c r="S103" s="10" t="str">
        <f>IF(IFERROR(VLOOKUP(A103,Drank!A:S,16,FALSE),"")=0,"",IFERROR(VLOOKUP(A103,Drank!A:S,16,FALSE),""))</f>
        <v/>
      </c>
      <c r="T103" s="10">
        <v>2030</v>
      </c>
      <c r="U103" s="37" t="s">
        <v>1634</v>
      </c>
      <c r="V103" s="18" t="str">
        <f>IF(IFERROR(VLOOKUP(A103,Drank!A:T,19,FALSE),"")=0,"",IFERROR(VLOOKUP(A103,Drank!A:T,19,FALSE),""))</f>
        <v/>
      </c>
      <c r="W103" s="1" t="str">
        <f>IF(IFERROR(VLOOKUP(A103,Drank!A:T,20,FALSE),"")=0,"",IFERROR(VLOOKUP(A103,Drank!A:T,20,FALSE),""))</f>
        <v/>
      </c>
      <c r="X103" s="10">
        <f>SUMIF(A:A,A103,I:I)</f>
        <v>1</v>
      </c>
      <c r="Y103" s="10">
        <f>IF(Table1[[#This Row],[Drank]]&gt;0,VLOOKUP(Table1[[#This Row],[ID]],Drank!A:P,16,FALSE),IF(Table1[[#This Row],[WALDD]]&gt;0,VLOOKUP(Table1[[#This Row],[ID]],Wine1!A:Q,17,FALSE),Table1[[#This Row],[EP]]))</f>
        <v>2030</v>
      </c>
      <c r="Z103" s="18">
        <f>IF(Table1[[#This Row],[My Rating]]="",IF(Table1[[#This Row],[WA Rating Clean]]="","",Table1[[#This Row],[WA Rating Clean]]),Table1[[#This Row],[My Rating]])</f>
        <v>94</v>
      </c>
      <c r="AA103" s="37">
        <v>2020</v>
      </c>
      <c r="AB103" s="128">
        <v>48.509500231374361</v>
      </c>
      <c r="AC103" s="2">
        <f t="shared" si="3"/>
        <v>48.509500231374361</v>
      </c>
      <c r="AD103" s="8">
        <v>0</v>
      </c>
      <c r="AE103" s="10">
        <f>IF(Table1[[#This Row],[P/750]]&lt;20,1,IF(Table1[[#This Row],[P/750]]&lt;50,2,3))</f>
        <v>2</v>
      </c>
      <c r="AF103" s="10">
        <f>IF(Table1[[#This Row],[P/750]]&lt;Expenses!$C$30,1,IF(Table1[[#This Row],[P/750]]&lt;Expenses!$C$31,2,IF(Table1[[#This Row],[P/750]]&lt;Expenses!$C$32,3,4)))</f>
        <v>3</v>
      </c>
      <c r="AH103" s="37" t="s">
        <v>1139</v>
      </c>
      <c r="AI103" s="11">
        <f>Table1[[#This Row],[Price]]/Table1[[#This Row],[Size (ml)]]*750</f>
        <v>48.509500231374361</v>
      </c>
      <c r="AJ103" s="37">
        <v>94</v>
      </c>
      <c r="AK103" s="10">
        <f>COUNTIF(UniqueID!A:A,Table1[[#This Row],[ID]])</f>
        <v>0</v>
      </c>
      <c r="AL103" s="10" t="str">
        <f>VLOOKUP(Table1[[#This Row],[Cellar Location]],Location!A:F,6,FALSE)</f>
        <v>C</v>
      </c>
      <c r="AN103" s="1">
        <v>44060</v>
      </c>
      <c r="AO103" s="10" t="str">
        <f>TEXT(Table1[[#This Row],[Purchased]],"mmmm")</f>
        <v>August</v>
      </c>
      <c r="AP103" s="10" t="str">
        <f>TEXT(Table1[[#This Row],[Purchased]],"yyyy")</f>
        <v>2020</v>
      </c>
      <c r="AQ103" s="10"/>
    </row>
    <row r="104" spans="1:43" s="37" customFormat="1" x14ac:dyDescent="0.25">
      <c r="A104" s="37" t="str">
        <f t="shared" si="2"/>
        <v>2016FelsinaChianti Classico Riserva Berardenga</v>
      </c>
      <c r="B104" s="8">
        <v>2016</v>
      </c>
      <c r="C104" s="103" t="s">
        <v>795</v>
      </c>
      <c r="D104" s="32" t="s">
        <v>1638</v>
      </c>
      <c r="E104" s="67" t="s">
        <v>1250</v>
      </c>
      <c r="F104" s="37" t="s">
        <v>728</v>
      </c>
      <c r="G104" s="37" t="s">
        <v>790</v>
      </c>
      <c r="H104" s="37" t="s">
        <v>1639</v>
      </c>
      <c r="I104" s="37">
        <v>1</v>
      </c>
      <c r="J104" s="37">
        <v>750</v>
      </c>
      <c r="K104" s="8" t="s">
        <v>589</v>
      </c>
      <c r="L104" s="10">
        <f>COUNTIF(Drank!A:A,Table1[[#This Row],[ID]])</f>
        <v>0</v>
      </c>
      <c r="M104" s="37" t="s">
        <v>202</v>
      </c>
      <c r="N104" s="37" t="s">
        <v>207</v>
      </c>
      <c r="O104" s="37">
        <v>1</v>
      </c>
      <c r="P104" s="37">
        <v>2019</v>
      </c>
      <c r="Q104" s="37">
        <v>2030</v>
      </c>
      <c r="R104" s="10" t="str">
        <f>IF(IFERROR(VLOOKUP(A104,Drank!A:S,15,FALSE),"")=0,"",IFERROR(VLOOKUP(A104,Drank!A:S,15,FALSE),""))</f>
        <v/>
      </c>
      <c r="S104" s="10" t="str">
        <f>IF(IFERROR(VLOOKUP(A104,Drank!A:S,16,FALSE),"")=0,"",IFERROR(VLOOKUP(A104,Drank!A:S,16,FALSE),""))</f>
        <v/>
      </c>
      <c r="T104" s="10"/>
      <c r="U104" s="37">
        <v>94</v>
      </c>
      <c r="V104" s="18" t="str">
        <f>IF(IFERROR(VLOOKUP(A104,Drank!A:T,19,FALSE),"")=0,"",IFERROR(VLOOKUP(A104,Drank!A:T,19,FALSE),""))</f>
        <v/>
      </c>
      <c r="W104" s="1" t="str">
        <f>IF(IFERROR(VLOOKUP(A104,Drank!A:T,20,FALSE),"")=0,"",IFERROR(VLOOKUP(A104,Drank!A:T,20,FALSE),""))</f>
        <v/>
      </c>
      <c r="X104" s="10">
        <f>SUMIF(A:A,A104,I:I)</f>
        <v>1</v>
      </c>
      <c r="Y104" s="10">
        <f>IF(Table1[[#This Row],[Drank]]&gt;0,VLOOKUP(Table1[[#This Row],[ID]],Drank!A:P,16,FALSE),IF(Table1[[#This Row],[WALDD]]&gt;0,VLOOKUP(Table1[[#This Row],[ID]],Wine1!A:Q,17,FALSE),Table1[[#This Row],[EP]]))</f>
        <v>2030</v>
      </c>
      <c r="Z104" s="18">
        <f>IF(Table1[[#This Row],[My Rating]]="",IF(Table1[[#This Row],[WA Rating Clean]]="","",Table1[[#This Row],[WA Rating Clean]]),Table1[[#This Row],[My Rating]])</f>
        <v>94</v>
      </c>
      <c r="AA104" s="37">
        <v>2020</v>
      </c>
      <c r="AB104" s="128">
        <v>34.206734363129911</v>
      </c>
      <c r="AC104" s="2">
        <f t="shared" si="3"/>
        <v>34.206734363129911</v>
      </c>
      <c r="AD104" s="8">
        <v>1</v>
      </c>
      <c r="AE104" s="10">
        <f>IF(Table1[[#This Row],[P/750]]&lt;20,1,IF(Table1[[#This Row],[P/750]]&lt;50,2,3))</f>
        <v>2</v>
      </c>
      <c r="AF104" s="10">
        <f>IF(Table1[[#This Row],[P/750]]&lt;Expenses!$C$30,1,IF(Table1[[#This Row],[P/750]]&lt;Expenses!$C$31,2,IF(Table1[[#This Row],[P/750]]&lt;Expenses!$C$32,3,4)))</f>
        <v>3</v>
      </c>
      <c r="AH104" s="37" t="s">
        <v>1139</v>
      </c>
      <c r="AI104" s="11">
        <f>Table1[[#This Row],[Price]]/Table1[[#This Row],[Size (ml)]]*750</f>
        <v>34.206734363129911</v>
      </c>
      <c r="AJ104" s="37">
        <v>94</v>
      </c>
      <c r="AK104" s="10">
        <f>COUNTIF(UniqueID!A:A,Table1[[#This Row],[ID]])</f>
        <v>0</v>
      </c>
      <c r="AL104" s="10" t="str">
        <f>VLOOKUP(Table1[[#This Row],[Cellar Location]],Location!A:F,6,FALSE)</f>
        <v>C</v>
      </c>
      <c r="AN104" s="1">
        <v>44060</v>
      </c>
      <c r="AO104" s="10" t="str">
        <f>TEXT(Table1[[#This Row],[Purchased]],"mmmm")</f>
        <v>August</v>
      </c>
      <c r="AP104" s="10" t="str">
        <f>TEXT(Table1[[#This Row],[Purchased]],"yyyy")</f>
        <v>2020</v>
      </c>
      <c r="AQ104" s="10"/>
    </row>
    <row r="105" spans="1:43" s="37" customFormat="1" x14ac:dyDescent="0.25">
      <c r="A105" s="37" t="str">
        <f t="shared" si="2"/>
        <v>2010Chateau Sigalas RabaudLieutenant de Sigalas</v>
      </c>
      <c r="B105" s="37">
        <v>2010</v>
      </c>
      <c r="C105" s="37" t="s">
        <v>1337</v>
      </c>
      <c r="D105" s="37" t="s">
        <v>1338</v>
      </c>
      <c r="E105" s="67" t="s">
        <v>1339</v>
      </c>
      <c r="F105" s="67" t="s">
        <v>742</v>
      </c>
      <c r="G105" s="37" t="s">
        <v>748</v>
      </c>
      <c r="H105" s="37" t="s">
        <v>260</v>
      </c>
      <c r="I105" s="37">
        <v>1</v>
      </c>
      <c r="J105" s="37">
        <v>375</v>
      </c>
      <c r="K105" s="8" t="s">
        <v>658</v>
      </c>
      <c r="L105" s="10">
        <f>COUNTIF(Drank!A:A,Table1[[#This Row],[ID]])</f>
        <v>1</v>
      </c>
      <c r="M105" s="37" t="s">
        <v>201</v>
      </c>
      <c r="N105" s="37" t="s">
        <v>206</v>
      </c>
      <c r="O105" s="37">
        <v>0</v>
      </c>
      <c r="P105" s="10"/>
      <c r="R105" s="10">
        <f>IF(IFERROR(VLOOKUP(A105,Drank!A:S,15,FALSE),"")=0,"",IFERROR(VLOOKUP(A105,Drank!A:S,15,FALSE),""))</f>
        <v>2021</v>
      </c>
      <c r="S105" s="10">
        <f>IF(IFERROR(VLOOKUP(A105,Drank!A:S,16,FALSE),"")=0,"",IFERROR(VLOOKUP(A105,Drank!A:S,16,FALSE),""))</f>
        <v>2030</v>
      </c>
      <c r="T105" s="10">
        <v>2028</v>
      </c>
      <c r="V105" s="18">
        <f>IF(IFERROR(VLOOKUP(A105,Drank!A:T,19,FALSE),"")=0,"",IFERROR(VLOOKUP(A105,Drank!A:T,19,FALSE),""))</f>
        <v>88</v>
      </c>
      <c r="W105" s="1" t="str">
        <f>IF(IFERROR(VLOOKUP(A105,Drank!A:T,20,FALSE),"")=0,"",IFERROR(VLOOKUP(A105,Drank!A:T,20,FALSE),""))</f>
        <v/>
      </c>
      <c r="X105" s="10">
        <f>SUMIF(A:A,A105,I:I)</f>
        <v>9</v>
      </c>
      <c r="Y105" s="10">
        <f>IF(Table1[[#This Row],[Drank]]&gt;0,VLOOKUP(Table1[[#This Row],[ID]],Drank!A:P,16,FALSE),IF(Table1[[#This Row],[WALDD]]&gt;0,VLOOKUP(Table1[[#This Row],[ID]],Wine1!A:Q,17,FALSE),Table1[[#This Row],[EP]]))</f>
        <v>2030</v>
      </c>
      <c r="Z105" s="18">
        <f>IF(Table1[[#This Row],[My Rating]]="",IF(Table1[[#This Row],[WA Rating Clean]]="","",Table1[[#This Row],[WA Rating Clean]]),Table1[[#This Row],[My Rating]])</f>
        <v>88</v>
      </c>
      <c r="AA105" s="8">
        <v>2020</v>
      </c>
      <c r="AB105" s="128">
        <v>13.11</v>
      </c>
      <c r="AC105" s="2">
        <f t="shared" si="3"/>
        <v>13.11</v>
      </c>
      <c r="AD105" s="8">
        <v>0</v>
      </c>
      <c r="AE105" s="10">
        <f>IF(Table1[[#This Row],[P/750]]&lt;20,1,IF(Table1[[#This Row],[P/750]]&lt;50,2,3))</f>
        <v>2</v>
      </c>
      <c r="AF105" s="10">
        <f>IF(Table1[[#This Row],[P/750]]&lt;Expenses!$C$30,1,IF(Table1[[#This Row],[P/750]]&lt;Expenses!$C$31,2,IF(Table1[[#This Row],[P/750]]&lt;Expenses!$C$32,3,4)))</f>
        <v>2</v>
      </c>
      <c r="AH105" s="37" t="s">
        <v>385</v>
      </c>
      <c r="AI105" s="11">
        <f>Table1[[#This Row],[Price]]/Table1[[#This Row],[Size (ml)]]*750</f>
        <v>26.22</v>
      </c>
      <c r="AK105" s="10">
        <f>COUNTIF(UniqueID!A:A,Table1[[#This Row],[ID]])</f>
        <v>0</v>
      </c>
      <c r="AL105" s="10" t="str">
        <f>VLOOKUP(Table1[[#This Row],[Cellar Location]],Location!A:F,6,FALSE)</f>
        <v>C</v>
      </c>
      <c r="AN105" s="1">
        <v>43923</v>
      </c>
      <c r="AO105" s="10" t="str">
        <f>TEXT(Table1[[#This Row],[Purchased]],"mmmm")</f>
        <v>April</v>
      </c>
      <c r="AP105" s="10" t="str">
        <f>TEXT(Table1[[#This Row],[Purchased]],"yyyy")</f>
        <v>2020</v>
      </c>
      <c r="AQ105" s="10"/>
    </row>
    <row r="106" spans="1:43" s="37" customFormat="1" x14ac:dyDescent="0.25">
      <c r="A106" s="37" t="str">
        <f t="shared" si="2"/>
        <v>2016Domaine Saint DamienGigondas les Souteyrades</v>
      </c>
      <c r="B106" s="37">
        <v>2016</v>
      </c>
      <c r="C106" s="120" t="s">
        <v>394</v>
      </c>
      <c r="D106" s="37" t="s">
        <v>395</v>
      </c>
      <c r="E106" s="68" t="s">
        <v>1255</v>
      </c>
      <c r="F106" s="37" t="s">
        <v>742</v>
      </c>
      <c r="G106" s="37" t="s">
        <v>759</v>
      </c>
      <c r="H106" s="37" t="s">
        <v>764</v>
      </c>
      <c r="I106" s="37">
        <v>1</v>
      </c>
      <c r="J106" s="37">
        <v>750</v>
      </c>
      <c r="K106" s="32" t="s">
        <v>589</v>
      </c>
      <c r="L106" s="37">
        <f>COUNTIF(Drank!A:A,Table1[[#This Row],[ID]])</f>
        <v>0</v>
      </c>
      <c r="M106" s="37" t="s">
        <v>202</v>
      </c>
      <c r="N106" s="37" t="s">
        <v>207</v>
      </c>
      <c r="O106" s="37">
        <v>1</v>
      </c>
      <c r="P106" s="37">
        <v>2020</v>
      </c>
      <c r="Q106" s="37">
        <v>2030</v>
      </c>
      <c r="R106" s="10" t="str">
        <f>IF(IFERROR(VLOOKUP(A106,Drank!A:S,15,FALSE),"")=0,"",IFERROR(VLOOKUP(A106,Drank!A:S,15,FALSE),""))</f>
        <v/>
      </c>
      <c r="S106" s="10" t="str">
        <f>IF(IFERROR(VLOOKUP(A106,Drank!A:S,16,FALSE),"")=0,"",IFERROR(VLOOKUP(A106,Drank!A:S,16,FALSE),""))</f>
        <v/>
      </c>
      <c r="T106" s="10"/>
      <c r="U106" s="37">
        <v>95</v>
      </c>
      <c r="V106" s="18" t="str">
        <f>IF(IFERROR(VLOOKUP(A106,Drank!A:T,19,FALSE),"")=0,"",IFERROR(VLOOKUP(A106,Drank!A:T,19,FALSE),""))</f>
        <v/>
      </c>
      <c r="W106" s="1" t="str">
        <f>IF(IFERROR(VLOOKUP(A106,Drank!A:T,20,FALSE),"")=0,"",IFERROR(VLOOKUP(A106,Drank!A:T,20,FALSE),""))</f>
        <v/>
      </c>
      <c r="X106" s="10">
        <f>SUMIF(A:A,A106,I:I)</f>
        <v>4</v>
      </c>
      <c r="Y106" s="37">
        <f>IF(Table1[[#This Row],[Drank]]&gt;0,VLOOKUP(Table1[[#This Row],[ID]],Drank!A:P,16,FALSE),IF(Table1[[#This Row],[WALDD]]&gt;0,VLOOKUP(Table1[[#This Row],[ID]],Wine1!A:Q,17,FALSE),Table1[[#This Row],[EP]]))</f>
        <v>2030</v>
      </c>
      <c r="Z106" s="18">
        <f>IF(Table1[[#This Row],[My Rating]]="",IF(Table1[[#This Row],[WA Rating Clean]]="","",Table1[[#This Row],[WA Rating Clean]]),Table1[[#This Row],[My Rating]])</f>
        <v>95</v>
      </c>
      <c r="AA106" s="8">
        <v>2020</v>
      </c>
      <c r="AB106" s="128">
        <v>28</v>
      </c>
      <c r="AC106" s="2">
        <f t="shared" si="3"/>
        <v>28</v>
      </c>
      <c r="AD106" s="8">
        <v>0</v>
      </c>
      <c r="AE106" s="37">
        <f>IF(Table1[[#This Row],[P/750]]&lt;20,1,IF(Table1[[#This Row],[P/750]]&lt;50,2,3))</f>
        <v>2</v>
      </c>
      <c r="AF106" s="37">
        <f>IF(Table1[[#This Row],[P/750]]&lt;Expenses!$C$30,1,IF(Table1[[#This Row],[P/750]]&lt;Expenses!$C$31,2,IF(Table1[[#This Row],[P/750]]&lt;Expenses!$C$32,3,4)))</f>
        <v>2</v>
      </c>
      <c r="AH106" s="37" t="s">
        <v>385</v>
      </c>
      <c r="AI106" s="11">
        <f>Table1[[#This Row],[Price]]/Table1[[#This Row],[Size (ml)]]*750</f>
        <v>28.000000000000004</v>
      </c>
      <c r="AJ106" s="37">
        <v>95</v>
      </c>
      <c r="AK106" s="37">
        <f>COUNTIF(UniqueID!A:A,Table1[[#This Row],[ID]])</f>
        <v>1</v>
      </c>
      <c r="AL106" s="37" t="str">
        <f>VLOOKUP(Table1[[#This Row],[Cellar Location]],Location!A:F,6,FALSE)</f>
        <v>C</v>
      </c>
      <c r="AO106" s="37" t="str">
        <f>TEXT(Table1[[#This Row],[Purchased]],"mmmm")</f>
        <v>January</v>
      </c>
      <c r="AP106" s="10" t="str">
        <f>TEXT(Table1[[#This Row],[Purchased]],"yyyy")</f>
        <v>1900</v>
      </c>
      <c r="AQ106" s="10"/>
    </row>
    <row r="107" spans="1:43" s="37" customFormat="1" x14ac:dyDescent="0.25">
      <c r="A107" s="37" t="str">
        <f t="shared" si="2"/>
        <v>2012Pierre RougonMuscat de Beaumes de Venise</v>
      </c>
      <c r="B107" s="37">
        <v>2012</v>
      </c>
      <c r="C107" s="37" t="s">
        <v>1340</v>
      </c>
      <c r="D107" s="37" t="s">
        <v>1341</v>
      </c>
      <c r="E107" s="69" t="s">
        <v>1343</v>
      </c>
      <c r="F107" s="67" t="s">
        <v>742</v>
      </c>
      <c r="G107" s="37" t="s">
        <v>759</v>
      </c>
      <c r="H107" s="37" t="s">
        <v>1342</v>
      </c>
      <c r="I107" s="37">
        <v>1</v>
      </c>
      <c r="J107" s="67">
        <v>375</v>
      </c>
      <c r="K107" s="8" t="s">
        <v>658</v>
      </c>
      <c r="L107" s="10">
        <f>COUNTIF(Drank!A:A,Table1[[#This Row],[ID]])</f>
        <v>1</v>
      </c>
      <c r="M107" s="37" t="s">
        <v>201</v>
      </c>
      <c r="N107" s="37" t="s">
        <v>206</v>
      </c>
      <c r="O107" s="37">
        <v>0</v>
      </c>
      <c r="P107" s="10"/>
      <c r="R107" s="10">
        <f>IF(IFERROR(VLOOKUP(A107,Drank!A:S,15,FALSE),"")=0,"",IFERROR(VLOOKUP(A107,Drank!A:S,15,FALSE),""))</f>
        <v>2020</v>
      </c>
      <c r="S107" s="10">
        <f>IF(IFERROR(VLOOKUP(A107,Drank!A:S,16,FALSE),"")=0,"",IFERROR(VLOOKUP(A107,Drank!A:S,16,FALSE),""))</f>
        <v>2030</v>
      </c>
      <c r="T107" s="10">
        <v>2022</v>
      </c>
      <c r="V107" s="18">
        <f>IF(IFERROR(VLOOKUP(A107,Drank!A:T,19,FALSE),"")=0,"",IFERROR(VLOOKUP(A107,Drank!A:T,19,FALSE),""))</f>
        <v>91</v>
      </c>
      <c r="W107" s="1">
        <f>IF(IFERROR(VLOOKUP(A107,Drank!A:T,20,FALSE),"")=0,"",IFERROR(VLOOKUP(A107,Drank!A:T,20,FALSE),""))</f>
        <v>43969</v>
      </c>
      <c r="X107" s="10">
        <f>SUMIF(A:A,A107,I:I)</f>
        <v>1</v>
      </c>
      <c r="Y107" s="10">
        <f>IF(Table1[[#This Row],[Drank]]&gt;0,VLOOKUP(Table1[[#This Row],[ID]],Drank!A:P,16,FALSE),IF(Table1[[#This Row],[WALDD]]&gt;0,VLOOKUP(Table1[[#This Row],[ID]],Wine1!A:Q,17,FALSE),Table1[[#This Row],[EP]]))</f>
        <v>2030</v>
      </c>
      <c r="Z107" s="18">
        <f>IF(Table1[[#This Row],[My Rating]]="",IF(Table1[[#This Row],[WA Rating Clean]]="","",Table1[[#This Row],[WA Rating Clean]]),Table1[[#This Row],[My Rating]])</f>
        <v>91</v>
      </c>
      <c r="AA107" s="8">
        <v>2020</v>
      </c>
      <c r="AB107" s="128">
        <v>9.83</v>
      </c>
      <c r="AC107" s="2">
        <f t="shared" si="3"/>
        <v>9.83</v>
      </c>
      <c r="AD107" s="8">
        <v>0</v>
      </c>
      <c r="AE107" s="10">
        <f>IF(Table1[[#This Row],[P/750]]&lt;20,1,IF(Table1[[#This Row],[P/750]]&lt;50,2,3))</f>
        <v>1</v>
      </c>
      <c r="AF107" s="10">
        <f>IF(Table1[[#This Row],[P/750]]&lt;Expenses!$C$30,1,IF(Table1[[#This Row],[P/750]]&lt;Expenses!$C$31,2,IF(Table1[[#This Row],[P/750]]&lt;Expenses!$C$32,3,4)))</f>
        <v>2</v>
      </c>
      <c r="AH107" s="37" t="s">
        <v>385</v>
      </c>
      <c r="AI107" s="11">
        <f>Table1[[#This Row],[Price]]/Table1[[#This Row],[Size (ml)]]*750</f>
        <v>19.66</v>
      </c>
      <c r="AK107" s="10">
        <f>COUNTIF(UniqueID!A:A,Table1[[#This Row],[ID]])</f>
        <v>0</v>
      </c>
      <c r="AL107" s="10" t="str">
        <f>VLOOKUP(Table1[[#This Row],[Cellar Location]],Location!A:F,6,FALSE)</f>
        <v>C</v>
      </c>
      <c r="AN107" s="1">
        <v>43923</v>
      </c>
      <c r="AO107" s="10" t="str">
        <f>TEXT(Table1[[#This Row],[Purchased]],"mmmm")</f>
        <v>April</v>
      </c>
      <c r="AP107" s="10" t="str">
        <f>TEXT(Table1[[#This Row],[Purchased]],"yyyy")</f>
        <v>2020</v>
      </c>
      <c r="AQ107" s="10"/>
    </row>
    <row r="108" spans="1:43" s="37" customFormat="1" x14ac:dyDescent="0.25">
      <c r="A108" s="37" t="str">
        <f t="shared" si="2"/>
        <v>2012Poggio AnticoBrunello di Montalcino Altero</v>
      </c>
      <c r="B108" s="8">
        <v>2012</v>
      </c>
      <c r="C108" s="103" t="s">
        <v>223</v>
      </c>
      <c r="D108" s="37" t="s">
        <v>1181</v>
      </c>
      <c r="E108" s="64" t="s">
        <v>280</v>
      </c>
      <c r="F108" s="37" t="s">
        <v>728</v>
      </c>
      <c r="G108" s="37" t="s">
        <v>790</v>
      </c>
      <c r="H108" s="37" t="s">
        <v>19</v>
      </c>
      <c r="I108" s="37">
        <v>1</v>
      </c>
      <c r="J108" s="37">
        <v>750</v>
      </c>
      <c r="K108" s="37" t="s">
        <v>589</v>
      </c>
      <c r="L108" s="10">
        <f>COUNTIF(Drank!A:A,Table1[[#This Row],[ID]])</f>
        <v>0</v>
      </c>
      <c r="M108" s="37" t="s">
        <v>202</v>
      </c>
      <c r="N108" s="37" t="s">
        <v>207</v>
      </c>
      <c r="O108" s="37">
        <v>1</v>
      </c>
      <c r="P108" s="10">
        <v>2018</v>
      </c>
      <c r="Q108" s="37">
        <v>2030</v>
      </c>
      <c r="R108" s="10" t="str">
        <f>IF(IFERROR(VLOOKUP(A108,Drank!A:S,15,FALSE),"")=0,"",IFERROR(VLOOKUP(A108,Drank!A:S,15,FALSE),""))</f>
        <v/>
      </c>
      <c r="S108" s="10" t="str">
        <f>IF(IFERROR(VLOOKUP(A108,Drank!A:S,16,FALSE),"")=0,"",IFERROR(VLOOKUP(A108,Drank!A:S,16,FALSE),""))</f>
        <v/>
      </c>
      <c r="T108" s="10"/>
      <c r="U108" s="37">
        <v>95</v>
      </c>
      <c r="V108" s="18" t="str">
        <f>IF(IFERROR(VLOOKUP(A108,Drank!A:T,19,FALSE),"")=0,"",IFERROR(VLOOKUP(A108,Drank!A:T,19,FALSE),""))</f>
        <v/>
      </c>
      <c r="W108" s="1" t="str">
        <f>IF(IFERROR(VLOOKUP(A108,Drank!A:T,20,FALSE),"")=0,"",IFERROR(VLOOKUP(A108,Drank!A:T,20,FALSE),""))</f>
        <v/>
      </c>
      <c r="X108" s="10">
        <f>SUMIF(A:A,A108,I:I)</f>
        <v>3</v>
      </c>
      <c r="Y108" s="10">
        <f>IF(Table1[[#This Row],[Drank]]&gt;0,VLOOKUP(Table1[[#This Row],[ID]],Drank!A:P,16,FALSE),IF(Table1[[#This Row],[WALDD]]&gt;0,VLOOKUP(Table1[[#This Row],[ID]],Wine1!A:Q,17,FALSE),Table1[[#This Row],[EP]]))</f>
        <v>2030</v>
      </c>
      <c r="Z108" s="18">
        <f>IF(Table1[[#This Row],[My Rating]]="",IF(Table1[[#This Row],[WA Rating Clean]]="","",Table1[[#This Row],[WA Rating Clean]]),Table1[[#This Row],[My Rating]])</f>
        <v>95</v>
      </c>
      <c r="AA108" s="37">
        <v>2020</v>
      </c>
      <c r="AB108" s="128">
        <v>57.94</v>
      </c>
      <c r="AC108" s="2">
        <f t="shared" si="3"/>
        <v>57.94</v>
      </c>
      <c r="AD108" s="8">
        <v>0</v>
      </c>
      <c r="AE108" s="10">
        <f>IF(Table1[[#This Row],[P/750]]&lt;20,1,IF(Table1[[#This Row],[P/750]]&lt;50,2,3))</f>
        <v>3</v>
      </c>
      <c r="AF108" s="10">
        <f>IF(Table1[[#This Row],[P/750]]&lt;Expenses!$C$30,1,IF(Table1[[#This Row],[P/750]]&lt;Expenses!$C$31,2,IF(Table1[[#This Row],[P/750]]&lt;Expenses!$C$32,3,4)))</f>
        <v>3</v>
      </c>
      <c r="AH108" s="37" t="s">
        <v>1189</v>
      </c>
      <c r="AI108" s="11">
        <f>Table1[[#This Row],[Price]]/Table1[[#This Row],[Size (ml)]]*750</f>
        <v>57.94</v>
      </c>
      <c r="AJ108" s="37">
        <v>95</v>
      </c>
      <c r="AK108" s="10">
        <f>COUNTIF(UniqueID!A:A,Table1[[#This Row],[ID]])</f>
        <v>1</v>
      </c>
      <c r="AL108" s="10" t="str">
        <f>VLOOKUP(Table1[[#This Row],[Cellar Location]],Location!A:F,6,FALSE)</f>
        <v>C</v>
      </c>
      <c r="AN108" s="1">
        <v>43860</v>
      </c>
      <c r="AO108" s="37" t="str">
        <f>TEXT(Table1[[#This Row],[Purchased]],"mmmm")</f>
        <v>January</v>
      </c>
      <c r="AP108" s="10" t="str">
        <f>TEXT(Table1[[#This Row],[Purchased]],"yyyy")</f>
        <v>2020</v>
      </c>
      <c r="AQ108" s="10"/>
    </row>
    <row r="109" spans="1:43" s="37" customFormat="1" x14ac:dyDescent="0.25">
      <c r="A109" s="37" t="str">
        <f t="shared" si="2"/>
        <v>1998Vittorio InnocentiOcchio di Pernice Vin Santo</v>
      </c>
      <c r="B109" s="37">
        <v>1998</v>
      </c>
      <c r="C109" s="8" t="s">
        <v>1730</v>
      </c>
      <c r="D109" s="37" t="s">
        <v>1739</v>
      </c>
      <c r="E109" s="67" t="s">
        <v>1250</v>
      </c>
      <c r="F109" s="37" t="s">
        <v>728</v>
      </c>
      <c r="G109" s="37" t="s">
        <v>790</v>
      </c>
      <c r="H109" s="37" t="s">
        <v>270</v>
      </c>
      <c r="I109" s="37">
        <v>1</v>
      </c>
      <c r="J109" s="37">
        <v>375</v>
      </c>
      <c r="K109" s="8" t="s">
        <v>236</v>
      </c>
      <c r="L109" s="10">
        <f>COUNTIF(Drank!A:A,Table1[[#This Row],[ID]])</f>
        <v>0</v>
      </c>
      <c r="M109" s="37" t="s">
        <v>201</v>
      </c>
      <c r="N109" s="37" t="s">
        <v>206</v>
      </c>
      <c r="O109" s="37">
        <v>0</v>
      </c>
      <c r="R109" s="10" t="str">
        <f>IF(IFERROR(VLOOKUP(A109,Drank!A:S,15,FALSE),"")=0,"",IFERROR(VLOOKUP(A109,Drank!A:S,15,FALSE),""))</f>
        <v/>
      </c>
      <c r="S109" s="10" t="str">
        <f>IF(IFERROR(VLOOKUP(A109,Drank!A:S,16,FALSE),"")=0,"",IFERROR(VLOOKUP(A109,Drank!A:S,16,FALSE),""))</f>
        <v/>
      </c>
      <c r="T109" s="10">
        <v>2030</v>
      </c>
      <c r="V109" s="18" t="str">
        <f>IF(IFERROR(VLOOKUP(A109,Drank!A:T,19,FALSE),"")=0,"",IFERROR(VLOOKUP(A109,Drank!A:T,19,FALSE),""))</f>
        <v/>
      </c>
      <c r="W109" s="1" t="str">
        <f>IF(IFERROR(VLOOKUP(A109,Drank!A:T,20,FALSE),"")=0,"",IFERROR(VLOOKUP(A109,Drank!A:T,20,FALSE),""))</f>
        <v/>
      </c>
      <c r="X109" s="10">
        <f>SUMIF(A:A,A109,I:I)</f>
        <v>1</v>
      </c>
      <c r="Y109" s="10">
        <f>IF(Table1[[#This Row],[Drank]]&gt;0,VLOOKUP(Table1[[#This Row],[ID]],Drank!A:P,16,FALSE),IF(Table1[[#This Row],[WALDD]]&gt;0,VLOOKUP(Table1[[#This Row],[ID]],Wine1!A:Q,17,FALSE),Table1[[#This Row],[EP]]))</f>
        <v>2030</v>
      </c>
      <c r="Z109" s="18" t="str">
        <f>IF(Table1[[#This Row],[My Rating]]="",IF(Table1[[#This Row],[WA Rating Clean]]="","",Table1[[#This Row],[WA Rating Clean]]),Table1[[#This Row],[My Rating]])</f>
        <v/>
      </c>
      <c r="AA109" s="8">
        <v>2020</v>
      </c>
      <c r="AB109" s="128">
        <v>95.59</v>
      </c>
      <c r="AC109" s="2">
        <f t="shared" si="3"/>
        <v>95.59</v>
      </c>
      <c r="AD109" s="8">
        <v>0</v>
      </c>
      <c r="AE109" s="10">
        <f>IF(Table1[[#This Row],[P/750]]&lt;20,1,IF(Table1[[#This Row],[P/750]]&lt;50,2,3))</f>
        <v>3</v>
      </c>
      <c r="AF109" s="10">
        <f>IF(Table1[[#This Row],[P/750]]&lt;Expenses!$C$30,1,IF(Table1[[#This Row],[P/750]]&lt;Expenses!$C$31,2,IF(Table1[[#This Row],[P/750]]&lt;Expenses!$C$32,3,4)))</f>
        <v>4</v>
      </c>
      <c r="AH109" s="37" t="s">
        <v>1709</v>
      </c>
      <c r="AI109" s="11">
        <f>Table1[[#This Row],[Price]]/Table1[[#This Row],[Size (ml)]]*750</f>
        <v>191.18</v>
      </c>
      <c r="AK109" s="10">
        <f>COUNTIF(UniqueID!A:A,Table1[[#This Row],[ID]])</f>
        <v>0</v>
      </c>
      <c r="AL109" s="10" t="str">
        <f>VLOOKUP(Table1[[#This Row],[Cellar Location]],Location!A:F,6,FALSE)</f>
        <v>C</v>
      </c>
      <c r="AN109" s="1">
        <v>44062</v>
      </c>
      <c r="AO109" s="10" t="str">
        <f>TEXT(Table1[[#This Row],[Purchased]],"mmmm")</f>
        <v>August</v>
      </c>
      <c r="AP109" s="10" t="str">
        <f>TEXT(Table1[[#This Row],[Purchased]],"yyyy")</f>
        <v>2020</v>
      </c>
      <c r="AQ109" s="1"/>
    </row>
    <row r="110" spans="1:43" s="37" customFormat="1" x14ac:dyDescent="0.25">
      <c r="A110" s="37" t="str">
        <f t="shared" si="2"/>
        <v>2016Domaine BenedettiLes Larmes Papales Chateauneuf du Pape</v>
      </c>
      <c r="B110" s="8">
        <v>2016</v>
      </c>
      <c r="C110" s="37" t="s">
        <v>1578</v>
      </c>
      <c r="D110" s="37" t="s">
        <v>1579</v>
      </c>
      <c r="E110" s="37" t="s">
        <v>1248</v>
      </c>
      <c r="F110" s="37" t="s">
        <v>742</v>
      </c>
      <c r="G110" s="37" t="s">
        <v>759</v>
      </c>
      <c r="H110" s="37" t="s">
        <v>762</v>
      </c>
      <c r="I110" s="8">
        <v>1</v>
      </c>
      <c r="J110" s="38">
        <v>750</v>
      </c>
      <c r="K110" s="38" t="s">
        <v>384</v>
      </c>
      <c r="L110" s="10">
        <f>COUNTIF(Drank!A:A,Table1[[#This Row],[ID]])</f>
        <v>0</v>
      </c>
      <c r="M110" s="37" t="s">
        <v>202</v>
      </c>
      <c r="N110" s="37" t="s">
        <v>207</v>
      </c>
      <c r="O110" s="37">
        <v>1</v>
      </c>
      <c r="P110" s="37">
        <v>2018</v>
      </c>
      <c r="Q110" s="37">
        <v>2030</v>
      </c>
      <c r="R110" s="10" t="str">
        <f>IF(IFERROR(VLOOKUP(A110,Drank!A:S,15,FALSE),"")=0,"",IFERROR(VLOOKUP(A110,Drank!A:S,15,FALSE),""))</f>
        <v/>
      </c>
      <c r="S110" s="10" t="str">
        <f>IF(IFERROR(VLOOKUP(A110,Drank!A:S,16,FALSE),"")=0,"",IFERROR(VLOOKUP(A110,Drank!A:S,16,FALSE),""))</f>
        <v/>
      </c>
      <c r="T110" s="10"/>
      <c r="U110" s="37">
        <v>95</v>
      </c>
      <c r="V110" s="18" t="str">
        <f>IF(IFERROR(VLOOKUP(A110,Drank!A:T,19,FALSE),"")=0,"",IFERROR(VLOOKUP(A110,Drank!A:T,19,FALSE),""))</f>
        <v/>
      </c>
      <c r="W110" s="1" t="str">
        <f>IF(IFERROR(VLOOKUP(A110,Drank!A:T,20,FALSE),"")=0,"",IFERROR(VLOOKUP(A110,Drank!A:T,20,FALSE),""))</f>
        <v/>
      </c>
      <c r="X110" s="10">
        <f>SUMIF(A:A,A110,I:I)</f>
        <v>8</v>
      </c>
      <c r="Y110" s="10">
        <f>IF(Table1[[#This Row],[Drank]]&gt;0,VLOOKUP(Table1[[#This Row],[ID]],Drank!A:P,16,FALSE),IF(Table1[[#This Row],[WALDD]]&gt;0,VLOOKUP(Table1[[#This Row],[ID]],Wine1!A:Q,17,FALSE),Table1[[#This Row],[EP]]))</f>
        <v>2030</v>
      </c>
      <c r="Z110" s="18">
        <f>IF(Table1[[#This Row],[My Rating]]="",IF(Table1[[#This Row],[WA Rating Clean]]="","",Table1[[#This Row],[WA Rating Clean]]),Table1[[#This Row],[My Rating]])</f>
        <v>95</v>
      </c>
      <c r="AA110" s="8">
        <v>2020</v>
      </c>
      <c r="AB110" s="128">
        <v>35.840000000000003</v>
      </c>
      <c r="AC110" s="2">
        <f t="shared" si="3"/>
        <v>35.840000000000003</v>
      </c>
      <c r="AD110" s="8">
        <v>1</v>
      </c>
      <c r="AE110" s="10">
        <f>IF(Table1[[#This Row],[P/750]]&lt;20,1,IF(Table1[[#This Row],[P/750]]&lt;50,2,3))</f>
        <v>2</v>
      </c>
      <c r="AF110" s="10">
        <f>IF(Table1[[#This Row],[P/750]]&lt;Expenses!$C$30,1,IF(Table1[[#This Row],[P/750]]&lt;Expenses!$C$31,2,IF(Table1[[#This Row],[P/750]]&lt;Expenses!$C$32,3,4)))</f>
        <v>3</v>
      </c>
      <c r="AH110" s="37" t="s">
        <v>384</v>
      </c>
      <c r="AI110" s="11">
        <f>Table1[[#This Row],[Price]]/Table1[[#This Row],[Size (ml)]]*750</f>
        <v>35.840000000000003</v>
      </c>
      <c r="AJ110" s="37">
        <v>95</v>
      </c>
      <c r="AK110" s="10">
        <f>COUNTIF(UniqueID!A:A,Table1[[#This Row],[ID]])</f>
        <v>0</v>
      </c>
      <c r="AL110" s="10" t="str">
        <f>VLOOKUP(Table1[[#This Row],[Cellar Location]],Location!A:F,6,FALSE)</f>
        <v>W</v>
      </c>
      <c r="AN110" s="1">
        <v>44056</v>
      </c>
      <c r="AO110" s="10" t="str">
        <f>TEXT(Table1[[#This Row],[Purchased]],"mmmm")</f>
        <v>August</v>
      </c>
      <c r="AP110" s="10" t="str">
        <f>TEXT(Table1[[#This Row],[Purchased]],"yyyy")</f>
        <v>2020</v>
      </c>
      <c r="AQ110" s="1">
        <v>44137</v>
      </c>
    </row>
    <row r="111" spans="1:43" s="37" customFormat="1" x14ac:dyDescent="0.25">
      <c r="A111" s="37" t="str">
        <f t="shared" si="2"/>
        <v>2016Domaine du Grand MontmirailGigondas Vieilles Vignes</v>
      </c>
      <c r="B111" s="37">
        <v>2016</v>
      </c>
      <c r="C111" s="37" t="s">
        <v>1387</v>
      </c>
      <c r="D111" s="37" t="s">
        <v>1576</v>
      </c>
      <c r="E111" s="67" t="s">
        <v>1249</v>
      </c>
      <c r="F111" s="37" t="s">
        <v>742</v>
      </c>
      <c r="G111" s="37" t="s">
        <v>759</v>
      </c>
      <c r="H111" s="37" t="s">
        <v>764</v>
      </c>
      <c r="I111" s="8">
        <v>1</v>
      </c>
      <c r="J111" s="38">
        <v>750</v>
      </c>
      <c r="K111" s="38" t="s">
        <v>384</v>
      </c>
      <c r="L111" s="10">
        <f>COUNTIF(Drank!A:A,Table1[[#This Row],[ID]])</f>
        <v>0</v>
      </c>
      <c r="M111" s="37" t="s">
        <v>202</v>
      </c>
      <c r="N111" s="37" t="s">
        <v>207</v>
      </c>
      <c r="O111" s="37">
        <v>1</v>
      </c>
      <c r="P111" s="10">
        <v>2020</v>
      </c>
      <c r="Q111" s="37">
        <v>2030</v>
      </c>
      <c r="R111" s="10" t="str">
        <f>IF(IFERROR(VLOOKUP(A111,Drank!A:S,15,FALSE),"")=0,"",IFERROR(VLOOKUP(A111,Drank!A:S,15,FALSE),""))</f>
        <v/>
      </c>
      <c r="S111" s="10" t="str">
        <f>IF(IFERROR(VLOOKUP(A111,Drank!A:S,16,FALSE),"")=0,"",IFERROR(VLOOKUP(A111,Drank!A:S,16,FALSE),""))</f>
        <v/>
      </c>
      <c r="T111" s="10"/>
      <c r="U111" s="37">
        <v>92</v>
      </c>
      <c r="V111" s="18" t="str">
        <f>IF(IFERROR(VLOOKUP(A111,Drank!A:T,19,FALSE),"")=0,"",IFERROR(VLOOKUP(A111,Drank!A:T,19,FALSE),""))</f>
        <v/>
      </c>
      <c r="W111" s="1" t="str">
        <f>IF(IFERROR(VLOOKUP(A111,Drank!A:T,20,FALSE),"")=0,"",IFERROR(VLOOKUP(A111,Drank!A:T,20,FALSE),""))</f>
        <v/>
      </c>
      <c r="X111" s="10">
        <f>SUMIF(A:A,A111,I:I)</f>
        <v>6</v>
      </c>
      <c r="Y111" s="10">
        <f>IF(Table1[[#This Row],[Drank]]&gt;0,VLOOKUP(Table1[[#This Row],[ID]],Drank!A:P,16,FALSE),IF(Table1[[#This Row],[WALDD]]&gt;0,VLOOKUP(Table1[[#This Row],[ID]],Wine1!A:Q,17,FALSE),Table1[[#This Row],[EP]]))</f>
        <v>2030</v>
      </c>
      <c r="Z111" s="18">
        <f>IF(Table1[[#This Row],[My Rating]]="",IF(Table1[[#This Row],[WA Rating Clean]]="","",Table1[[#This Row],[WA Rating Clean]]),Table1[[#This Row],[My Rating]])</f>
        <v>92</v>
      </c>
      <c r="AA111" s="37">
        <v>2020</v>
      </c>
      <c r="AB111" s="128">
        <v>24.97</v>
      </c>
      <c r="AC111" s="2">
        <f t="shared" si="3"/>
        <v>24.97</v>
      </c>
      <c r="AD111" s="8">
        <v>1</v>
      </c>
      <c r="AE111" s="10">
        <f>IF(Table1[[#This Row],[P/750]]&lt;20,1,IF(Table1[[#This Row],[P/750]]&lt;50,2,3))</f>
        <v>2</v>
      </c>
      <c r="AF111" s="10">
        <f>IF(Table1[[#This Row],[P/750]]&lt;Expenses!$C$30,1,IF(Table1[[#This Row],[P/750]]&lt;Expenses!$C$31,2,IF(Table1[[#This Row],[P/750]]&lt;Expenses!$C$32,3,4)))</f>
        <v>2</v>
      </c>
      <c r="AH111" s="37" t="s">
        <v>384</v>
      </c>
      <c r="AI111" s="11">
        <f>Table1[[#This Row],[Price]]/Table1[[#This Row],[Size (ml)]]*750</f>
        <v>24.970000000000002</v>
      </c>
      <c r="AJ111" s="37">
        <v>92</v>
      </c>
      <c r="AK111" s="10">
        <f>COUNTIF(UniqueID!A:A,Table1[[#This Row],[ID]])</f>
        <v>0</v>
      </c>
      <c r="AL111" s="10" t="str">
        <f>VLOOKUP(Table1[[#This Row],[Cellar Location]],Location!A:F,6,FALSE)</f>
        <v>W</v>
      </c>
      <c r="AN111" s="1">
        <v>44055</v>
      </c>
      <c r="AO111" s="10" t="str">
        <f>TEXT(Table1[[#This Row],[Purchased]],"mmmm")</f>
        <v>August</v>
      </c>
      <c r="AP111" s="10" t="str">
        <f>TEXT(Table1[[#This Row],[Purchased]],"yyyy")</f>
        <v>2020</v>
      </c>
      <c r="AQ111" s="1">
        <v>44137</v>
      </c>
    </row>
    <row r="112" spans="1:43" s="37" customFormat="1" x14ac:dyDescent="0.25">
      <c r="A112" s="37" t="str">
        <f t="shared" si="2"/>
        <v>2015Tenuta Sant'antonioAmarone della Valpolicella Selezione Antonio Castagnedi</v>
      </c>
      <c r="B112" s="37">
        <v>2015</v>
      </c>
      <c r="C112" s="37" t="s">
        <v>1613</v>
      </c>
      <c r="D112" s="37" t="s">
        <v>1183</v>
      </c>
      <c r="E112" s="67" t="s">
        <v>1194</v>
      </c>
      <c r="F112" s="37" t="s">
        <v>728</v>
      </c>
      <c r="G112" s="37" t="s">
        <v>799</v>
      </c>
      <c r="H112" s="37" t="s">
        <v>803</v>
      </c>
      <c r="I112" s="37">
        <v>1</v>
      </c>
      <c r="J112" s="38">
        <v>750</v>
      </c>
      <c r="K112" s="38" t="s">
        <v>1139</v>
      </c>
      <c r="L112" s="10">
        <f>COUNTIF(Drank!A:A,Table1[[#This Row],[ID]])</f>
        <v>0</v>
      </c>
      <c r="M112" s="37" t="s">
        <v>202</v>
      </c>
      <c r="N112" s="37" t="s">
        <v>207</v>
      </c>
      <c r="O112" s="37">
        <v>1</v>
      </c>
      <c r="P112" s="10">
        <v>2019</v>
      </c>
      <c r="Q112" s="37">
        <v>2030</v>
      </c>
      <c r="R112" s="10" t="str">
        <f>IF(IFERROR(VLOOKUP(A112,Drank!A:S,15,FALSE),"")=0,"",IFERROR(VLOOKUP(A112,Drank!A:S,15,FALSE),""))</f>
        <v/>
      </c>
      <c r="S112" s="10" t="str">
        <f>IF(IFERROR(VLOOKUP(A112,Drank!A:S,16,FALSE),"")=0,"",IFERROR(VLOOKUP(A112,Drank!A:S,16,FALSE),""))</f>
        <v/>
      </c>
      <c r="T112" s="10"/>
      <c r="U112" s="37">
        <v>93</v>
      </c>
      <c r="V112" s="18" t="str">
        <f>IF(IFERROR(VLOOKUP(A112,Drank!A:T,19,FALSE),"")=0,"",IFERROR(VLOOKUP(A112,Drank!A:T,19,FALSE),""))</f>
        <v/>
      </c>
      <c r="W112" s="1" t="str">
        <f>IF(IFERROR(VLOOKUP(A112,Drank!A:T,20,FALSE),"")=0,"",IFERROR(VLOOKUP(A112,Drank!A:T,20,FALSE),""))</f>
        <v/>
      </c>
      <c r="X112" s="10">
        <f>SUMIF(A:A,A112,I:I)</f>
        <v>4</v>
      </c>
      <c r="Y112" s="10">
        <f>IF(Table1[[#This Row],[Drank]]&gt;0,VLOOKUP(Table1[[#This Row],[ID]],Drank!A:P,16,FALSE),IF(Table1[[#This Row],[WALDD]]&gt;0,VLOOKUP(Table1[[#This Row],[ID]],Wine1!A:Q,17,FALSE),Table1[[#This Row],[EP]]))</f>
        <v>2030</v>
      </c>
      <c r="Z112" s="18">
        <f>IF(Table1[[#This Row],[My Rating]]="",IF(Table1[[#This Row],[WA Rating Clean]]="","",Table1[[#This Row],[WA Rating Clean]]),Table1[[#This Row],[My Rating]])</f>
        <v>93</v>
      </c>
      <c r="AA112" s="37">
        <v>2020</v>
      </c>
      <c r="AB112" s="128">
        <v>48.87</v>
      </c>
      <c r="AC112" s="2">
        <f t="shared" si="3"/>
        <v>48.87</v>
      </c>
      <c r="AD112" s="8">
        <v>1</v>
      </c>
      <c r="AE112" s="10">
        <f>IF(Table1[[#This Row],[P/750]]&lt;20,1,IF(Table1[[#This Row],[P/750]]&lt;50,2,3))</f>
        <v>2</v>
      </c>
      <c r="AF112" s="10">
        <f>IF(Table1[[#This Row],[P/750]]&lt;Expenses!$C$30,1,IF(Table1[[#This Row],[P/750]]&lt;Expenses!$C$31,2,IF(Table1[[#This Row],[P/750]]&lt;Expenses!$C$32,3,4)))</f>
        <v>3</v>
      </c>
      <c r="AH112" s="37" t="s">
        <v>1139</v>
      </c>
      <c r="AI112" s="11">
        <f>Table1[[#This Row],[Price]]/Table1[[#This Row],[Size (ml)]]*750</f>
        <v>48.87</v>
      </c>
      <c r="AJ112" s="37">
        <v>93</v>
      </c>
      <c r="AK112" s="10">
        <f>COUNTIF(UniqueID!A:A,Table1[[#This Row],[ID]])</f>
        <v>1</v>
      </c>
      <c r="AL112" s="10" t="str">
        <f>VLOOKUP(Table1[[#This Row],[Cellar Location]],Location!A:F,6,FALSE)</f>
        <v>W</v>
      </c>
      <c r="AN112" s="1">
        <v>44058</v>
      </c>
      <c r="AO112" s="10" t="str">
        <f>TEXT(Table1[[#This Row],[Purchased]],"mmmm")</f>
        <v>August</v>
      </c>
      <c r="AP112" s="10" t="str">
        <f>TEXT(Table1[[#This Row],[Purchased]],"yyyy")</f>
        <v>2020</v>
      </c>
      <c r="AQ112" s="1">
        <v>44132</v>
      </c>
    </row>
    <row r="113" spans="1:43" s="37" customFormat="1" x14ac:dyDescent="0.25">
      <c r="A113" s="37" t="str">
        <f t="shared" si="2"/>
        <v>2009Marchesi AntinoriMuffato della Sala IGT</v>
      </c>
      <c r="B113" s="37">
        <v>2009</v>
      </c>
      <c r="C113" s="37" t="s">
        <v>1699</v>
      </c>
      <c r="D113" s="37" t="s">
        <v>1700</v>
      </c>
      <c r="E113" s="37" t="s">
        <v>1701</v>
      </c>
      <c r="F113" s="37" t="s">
        <v>728</v>
      </c>
      <c r="G113" s="37" t="s">
        <v>797</v>
      </c>
      <c r="I113" s="8">
        <v>1</v>
      </c>
      <c r="J113" s="38">
        <v>500</v>
      </c>
      <c r="K113" s="38" t="s">
        <v>1687</v>
      </c>
      <c r="L113" s="10">
        <f>COUNTIF(Drank!A:A,Table1[[#This Row],[ID]])</f>
        <v>0</v>
      </c>
      <c r="M113" s="37" t="s">
        <v>201</v>
      </c>
      <c r="N113" s="37" t="s">
        <v>206</v>
      </c>
      <c r="O113" s="37">
        <v>1</v>
      </c>
      <c r="P113" s="37">
        <v>2014</v>
      </c>
      <c r="Q113" s="37">
        <v>2030</v>
      </c>
      <c r="R113" s="10" t="str">
        <f>IF(IFERROR(VLOOKUP(A113,Drank!A:S,15,FALSE),"")=0,"",IFERROR(VLOOKUP(A113,Drank!A:S,15,FALSE),""))</f>
        <v/>
      </c>
      <c r="S113" s="10" t="str">
        <f>IF(IFERROR(VLOOKUP(A113,Drank!A:S,16,FALSE),"")=0,"",IFERROR(VLOOKUP(A113,Drank!A:S,16,FALSE),""))</f>
        <v/>
      </c>
      <c r="T113" s="10"/>
      <c r="U113" s="37">
        <v>96</v>
      </c>
      <c r="V113" s="18" t="str">
        <f>IF(IFERROR(VLOOKUP(A113,Drank!A:T,19,FALSE),"")=0,"",IFERROR(VLOOKUP(A113,Drank!A:T,19,FALSE),""))</f>
        <v/>
      </c>
      <c r="W113" s="1" t="str">
        <f>IF(IFERROR(VLOOKUP(A113,Drank!A:T,20,FALSE),"")=0,"",IFERROR(VLOOKUP(A113,Drank!A:T,20,FALSE),""))</f>
        <v/>
      </c>
      <c r="X113" s="10">
        <f>SUMIF(A:A,A113,I:I)</f>
        <v>2</v>
      </c>
      <c r="Y113" s="10">
        <f>IF(Table1[[#This Row],[Drank]]&gt;0,VLOOKUP(Table1[[#This Row],[ID]],Drank!A:P,16,FALSE),IF(Table1[[#This Row],[WALDD]]&gt;0,VLOOKUP(Table1[[#This Row],[ID]],Wine1!A:Q,17,FALSE),Table1[[#This Row],[EP]]))</f>
        <v>2030</v>
      </c>
      <c r="Z113" s="18">
        <f>IF(Table1[[#This Row],[My Rating]]="",IF(Table1[[#This Row],[WA Rating Clean]]="","",Table1[[#This Row],[WA Rating Clean]]),Table1[[#This Row],[My Rating]])</f>
        <v>96</v>
      </c>
      <c r="AA113" s="8">
        <v>2020</v>
      </c>
      <c r="AB113" s="128">
        <v>56.07</v>
      </c>
      <c r="AC113" s="2">
        <f t="shared" si="3"/>
        <v>56.07</v>
      </c>
      <c r="AD113" s="8">
        <v>1</v>
      </c>
      <c r="AE113" s="10">
        <f>IF(Table1[[#This Row],[P/750]]&lt;20,1,IF(Table1[[#This Row],[P/750]]&lt;50,2,3))</f>
        <v>3</v>
      </c>
      <c r="AF113" s="10">
        <f>IF(Table1[[#This Row],[P/750]]&lt;Expenses!$C$30,1,IF(Table1[[#This Row],[P/750]]&lt;Expenses!$C$31,2,IF(Table1[[#This Row],[P/750]]&lt;Expenses!$C$32,3,4)))</f>
        <v>4</v>
      </c>
      <c r="AH113" s="37" t="s">
        <v>1189</v>
      </c>
      <c r="AI113" s="11">
        <f>Table1[[#This Row],[Price]]/Table1[[#This Row],[Size (ml)]]*750</f>
        <v>84.105000000000004</v>
      </c>
      <c r="AJ113" s="37">
        <v>96</v>
      </c>
      <c r="AK113" s="10">
        <f>COUNTIF(UniqueID!A:A,Table1[[#This Row],[ID]])</f>
        <v>0</v>
      </c>
      <c r="AL113" s="10" t="str">
        <f>VLOOKUP(Table1[[#This Row],[Cellar Location]],Location!A:F,6,FALSE)</f>
        <v>W</v>
      </c>
      <c r="AN113" s="1">
        <v>44061</v>
      </c>
      <c r="AO113" s="10" t="str">
        <f>TEXT(Table1[[#This Row],[Purchased]],"mmmm")</f>
        <v>August</v>
      </c>
      <c r="AP113" s="10" t="str">
        <f>TEXT(Table1[[#This Row],[Purchased]],"yyyy")</f>
        <v>2020</v>
      </c>
      <c r="AQ113" s="1">
        <v>44137</v>
      </c>
    </row>
    <row r="114" spans="1:43" s="37" customFormat="1" x14ac:dyDescent="0.25">
      <c r="A114" s="37" t="str">
        <f t="shared" si="2"/>
        <v>2017Altos Las HormigasMalbec Appellation Gualtallary</v>
      </c>
      <c r="B114" s="8">
        <v>2017</v>
      </c>
      <c r="C114" s="38" t="s">
        <v>232</v>
      </c>
      <c r="D114" s="9" t="s">
        <v>233</v>
      </c>
      <c r="E114" s="67" t="s">
        <v>1207</v>
      </c>
      <c r="F114" s="37" t="s">
        <v>731</v>
      </c>
      <c r="G114" s="37" t="s">
        <v>732</v>
      </c>
      <c r="H114" s="37" t="s">
        <v>1190</v>
      </c>
      <c r="I114" s="8">
        <v>1</v>
      </c>
      <c r="J114" s="37">
        <v>750</v>
      </c>
      <c r="K114" s="8" t="s">
        <v>25</v>
      </c>
      <c r="L114" s="10">
        <f>COUNTIF(Drank!A:A,Table1[[#This Row],[ID]])</f>
        <v>1</v>
      </c>
      <c r="M114" s="37" t="s">
        <v>202</v>
      </c>
      <c r="N114" s="37" t="s">
        <v>207</v>
      </c>
      <c r="O114" s="37">
        <v>1</v>
      </c>
      <c r="P114" s="10">
        <v>2019</v>
      </c>
      <c r="Q114" s="37">
        <v>2030</v>
      </c>
      <c r="R114" s="10">
        <f>IF(IFERROR(VLOOKUP(A114,Drank!A:S,15,FALSE),"")=0,"",IFERROR(VLOOKUP(A114,Drank!A:S,15,FALSE),""))</f>
        <v>2022</v>
      </c>
      <c r="S114" s="10">
        <f>IF(IFERROR(VLOOKUP(A114,Drank!A:S,16,FALSE),"")=0,"",IFERROR(VLOOKUP(A114,Drank!A:S,16,FALSE),""))</f>
        <v>2030</v>
      </c>
      <c r="T114" s="10"/>
      <c r="U114" s="37" t="s">
        <v>1180</v>
      </c>
      <c r="V114" s="18">
        <f>IF(IFERROR(VLOOKUP(A114,Drank!A:T,19,FALSE),"")=0,"",IFERROR(VLOOKUP(A114,Drank!A:T,19,FALSE),""))</f>
        <v>94</v>
      </c>
      <c r="W114" s="1">
        <f>IF(IFERROR(VLOOKUP(A114,Drank!A:T,20,FALSE),"")=0,"",IFERROR(VLOOKUP(A114,Drank!A:T,20,FALSE),""))</f>
        <v>43953</v>
      </c>
      <c r="X114" s="10">
        <f>SUMIF(A:A,A114,I:I)</f>
        <v>38</v>
      </c>
      <c r="Y114" s="10">
        <f>IF(Table1[[#This Row],[Drank]]&gt;0,VLOOKUP(Table1[[#This Row],[ID]],Drank!A:P,16,FALSE),IF(Table1[[#This Row],[WALDD]]&gt;0,VLOOKUP(Table1[[#This Row],[ID]],Wine1!A:Q,17,FALSE),Table1[[#This Row],[EP]]))</f>
        <v>2030</v>
      </c>
      <c r="Z114" s="18">
        <f>IF(Table1[[#This Row],[My Rating]]="",IF(Table1[[#This Row],[WA Rating Clean]]="","",Table1[[#This Row],[WA Rating Clean]]),Table1[[#This Row],[My Rating]])</f>
        <v>94</v>
      </c>
      <c r="AA114" s="37">
        <v>2020</v>
      </c>
      <c r="AB114" s="128">
        <v>35.85</v>
      </c>
      <c r="AC114" s="2">
        <f t="shared" si="3"/>
        <v>35.85</v>
      </c>
      <c r="AD114" s="8">
        <v>1</v>
      </c>
      <c r="AE114" s="10">
        <f>IF(Table1[[#This Row],[P/750]]&lt;20,1,IF(Table1[[#This Row],[P/750]]&lt;50,2,3))</f>
        <v>2</v>
      </c>
      <c r="AF114" s="10">
        <f>IF(Table1[[#This Row],[P/750]]&lt;Expenses!$C$30,1,IF(Table1[[#This Row],[P/750]]&lt;Expenses!$C$31,2,IF(Table1[[#This Row],[P/750]]&lt;Expenses!$C$32,3,4)))</f>
        <v>3</v>
      </c>
      <c r="AH114" s="37" t="s">
        <v>1128</v>
      </c>
      <c r="AI114" s="11">
        <f>Table1[[#This Row],[Price]]/Table1[[#This Row],[Size (ml)]]*750</f>
        <v>35.85</v>
      </c>
      <c r="AJ114" s="37">
        <v>96</v>
      </c>
      <c r="AK114" s="10">
        <f>COUNTIF(UniqueID!A:A,Table1[[#This Row],[ID]])</f>
        <v>1</v>
      </c>
      <c r="AL114" s="10" t="str">
        <f>VLOOKUP(Table1[[#This Row],[Cellar Location]],Location!A:F,6,FALSE)</f>
        <v>K</v>
      </c>
      <c r="AN114" s="1">
        <v>44070</v>
      </c>
      <c r="AO114" s="10" t="str">
        <f>TEXT(Table1[[#This Row],[Purchased]],"mmmm")</f>
        <v>August</v>
      </c>
      <c r="AP114" s="10" t="str">
        <f>TEXT(Table1[[#This Row],[Purchased]],"yyyy")</f>
        <v>2020</v>
      </c>
      <c r="AQ114" s="1"/>
    </row>
    <row r="115" spans="1:43" s="37" customFormat="1" x14ac:dyDescent="0.25">
      <c r="A115" s="37" t="str">
        <f t="shared" si="2"/>
        <v>2015CamiglianoBrunello di Montalcino</v>
      </c>
      <c r="B115" s="37">
        <v>2015</v>
      </c>
      <c r="C115" s="37" t="s">
        <v>1693</v>
      </c>
      <c r="D115" s="37" t="s">
        <v>19</v>
      </c>
      <c r="E115" s="67" t="s">
        <v>1250</v>
      </c>
      <c r="F115" s="37" t="s">
        <v>728</v>
      </c>
      <c r="G115" s="37" t="s">
        <v>790</v>
      </c>
      <c r="H115" s="37" t="s">
        <v>19</v>
      </c>
      <c r="I115" s="8">
        <v>1</v>
      </c>
      <c r="J115" s="38">
        <v>750</v>
      </c>
      <c r="K115" s="38" t="s">
        <v>1687</v>
      </c>
      <c r="L115" s="10">
        <f>COUNTIF(Drank!A:A,Table1[[#This Row],[ID]])</f>
        <v>0</v>
      </c>
      <c r="M115" s="37" t="s">
        <v>202</v>
      </c>
      <c r="N115" s="37" t="s">
        <v>207</v>
      </c>
      <c r="O115" s="37">
        <v>1</v>
      </c>
      <c r="P115" s="37">
        <v>2021</v>
      </c>
      <c r="Q115" s="37">
        <v>2033</v>
      </c>
      <c r="R115" s="10" t="str">
        <f>IF(IFERROR(VLOOKUP(A115,Drank!A:S,15,FALSE),"")=0,"",IFERROR(VLOOKUP(A115,Drank!A:S,15,FALSE),""))</f>
        <v/>
      </c>
      <c r="S115" s="10" t="str">
        <f>IF(IFERROR(VLOOKUP(A115,Drank!A:S,16,FALSE),"")=0,"",IFERROR(VLOOKUP(A115,Drank!A:S,16,FALSE),""))</f>
        <v/>
      </c>
      <c r="T115" s="10"/>
      <c r="U115" s="37">
        <v>94</v>
      </c>
      <c r="V115" s="18" t="str">
        <f>IF(IFERROR(VLOOKUP(A115,Drank!A:T,19,FALSE),"")=0,"",IFERROR(VLOOKUP(A115,Drank!A:T,19,FALSE),""))</f>
        <v/>
      </c>
      <c r="W115" s="1" t="str">
        <f>IF(IFERROR(VLOOKUP(A115,Drank!A:T,20,FALSE),"")=0,"",IFERROR(VLOOKUP(A115,Drank!A:T,20,FALSE),""))</f>
        <v/>
      </c>
      <c r="X115" s="10">
        <f>SUMIF(A:A,A115,I:I)</f>
        <v>3</v>
      </c>
      <c r="Y115" s="10">
        <f>IF(Table1[[#This Row],[Drank]]&gt;0,VLOOKUP(Table1[[#This Row],[ID]],Drank!A:P,16,FALSE),IF(Table1[[#This Row],[WALDD]]&gt;0,VLOOKUP(Table1[[#This Row],[ID]],Wine1!A:Q,17,FALSE),Table1[[#This Row],[EP]]))</f>
        <v>2033</v>
      </c>
      <c r="Z115" s="18">
        <f>IF(Table1[[#This Row],[My Rating]]="",IF(Table1[[#This Row],[WA Rating Clean]]="","",Table1[[#This Row],[WA Rating Clean]]),Table1[[#This Row],[My Rating]])</f>
        <v>94</v>
      </c>
      <c r="AA115" s="8">
        <v>2020</v>
      </c>
      <c r="AB115" s="128">
        <v>36.51</v>
      </c>
      <c r="AC115" s="2">
        <f t="shared" si="3"/>
        <v>36.51</v>
      </c>
      <c r="AD115" s="8">
        <v>1</v>
      </c>
      <c r="AE115" s="10">
        <f>IF(Table1[[#This Row],[P/750]]&lt;20,1,IF(Table1[[#This Row],[P/750]]&lt;50,2,3))</f>
        <v>2</v>
      </c>
      <c r="AF115" s="10">
        <f>IF(Table1[[#This Row],[P/750]]&lt;Expenses!$C$30,1,IF(Table1[[#This Row],[P/750]]&lt;Expenses!$C$31,2,IF(Table1[[#This Row],[P/750]]&lt;Expenses!$C$32,3,4)))</f>
        <v>3</v>
      </c>
      <c r="AH115" s="37" t="s">
        <v>1189</v>
      </c>
      <c r="AI115" s="11">
        <f>Table1[[#This Row],[Price]]/Table1[[#This Row],[Size (ml)]]*750</f>
        <v>36.51</v>
      </c>
      <c r="AJ115" s="37">
        <v>94</v>
      </c>
      <c r="AK115" s="10">
        <f>COUNTIF(UniqueID!A:A,Table1[[#This Row],[ID]])</f>
        <v>0</v>
      </c>
      <c r="AL115" s="10" t="str">
        <f>VLOOKUP(Table1[[#This Row],[Cellar Location]],Location!A:F,6,FALSE)</f>
        <v>W</v>
      </c>
      <c r="AN115" s="1">
        <v>44061</v>
      </c>
      <c r="AO115" s="10" t="str">
        <f>TEXT(Table1[[#This Row],[Purchased]],"mmmm")</f>
        <v>August</v>
      </c>
      <c r="AP115" s="10" t="str">
        <f>TEXT(Table1[[#This Row],[Purchased]],"yyyy")</f>
        <v>2020</v>
      </c>
      <c r="AQ115" s="1">
        <v>44137</v>
      </c>
    </row>
    <row r="116" spans="1:43" s="37" customFormat="1" x14ac:dyDescent="0.25">
      <c r="A116" s="37" t="str">
        <f t="shared" si="2"/>
        <v>2013Celestino PecciBrunello di Montalcino</v>
      </c>
      <c r="B116" s="63">
        <v>2013</v>
      </c>
      <c r="C116" s="120" t="s">
        <v>1374</v>
      </c>
      <c r="D116" s="64" t="s">
        <v>19</v>
      </c>
      <c r="E116" s="67" t="s">
        <v>1250</v>
      </c>
      <c r="F116" s="37" t="s">
        <v>728</v>
      </c>
      <c r="G116" s="37" t="s">
        <v>790</v>
      </c>
      <c r="H116" s="37" t="s">
        <v>19</v>
      </c>
      <c r="I116" s="37">
        <v>1</v>
      </c>
      <c r="J116" s="9">
        <v>750</v>
      </c>
      <c r="K116" s="37" t="s">
        <v>839</v>
      </c>
      <c r="L116" s="10">
        <f>COUNTIF(Drank!A:A,Table1[[#This Row],[ID]])</f>
        <v>0</v>
      </c>
      <c r="M116" s="37" t="s">
        <v>202</v>
      </c>
      <c r="N116" s="37" t="s">
        <v>207</v>
      </c>
      <c r="O116" s="37">
        <v>0</v>
      </c>
      <c r="P116" s="10"/>
      <c r="R116" s="10" t="str">
        <f>IF(IFERROR(VLOOKUP(A116,Drank!A:S,15,FALSE),"")=0,"",IFERROR(VLOOKUP(A116,Drank!A:S,15,FALSE),""))</f>
        <v/>
      </c>
      <c r="S116" s="10" t="str">
        <f>IF(IFERROR(VLOOKUP(A116,Drank!A:S,16,FALSE),"")=0,"",IFERROR(VLOOKUP(A116,Drank!A:S,16,FALSE),""))</f>
        <v/>
      </c>
      <c r="T116" s="10">
        <v>2035</v>
      </c>
      <c r="V116" s="18" t="str">
        <f>IF(IFERROR(VLOOKUP(A116,Drank!A:T,19,FALSE),"")=0,"",IFERROR(VLOOKUP(A116,Drank!A:T,19,FALSE),""))</f>
        <v/>
      </c>
      <c r="W116" s="1" t="str">
        <f>IF(IFERROR(VLOOKUP(A116,Drank!A:T,20,FALSE),"")=0,"",IFERROR(VLOOKUP(A116,Drank!A:T,20,FALSE),""))</f>
        <v/>
      </c>
      <c r="X116" s="10">
        <f>SUMIF(A:A,A116,I:I)</f>
        <v>4</v>
      </c>
      <c r="Y116" s="10">
        <f>IF(Table1[[#This Row],[Drank]]&gt;0,VLOOKUP(Table1[[#This Row],[ID]],Drank!A:P,16,FALSE),IF(Table1[[#This Row],[WALDD]]&gt;0,VLOOKUP(Table1[[#This Row],[ID]],Wine1!A:Q,17,FALSE),Table1[[#This Row],[EP]]))</f>
        <v>2035</v>
      </c>
      <c r="Z116" s="18" t="str">
        <f>IF(Table1[[#This Row],[My Rating]]="",IF(Table1[[#This Row],[WA Rating Clean]]="","",Table1[[#This Row],[WA Rating Clean]]),Table1[[#This Row],[My Rating]])</f>
        <v/>
      </c>
      <c r="AA116" s="37">
        <v>2020</v>
      </c>
      <c r="AB116" s="128">
        <v>39.325000000000003</v>
      </c>
      <c r="AC116" s="2">
        <f t="shared" si="3"/>
        <v>39.325000000000003</v>
      </c>
      <c r="AD116" s="8">
        <v>0</v>
      </c>
      <c r="AE116" s="10">
        <f>IF(Table1[[#This Row],[P/750]]&lt;20,1,IF(Table1[[#This Row],[P/750]]&lt;50,2,3))</f>
        <v>2</v>
      </c>
      <c r="AF116" s="10">
        <f>IF(Table1[[#This Row],[P/750]]&lt;Expenses!$C$30,1,IF(Table1[[#This Row],[P/750]]&lt;Expenses!$C$31,2,IF(Table1[[#This Row],[P/750]]&lt;Expenses!$C$32,3,4)))</f>
        <v>3</v>
      </c>
      <c r="AH116" s="37" t="s">
        <v>385</v>
      </c>
      <c r="AI116" s="11">
        <f>Table1[[#This Row],[Price]]/Table1[[#This Row],[Size (ml)]]*750</f>
        <v>39.325000000000003</v>
      </c>
      <c r="AK116" s="10">
        <f>COUNTIF(UniqueID!A:A,Table1[[#This Row],[ID]])</f>
        <v>0</v>
      </c>
      <c r="AL116" s="10" t="str">
        <f>VLOOKUP(Table1[[#This Row],[Cellar Location]],Location!A:F,6,FALSE)</f>
        <v>C</v>
      </c>
      <c r="AN116" s="1">
        <v>43938</v>
      </c>
      <c r="AO116" s="10" t="str">
        <f>TEXT(Table1[[#This Row],[Purchased]],"mmmm")</f>
        <v>April</v>
      </c>
      <c r="AP116" s="10" t="str">
        <f>TEXT(Table1[[#This Row],[Purchased]],"yyyy")</f>
        <v>2020</v>
      </c>
      <c r="AQ116" s="10"/>
    </row>
    <row r="117" spans="1:43" s="37" customFormat="1" x14ac:dyDescent="0.25">
      <c r="A117" s="37" t="str">
        <f t="shared" si="2"/>
        <v>2017ValderizRibera del Duero</v>
      </c>
      <c r="B117" s="37">
        <v>2017</v>
      </c>
      <c r="C117" s="103" t="s">
        <v>1648</v>
      </c>
      <c r="D117" s="21" t="s">
        <v>1457</v>
      </c>
      <c r="E117" s="67" t="s">
        <v>1220</v>
      </c>
      <c r="F117" s="37" t="s">
        <v>729</v>
      </c>
      <c r="G117" s="37" t="s">
        <v>1718</v>
      </c>
      <c r="H117" s="37" t="s">
        <v>818</v>
      </c>
      <c r="I117" s="37">
        <v>1</v>
      </c>
      <c r="J117" s="37">
        <v>750</v>
      </c>
      <c r="K117" s="8" t="s">
        <v>589</v>
      </c>
      <c r="L117" s="10">
        <f>COUNTIF(Drank!A:A,Table1[[#This Row],[ID]])</f>
        <v>0</v>
      </c>
      <c r="M117" s="37" t="s">
        <v>202</v>
      </c>
      <c r="N117" s="37" t="s">
        <v>207</v>
      </c>
      <c r="O117" s="37">
        <v>1</v>
      </c>
      <c r="R117" s="10" t="str">
        <f>IF(IFERROR(VLOOKUP(A117,Drank!A:S,15,FALSE),"")=0,"",IFERROR(VLOOKUP(A117,Drank!A:S,15,FALSE),""))</f>
        <v/>
      </c>
      <c r="S117" s="10" t="str">
        <f>IF(IFERROR(VLOOKUP(A117,Drank!A:S,16,FALSE),"")=0,"",IFERROR(VLOOKUP(A117,Drank!A:S,16,FALSE),""))</f>
        <v/>
      </c>
      <c r="T117" s="10">
        <v>2035</v>
      </c>
      <c r="V117" s="18" t="str">
        <f>IF(IFERROR(VLOOKUP(A117,Drank!A:T,19,FALSE),"")=0,"",IFERROR(VLOOKUP(A117,Drank!A:T,19,FALSE),""))</f>
        <v/>
      </c>
      <c r="W117" s="1" t="str">
        <f>IF(IFERROR(VLOOKUP(A117,Drank!A:T,20,FALSE),"")=0,"",IFERROR(VLOOKUP(A117,Drank!A:T,20,FALSE),""))</f>
        <v/>
      </c>
      <c r="X117" s="10">
        <f>SUMIF(A:A,A117,I:I)</f>
        <v>1</v>
      </c>
      <c r="Y117" s="10">
        <f>IF(Table1[[#This Row],[Drank]]&gt;0,VLOOKUP(Table1[[#This Row],[ID]],Drank!A:P,16,FALSE),IF(Table1[[#This Row],[WALDD]]&gt;0,VLOOKUP(Table1[[#This Row],[ID]],Wine1!A:Q,17,FALSE),Table1[[#This Row],[EP]]))</f>
        <v>2035</v>
      </c>
      <c r="Z117" s="18" t="str">
        <f>IF(Table1[[#This Row],[My Rating]]="",IF(Table1[[#This Row],[WA Rating Clean]]="","",Table1[[#This Row],[WA Rating Clean]]),Table1[[#This Row],[My Rating]])</f>
        <v/>
      </c>
      <c r="AA117" s="8">
        <v>2020</v>
      </c>
      <c r="AB117" s="128">
        <v>29.97</v>
      </c>
      <c r="AC117" s="2">
        <f t="shared" si="3"/>
        <v>29.97</v>
      </c>
      <c r="AD117" s="8">
        <v>0</v>
      </c>
      <c r="AE117" s="10">
        <f>IF(Table1[[#This Row],[P/750]]&lt;20,1,IF(Table1[[#This Row],[P/750]]&lt;50,2,3))</f>
        <v>2</v>
      </c>
      <c r="AF117" s="10">
        <f>IF(Table1[[#This Row],[P/750]]&lt;Expenses!$C$30,1,IF(Table1[[#This Row],[P/750]]&lt;Expenses!$C$31,2,IF(Table1[[#This Row],[P/750]]&lt;Expenses!$C$32,3,4)))</f>
        <v>2</v>
      </c>
      <c r="AH117" s="37" t="s">
        <v>1645</v>
      </c>
      <c r="AI117" s="11">
        <f>Table1[[#This Row],[Price]]/Table1[[#This Row],[Size (ml)]]*750</f>
        <v>29.969999999999995</v>
      </c>
      <c r="AK117" s="10">
        <f>COUNTIF(UniqueID!A:A,Table1[[#This Row],[ID]])</f>
        <v>0</v>
      </c>
      <c r="AL117" s="10" t="str">
        <f>VLOOKUP(Table1[[#This Row],[Cellar Location]],Location!A:F,6,FALSE)</f>
        <v>C</v>
      </c>
      <c r="AN117" s="1">
        <v>44060</v>
      </c>
      <c r="AO117" s="10" t="str">
        <f>TEXT(Table1[[#This Row],[Purchased]],"mmmm")</f>
        <v>August</v>
      </c>
      <c r="AP117" s="10" t="str">
        <f>TEXT(Table1[[#This Row],[Purchased]],"yyyy")</f>
        <v>2020</v>
      </c>
      <c r="AQ117" s="10"/>
    </row>
    <row r="118" spans="1:43" s="37" customFormat="1" x14ac:dyDescent="0.25">
      <c r="A118" s="37" t="str">
        <f t="shared" si="2"/>
        <v>2016Tasca Conti d'AlmeritaCabernet Sauvignon Tenuta Regaleali Vigna San Francesco</v>
      </c>
      <c r="B118" s="37">
        <v>2016</v>
      </c>
      <c r="C118" s="37" t="s">
        <v>1611</v>
      </c>
      <c r="D118" s="37" t="s">
        <v>1612</v>
      </c>
      <c r="E118" s="69" t="s">
        <v>1331</v>
      </c>
      <c r="F118" s="37" t="s">
        <v>728</v>
      </c>
      <c r="G118" s="37" t="s">
        <v>788</v>
      </c>
      <c r="I118" s="8">
        <v>1</v>
      </c>
      <c r="J118" s="38">
        <v>750</v>
      </c>
      <c r="K118" s="38" t="s">
        <v>1139</v>
      </c>
      <c r="L118" s="10">
        <f>COUNTIF(Drank!A:A,Table1[[#This Row],[ID]])</f>
        <v>0</v>
      </c>
      <c r="M118" s="37" t="s">
        <v>202</v>
      </c>
      <c r="N118" s="37" t="s">
        <v>207</v>
      </c>
      <c r="O118" s="37">
        <v>1</v>
      </c>
      <c r="P118" s="10">
        <v>2019</v>
      </c>
      <c r="Q118" s="37">
        <v>2035</v>
      </c>
      <c r="R118" s="10" t="str">
        <f>IF(IFERROR(VLOOKUP(A118,Drank!A:S,15,FALSE),"")=0,"",IFERROR(VLOOKUP(A118,Drank!A:S,15,FALSE),""))</f>
        <v/>
      </c>
      <c r="S118" s="10" t="str">
        <f>IF(IFERROR(VLOOKUP(A118,Drank!A:S,16,FALSE),"")=0,"",IFERROR(VLOOKUP(A118,Drank!A:S,16,FALSE),""))</f>
        <v/>
      </c>
      <c r="T118" s="10"/>
      <c r="U118" s="37">
        <v>94</v>
      </c>
      <c r="V118" s="18" t="str">
        <f>IF(IFERROR(VLOOKUP(A118,Drank!A:T,19,FALSE),"")=0,"",IFERROR(VLOOKUP(A118,Drank!A:T,19,FALSE),""))</f>
        <v/>
      </c>
      <c r="W118" s="1" t="str">
        <f>IF(IFERROR(VLOOKUP(A118,Drank!A:T,20,FALSE),"")=0,"",IFERROR(VLOOKUP(A118,Drank!A:T,20,FALSE),""))</f>
        <v/>
      </c>
      <c r="X118" s="10">
        <f>SUMIF(A:A,A118,I:I)</f>
        <v>1</v>
      </c>
      <c r="Y118" s="10">
        <f>IF(Table1[[#This Row],[Drank]]&gt;0,VLOOKUP(Table1[[#This Row],[ID]],Drank!A:P,16,FALSE),IF(Table1[[#This Row],[WALDD]]&gt;0,VLOOKUP(Table1[[#This Row],[ID]],Wine1!A:Q,17,FALSE),Table1[[#This Row],[EP]]))</f>
        <v>2035</v>
      </c>
      <c r="Z118" s="18">
        <f>IF(Table1[[#This Row],[My Rating]]="",IF(Table1[[#This Row],[WA Rating Clean]]="","",Table1[[#This Row],[WA Rating Clean]]),Table1[[#This Row],[My Rating]])</f>
        <v>94</v>
      </c>
      <c r="AA118" s="37">
        <v>2020</v>
      </c>
      <c r="AB118" s="128">
        <v>56.7</v>
      </c>
      <c r="AC118" s="2">
        <f t="shared" si="3"/>
        <v>56.7</v>
      </c>
      <c r="AD118" s="8">
        <v>1</v>
      </c>
      <c r="AE118" s="10">
        <f>IF(Table1[[#This Row],[P/750]]&lt;20,1,IF(Table1[[#This Row],[P/750]]&lt;50,2,3))</f>
        <v>3</v>
      </c>
      <c r="AF118" s="10">
        <f>IF(Table1[[#This Row],[P/750]]&lt;Expenses!$C$30,1,IF(Table1[[#This Row],[P/750]]&lt;Expenses!$C$31,2,IF(Table1[[#This Row],[P/750]]&lt;Expenses!$C$32,3,4)))</f>
        <v>3</v>
      </c>
      <c r="AH118" s="37" t="s">
        <v>1139</v>
      </c>
      <c r="AI118" s="11">
        <f>Table1[[#This Row],[Price]]/Table1[[#This Row],[Size (ml)]]*750</f>
        <v>56.7</v>
      </c>
      <c r="AJ118" s="37">
        <v>94</v>
      </c>
      <c r="AK118" s="10">
        <f>COUNTIF(UniqueID!A:A,Table1[[#This Row],[ID]])</f>
        <v>0</v>
      </c>
      <c r="AL118" s="10" t="str">
        <f>VLOOKUP(Table1[[#This Row],[Cellar Location]],Location!A:F,6,FALSE)</f>
        <v>W</v>
      </c>
      <c r="AN118" s="1">
        <v>44058</v>
      </c>
      <c r="AO118" s="10" t="str">
        <f>TEXT(Table1[[#This Row],[Purchased]],"mmmm")</f>
        <v>August</v>
      </c>
      <c r="AP118" s="10" t="str">
        <f>TEXT(Table1[[#This Row],[Purchased]],"yyyy")</f>
        <v>2020</v>
      </c>
      <c r="AQ118" s="1">
        <v>44132</v>
      </c>
    </row>
    <row r="119" spans="1:43" s="37" customFormat="1" x14ac:dyDescent="0.25">
      <c r="A119" s="37" t="str">
        <f t="shared" si="2"/>
        <v>NVTaylor Fladgate10 Year Old Tawny Port</v>
      </c>
      <c r="B119" s="37" t="s">
        <v>167</v>
      </c>
      <c r="C119" s="37" t="s">
        <v>243</v>
      </c>
      <c r="D119" s="37" t="s">
        <v>1538</v>
      </c>
      <c r="E119" s="64" t="s">
        <v>257</v>
      </c>
      <c r="F119" s="37" t="s">
        <v>804</v>
      </c>
      <c r="G119" s="37" t="s">
        <v>805</v>
      </c>
      <c r="H119" s="37" t="s">
        <v>1138</v>
      </c>
      <c r="I119" s="8">
        <v>1</v>
      </c>
      <c r="J119" s="37">
        <v>750</v>
      </c>
      <c r="K119" s="8" t="s">
        <v>1541</v>
      </c>
      <c r="L119" s="10">
        <f>COUNTIF(Drank!A:A,Table1[[#This Row],[ID]])</f>
        <v>0</v>
      </c>
      <c r="M119" s="37" t="s">
        <v>202</v>
      </c>
      <c r="N119" s="37" t="s">
        <v>206</v>
      </c>
      <c r="O119" s="37">
        <v>1</v>
      </c>
      <c r="P119" s="10">
        <v>2015</v>
      </c>
      <c r="Q119" s="37">
        <v>2035</v>
      </c>
      <c r="R119" s="10" t="str">
        <f>IF(IFERROR(VLOOKUP(A119,Drank!A:S,15,FALSE),"")=0,"",IFERROR(VLOOKUP(A119,Drank!A:S,15,FALSE),""))</f>
        <v/>
      </c>
      <c r="S119" s="10" t="str">
        <f>IF(IFERROR(VLOOKUP(A119,Drank!A:S,16,FALSE),"")=0,"",IFERROR(VLOOKUP(A119,Drank!A:S,16,FALSE),""))</f>
        <v/>
      </c>
      <c r="T119" s="10"/>
      <c r="U119" s="37">
        <v>90</v>
      </c>
      <c r="V119" s="18" t="str">
        <f>IF(IFERROR(VLOOKUP(A119,Drank!A:T,19,FALSE),"")=0,"",IFERROR(VLOOKUP(A119,Drank!A:T,19,FALSE),""))</f>
        <v/>
      </c>
      <c r="W119" s="1" t="str">
        <f>IF(IFERROR(VLOOKUP(A119,Drank!A:T,20,FALSE),"")=0,"",IFERROR(VLOOKUP(A119,Drank!A:T,20,FALSE),""))</f>
        <v/>
      </c>
      <c r="X119" s="10">
        <f>SUMIF(A:A,A119,I:I)</f>
        <v>1</v>
      </c>
      <c r="Y119" s="10">
        <f>IF(Table1[[#This Row],[Drank]]&gt;0,VLOOKUP(Table1[[#This Row],[ID]],Drank!A:P,16,FALSE),IF(Table1[[#This Row],[WALDD]]&gt;0,VLOOKUP(Table1[[#This Row],[ID]],Wine1!A:Q,17,FALSE),Table1[[#This Row],[EP]]))</f>
        <v>2035</v>
      </c>
      <c r="Z119" s="18">
        <f>IF(Table1[[#This Row],[My Rating]]="",IF(Table1[[#This Row],[WA Rating Clean]]="","",Table1[[#This Row],[WA Rating Clean]]),Table1[[#This Row],[My Rating]])</f>
        <v>90</v>
      </c>
      <c r="AA119" s="8">
        <v>2020</v>
      </c>
      <c r="AB119" s="128">
        <v>29.32</v>
      </c>
      <c r="AC119" s="2">
        <f t="shared" si="3"/>
        <v>29.32</v>
      </c>
      <c r="AD119" s="8">
        <v>0</v>
      </c>
      <c r="AE119" s="10">
        <f>IF(Table1[[#This Row],[P/750]]&lt;20,1,IF(Table1[[#This Row],[P/750]]&lt;50,2,3))</f>
        <v>2</v>
      </c>
      <c r="AF119" s="10">
        <f>IF(Table1[[#This Row],[P/750]]&lt;Expenses!$C$30,1,IF(Table1[[#This Row],[P/750]]&lt;Expenses!$C$31,2,IF(Table1[[#This Row],[P/750]]&lt;Expenses!$C$32,3,4)))</f>
        <v>2</v>
      </c>
      <c r="AH119" s="37" t="s">
        <v>1128</v>
      </c>
      <c r="AI119" s="11">
        <f>Table1[[#This Row],[Price]]/Table1[[#This Row],[Size (ml)]]*750</f>
        <v>29.32</v>
      </c>
      <c r="AJ119" s="37">
        <v>90</v>
      </c>
      <c r="AK119" s="10">
        <f>COUNTIF(UniqueID!A:A,Table1[[#This Row],[ID]])</f>
        <v>0</v>
      </c>
      <c r="AL119" s="10" t="str">
        <f>VLOOKUP(Table1[[#This Row],[Cellar Location]],Location!A:F,6,FALSE)</f>
        <v>C</v>
      </c>
      <c r="AN119" s="1">
        <v>44037</v>
      </c>
      <c r="AO119" s="37" t="str">
        <f>TEXT(Table1[[#This Row],[Purchased]],"mmmm")</f>
        <v>July</v>
      </c>
      <c r="AP119" s="10" t="str">
        <f>TEXT(Table1[[#This Row],[Purchased]],"yyyy")</f>
        <v>2020</v>
      </c>
      <c r="AQ119" s="10"/>
    </row>
    <row r="120" spans="1:43" s="37" customFormat="1" x14ac:dyDescent="0.25">
      <c r="A120" s="37" t="str">
        <f t="shared" si="2"/>
        <v>2015Tasca Conti d'AlmeritaCabernet Sauvignon Tenuta Regaleali Vigna San Francesco</v>
      </c>
      <c r="B120" s="37">
        <v>2015</v>
      </c>
      <c r="C120" s="37" t="s">
        <v>1611</v>
      </c>
      <c r="D120" s="37" t="s">
        <v>1612</v>
      </c>
      <c r="E120" s="69" t="s">
        <v>1331</v>
      </c>
      <c r="F120" s="67" t="s">
        <v>728</v>
      </c>
      <c r="G120" s="37" t="s">
        <v>788</v>
      </c>
      <c r="H120" s="37" t="s">
        <v>1780</v>
      </c>
      <c r="I120" s="8">
        <v>1</v>
      </c>
      <c r="J120" s="38">
        <v>750</v>
      </c>
      <c r="K120" s="38" t="s">
        <v>1572</v>
      </c>
      <c r="L120" s="10">
        <f>COUNTIF(Drank!A:A,Table1[[#This Row],[ID]])</f>
        <v>0</v>
      </c>
      <c r="M120" s="37" t="s">
        <v>202</v>
      </c>
      <c r="N120" s="37" t="s">
        <v>207</v>
      </c>
      <c r="O120" s="37">
        <v>1</v>
      </c>
      <c r="P120" s="10">
        <v>2018</v>
      </c>
      <c r="Q120" s="37">
        <v>2035</v>
      </c>
      <c r="R120" s="10" t="str">
        <f>IF(IFERROR(VLOOKUP(A120,Drank!A:S,15,FALSE),"")=0,"",IFERROR(VLOOKUP(A120,Drank!A:S,15,FALSE),""))</f>
        <v/>
      </c>
      <c r="S120" s="10" t="str">
        <f>IF(IFERROR(VLOOKUP(A120,Drank!A:S,16,FALSE),"")=0,"",IFERROR(VLOOKUP(A120,Drank!A:S,16,FALSE),""))</f>
        <v/>
      </c>
      <c r="T120" s="10"/>
      <c r="U120" s="37" t="s">
        <v>441</v>
      </c>
      <c r="V120" s="18" t="str">
        <f>IF(IFERROR(VLOOKUP(A120,Drank!A:T,19,FALSE),"")=0,"",IFERROR(VLOOKUP(A120,Drank!A:T,19,FALSE),""))</f>
        <v/>
      </c>
      <c r="W120" s="1" t="str">
        <f>IF(IFERROR(VLOOKUP(A120,Drank!A:T,20,FALSE),"")=0,"",IFERROR(VLOOKUP(A120,Drank!A:T,20,FALSE),""))</f>
        <v/>
      </c>
      <c r="X120" s="10">
        <f>SUMIF(A:A,A120,I:I)</f>
        <v>1</v>
      </c>
      <c r="Y120" s="10">
        <f>IF(Table1[[#This Row],[Drank]]&gt;0,VLOOKUP(Table1[[#This Row],[ID]],Drank!A:P,16,FALSE),IF(Table1[[#This Row],[WALDD]]&gt;0,VLOOKUP(Table1[[#This Row],[ID]],Wine1!A:Q,17,FALSE),Table1[[#This Row],[EP]]))</f>
        <v>2035</v>
      </c>
      <c r="Z120" s="18">
        <f>IF(Table1[[#This Row],[My Rating]]="",IF(Table1[[#This Row],[WA Rating Clean]]="","",Table1[[#This Row],[WA Rating Clean]]),Table1[[#This Row],[My Rating]])</f>
        <v>95</v>
      </c>
      <c r="AA120" s="8">
        <v>2020</v>
      </c>
      <c r="AB120" s="128">
        <v>43.44</v>
      </c>
      <c r="AC120" s="2">
        <f t="shared" si="3"/>
        <v>43.44</v>
      </c>
      <c r="AD120" s="8">
        <v>1</v>
      </c>
      <c r="AE120" s="10">
        <f>IF(Table1[[#This Row],[P/750]]&lt;20,1,IF(Table1[[#This Row],[P/750]]&lt;50,2,3))</f>
        <v>2</v>
      </c>
      <c r="AF120" s="10">
        <f>IF(Table1[[#This Row],[P/750]]&lt;Expenses!$C$30,1,IF(Table1[[#This Row],[P/750]]&lt;Expenses!$C$31,2,IF(Table1[[#This Row],[P/750]]&lt;Expenses!$C$32,3,4)))</f>
        <v>3</v>
      </c>
      <c r="AH120" s="37" t="s">
        <v>1572</v>
      </c>
      <c r="AI120" s="11">
        <f>Table1[[#This Row],[Price]]/Table1[[#This Row],[Size (ml)]]*750</f>
        <v>43.44</v>
      </c>
      <c r="AJ120" s="37">
        <v>95</v>
      </c>
      <c r="AK120" s="10">
        <f>COUNTIF(UniqueID!A:A,Table1[[#This Row],[ID]])</f>
        <v>0</v>
      </c>
      <c r="AL120" s="10" t="str">
        <f>VLOOKUP(Table1[[#This Row],[Cellar Location]],Location!A:F,6,FALSE)</f>
        <v>W</v>
      </c>
      <c r="AN120" s="1">
        <v>44064</v>
      </c>
      <c r="AO120" s="10" t="str">
        <f>TEXT(Table1[[#This Row],[Purchased]],"mmmm")</f>
        <v>August</v>
      </c>
      <c r="AP120" s="10" t="str">
        <f>TEXT(Table1[[#This Row],[Purchased]],"yyyy")</f>
        <v>2020</v>
      </c>
      <c r="AQ120" s="1">
        <v>44114</v>
      </c>
    </row>
    <row r="121" spans="1:43" s="37" customFormat="1" x14ac:dyDescent="0.25">
      <c r="A121" s="37" t="str">
        <f t="shared" si="2"/>
        <v>2015Fattoria la MassaGiorgio Primo</v>
      </c>
      <c r="B121" s="37">
        <v>2015</v>
      </c>
      <c r="C121" s="37" t="s">
        <v>1777</v>
      </c>
      <c r="D121" s="37" t="s">
        <v>1778</v>
      </c>
      <c r="E121" s="67" t="s">
        <v>1779</v>
      </c>
      <c r="F121" s="67" t="s">
        <v>728</v>
      </c>
      <c r="G121" s="37" t="s">
        <v>790</v>
      </c>
      <c r="H121" s="37" t="s">
        <v>796</v>
      </c>
      <c r="I121" s="8">
        <v>1</v>
      </c>
      <c r="J121" s="38">
        <v>750</v>
      </c>
      <c r="K121" s="38" t="s">
        <v>1572</v>
      </c>
      <c r="L121" s="10">
        <f>COUNTIF(Drank!A:A,Table1[[#This Row],[ID]])</f>
        <v>0</v>
      </c>
      <c r="M121" s="37" t="s">
        <v>202</v>
      </c>
      <c r="N121" s="37" t="s">
        <v>207</v>
      </c>
      <c r="O121" s="37">
        <v>1</v>
      </c>
      <c r="P121" s="10">
        <v>2019</v>
      </c>
      <c r="Q121" s="37">
        <v>2038</v>
      </c>
      <c r="R121" s="10" t="str">
        <f>IF(IFERROR(VLOOKUP(A121,Drank!A:S,15,FALSE),"")=0,"",IFERROR(VLOOKUP(A121,Drank!A:S,15,FALSE),""))</f>
        <v/>
      </c>
      <c r="S121" s="10" t="str">
        <f>IF(IFERROR(VLOOKUP(A121,Drank!A:S,16,FALSE),"")=0,"",IFERROR(VLOOKUP(A121,Drank!A:S,16,FALSE),""))</f>
        <v/>
      </c>
      <c r="T121" s="10"/>
      <c r="U121" s="37">
        <v>97</v>
      </c>
      <c r="V121" s="18" t="str">
        <f>IF(IFERROR(VLOOKUP(A121,Drank!A:T,19,FALSE),"")=0,"",IFERROR(VLOOKUP(A121,Drank!A:T,19,FALSE),""))</f>
        <v/>
      </c>
      <c r="W121" s="1" t="str">
        <f>IF(IFERROR(VLOOKUP(A121,Drank!A:T,20,FALSE),"")=0,"",IFERROR(VLOOKUP(A121,Drank!A:T,20,FALSE),""))</f>
        <v/>
      </c>
      <c r="X121" s="10">
        <f>SUMIF(A:A,A121,I:I)</f>
        <v>1</v>
      </c>
      <c r="Y121" s="10">
        <f>IF(Table1[[#This Row],[Drank]]&gt;0,VLOOKUP(Table1[[#This Row],[ID]],Drank!A:P,16,FALSE),IF(Table1[[#This Row],[WALDD]]&gt;0,VLOOKUP(Table1[[#This Row],[ID]],Wine1!A:Q,17,FALSE),Table1[[#This Row],[EP]]))</f>
        <v>2038</v>
      </c>
      <c r="Z121" s="18">
        <f>IF(Table1[[#This Row],[My Rating]]="",IF(Table1[[#This Row],[WA Rating Clean]]="","",Table1[[#This Row],[WA Rating Clean]]),Table1[[#This Row],[My Rating]])</f>
        <v>97</v>
      </c>
      <c r="AA121" s="8">
        <v>2020</v>
      </c>
      <c r="AB121" s="128">
        <v>69.34</v>
      </c>
      <c r="AC121" s="2">
        <f t="shared" si="3"/>
        <v>69.34</v>
      </c>
      <c r="AD121" s="8">
        <v>1</v>
      </c>
      <c r="AE121" s="10">
        <f>IF(Table1[[#This Row],[P/750]]&lt;20,1,IF(Table1[[#This Row],[P/750]]&lt;50,2,3))</f>
        <v>3</v>
      </c>
      <c r="AF121" s="10">
        <f>IF(Table1[[#This Row],[P/750]]&lt;Expenses!$C$30,1,IF(Table1[[#This Row],[P/750]]&lt;Expenses!$C$31,2,IF(Table1[[#This Row],[P/750]]&lt;Expenses!$C$32,3,4)))</f>
        <v>4</v>
      </c>
      <c r="AH121" s="37" t="s">
        <v>1572</v>
      </c>
      <c r="AI121" s="11">
        <f>Table1[[#This Row],[Price]]/Table1[[#This Row],[Size (ml)]]*750</f>
        <v>69.34</v>
      </c>
      <c r="AJ121" s="37">
        <v>97</v>
      </c>
      <c r="AK121" s="10">
        <f>COUNTIF(UniqueID!A:A,Table1[[#This Row],[ID]])</f>
        <v>0</v>
      </c>
      <c r="AL121" s="10" t="str">
        <f>VLOOKUP(Table1[[#This Row],[Cellar Location]],Location!A:F,6,FALSE)</f>
        <v>W</v>
      </c>
      <c r="AN121" s="1">
        <v>44064</v>
      </c>
      <c r="AO121" s="10" t="str">
        <f>TEXT(Table1[[#This Row],[Purchased]],"mmmm")</f>
        <v>August</v>
      </c>
      <c r="AP121" s="10" t="str">
        <f>TEXT(Table1[[#This Row],[Purchased]],"yyyy")</f>
        <v>2020</v>
      </c>
      <c r="AQ121" s="1">
        <v>44114</v>
      </c>
    </row>
    <row r="122" spans="1:43" s="37" customFormat="1" x14ac:dyDescent="0.25">
      <c r="A122" s="37" t="str">
        <f t="shared" si="2"/>
        <v>2017Domaine Pierre GuillemotSavigny Les Beaune Vieilles Vignes</v>
      </c>
      <c r="B122" s="37">
        <v>2017</v>
      </c>
      <c r="C122" s="103" t="s">
        <v>1592</v>
      </c>
      <c r="D122" s="122" t="s">
        <v>1594</v>
      </c>
      <c r="E122" s="67" t="s">
        <v>1462</v>
      </c>
      <c r="F122" s="37" t="s">
        <v>742</v>
      </c>
      <c r="G122" s="37" t="s">
        <v>754</v>
      </c>
      <c r="H122" s="37" t="s">
        <v>1593</v>
      </c>
      <c r="I122" s="8">
        <v>1</v>
      </c>
      <c r="J122" s="38">
        <v>750</v>
      </c>
      <c r="K122" s="38" t="s">
        <v>1139</v>
      </c>
      <c r="L122" s="10">
        <f>COUNTIF(Drank!A:A,Table1[[#This Row],[ID]])</f>
        <v>0</v>
      </c>
      <c r="M122" s="37" t="s">
        <v>202</v>
      </c>
      <c r="N122" s="37" t="s">
        <v>207</v>
      </c>
      <c r="O122" s="37">
        <v>1</v>
      </c>
      <c r="P122" s="10">
        <v>2020</v>
      </c>
      <c r="Q122" s="37">
        <v>2040</v>
      </c>
      <c r="R122" s="10" t="str">
        <f>IF(IFERROR(VLOOKUP(A122,Drank!A:S,15,FALSE),"")=0,"",IFERROR(VLOOKUP(A122,Drank!A:S,15,FALSE),""))</f>
        <v/>
      </c>
      <c r="S122" s="10" t="str">
        <f>IF(IFERROR(VLOOKUP(A122,Drank!A:S,16,FALSE),"")=0,"",IFERROR(VLOOKUP(A122,Drank!A:S,16,FALSE),""))</f>
        <v/>
      </c>
      <c r="T122" s="10"/>
      <c r="U122" s="37">
        <v>90</v>
      </c>
      <c r="V122" s="18" t="str">
        <f>IF(IFERROR(VLOOKUP(A122,Drank!A:T,19,FALSE),"")=0,"",IFERROR(VLOOKUP(A122,Drank!A:T,19,FALSE),""))</f>
        <v/>
      </c>
      <c r="W122" s="1" t="str">
        <f>IF(IFERROR(VLOOKUP(A122,Drank!A:T,20,FALSE),"")=0,"",IFERROR(VLOOKUP(A122,Drank!A:T,20,FALSE),""))</f>
        <v/>
      </c>
      <c r="X122" s="10">
        <f>SUMIF(A:A,A122,I:I)</f>
        <v>2</v>
      </c>
      <c r="Y122" s="10">
        <f>IF(Table1[[#This Row],[Drank]]&gt;0,VLOOKUP(Table1[[#This Row],[ID]],Drank!A:P,16,FALSE),IF(Table1[[#This Row],[WALDD]]&gt;0,VLOOKUP(Table1[[#This Row],[ID]],Wine1!A:Q,17,FALSE),Table1[[#This Row],[EP]]))</f>
        <v>2040</v>
      </c>
      <c r="Z122" s="18">
        <f>IF(Table1[[#This Row],[My Rating]]="",IF(Table1[[#This Row],[WA Rating Clean]]="","",Table1[[#This Row],[WA Rating Clean]]),Table1[[#This Row],[My Rating]])</f>
        <v>90</v>
      </c>
      <c r="AA122" s="37">
        <v>2020</v>
      </c>
      <c r="AB122" s="128">
        <v>41.05</v>
      </c>
      <c r="AC122" s="2">
        <f t="shared" si="3"/>
        <v>41.05</v>
      </c>
      <c r="AD122" s="8">
        <v>1</v>
      </c>
      <c r="AE122" s="10">
        <f>IF(Table1[[#This Row],[P/750]]&lt;20,1,IF(Table1[[#This Row],[P/750]]&lt;50,2,3))</f>
        <v>2</v>
      </c>
      <c r="AF122" s="10">
        <f>IF(Table1[[#This Row],[P/750]]&lt;Expenses!$C$30,1,IF(Table1[[#This Row],[P/750]]&lt;Expenses!$C$31,2,IF(Table1[[#This Row],[P/750]]&lt;Expenses!$C$32,3,4)))</f>
        <v>3</v>
      </c>
      <c r="AH122" s="37" t="s">
        <v>1139</v>
      </c>
      <c r="AI122" s="11">
        <f>Table1[[#This Row],[Price]]/Table1[[#This Row],[Size (ml)]]*750</f>
        <v>41.05</v>
      </c>
      <c r="AJ122" s="37">
        <v>90</v>
      </c>
      <c r="AK122" s="10">
        <f>COUNTIF(UniqueID!A:A,Table1[[#This Row],[ID]])</f>
        <v>0</v>
      </c>
      <c r="AL122" s="10" t="str">
        <f>VLOOKUP(Table1[[#This Row],[Cellar Location]],Location!A:F,6,FALSE)</f>
        <v>W</v>
      </c>
      <c r="AN122" s="1">
        <v>44058</v>
      </c>
      <c r="AO122" s="10" t="str">
        <f>TEXT(Table1[[#This Row],[Purchased]],"mmmm")</f>
        <v>August</v>
      </c>
      <c r="AP122" s="10" t="str">
        <f>TEXT(Table1[[#This Row],[Purchased]],"yyyy")</f>
        <v>2020</v>
      </c>
      <c r="AQ122" s="1">
        <v>44132</v>
      </c>
    </row>
    <row r="123" spans="1:43" s="37" customFormat="1" x14ac:dyDescent="0.25">
      <c r="A123" s="37" t="str">
        <f t="shared" si="2"/>
        <v>2016Grand-PontetGrand-Pontet</v>
      </c>
      <c r="B123" s="8">
        <v>2016</v>
      </c>
      <c r="C123" s="103" t="s">
        <v>1621</v>
      </c>
      <c r="D123" s="37" t="s">
        <v>1621</v>
      </c>
      <c r="E123" s="69" t="s">
        <v>1622</v>
      </c>
      <c r="F123" s="8" t="s">
        <v>742</v>
      </c>
      <c r="G123" s="37" t="s">
        <v>748</v>
      </c>
      <c r="H123" s="37" t="s">
        <v>751</v>
      </c>
      <c r="I123" s="37">
        <v>1</v>
      </c>
      <c r="J123" s="37">
        <v>750</v>
      </c>
      <c r="K123" s="8" t="s">
        <v>1316</v>
      </c>
      <c r="L123" s="10">
        <f>COUNTIF(Drank!A:A,Table1[[#This Row],[ID]])</f>
        <v>0</v>
      </c>
      <c r="M123" s="37" t="s">
        <v>202</v>
      </c>
      <c r="N123" s="37" t="s">
        <v>207</v>
      </c>
      <c r="O123" s="37">
        <v>1</v>
      </c>
      <c r="P123" s="37">
        <v>2021</v>
      </c>
      <c r="Q123" s="37">
        <v>2045</v>
      </c>
      <c r="R123" s="10" t="str">
        <f>IF(IFERROR(VLOOKUP(A123,Drank!A:S,15,FALSE),"")=0,"",IFERROR(VLOOKUP(A123,Drank!A:S,15,FALSE),""))</f>
        <v/>
      </c>
      <c r="S123" s="10" t="str">
        <f>IF(IFERROR(VLOOKUP(A123,Drank!A:S,16,FALSE),"")=0,"",IFERROR(VLOOKUP(A123,Drank!A:S,16,FALSE),""))</f>
        <v/>
      </c>
      <c r="T123" s="10"/>
      <c r="U123" s="37" t="s">
        <v>17</v>
      </c>
      <c r="V123" s="18" t="str">
        <f>IF(IFERROR(VLOOKUP(A123,Drank!A:T,19,FALSE),"")=0,"",IFERROR(VLOOKUP(A123,Drank!A:T,19,FALSE),""))</f>
        <v/>
      </c>
      <c r="W123" s="1" t="str">
        <f>IF(IFERROR(VLOOKUP(A123,Drank!A:T,20,FALSE),"")=0,"",IFERROR(VLOOKUP(A123,Drank!A:T,20,FALSE),""))</f>
        <v/>
      </c>
      <c r="X123" s="10">
        <f>SUMIF(A:A,A123,I:I)</f>
        <v>1</v>
      </c>
      <c r="Y123" s="10">
        <f>IF(Table1[[#This Row],[Drank]]&gt;0,VLOOKUP(Table1[[#This Row],[ID]],Drank!A:P,16,FALSE),IF(Table1[[#This Row],[WALDD]]&gt;0,VLOOKUP(Table1[[#This Row],[ID]],Wine1!A:Q,17,FALSE),Table1[[#This Row],[EP]]))</f>
        <v>2045</v>
      </c>
      <c r="Z123" s="18">
        <f>IF(Table1[[#This Row],[My Rating]]="",IF(Table1[[#This Row],[WA Rating Clean]]="","",Table1[[#This Row],[WA Rating Clean]]),Table1[[#This Row],[My Rating]])</f>
        <v>94</v>
      </c>
      <c r="AA123" s="37">
        <v>2020</v>
      </c>
      <c r="AB123" s="128">
        <v>33.953739009717729</v>
      </c>
      <c r="AC123" s="2">
        <f t="shared" si="3"/>
        <v>33.953739009717729</v>
      </c>
      <c r="AD123" s="8">
        <v>0</v>
      </c>
      <c r="AE123" s="10">
        <f>IF(Table1[[#This Row],[P/750]]&lt;20,1,IF(Table1[[#This Row],[P/750]]&lt;50,2,3))</f>
        <v>2</v>
      </c>
      <c r="AF123" s="10">
        <f>IF(Table1[[#This Row],[P/750]]&lt;Expenses!$C$30,1,IF(Table1[[#This Row],[P/750]]&lt;Expenses!$C$31,2,IF(Table1[[#This Row],[P/750]]&lt;Expenses!$C$32,3,4)))</f>
        <v>3</v>
      </c>
      <c r="AH123" s="37" t="s">
        <v>1139</v>
      </c>
      <c r="AI123" s="11">
        <f>Table1[[#This Row],[Price]]/Table1[[#This Row],[Size (ml)]]*750</f>
        <v>33.953739009717729</v>
      </c>
      <c r="AJ123" s="37">
        <v>94</v>
      </c>
      <c r="AK123" s="10">
        <f>COUNTIF(UniqueID!A:A,Table1[[#This Row],[ID]])</f>
        <v>0</v>
      </c>
      <c r="AL123" s="10" t="str">
        <f>VLOOKUP(Table1[[#This Row],[Cellar Location]],Location!A:F,6,FALSE)</f>
        <v>C</v>
      </c>
      <c r="AN123" s="1">
        <v>44060</v>
      </c>
      <c r="AO123" s="10" t="str">
        <f>TEXT(Table1[[#This Row],[Purchased]],"mmmm")</f>
        <v>August</v>
      </c>
      <c r="AP123" s="10" t="str">
        <f>TEXT(Table1[[#This Row],[Purchased]],"yyyy")</f>
        <v>2020</v>
      </c>
      <c r="AQ123" s="10"/>
    </row>
    <row r="124" spans="1:43" s="37" customFormat="1" x14ac:dyDescent="0.25">
      <c r="A124" s="37" t="str">
        <f t="shared" si="2"/>
        <v>NVAlvearPedro Ximenez Solera 1927</v>
      </c>
      <c r="B124" s="37" t="s">
        <v>167</v>
      </c>
      <c r="C124" s="38" t="s">
        <v>1654</v>
      </c>
      <c r="D124" s="21" t="s">
        <v>1655</v>
      </c>
      <c r="E124" s="67" t="s">
        <v>1469</v>
      </c>
      <c r="F124" s="37" t="s">
        <v>729</v>
      </c>
      <c r="G124" s="37" t="s">
        <v>809</v>
      </c>
      <c r="H124" s="37" t="s">
        <v>810</v>
      </c>
      <c r="I124" s="37">
        <v>1</v>
      </c>
      <c r="J124" s="37">
        <v>375</v>
      </c>
      <c r="K124" s="8" t="s">
        <v>236</v>
      </c>
      <c r="L124" s="10">
        <f>COUNTIF(Drank!A:A,Table1[[#This Row],[ID]])</f>
        <v>0</v>
      </c>
      <c r="M124" s="37" t="s">
        <v>201</v>
      </c>
      <c r="N124" s="37" t="s">
        <v>206</v>
      </c>
      <c r="O124" s="37">
        <v>1</v>
      </c>
      <c r="P124" s="37">
        <v>2016</v>
      </c>
      <c r="Q124" s="37">
        <v>2050</v>
      </c>
      <c r="R124" s="10" t="str">
        <f>IF(IFERROR(VLOOKUP(A124,Drank!A:S,15,FALSE),"")=0,"",IFERROR(VLOOKUP(A124,Drank!A:S,15,FALSE),""))</f>
        <v/>
      </c>
      <c r="S124" s="10" t="str">
        <f>IF(IFERROR(VLOOKUP(A124,Drank!A:S,16,FALSE),"")=0,"",IFERROR(VLOOKUP(A124,Drank!A:S,16,FALSE),""))</f>
        <v/>
      </c>
      <c r="T124" s="10">
        <v>98</v>
      </c>
      <c r="V124" s="18" t="str">
        <f>IF(IFERROR(VLOOKUP(A124,Drank!A:T,19,FALSE),"")=0,"",IFERROR(VLOOKUP(A124,Drank!A:T,19,FALSE),""))</f>
        <v/>
      </c>
      <c r="W124" s="1" t="str">
        <f>IF(IFERROR(VLOOKUP(A124,Drank!A:T,20,FALSE),"")=0,"",IFERROR(VLOOKUP(A124,Drank!A:T,20,FALSE),""))</f>
        <v/>
      </c>
      <c r="X124" s="10">
        <f>SUMIF(A:A,A124,I:I)</f>
        <v>2</v>
      </c>
      <c r="Y124" s="10">
        <f>IF(Table1[[#This Row],[Drank]]&gt;0,VLOOKUP(Table1[[#This Row],[ID]],Drank!A:P,16,FALSE),IF(Table1[[#This Row],[WALDD]]&gt;0,VLOOKUP(Table1[[#This Row],[ID]],Wine1!A:Q,17,FALSE),Table1[[#This Row],[EP]]))</f>
        <v>2050</v>
      </c>
      <c r="Z124" s="18">
        <f>IF(Table1[[#This Row],[My Rating]]="",IF(Table1[[#This Row],[WA Rating Clean]]="","",Table1[[#This Row],[WA Rating Clean]]),Table1[[#This Row],[My Rating]])</f>
        <v>98</v>
      </c>
      <c r="AA124" s="8">
        <v>2020</v>
      </c>
      <c r="AB124" s="128">
        <v>28.97</v>
      </c>
      <c r="AC124" s="2">
        <f t="shared" si="3"/>
        <v>28.97</v>
      </c>
      <c r="AD124" s="8">
        <v>0</v>
      </c>
      <c r="AE124" s="10">
        <f>IF(Table1[[#This Row],[P/750]]&lt;20,1,IF(Table1[[#This Row],[P/750]]&lt;50,2,3))</f>
        <v>3</v>
      </c>
      <c r="AF124" s="10">
        <f>IF(Table1[[#This Row],[P/750]]&lt;Expenses!$C$30,1,IF(Table1[[#This Row],[P/750]]&lt;Expenses!$C$31,2,IF(Table1[[#This Row],[P/750]]&lt;Expenses!$C$32,3,4)))</f>
        <v>3</v>
      </c>
      <c r="AH124" s="37" t="s">
        <v>1645</v>
      </c>
      <c r="AI124" s="11">
        <f>Table1[[#This Row],[Price]]/Table1[[#This Row],[Size (ml)]]*750</f>
        <v>57.94</v>
      </c>
      <c r="AJ124" s="37">
        <v>98</v>
      </c>
      <c r="AK124" s="10">
        <f>COUNTIF(UniqueID!A:A,Table1[[#This Row],[ID]])</f>
        <v>0</v>
      </c>
      <c r="AL124" s="10" t="str">
        <f>VLOOKUP(Table1[[#This Row],[Cellar Location]],Location!A:F,6,FALSE)</f>
        <v>C</v>
      </c>
      <c r="AN124" s="1">
        <v>44060</v>
      </c>
      <c r="AO124" s="10" t="str">
        <f>TEXT(Table1[[#This Row],[Purchased]],"mmmm")</f>
        <v>August</v>
      </c>
      <c r="AP124" s="10" t="str">
        <f>TEXT(Table1[[#This Row],[Purchased]],"yyyy")</f>
        <v>2020</v>
      </c>
      <c r="AQ124" s="10"/>
    </row>
    <row r="125" spans="1:43" s="37" customFormat="1" x14ac:dyDescent="0.25">
      <c r="A125" s="37" t="str">
        <f t="shared" si="2"/>
        <v>2000FonsecaVintage Port</v>
      </c>
      <c r="B125" s="37">
        <v>2000</v>
      </c>
      <c r="C125" s="37" t="s">
        <v>168</v>
      </c>
      <c r="D125" s="21" t="s">
        <v>244</v>
      </c>
      <c r="E125" s="64" t="s">
        <v>257</v>
      </c>
      <c r="F125" s="37" t="s">
        <v>804</v>
      </c>
      <c r="G125" s="37" t="s">
        <v>805</v>
      </c>
      <c r="I125" s="37">
        <v>1</v>
      </c>
      <c r="J125" s="37">
        <v>750</v>
      </c>
      <c r="K125" s="8" t="s">
        <v>102</v>
      </c>
      <c r="L125" s="37">
        <f>COUNTIF(Drank!A:A,Table1[[#This Row],[ID]])</f>
        <v>0</v>
      </c>
      <c r="M125" s="37" t="s">
        <v>202</v>
      </c>
      <c r="N125" s="37" t="s">
        <v>206</v>
      </c>
      <c r="O125" s="37">
        <v>1</v>
      </c>
      <c r="P125" s="37">
        <v>2020</v>
      </c>
      <c r="Q125" s="37">
        <v>2060</v>
      </c>
      <c r="R125" s="10" t="str">
        <f>IF(IFERROR(VLOOKUP(A125,Drank!A:S,15,FALSE),"")=0,"",IFERROR(VLOOKUP(A125,Drank!A:S,15,FALSE),""))</f>
        <v/>
      </c>
      <c r="S125" s="10" t="str">
        <f>IF(IFERROR(VLOOKUP(A125,Drank!A:S,16,FALSE),"")=0,"",IFERROR(VLOOKUP(A125,Drank!A:S,16,FALSE),""))</f>
        <v/>
      </c>
      <c r="T125" s="10"/>
      <c r="U125" s="37">
        <v>96</v>
      </c>
      <c r="V125" s="18" t="str">
        <f>IF(IFERROR(VLOOKUP(A125,Drank!A:T,19,FALSE),"")=0,"",IFERROR(VLOOKUP(A125,Drank!A:T,19,FALSE),""))</f>
        <v/>
      </c>
      <c r="W125" s="1" t="str">
        <f>IF(IFERROR(VLOOKUP(A125,Drank!A:T,20,FALSE),"")=0,"",IFERROR(VLOOKUP(A125,Drank!A:T,20,FALSE),""))</f>
        <v/>
      </c>
      <c r="X125" s="10">
        <f>SUMIF(A:A,A125,I:I)</f>
        <v>1</v>
      </c>
      <c r="Y125" s="37">
        <f>IF(Table1[[#This Row],[Drank]]&gt;0,VLOOKUP(Table1[[#This Row],[ID]],Drank!A:P,16,FALSE),IF(Table1[[#This Row],[WALDD]]&gt;0,VLOOKUP(Table1[[#This Row],[ID]],Wine1!A:Q,17,FALSE),Table1[[#This Row],[EP]]))</f>
        <v>2060</v>
      </c>
      <c r="Z125" s="18">
        <f>IF(Table1[[#This Row],[My Rating]]="",IF(Table1[[#This Row],[WA Rating Clean]]="","",Table1[[#This Row],[WA Rating Clean]]),Table1[[#This Row],[My Rating]])</f>
        <v>96</v>
      </c>
      <c r="AA125" s="8">
        <v>2020</v>
      </c>
      <c r="AB125" s="128">
        <v>80.989999999999995</v>
      </c>
      <c r="AC125" s="2">
        <f t="shared" si="3"/>
        <v>80.989999999999995</v>
      </c>
      <c r="AD125" s="8">
        <v>0</v>
      </c>
      <c r="AE125" s="37">
        <f>IF(Table1[[#This Row],[P/750]]&lt;20,1,IF(Table1[[#This Row],[P/750]]&lt;50,2,3))</f>
        <v>3</v>
      </c>
      <c r="AF125" s="37">
        <f>IF(Table1[[#This Row],[P/750]]&lt;Expenses!$C$30,1,IF(Table1[[#This Row],[P/750]]&lt;Expenses!$C$31,2,IF(Table1[[#This Row],[P/750]]&lt;Expenses!$C$32,3,4)))</f>
        <v>4</v>
      </c>
      <c r="AH125" s="37" t="s">
        <v>1128</v>
      </c>
      <c r="AI125" s="11">
        <f>Table1[[#This Row],[Price]]/Table1[[#This Row],[Size (ml)]]*750</f>
        <v>80.989999999999995</v>
      </c>
      <c r="AJ125" s="37">
        <v>96</v>
      </c>
      <c r="AK125" s="37">
        <f>COUNTIF(UniqueID!A:A,Table1[[#This Row],[ID]])</f>
        <v>1</v>
      </c>
      <c r="AL125" s="37" t="str">
        <f>VLOOKUP(Table1[[#This Row],[Cellar Location]],Location!A:F,6,FALSE)</f>
        <v>K</v>
      </c>
      <c r="AO125" s="37" t="str">
        <f>TEXT(Table1[[#This Row],[Purchased]],"mmmm")</f>
        <v>January</v>
      </c>
      <c r="AP125" s="10" t="str">
        <f>TEXT(Table1[[#This Row],[Purchased]],"yyyy")</f>
        <v>1900</v>
      </c>
      <c r="AQ125" s="10"/>
    </row>
    <row r="126" spans="1:43" s="37" customFormat="1" x14ac:dyDescent="0.25">
      <c r="A126" s="37" t="str">
        <f t="shared" ref="A126:A207" si="4">CONCATENATE(B126,C126,D126)</f>
        <v>2018SaracosaGoverno</v>
      </c>
      <c r="B126" s="37">
        <v>2018</v>
      </c>
      <c r="C126" s="37" t="s">
        <v>1660</v>
      </c>
      <c r="D126" s="37" t="s">
        <v>1661</v>
      </c>
      <c r="E126" s="67"/>
      <c r="F126" s="37" t="s">
        <v>728</v>
      </c>
      <c r="G126" s="37" t="s">
        <v>790</v>
      </c>
      <c r="H126" s="37" t="s">
        <v>796</v>
      </c>
      <c r="I126" s="8">
        <v>1</v>
      </c>
      <c r="J126" s="38">
        <v>750</v>
      </c>
      <c r="K126" s="38" t="s">
        <v>1526</v>
      </c>
      <c r="L126" s="10">
        <f>COUNTIF(Drank!A:A,Table1[[#This Row],[ID]])</f>
        <v>0</v>
      </c>
      <c r="M126" s="37" t="s">
        <v>202</v>
      </c>
      <c r="N126" s="37" t="s">
        <v>207</v>
      </c>
      <c r="O126" s="37">
        <v>0</v>
      </c>
      <c r="R126" s="10" t="str">
        <f>IF(IFERROR(VLOOKUP(A126,Drank!A:S,15,FALSE),"")=0,"",IFERROR(VLOOKUP(A126,Drank!A:S,15,FALSE),""))</f>
        <v/>
      </c>
      <c r="S126" s="10" t="str">
        <f>IF(IFERROR(VLOOKUP(A126,Drank!A:S,16,FALSE),"")=0,"",IFERROR(VLOOKUP(A126,Drank!A:S,16,FALSE),""))</f>
        <v/>
      </c>
      <c r="T126" s="10"/>
      <c r="V126" s="18" t="str">
        <f>IF(IFERROR(VLOOKUP(A126,Drank!A:T,19,FALSE),"")=0,"",IFERROR(VLOOKUP(A126,Drank!A:T,19,FALSE),""))</f>
        <v/>
      </c>
      <c r="W126" s="1" t="str">
        <f>IF(IFERROR(VLOOKUP(A126,Drank!A:T,20,FALSE),"")=0,"",IFERROR(VLOOKUP(A126,Drank!A:T,20,FALSE),""))</f>
        <v/>
      </c>
      <c r="X126" s="10">
        <f>SUMIF(A:A,A126,I:I)</f>
        <v>2</v>
      </c>
      <c r="Y126" s="10">
        <f>IF(Table1[[#This Row],[Drank]]&gt;0,VLOOKUP(Table1[[#This Row],[ID]],Drank!A:P,16,FALSE),IF(Table1[[#This Row],[WALDD]]&gt;0,VLOOKUP(Table1[[#This Row],[ID]],Wine1!A:Q,17,FALSE),Table1[[#This Row],[EP]]))</f>
        <v>0</v>
      </c>
      <c r="Z126" s="18" t="str">
        <f>IF(Table1[[#This Row],[My Rating]]="",IF(Table1[[#This Row],[WA Rating Clean]]="","",Table1[[#This Row],[WA Rating Clean]]),Table1[[#This Row],[My Rating]])</f>
        <v/>
      </c>
      <c r="AA126" s="8">
        <v>2021</v>
      </c>
      <c r="AB126" s="128">
        <v>5.71</v>
      </c>
      <c r="AC126" s="2">
        <f t="shared" ref="AC126:AC207" si="5">AB126*I126</f>
        <v>5.71</v>
      </c>
      <c r="AD126" s="8">
        <v>1</v>
      </c>
      <c r="AE126" s="10">
        <f>IF(Table1[[#This Row],[P/750]]&lt;20,1,IF(Table1[[#This Row],[P/750]]&lt;50,2,3))</f>
        <v>1</v>
      </c>
      <c r="AF126" s="10">
        <f>IF(Table1[[#This Row],[P/750]]&lt;Expenses!$C$30,1,IF(Table1[[#This Row],[P/750]]&lt;Expenses!$C$31,2,IF(Table1[[#This Row],[P/750]]&lt;Expenses!$C$32,3,4)))</f>
        <v>1</v>
      </c>
      <c r="AH126" s="37" t="s">
        <v>1685</v>
      </c>
      <c r="AI126" s="11">
        <f>Table1[[#This Row],[Price]]/Table1[[#This Row],[Size (ml)]]*750</f>
        <v>5.71</v>
      </c>
      <c r="AK126" s="10">
        <f>COUNTIF(UniqueID!A:A,Table1[[#This Row],[ID]])</f>
        <v>0</v>
      </c>
      <c r="AL126" s="10" t="str">
        <f>VLOOKUP(Table1[[#This Row],[Cellar Location]],Location!A:F,6,FALSE)</f>
        <v>W</v>
      </c>
      <c r="AN126" s="1">
        <v>44061</v>
      </c>
      <c r="AO126" s="10" t="str">
        <f>TEXT(Table1[[#This Row],[Purchased]],"mmmm")</f>
        <v>August</v>
      </c>
      <c r="AP126" s="10" t="str">
        <f>TEXT(Table1[[#This Row],[Purchased]],"yyyy")</f>
        <v>2020</v>
      </c>
      <c r="AQ126" s="1">
        <v>44077</v>
      </c>
    </row>
    <row r="127" spans="1:43" s="37" customFormat="1" x14ac:dyDescent="0.25">
      <c r="A127" s="37" t="str">
        <f t="shared" si="4"/>
        <v>2016Doisy-VedrinesPetit-Vedrines</v>
      </c>
      <c r="B127" s="37">
        <v>2016</v>
      </c>
      <c r="C127" s="37" t="s">
        <v>843</v>
      </c>
      <c r="D127" s="37" t="s">
        <v>1686</v>
      </c>
      <c r="E127" s="69" t="s">
        <v>1688</v>
      </c>
      <c r="F127" s="37" t="s">
        <v>742</v>
      </c>
      <c r="G127" s="37" t="s">
        <v>748</v>
      </c>
      <c r="H127" s="37" t="s">
        <v>260</v>
      </c>
      <c r="I127" s="8">
        <v>1</v>
      </c>
      <c r="J127" s="38">
        <v>375</v>
      </c>
      <c r="K127" s="38" t="s">
        <v>1687</v>
      </c>
      <c r="L127" s="10">
        <f>COUNTIF(Drank!A:A,Table1[[#This Row],[ID]])</f>
        <v>0</v>
      </c>
      <c r="M127" s="37" t="s">
        <v>201</v>
      </c>
      <c r="N127" s="37" t="s">
        <v>206</v>
      </c>
      <c r="O127" s="37">
        <v>0</v>
      </c>
      <c r="R127" s="10" t="str">
        <f>IF(IFERROR(VLOOKUP(A127,Drank!A:S,15,FALSE),"")=0,"",IFERROR(VLOOKUP(A127,Drank!A:S,15,FALSE),""))</f>
        <v/>
      </c>
      <c r="S127" s="10" t="str">
        <f>IF(IFERROR(VLOOKUP(A127,Drank!A:S,16,FALSE),"")=0,"",IFERROR(VLOOKUP(A127,Drank!A:S,16,FALSE),""))</f>
        <v/>
      </c>
      <c r="T127" s="10"/>
      <c r="V127" s="18" t="str">
        <f>IF(IFERROR(VLOOKUP(A127,Drank!A:T,19,FALSE),"")=0,"",IFERROR(VLOOKUP(A127,Drank!A:T,19,FALSE),""))</f>
        <v/>
      </c>
      <c r="W127" s="1" t="str">
        <f>IF(IFERROR(VLOOKUP(A127,Drank!A:T,20,FALSE),"")=0,"",IFERROR(VLOOKUP(A127,Drank!A:T,20,FALSE),""))</f>
        <v/>
      </c>
      <c r="X127" s="10">
        <f>SUMIF(A:A,A127,I:I)</f>
        <v>24</v>
      </c>
      <c r="Y127" s="10">
        <f>IF(Table1[[#This Row],[Drank]]&gt;0,VLOOKUP(Table1[[#This Row],[ID]],Drank!A:P,16,FALSE),IF(Table1[[#This Row],[WALDD]]&gt;0,VLOOKUP(Table1[[#This Row],[ID]],Wine1!A:Q,17,FALSE),Table1[[#This Row],[EP]]))</f>
        <v>0</v>
      </c>
      <c r="Z127" s="18" t="str">
        <f>IF(Table1[[#This Row],[My Rating]]="",IF(Table1[[#This Row],[WA Rating Clean]]="","",Table1[[#This Row],[WA Rating Clean]]),Table1[[#This Row],[My Rating]])</f>
        <v/>
      </c>
      <c r="AA127" s="8">
        <v>2021</v>
      </c>
      <c r="AB127" s="128">
        <v>16.399999999999999</v>
      </c>
      <c r="AC127" s="2">
        <f t="shared" si="5"/>
        <v>16.399999999999999</v>
      </c>
      <c r="AD127" s="8">
        <v>1</v>
      </c>
      <c r="AE127" s="10">
        <f>IF(Table1[[#This Row],[P/750]]&lt;20,1,IF(Table1[[#This Row],[P/750]]&lt;50,2,3))</f>
        <v>2</v>
      </c>
      <c r="AF127" s="10">
        <f>IF(Table1[[#This Row],[P/750]]&lt;Expenses!$C$30,1,IF(Table1[[#This Row],[P/750]]&lt;Expenses!$C$31,2,IF(Table1[[#This Row],[P/750]]&lt;Expenses!$C$32,3,4)))</f>
        <v>3</v>
      </c>
      <c r="AH127" s="37" t="s">
        <v>1189</v>
      </c>
      <c r="AI127" s="11">
        <f>Table1[[#This Row],[Price]]/Table1[[#This Row],[Size (ml)]]*750</f>
        <v>32.799999999999997</v>
      </c>
      <c r="AK127" s="10">
        <f>COUNTIF(UniqueID!A:A,Table1[[#This Row],[ID]])</f>
        <v>0</v>
      </c>
      <c r="AL127" s="10" t="str">
        <f>VLOOKUP(Table1[[#This Row],[Cellar Location]],Location!A:F,6,FALSE)</f>
        <v>W</v>
      </c>
      <c r="AN127" s="1">
        <v>44061</v>
      </c>
      <c r="AO127" s="10" t="str">
        <f>TEXT(Table1[[#This Row],[Purchased]],"mmmm")</f>
        <v>August</v>
      </c>
      <c r="AP127" s="10" t="str">
        <f>TEXT(Table1[[#This Row],[Purchased]],"yyyy")</f>
        <v>2020</v>
      </c>
      <c r="AQ127" s="1">
        <v>44137</v>
      </c>
    </row>
    <row r="128" spans="1:43" s="37" customFormat="1" x14ac:dyDescent="0.25">
      <c r="A128" s="37" t="str">
        <f t="shared" si="4"/>
        <v>2016Doisy-VedrinesPetit-Vedrines</v>
      </c>
      <c r="B128" s="37">
        <v>2016</v>
      </c>
      <c r="C128" s="37" t="s">
        <v>843</v>
      </c>
      <c r="D128" s="37" t="s">
        <v>1686</v>
      </c>
      <c r="E128" s="69" t="s">
        <v>1688</v>
      </c>
      <c r="F128" s="37" t="s">
        <v>742</v>
      </c>
      <c r="G128" s="37" t="s">
        <v>748</v>
      </c>
      <c r="H128" s="37" t="s">
        <v>260</v>
      </c>
      <c r="I128" s="8">
        <v>1</v>
      </c>
      <c r="J128" s="38">
        <v>375</v>
      </c>
      <c r="K128" s="38" t="s">
        <v>1687</v>
      </c>
      <c r="L128" s="10">
        <f>COUNTIF(Drank!A:A,Table1[[#This Row],[ID]])</f>
        <v>0</v>
      </c>
      <c r="M128" s="37" t="s">
        <v>201</v>
      </c>
      <c r="N128" s="37" t="s">
        <v>206</v>
      </c>
      <c r="O128" s="37">
        <v>0</v>
      </c>
      <c r="R128" s="10" t="str">
        <f>IF(IFERROR(VLOOKUP(A128,Drank!A:S,15,FALSE),"")=0,"",IFERROR(VLOOKUP(A128,Drank!A:S,15,FALSE),""))</f>
        <v/>
      </c>
      <c r="S128" s="10" t="str">
        <f>IF(IFERROR(VLOOKUP(A128,Drank!A:S,16,FALSE),"")=0,"",IFERROR(VLOOKUP(A128,Drank!A:S,16,FALSE),""))</f>
        <v/>
      </c>
      <c r="T128" s="10"/>
      <c r="V128" s="18" t="str">
        <f>IF(IFERROR(VLOOKUP(A128,Drank!A:T,19,FALSE),"")=0,"",IFERROR(VLOOKUP(A128,Drank!A:T,19,FALSE),""))</f>
        <v/>
      </c>
      <c r="W128" s="1" t="str">
        <f>IF(IFERROR(VLOOKUP(A128,Drank!A:T,20,FALSE),"")=0,"",IFERROR(VLOOKUP(A128,Drank!A:T,20,FALSE),""))</f>
        <v/>
      </c>
      <c r="X128" s="10">
        <f>SUMIF(A:A,A128,I:I)</f>
        <v>24</v>
      </c>
      <c r="Y128" s="10">
        <f>IF(Table1[[#This Row],[Drank]]&gt;0,VLOOKUP(Table1[[#This Row],[ID]],Drank!A:P,16,FALSE),IF(Table1[[#This Row],[WALDD]]&gt;0,VLOOKUP(Table1[[#This Row],[ID]],Wine1!A:Q,17,FALSE),Table1[[#This Row],[EP]]))</f>
        <v>0</v>
      </c>
      <c r="Z128" s="18" t="str">
        <f>IF(Table1[[#This Row],[My Rating]]="",IF(Table1[[#This Row],[WA Rating Clean]]="","",Table1[[#This Row],[WA Rating Clean]]),Table1[[#This Row],[My Rating]])</f>
        <v/>
      </c>
      <c r="AA128" s="8">
        <v>2021</v>
      </c>
      <c r="AB128" s="128">
        <v>16.399999999999999</v>
      </c>
      <c r="AC128" s="2">
        <f t="shared" si="5"/>
        <v>16.399999999999999</v>
      </c>
      <c r="AD128" s="8">
        <v>1</v>
      </c>
      <c r="AE128" s="10">
        <f>IF(Table1[[#This Row],[P/750]]&lt;20,1,IF(Table1[[#This Row],[P/750]]&lt;50,2,3))</f>
        <v>2</v>
      </c>
      <c r="AF128" s="10">
        <f>IF(Table1[[#This Row],[P/750]]&lt;Expenses!$C$30,1,IF(Table1[[#This Row],[P/750]]&lt;Expenses!$C$31,2,IF(Table1[[#This Row],[P/750]]&lt;Expenses!$C$32,3,4)))</f>
        <v>3</v>
      </c>
      <c r="AH128" s="37" t="s">
        <v>1189</v>
      </c>
      <c r="AI128" s="11">
        <f>Table1[[#This Row],[Price]]/Table1[[#This Row],[Size (ml)]]*750</f>
        <v>32.799999999999997</v>
      </c>
      <c r="AK128" s="10">
        <f>COUNTIF(UniqueID!A:A,Table1[[#This Row],[ID]])</f>
        <v>0</v>
      </c>
      <c r="AL128" s="10" t="str">
        <f>VLOOKUP(Table1[[#This Row],[Cellar Location]],Location!A:F,6,FALSE)</f>
        <v>W</v>
      </c>
      <c r="AN128" s="1">
        <v>44061</v>
      </c>
      <c r="AO128" s="10" t="str">
        <f>TEXT(Table1[[#This Row],[Purchased]],"mmmm")</f>
        <v>August</v>
      </c>
      <c r="AP128" s="10" t="str">
        <f>TEXT(Table1[[#This Row],[Purchased]],"yyyy")</f>
        <v>2020</v>
      </c>
      <c r="AQ128" s="1">
        <v>44137</v>
      </c>
    </row>
    <row r="129" spans="1:43" s="37" customFormat="1" x14ac:dyDescent="0.25">
      <c r="A129" s="37" t="str">
        <f t="shared" si="4"/>
        <v>2018BollaValpolicella</v>
      </c>
      <c r="B129" s="37">
        <v>2018</v>
      </c>
      <c r="C129" s="37" t="s">
        <v>1537</v>
      </c>
      <c r="D129" s="37" t="s">
        <v>803</v>
      </c>
      <c r="E129" s="69" t="s">
        <v>1893</v>
      </c>
      <c r="F129" s="37" t="s">
        <v>728</v>
      </c>
      <c r="G129" s="37" t="s">
        <v>799</v>
      </c>
      <c r="H129" s="37" t="s">
        <v>803</v>
      </c>
      <c r="I129" s="37">
        <v>1</v>
      </c>
      <c r="J129" s="9">
        <v>1500</v>
      </c>
      <c r="K129" s="8" t="s">
        <v>1829</v>
      </c>
      <c r="L129" s="10">
        <f>COUNTIF(Drank!A:A,Table1[[#This Row],[ID]])</f>
        <v>2</v>
      </c>
      <c r="M129" s="37" t="s">
        <v>202</v>
      </c>
      <c r="N129" s="37" t="s">
        <v>207</v>
      </c>
      <c r="O129" s="37">
        <v>0</v>
      </c>
      <c r="P129" s="10"/>
      <c r="R129" s="10">
        <f>IF(IFERROR(VLOOKUP(A129,Drank!A:S,15,FALSE),"")=0,"",IFERROR(VLOOKUP(A129,Drank!A:S,15,FALSE),""))</f>
        <v>2020</v>
      </c>
      <c r="S129" s="10" t="str">
        <f>IF(IFERROR(VLOOKUP(A129,Drank!A:S,16,FALSE),"")=0,"",IFERROR(VLOOKUP(A129,Drank!A:S,16,FALSE),""))</f>
        <v/>
      </c>
      <c r="T129" s="10">
        <v>2020</v>
      </c>
      <c r="V129" s="18">
        <f>IF(IFERROR(VLOOKUP(A129,Drank!A:T,19,FALSE),"")=0,"",IFERROR(VLOOKUP(A129,Drank!A:T,19,FALSE),""))</f>
        <v>86.5</v>
      </c>
      <c r="W129" s="1">
        <f>IF(IFERROR(VLOOKUP(A129,Drank!A:T,20,FALSE),"")=0,"",IFERROR(VLOOKUP(A129,Drank!A:T,20,FALSE),""))</f>
        <v>44078</v>
      </c>
      <c r="X129" s="10">
        <f>SUMIF(A:A,A129,I:I)</f>
        <v>4</v>
      </c>
      <c r="Y129" s="10">
        <f>IF(Table1[[#This Row],[Drank]]&gt;0,VLOOKUP(Table1[[#This Row],[ID]],Drank!A:P,16,FALSE),IF(Table1[[#This Row],[WALDD]]&gt;0,VLOOKUP(Table1[[#This Row],[ID]],Wine1!A:Q,17,FALSE),Table1[[#This Row],[EP]]))</f>
        <v>0</v>
      </c>
      <c r="Z129" s="18">
        <f>IF(Table1[[#This Row],[My Rating]]="",IF(Table1[[#This Row],[WA Rating Clean]]="","",Table1[[#This Row],[WA Rating Clean]]),Table1[[#This Row],[My Rating]])</f>
        <v>86.5</v>
      </c>
      <c r="AA129" s="37">
        <v>2021</v>
      </c>
      <c r="AB129" s="128">
        <v>13</v>
      </c>
      <c r="AC129" s="2">
        <f t="shared" si="5"/>
        <v>13</v>
      </c>
      <c r="AD129" s="8"/>
      <c r="AE129" s="10">
        <f>IF(Table1[[#This Row],[P/750]]&lt;20,1,IF(Table1[[#This Row],[P/750]]&lt;50,2,3))</f>
        <v>1</v>
      </c>
      <c r="AF129" s="10">
        <f>IF(Table1[[#This Row],[P/750]]&lt;Expenses!$C$30,1,IF(Table1[[#This Row],[P/750]]&lt;Expenses!$C$31,2,IF(Table1[[#This Row],[P/750]]&lt;Expenses!$C$32,3,4)))</f>
        <v>1</v>
      </c>
      <c r="AH129" s="37" t="s">
        <v>1128</v>
      </c>
      <c r="AI129" s="11">
        <f>Table1[[#This Row],[Price]]/Table1[[#This Row],[Size (ml)]]*750</f>
        <v>6.5</v>
      </c>
      <c r="AK129" s="10">
        <f>COUNTIF(UniqueID!A:A,Table1[[#This Row],[ID]])</f>
        <v>0</v>
      </c>
      <c r="AL129" s="10" t="str">
        <f>VLOOKUP(Table1[[#This Row],[Cellar Location]],Location!A:F,6,FALSE)</f>
        <v>C</v>
      </c>
      <c r="AN129" s="1">
        <v>44070</v>
      </c>
      <c r="AO129" s="10" t="str">
        <f>TEXT(Table1[[#This Row],[Purchased]],"mmmm")</f>
        <v>August</v>
      </c>
      <c r="AP129" s="10" t="str">
        <f>TEXT(Table1[[#This Row],[Purchased]],"yyyy")</f>
        <v>2020</v>
      </c>
      <c r="AQ129" s="10"/>
    </row>
    <row r="130" spans="1:43" s="37" customFormat="1" x14ac:dyDescent="0.25">
      <c r="A130" s="37" t="str">
        <f t="shared" si="4"/>
        <v>2018BollaValpolicella</v>
      </c>
      <c r="B130" s="37">
        <v>2018</v>
      </c>
      <c r="C130" s="37" t="s">
        <v>1537</v>
      </c>
      <c r="D130" s="37" t="s">
        <v>803</v>
      </c>
      <c r="E130" s="69" t="s">
        <v>1893</v>
      </c>
      <c r="F130" s="37" t="s">
        <v>728</v>
      </c>
      <c r="G130" s="37" t="s">
        <v>799</v>
      </c>
      <c r="H130" s="37" t="s">
        <v>803</v>
      </c>
      <c r="I130" s="37">
        <v>1</v>
      </c>
      <c r="J130" s="9">
        <v>1500</v>
      </c>
      <c r="K130" s="8" t="s">
        <v>1829</v>
      </c>
      <c r="L130" s="10">
        <f>COUNTIF(Drank!A:A,Table1[[#This Row],[ID]])</f>
        <v>2</v>
      </c>
      <c r="M130" s="37" t="s">
        <v>202</v>
      </c>
      <c r="N130" s="37" t="s">
        <v>207</v>
      </c>
      <c r="O130" s="37">
        <v>0</v>
      </c>
      <c r="P130" s="10"/>
      <c r="R130" s="10">
        <f>IF(IFERROR(VLOOKUP(A130,Drank!A:S,15,FALSE),"")=0,"",IFERROR(VLOOKUP(A130,Drank!A:S,15,FALSE),""))</f>
        <v>2020</v>
      </c>
      <c r="S130" s="10" t="str">
        <f>IF(IFERROR(VLOOKUP(A130,Drank!A:S,16,FALSE),"")=0,"",IFERROR(VLOOKUP(A130,Drank!A:S,16,FALSE),""))</f>
        <v/>
      </c>
      <c r="T130" s="10">
        <v>2020</v>
      </c>
      <c r="V130" s="18">
        <f>IF(IFERROR(VLOOKUP(A130,Drank!A:T,19,FALSE),"")=0,"",IFERROR(VLOOKUP(A130,Drank!A:T,19,FALSE),""))</f>
        <v>86.5</v>
      </c>
      <c r="W130" s="1">
        <f>IF(IFERROR(VLOOKUP(A130,Drank!A:T,20,FALSE),"")=0,"",IFERROR(VLOOKUP(A130,Drank!A:T,20,FALSE),""))</f>
        <v>44078</v>
      </c>
      <c r="X130" s="10">
        <f>SUMIF(A:A,A130,I:I)</f>
        <v>4</v>
      </c>
      <c r="Y130" s="10">
        <f>IF(Table1[[#This Row],[Drank]]&gt;0,VLOOKUP(Table1[[#This Row],[ID]],Drank!A:P,16,FALSE),IF(Table1[[#This Row],[WALDD]]&gt;0,VLOOKUP(Table1[[#This Row],[ID]],Wine1!A:Q,17,FALSE),Table1[[#This Row],[EP]]))</f>
        <v>0</v>
      </c>
      <c r="Z130" s="18">
        <f>IF(Table1[[#This Row],[My Rating]]="",IF(Table1[[#This Row],[WA Rating Clean]]="","",Table1[[#This Row],[WA Rating Clean]]),Table1[[#This Row],[My Rating]])</f>
        <v>86.5</v>
      </c>
      <c r="AA130" s="37">
        <v>2021</v>
      </c>
      <c r="AB130" s="128">
        <v>13</v>
      </c>
      <c r="AC130" s="2">
        <f t="shared" si="5"/>
        <v>13</v>
      </c>
      <c r="AD130" s="8"/>
      <c r="AE130" s="10">
        <f>IF(Table1[[#This Row],[P/750]]&lt;20,1,IF(Table1[[#This Row],[P/750]]&lt;50,2,3))</f>
        <v>1</v>
      </c>
      <c r="AF130" s="10">
        <f>IF(Table1[[#This Row],[P/750]]&lt;Expenses!$C$30,1,IF(Table1[[#This Row],[P/750]]&lt;Expenses!$C$31,2,IF(Table1[[#This Row],[P/750]]&lt;Expenses!$C$32,3,4)))</f>
        <v>1</v>
      </c>
      <c r="AH130" s="37" t="s">
        <v>1128</v>
      </c>
      <c r="AI130" s="11">
        <f>Table1[[#This Row],[Price]]/Table1[[#This Row],[Size (ml)]]*750</f>
        <v>6.5</v>
      </c>
      <c r="AK130" s="10">
        <f>COUNTIF(UniqueID!A:A,Table1[[#This Row],[ID]])</f>
        <v>0</v>
      </c>
      <c r="AL130" s="10" t="str">
        <f>VLOOKUP(Table1[[#This Row],[Cellar Location]],Location!A:F,6,FALSE)</f>
        <v>C</v>
      </c>
      <c r="AN130" s="1">
        <v>44070</v>
      </c>
      <c r="AO130" s="10" t="str">
        <f>TEXT(Table1[[#This Row],[Purchased]],"mmmm")</f>
        <v>August</v>
      </c>
      <c r="AP130" s="10" t="str">
        <f>TEXT(Table1[[#This Row],[Purchased]],"yyyy")</f>
        <v>2020</v>
      </c>
      <c r="AQ130" s="10"/>
    </row>
    <row r="131" spans="1:43" s="37" customFormat="1" x14ac:dyDescent="0.25">
      <c r="A131" s="37" t="str">
        <f t="shared" si="4"/>
        <v>2018BollaValpolicella</v>
      </c>
      <c r="B131" s="37">
        <v>2018</v>
      </c>
      <c r="C131" s="37" t="s">
        <v>1537</v>
      </c>
      <c r="D131" s="37" t="s">
        <v>803</v>
      </c>
      <c r="E131" s="69" t="s">
        <v>1893</v>
      </c>
      <c r="F131" s="37" t="s">
        <v>728</v>
      </c>
      <c r="G131" s="37" t="s">
        <v>799</v>
      </c>
      <c r="H131" s="37" t="s">
        <v>803</v>
      </c>
      <c r="I131" s="37">
        <v>1</v>
      </c>
      <c r="J131" s="9">
        <v>1500</v>
      </c>
      <c r="K131" s="8" t="s">
        <v>1829</v>
      </c>
      <c r="L131" s="10">
        <f>COUNTIF(Drank!A:A,Table1[[#This Row],[ID]])</f>
        <v>2</v>
      </c>
      <c r="M131" s="37" t="s">
        <v>202</v>
      </c>
      <c r="N131" s="37" t="s">
        <v>207</v>
      </c>
      <c r="O131" s="37">
        <v>0</v>
      </c>
      <c r="P131" s="10"/>
      <c r="R131" s="10">
        <f>IF(IFERROR(VLOOKUP(A131,Drank!A:S,15,FALSE),"")=0,"",IFERROR(VLOOKUP(A131,Drank!A:S,15,FALSE),""))</f>
        <v>2020</v>
      </c>
      <c r="S131" s="10" t="str">
        <f>IF(IFERROR(VLOOKUP(A131,Drank!A:S,16,FALSE),"")=0,"",IFERROR(VLOOKUP(A131,Drank!A:S,16,FALSE),""))</f>
        <v/>
      </c>
      <c r="T131" s="10">
        <v>2020</v>
      </c>
      <c r="V131" s="18">
        <f>IF(IFERROR(VLOOKUP(A131,Drank!A:T,19,FALSE),"")=0,"",IFERROR(VLOOKUP(A131,Drank!A:T,19,FALSE),""))</f>
        <v>86.5</v>
      </c>
      <c r="W131" s="1">
        <f>IF(IFERROR(VLOOKUP(A131,Drank!A:T,20,FALSE),"")=0,"",IFERROR(VLOOKUP(A131,Drank!A:T,20,FALSE),""))</f>
        <v>44078</v>
      </c>
      <c r="X131" s="10">
        <f>SUMIF(A:A,A131,I:I)</f>
        <v>4</v>
      </c>
      <c r="Y131" s="10">
        <f>IF(Table1[[#This Row],[Drank]]&gt;0,VLOOKUP(Table1[[#This Row],[ID]],Drank!A:P,16,FALSE),IF(Table1[[#This Row],[WALDD]]&gt;0,VLOOKUP(Table1[[#This Row],[ID]],Wine1!A:Q,17,FALSE),Table1[[#This Row],[EP]]))</f>
        <v>0</v>
      </c>
      <c r="Z131" s="18">
        <f>IF(Table1[[#This Row],[My Rating]]="",IF(Table1[[#This Row],[WA Rating Clean]]="","",Table1[[#This Row],[WA Rating Clean]]),Table1[[#This Row],[My Rating]])</f>
        <v>86.5</v>
      </c>
      <c r="AA131" s="37">
        <v>2021</v>
      </c>
      <c r="AB131" s="128">
        <v>13</v>
      </c>
      <c r="AC131" s="2">
        <f t="shared" si="5"/>
        <v>13</v>
      </c>
      <c r="AD131" s="8"/>
      <c r="AE131" s="10">
        <f>IF(Table1[[#This Row],[P/750]]&lt;20,1,IF(Table1[[#This Row],[P/750]]&lt;50,2,3))</f>
        <v>1</v>
      </c>
      <c r="AF131" s="10">
        <f>IF(Table1[[#This Row],[P/750]]&lt;Expenses!$C$30,1,IF(Table1[[#This Row],[P/750]]&lt;Expenses!$C$31,2,IF(Table1[[#This Row],[P/750]]&lt;Expenses!$C$32,3,4)))</f>
        <v>1</v>
      </c>
      <c r="AH131" s="37" t="s">
        <v>1128</v>
      </c>
      <c r="AI131" s="11">
        <f>Table1[[#This Row],[Price]]/Table1[[#This Row],[Size (ml)]]*750</f>
        <v>6.5</v>
      </c>
      <c r="AK131" s="10">
        <f>COUNTIF(UniqueID!A:A,Table1[[#This Row],[ID]])</f>
        <v>0</v>
      </c>
      <c r="AL131" s="10" t="str">
        <f>VLOOKUP(Table1[[#This Row],[Cellar Location]],Location!A:F,6,FALSE)</f>
        <v>C</v>
      </c>
      <c r="AN131" s="1">
        <v>44070</v>
      </c>
      <c r="AO131" s="10" t="str">
        <f>TEXT(Table1[[#This Row],[Purchased]],"mmmm")</f>
        <v>August</v>
      </c>
      <c r="AP131" s="10" t="str">
        <f>TEXT(Table1[[#This Row],[Purchased]],"yyyy")</f>
        <v>2020</v>
      </c>
      <c r="AQ131" s="10"/>
    </row>
    <row r="132" spans="1:43" s="37" customFormat="1" x14ac:dyDescent="0.25">
      <c r="A132" s="37" t="str">
        <f t="shared" si="4"/>
        <v>1988FelsinaFontalloro</v>
      </c>
      <c r="B132" s="37">
        <v>1988</v>
      </c>
      <c r="C132" s="8" t="s">
        <v>795</v>
      </c>
      <c r="D132" s="37" t="s">
        <v>387</v>
      </c>
      <c r="E132" s="69" t="s">
        <v>1250</v>
      </c>
      <c r="F132" s="37" t="s">
        <v>728</v>
      </c>
      <c r="G132" s="37" t="s">
        <v>790</v>
      </c>
      <c r="I132" s="8">
        <v>1</v>
      </c>
      <c r="J132" s="38">
        <v>750</v>
      </c>
      <c r="K132" s="38" t="s">
        <v>1545</v>
      </c>
      <c r="L132" s="10">
        <f>COUNTIF(Drank!A:A,Table1[[#This Row],[ID]])</f>
        <v>0</v>
      </c>
      <c r="M132" s="37" t="s">
        <v>202</v>
      </c>
      <c r="N132" s="37" t="s">
        <v>207</v>
      </c>
      <c r="O132" s="37">
        <v>0</v>
      </c>
      <c r="P132" s="10"/>
      <c r="R132" s="10" t="str">
        <f>IF(IFERROR(VLOOKUP(A132,Drank!A:S,15,FALSE),"")=0,"",IFERROR(VLOOKUP(A132,Drank!A:S,15,FALSE),""))</f>
        <v/>
      </c>
      <c r="S132" s="10" t="str">
        <f>IF(IFERROR(VLOOKUP(A132,Drank!A:S,16,FALSE),"")=0,"",IFERROR(VLOOKUP(A132,Drank!A:S,16,FALSE),""))</f>
        <v/>
      </c>
      <c r="T132" s="10">
        <v>2020</v>
      </c>
      <c r="V132" s="18" t="str">
        <f>IF(IFERROR(VLOOKUP(A132,Drank!A:T,19,FALSE),"")=0,"",IFERROR(VLOOKUP(A132,Drank!A:T,19,FALSE),""))</f>
        <v/>
      </c>
      <c r="W132" s="1" t="str">
        <f>IF(IFERROR(VLOOKUP(A132,Drank!A:T,20,FALSE),"")=0,"",IFERROR(VLOOKUP(A132,Drank!A:T,20,FALSE),""))</f>
        <v/>
      </c>
      <c r="X132" s="10">
        <f>SUMIF(A:A,A132,I:I)</f>
        <v>1</v>
      </c>
      <c r="Y132" s="10">
        <f>IF(Table1[[#This Row],[Drank]]&gt;0,VLOOKUP(Table1[[#This Row],[ID]],Drank!A:P,16,FALSE),IF(Table1[[#This Row],[WALDD]]&gt;0,VLOOKUP(Table1[[#This Row],[ID]],Wine1!A:Q,17,FALSE),Table1[[#This Row],[EP]]))</f>
        <v>2020</v>
      </c>
      <c r="Z132" s="18" t="str">
        <f>IF(Table1[[#This Row],[My Rating]]="",IF(Table1[[#This Row],[WA Rating Clean]]="","",Table1[[#This Row],[WA Rating Clean]]),Table1[[#This Row],[My Rating]])</f>
        <v/>
      </c>
      <c r="AA132" s="37">
        <v>2021</v>
      </c>
      <c r="AB132" s="128">
        <v>148.11000000000001</v>
      </c>
      <c r="AC132" s="2">
        <f t="shared" si="5"/>
        <v>148.11000000000001</v>
      </c>
      <c r="AD132" s="8"/>
      <c r="AE132" s="10">
        <f>IF(Table1[[#This Row],[P/750]]&lt;20,1,IF(Table1[[#This Row],[P/750]]&lt;50,2,3))</f>
        <v>3</v>
      </c>
      <c r="AF132" s="10">
        <f>IF(Table1[[#This Row],[P/750]]&lt;Expenses!$C$30,1,IF(Table1[[#This Row],[P/750]]&lt;Expenses!$C$31,2,IF(Table1[[#This Row],[P/750]]&lt;Expenses!$C$32,3,4)))</f>
        <v>4</v>
      </c>
      <c r="AH132" s="25" t="s">
        <v>1545</v>
      </c>
      <c r="AI132" s="11">
        <f>Table1[[#This Row],[Price]]/Table1[[#This Row],[Size (ml)]]*750</f>
        <v>148.11000000000001</v>
      </c>
      <c r="AK132" s="10">
        <f>COUNTIF(UniqueID!A:A,Table1[[#This Row],[ID]])</f>
        <v>0</v>
      </c>
      <c r="AL132" s="10" t="str">
        <f>VLOOKUP(Table1[[#This Row],[Cellar Location]],Location!A:F,6,FALSE)</f>
        <v>W</v>
      </c>
      <c r="AN132" s="1">
        <v>44065</v>
      </c>
      <c r="AO132" s="10" t="str">
        <f>TEXT(Table1[[#This Row],[Purchased]],"mmmm")</f>
        <v>August</v>
      </c>
      <c r="AP132" s="10" t="str">
        <f>TEXT(Table1[[#This Row],[Purchased]],"yyyy")</f>
        <v>2020</v>
      </c>
      <c r="AQ132" s="10"/>
    </row>
    <row r="133" spans="1:43" s="37" customFormat="1" x14ac:dyDescent="0.25">
      <c r="A133" s="37" t="str">
        <f t="shared" si="4"/>
        <v>2010Cosimo TaurinoSalice Salentino Riserva</v>
      </c>
      <c r="B133" s="8">
        <v>2010</v>
      </c>
      <c r="C133" s="37" t="s">
        <v>56</v>
      </c>
      <c r="D133" s="8" t="s">
        <v>57</v>
      </c>
      <c r="E133" s="67" t="s">
        <v>1204</v>
      </c>
      <c r="F133" s="37" t="s">
        <v>728</v>
      </c>
      <c r="G133" s="37" t="s">
        <v>785</v>
      </c>
      <c r="H133" s="37" t="s">
        <v>769</v>
      </c>
      <c r="I133" s="37">
        <v>1</v>
      </c>
      <c r="J133" s="37">
        <v>750</v>
      </c>
      <c r="K133" s="8" t="s">
        <v>1828</v>
      </c>
      <c r="L133" s="10">
        <f>COUNTIF(Drank!A:A,Table1[[#This Row],[ID]])</f>
        <v>33</v>
      </c>
      <c r="M133" s="37" t="s">
        <v>202</v>
      </c>
      <c r="N133" s="37" t="s">
        <v>207</v>
      </c>
      <c r="O133" s="37">
        <v>1</v>
      </c>
      <c r="P133" s="10"/>
      <c r="R133" s="10">
        <f>IF(IFERROR(VLOOKUP(A133,Drank!A:S,15,FALSE),"")=0,"",IFERROR(VLOOKUP(A133,Drank!A:S,15,FALSE),""))</f>
        <v>2020</v>
      </c>
      <c r="S133" s="10">
        <f>IF(IFERROR(VLOOKUP(A133,Drank!A:S,16,FALSE),"")=0,"",IFERROR(VLOOKUP(A133,Drank!A:S,16,FALSE),""))</f>
        <v>2021</v>
      </c>
      <c r="T133" s="10"/>
      <c r="V133" s="18">
        <f>IF(IFERROR(VLOOKUP(A133,Drank!A:T,19,FALSE),"")=0,"",IFERROR(VLOOKUP(A133,Drank!A:T,19,FALSE),""))</f>
        <v>89.46875</v>
      </c>
      <c r="W133" s="1">
        <f>IF(IFERROR(VLOOKUP(A133,Drank!A:T,20,FALSE),"")=0,"",IFERROR(VLOOKUP(A133,Drank!A:T,20,FALSE),""))</f>
        <v>44092</v>
      </c>
      <c r="X133" s="10">
        <f>SUMIF(A:A,A133,I:I)</f>
        <v>19</v>
      </c>
      <c r="Y133" s="10">
        <f>IF(Table1[[#This Row],[Drank]]&gt;0,VLOOKUP(Table1[[#This Row],[ID]],Drank!A:P,16,FALSE),IF(Table1[[#This Row],[WALDD]]&gt;0,VLOOKUP(Table1[[#This Row],[ID]],Wine1!A:Q,17,FALSE),Table1[[#This Row],[EP]]))</f>
        <v>2021</v>
      </c>
      <c r="Z133" s="18">
        <f>IF(Table1[[#This Row],[My Rating]]="",IF(Table1[[#This Row],[WA Rating Clean]]="","",Table1[[#This Row],[WA Rating Clean]]),Table1[[#This Row],[My Rating]])</f>
        <v>89.46875</v>
      </c>
      <c r="AA133" s="37">
        <v>2021</v>
      </c>
      <c r="AB133" s="128">
        <v>14.65</v>
      </c>
      <c r="AC133" s="2">
        <f t="shared" si="5"/>
        <v>14.65</v>
      </c>
      <c r="AD133" s="8">
        <v>1</v>
      </c>
      <c r="AE133" s="10">
        <f>IF(Table1[[#This Row],[P/750]]&lt;20,1,IF(Table1[[#This Row],[P/750]]&lt;50,2,3))</f>
        <v>1</v>
      </c>
      <c r="AF133" s="10">
        <f>IF(Table1[[#This Row],[P/750]]&lt;Expenses!$C$30,1,IF(Table1[[#This Row],[P/750]]&lt;Expenses!$C$31,2,IF(Table1[[#This Row],[P/750]]&lt;Expenses!$C$32,3,4)))</f>
        <v>1</v>
      </c>
      <c r="AH133" s="37" t="s">
        <v>1128</v>
      </c>
      <c r="AI133" s="11">
        <f>Table1[[#This Row],[Price]]/Table1[[#This Row],[Size (ml)]]*750</f>
        <v>14.65</v>
      </c>
      <c r="AK133" s="10">
        <f>COUNTIF(UniqueID!A:A,Table1[[#This Row],[ID]])</f>
        <v>1</v>
      </c>
      <c r="AL133" s="10" t="str">
        <f>VLOOKUP(Table1[[#This Row],[Cellar Location]],Location!A:F,6,FALSE)</f>
        <v>C</v>
      </c>
      <c r="AN133" s="1">
        <v>44070</v>
      </c>
      <c r="AO133" s="10" t="str">
        <f>TEXT(Table1[[#This Row],[Purchased]],"mmmm")</f>
        <v>August</v>
      </c>
      <c r="AP133" s="10" t="str">
        <f>TEXT(Table1[[#This Row],[Purchased]],"yyyy")</f>
        <v>2020</v>
      </c>
      <c r="AQ133" s="1"/>
    </row>
    <row r="134" spans="1:43" s="37" customFormat="1" x14ac:dyDescent="0.25">
      <c r="A134" s="37" t="str">
        <f t="shared" si="4"/>
        <v>2010Cosimo TaurinoSalice Salentino Riserva</v>
      </c>
      <c r="B134" s="8">
        <v>2010</v>
      </c>
      <c r="C134" s="37" t="s">
        <v>56</v>
      </c>
      <c r="D134" s="8" t="s">
        <v>57</v>
      </c>
      <c r="E134" s="67" t="s">
        <v>1204</v>
      </c>
      <c r="F134" s="37" t="s">
        <v>728</v>
      </c>
      <c r="G134" s="37" t="s">
        <v>785</v>
      </c>
      <c r="H134" s="37" t="s">
        <v>769</v>
      </c>
      <c r="I134" s="37">
        <v>1</v>
      </c>
      <c r="J134" s="37">
        <v>750</v>
      </c>
      <c r="K134" s="8" t="s">
        <v>1828</v>
      </c>
      <c r="L134" s="10">
        <f>COUNTIF(Drank!A:A,Table1[[#This Row],[ID]])</f>
        <v>33</v>
      </c>
      <c r="M134" s="37" t="s">
        <v>202</v>
      </c>
      <c r="N134" s="37" t="s">
        <v>207</v>
      </c>
      <c r="O134" s="37">
        <v>1</v>
      </c>
      <c r="P134" s="10"/>
      <c r="R134" s="10">
        <f>IF(IFERROR(VLOOKUP(A134,Drank!A:S,15,FALSE),"")=0,"",IFERROR(VLOOKUP(A134,Drank!A:S,15,FALSE),""))</f>
        <v>2020</v>
      </c>
      <c r="S134" s="10">
        <f>IF(IFERROR(VLOOKUP(A134,Drank!A:S,16,FALSE),"")=0,"",IFERROR(VLOOKUP(A134,Drank!A:S,16,FALSE),""))</f>
        <v>2021</v>
      </c>
      <c r="T134" s="10"/>
      <c r="V134" s="18">
        <f>IF(IFERROR(VLOOKUP(A134,Drank!A:T,19,FALSE),"")=0,"",IFERROR(VLOOKUP(A134,Drank!A:T,19,FALSE),""))</f>
        <v>89.46875</v>
      </c>
      <c r="W134" s="1">
        <f>IF(IFERROR(VLOOKUP(A134,Drank!A:T,20,FALSE),"")=0,"",IFERROR(VLOOKUP(A134,Drank!A:T,20,FALSE),""))</f>
        <v>44092</v>
      </c>
      <c r="X134" s="10">
        <f>SUMIF(A:A,A134,I:I)</f>
        <v>19</v>
      </c>
      <c r="Y134" s="10">
        <f>IF(Table1[[#This Row],[Drank]]&gt;0,VLOOKUP(Table1[[#This Row],[ID]],Drank!A:P,16,FALSE),IF(Table1[[#This Row],[WALDD]]&gt;0,VLOOKUP(Table1[[#This Row],[ID]],Wine1!A:Q,17,FALSE),Table1[[#This Row],[EP]]))</f>
        <v>2021</v>
      </c>
      <c r="Z134" s="18">
        <f>IF(Table1[[#This Row],[My Rating]]="",IF(Table1[[#This Row],[WA Rating Clean]]="","",Table1[[#This Row],[WA Rating Clean]]),Table1[[#This Row],[My Rating]])</f>
        <v>89.46875</v>
      </c>
      <c r="AA134" s="37">
        <v>2021</v>
      </c>
      <c r="AB134" s="128">
        <v>14.65</v>
      </c>
      <c r="AC134" s="2">
        <f t="shared" si="5"/>
        <v>14.65</v>
      </c>
      <c r="AD134" s="8">
        <v>1</v>
      </c>
      <c r="AE134" s="10">
        <f>IF(Table1[[#This Row],[P/750]]&lt;20,1,IF(Table1[[#This Row],[P/750]]&lt;50,2,3))</f>
        <v>1</v>
      </c>
      <c r="AF134" s="10">
        <f>IF(Table1[[#This Row],[P/750]]&lt;Expenses!$C$30,1,IF(Table1[[#This Row],[P/750]]&lt;Expenses!$C$31,2,IF(Table1[[#This Row],[P/750]]&lt;Expenses!$C$32,3,4)))</f>
        <v>1</v>
      </c>
      <c r="AH134" s="37" t="s">
        <v>1128</v>
      </c>
      <c r="AI134" s="11">
        <f>Table1[[#This Row],[Price]]/Table1[[#This Row],[Size (ml)]]*750</f>
        <v>14.65</v>
      </c>
      <c r="AK134" s="10">
        <f>COUNTIF(UniqueID!A:A,Table1[[#This Row],[ID]])</f>
        <v>1</v>
      </c>
      <c r="AL134" s="10" t="str">
        <f>VLOOKUP(Table1[[#This Row],[Cellar Location]],Location!A:F,6,FALSE)</f>
        <v>C</v>
      </c>
      <c r="AN134" s="1">
        <v>44070</v>
      </c>
      <c r="AO134" s="10" t="str">
        <f>TEXT(Table1[[#This Row],[Purchased]],"mmmm")</f>
        <v>August</v>
      </c>
      <c r="AP134" s="10" t="str">
        <f>TEXT(Table1[[#This Row],[Purchased]],"yyyy")</f>
        <v>2020</v>
      </c>
      <c r="AQ134" s="1"/>
    </row>
    <row r="135" spans="1:43" s="37" customFormat="1" x14ac:dyDescent="0.25">
      <c r="A135" s="37" t="str">
        <f t="shared" si="4"/>
        <v>2010Cosimo TaurinoSalice Salentino Riserva</v>
      </c>
      <c r="B135" s="8">
        <v>2010</v>
      </c>
      <c r="C135" s="37" t="s">
        <v>56</v>
      </c>
      <c r="D135" s="8" t="s">
        <v>57</v>
      </c>
      <c r="E135" s="67" t="s">
        <v>1204</v>
      </c>
      <c r="F135" s="37" t="s">
        <v>728</v>
      </c>
      <c r="G135" s="37" t="s">
        <v>785</v>
      </c>
      <c r="H135" s="37" t="s">
        <v>769</v>
      </c>
      <c r="I135" s="37">
        <v>1</v>
      </c>
      <c r="J135" s="37">
        <v>750</v>
      </c>
      <c r="K135" s="8" t="s">
        <v>1828</v>
      </c>
      <c r="L135" s="10">
        <f>COUNTIF(Drank!A:A,Table1[[#This Row],[ID]])</f>
        <v>33</v>
      </c>
      <c r="M135" s="37" t="s">
        <v>202</v>
      </c>
      <c r="N135" s="37" t="s">
        <v>207</v>
      </c>
      <c r="O135" s="37">
        <v>1</v>
      </c>
      <c r="P135" s="10"/>
      <c r="R135" s="10">
        <f>IF(IFERROR(VLOOKUP(A135,Drank!A:S,15,FALSE),"")=0,"",IFERROR(VLOOKUP(A135,Drank!A:S,15,FALSE),""))</f>
        <v>2020</v>
      </c>
      <c r="S135" s="10">
        <f>IF(IFERROR(VLOOKUP(A135,Drank!A:S,16,FALSE),"")=0,"",IFERROR(VLOOKUP(A135,Drank!A:S,16,FALSE),""))</f>
        <v>2021</v>
      </c>
      <c r="T135" s="10"/>
      <c r="V135" s="18">
        <f>IF(IFERROR(VLOOKUP(A135,Drank!A:T,19,FALSE),"")=0,"",IFERROR(VLOOKUP(A135,Drank!A:T,19,FALSE),""))</f>
        <v>89.46875</v>
      </c>
      <c r="W135" s="1">
        <f>IF(IFERROR(VLOOKUP(A135,Drank!A:T,20,FALSE),"")=0,"",IFERROR(VLOOKUP(A135,Drank!A:T,20,FALSE),""))</f>
        <v>44092</v>
      </c>
      <c r="X135" s="10">
        <f>SUMIF(A:A,A135,I:I)</f>
        <v>19</v>
      </c>
      <c r="Y135" s="10">
        <f>IF(Table1[[#This Row],[Drank]]&gt;0,VLOOKUP(Table1[[#This Row],[ID]],Drank!A:P,16,FALSE),IF(Table1[[#This Row],[WALDD]]&gt;0,VLOOKUP(Table1[[#This Row],[ID]],Wine1!A:Q,17,FALSE),Table1[[#This Row],[EP]]))</f>
        <v>2021</v>
      </c>
      <c r="Z135" s="18">
        <f>IF(Table1[[#This Row],[My Rating]]="",IF(Table1[[#This Row],[WA Rating Clean]]="","",Table1[[#This Row],[WA Rating Clean]]),Table1[[#This Row],[My Rating]])</f>
        <v>89.46875</v>
      </c>
      <c r="AA135" s="37">
        <v>2021</v>
      </c>
      <c r="AB135" s="128">
        <v>14.65</v>
      </c>
      <c r="AC135" s="2">
        <f t="shared" si="5"/>
        <v>14.65</v>
      </c>
      <c r="AD135" s="8">
        <v>1</v>
      </c>
      <c r="AE135" s="10">
        <f>IF(Table1[[#This Row],[P/750]]&lt;20,1,IF(Table1[[#This Row],[P/750]]&lt;50,2,3))</f>
        <v>1</v>
      </c>
      <c r="AF135" s="10">
        <f>IF(Table1[[#This Row],[P/750]]&lt;Expenses!$C$30,1,IF(Table1[[#This Row],[P/750]]&lt;Expenses!$C$31,2,IF(Table1[[#This Row],[P/750]]&lt;Expenses!$C$32,3,4)))</f>
        <v>1</v>
      </c>
      <c r="AH135" s="37" t="s">
        <v>1128</v>
      </c>
      <c r="AI135" s="11">
        <f>Table1[[#This Row],[Price]]/Table1[[#This Row],[Size (ml)]]*750</f>
        <v>14.65</v>
      </c>
      <c r="AK135" s="10">
        <f>COUNTIF(UniqueID!A:A,Table1[[#This Row],[ID]])</f>
        <v>1</v>
      </c>
      <c r="AL135" s="10" t="str">
        <f>VLOOKUP(Table1[[#This Row],[Cellar Location]],Location!A:F,6,FALSE)</f>
        <v>C</v>
      </c>
      <c r="AN135" s="1">
        <v>44070</v>
      </c>
      <c r="AO135" s="10" t="str">
        <f>TEXT(Table1[[#This Row],[Purchased]],"mmmm")</f>
        <v>August</v>
      </c>
      <c r="AP135" s="10" t="str">
        <f>TEXT(Table1[[#This Row],[Purchased]],"yyyy")</f>
        <v>2020</v>
      </c>
      <c r="AQ135" s="1"/>
    </row>
    <row r="136" spans="1:43" s="37" customFormat="1" x14ac:dyDescent="0.25">
      <c r="A136" s="37" t="str">
        <f t="shared" si="4"/>
        <v>2010Cosimo TaurinoSalice Salentino Riserva</v>
      </c>
      <c r="B136" s="8">
        <v>2010</v>
      </c>
      <c r="C136" s="37" t="s">
        <v>56</v>
      </c>
      <c r="D136" s="8" t="s">
        <v>57</v>
      </c>
      <c r="E136" s="67" t="s">
        <v>1204</v>
      </c>
      <c r="F136" s="37" t="s">
        <v>728</v>
      </c>
      <c r="G136" s="37" t="s">
        <v>785</v>
      </c>
      <c r="H136" s="37" t="s">
        <v>769</v>
      </c>
      <c r="I136" s="37">
        <v>1</v>
      </c>
      <c r="J136" s="37">
        <v>750</v>
      </c>
      <c r="K136" s="8" t="s">
        <v>1828</v>
      </c>
      <c r="L136" s="10">
        <f>COUNTIF(Drank!A:A,Table1[[#This Row],[ID]])</f>
        <v>33</v>
      </c>
      <c r="M136" s="37" t="s">
        <v>202</v>
      </c>
      <c r="N136" s="37" t="s">
        <v>207</v>
      </c>
      <c r="O136" s="37">
        <v>1</v>
      </c>
      <c r="P136" s="10"/>
      <c r="R136" s="10">
        <f>IF(IFERROR(VLOOKUP(A136,Drank!A:S,15,FALSE),"")=0,"",IFERROR(VLOOKUP(A136,Drank!A:S,15,FALSE),""))</f>
        <v>2020</v>
      </c>
      <c r="S136" s="10">
        <f>IF(IFERROR(VLOOKUP(A136,Drank!A:S,16,FALSE),"")=0,"",IFERROR(VLOOKUP(A136,Drank!A:S,16,FALSE),""))</f>
        <v>2021</v>
      </c>
      <c r="T136" s="10"/>
      <c r="V136" s="18">
        <f>IF(IFERROR(VLOOKUP(A136,Drank!A:T,19,FALSE),"")=0,"",IFERROR(VLOOKUP(A136,Drank!A:T,19,FALSE),""))</f>
        <v>89.46875</v>
      </c>
      <c r="W136" s="1">
        <f>IF(IFERROR(VLOOKUP(A136,Drank!A:T,20,FALSE),"")=0,"",IFERROR(VLOOKUP(A136,Drank!A:T,20,FALSE),""))</f>
        <v>44092</v>
      </c>
      <c r="X136" s="10">
        <f>SUMIF(A:A,A136,I:I)</f>
        <v>19</v>
      </c>
      <c r="Y136" s="10">
        <f>IF(Table1[[#This Row],[Drank]]&gt;0,VLOOKUP(Table1[[#This Row],[ID]],Drank!A:P,16,FALSE),IF(Table1[[#This Row],[WALDD]]&gt;0,VLOOKUP(Table1[[#This Row],[ID]],Wine1!A:Q,17,FALSE),Table1[[#This Row],[EP]]))</f>
        <v>2021</v>
      </c>
      <c r="Z136" s="18">
        <f>IF(Table1[[#This Row],[My Rating]]="",IF(Table1[[#This Row],[WA Rating Clean]]="","",Table1[[#This Row],[WA Rating Clean]]),Table1[[#This Row],[My Rating]])</f>
        <v>89.46875</v>
      </c>
      <c r="AA136" s="37">
        <v>2021</v>
      </c>
      <c r="AB136" s="128">
        <v>14.65</v>
      </c>
      <c r="AC136" s="2">
        <f t="shared" si="5"/>
        <v>14.65</v>
      </c>
      <c r="AD136" s="8">
        <v>1</v>
      </c>
      <c r="AE136" s="10">
        <f>IF(Table1[[#This Row],[P/750]]&lt;20,1,IF(Table1[[#This Row],[P/750]]&lt;50,2,3))</f>
        <v>1</v>
      </c>
      <c r="AF136" s="10">
        <f>IF(Table1[[#This Row],[P/750]]&lt;Expenses!$C$30,1,IF(Table1[[#This Row],[P/750]]&lt;Expenses!$C$31,2,IF(Table1[[#This Row],[P/750]]&lt;Expenses!$C$32,3,4)))</f>
        <v>1</v>
      </c>
      <c r="AH136" s="37" t="s">
        <v>1128</v>
      </c>
      <c r="AI136" s="11">
        <f>Table1[[#This Row],[Price]]/Table1[[#This Row],[Size (ml)]]*750</f>
        <v>14.65</v>
      </c>
      <c r="AK136" s="10">
        <f>COUNTIF(UniqueID!A:A,Table1[[#This Row],[ID]])</f>
        <v>1</v>
      </c>
      <c r="AL136" s="10" t="str">
        <f>VLOOKUP(Table1[[#This Row],[Cellar Location]],Location!A:F,6,FALSE)</f>
        <v>C</v>
      </c>
      <c r="AN136" s="1">
        <v>44070</v>
      </c>
      <c r="AO136" s="10" t="str">
        <f>TEXT(Table1[[#This Row],[Purchased]],"mmmm")</f>
        <v>August</v>
      </c>
      <c r="AP136" s="10" t="str">
        <f>TEXT(Table1[[#This Row],[Purchased]],"yyyy")</f>
        <v>2020</v>
      </c>
      <c r="AQ136" s="1"/>
    </row>
    <row r="137" spans="1:43" s="37" customFormat="1" x14ac:dyDescent="0.25">
      <c r="A137" s="37" t="str">
        <f t="shared" si="4"/>
        <v>2010Cosimo TaurinoSalice Salentino Riserva</v>
      </c>
      <c r="B137" s="8">
        <v>2010</v>
      </c>
      <c r="C137" s="37" t="s">
        <v>56</v>
      </c>
      <c r="D137" s="8" t="s">
        <v>57</v>
      </c>
      <c r="E137" s="67" t="s">
        <v>1204</v>
      </c>
      <c r="F137" s="37" t="s">
        <v>728</v>
      </c>
      <c r="G137" s="37" t="s">
        <v>785</v>
      </c>
      <c r="H137" s="37" t="s">
        <v>769</v>
      </c>
      <c r="I137" s="37">
        <v>1</v>
      </c>
      <c r="J137" s="37">
        <v>750</v>
      </c>
      <c r="K137" s="8" t="s">
        <v>1828</v>
      </c>
      <c r="L137" s="10">
        <f>COUNTIF(Drank!A:A,Table1[[#This Row],[ID]])</f>
        <v>33</v>
      </c>
      <c r="M137" s="37" t="s">
        <v>202</v>
      </c>
      <c r="N137" s="37" t="s">
        <v>207</v>
      </c>
      <c r="O137" s="37">
        <v>1</v>
      </c>
      <c r="P137" s="10"/>
      <c r="R137" s="10">
        <f>IF(IFERROR(VLOOKUP(A137,Drank!A:S,15,FALSE),"")=0,"",IFERROR(VLOOKUP(A137,Drank!A:S,15,FALSE),""))</f>
        <v>2020</v>
      </c>
      <c r="S137" s="10">
        <f>IF(IFERROR(VLOOKUP(A137,Drank!A:S,16,FALSE),"")=0,"",IFERROR(VLOOKUP(A137,Drank!A:S,16,FALSE),""))</f>
        <v>2021</v>
      </c>
      <c r="T137" s="10"/>
      <c r="V137" s="18">
        <f>IF(IFERROR(VLOOKUP(A137,Drank!A:T,19,FALSE),"")=0,"",IFERROR(VLOOKUP(A137,Drank!A:T,19,FALSE),""))</f>
        <v>89.46875</v>
      </c>
      <c r="W137" s="1">
        <f>IF(IFERROR(VLOOKUP(A137,Drank!A:T,20,FALSE),"")=0,"",IFERROR(VLOOKUP(A137,Drank!A:T,20,FALSE),""))</f>
        <v>44092</v>
      </c>
      <c r="X137" s="10">
        <f>SUMIF(A:A,A137,I:I)</f>
        <v>19</v>
      </c>
      <c r="Y137" s="10">
        <f>IF(Table1[[#This Row],[Drank]]&gt;0,VLOOKUP(Table1[[#This Row],[ID]],Drank!A:P,16,FALSE),IF(Table1[[#This Row],[WALDD]]&gt;0,VLOOKUP(Table1[[#This Row],[ID]],Wine1!A:Q,17,FALSE),Table1[[#This Row],[EP]]))</f>
        <v>2021</v>
      </c>
      <c r="Z137" s="18">
        <f>IF(Table1[[#This Row],[My Rating]]="",IF(Table1[[#This Row],[WA Rating Clean]]="","",Table1[[#This Row],[WA Rating Clean]]),Table1[[#This Row],[My Rating]])</f>
        <v>89.46875</v>
      </c>
      <c r="AA137" s="37">
        <v>2021</v>
      </c>
      <c r="AB137" s="128">
        <v>14.65</v>
      </c>
      <c r="AC137" s="2">
        <f t="shared" si="5"/>
        <v>14.65</v>
      </c>
      <c r="AD137" s="8">
        <v>1</v>
      </c>
      <c r="AE137" s="10">
        <f>IF(Table1[[#This Row],[P/750]]&lt;20,1,IF(Table1[[#This Row],[P/750]]&lt;50,2,3))</f>
        <v>1</v>
      </c>
      <c r="AF137" s="10">
        <f>IF(Table1[[#This Row],[P/750]]&lt;Expenses!$C$30,1,IF(Table1[[#This Row],[P/750]]&lt;Expenses!$C$31,2,IF(Table1[[#This Row],[P/750]]&lt;Expenses!$C$32,3,4)))</f>
        <v>1</v>
      </c>
      <c r="AH137" s="37" t="s">
        <v>1128</v>
      </c>
      <c r="AI137" s="11">
        <f>Table1[[#This Row],[Price]]/Table1[[#This Row],[Size (ml)]]*750</f>
        <v>14.65</v>
      </c>
      <c r="AK137" s="10">
        <f>COUNTIF(UniqueID!A:A,Table1[[#This Row],[ID]])</f>
        <v>1</v>
      </c>
      <c r="AL137" s="10" t="str">
        <f>VLOOKUP(Table1[[#This Row],[Cellar Location]],Location!A:F,6,FALSE)</f>
        <v>C</v>
      </c>
      <c r="AN137" s="1">
        <v>44070</v>
      </c>
      <c r="AO137" s="10" t="str">
        <f>TEXT(Table1[[#This Row],[Purchased]],"mmmm")</f>
        <v>August</v>
      </c>
      <c r="AP137" s="10" t="str">
        <f>TEXT(Table1[[#This Row],[Purchased]],"yyyy")</f>
        <v>2020</v>
      </c>
      <c r="AQ137" s="1"/>
    </row>
    <row r="138" spans="1:43" s="37" customFormat="1" x14ac:dyDescent="0.25">
      <c r="A138" s="37" t="str">
        <f t="shared" si="4"/>
        <v>2010Cosimo TaurinoSalice Salentino Riserva</v>
      </c>
      <c r="B138" s="8">
        <v>2010</v>
      </c>
      <c r="C138" s="37" t="s">
        <v>56</v>
      </c>
      <c r="D138" s="8" t="s">
        <v>57</v>
      </c>
      <c r="E138" s="67" t="s">
        <v>1204</v>
      </c>
      <c r="F138" s="37" t="s">
        <v>728</v>
      </c>
      <c r="G138" s="37" t="s">
        <v>785</v>
      </c>
      <c r="H138" s="37" t="s">
        <v>769</v>
      </c>
      <c r="I138" s="37">
        <v>1</v>
      </c>
      <c r="J138" s="37">
        <v>750</v>
      </c>
      <c r="K138" s="8" t="s">
        <v>1828</v>
      </c>
      <c r="L138" s="10">
        <f>COUNTIF(Drank!A:A,Table1[[#This Row],[ID]])</f>
        <v>33</v>
      </c>
      <c r="M138" s="37" t="s">
        <v>202</v>
      </c>
      <c r="N138" s="37" t="s">
        <v>207</v>
      </c>
      <c r="O138" s="37">
        <v>1</v>
      </c>
      <c r="P138" s="10"/>
      <c r="R138" s="10">
        <f>IF(IFERROR(VLOOKUP(A138,Drank!A:S,15,FALSE),"")=0,"",IFERROR(VLOOKUP(A138,Drank!A:S,15,FALSE),""))</f>
        <v>2020</v>
      </c>
      <c r="S138" s="10">
        <f>IF(IFERROR(VLOOKUP(A138,Drank!A:S,16,FALSE),"")=0,"",IFERROR(VLOOKUP(A138,Drank!A:S,16,FALSE),""))</f>
        <v>2021</v>
      </c>
      <c r="T138" s="10"/>
      <c r="V138" s="18">
        <f>IF(IFERROR(VLOOKUP(A138,Drank!A:T,19,FALSE),"")=0,"",IFERROR(VLOOKUP(A138,Drank!A:T,19,FALSE),""))</f>
        <v>89.46875</v>
      </c>
      <c r="W138" s="1">
        <f>IF(IFERROR(VLOOKUP(A138,Drank!A:T,20,FALSE),"")=0,"",IFERROR(VLOOKUP(A138,Drank!A:T,20,FALSE),""))</f>
        <v>44092</v>
      </c>
      <c r="X138" s="10">
        <f>SUMIF(A:A,A138,I:I)</f>
        <v>19</v>
      </c>
      <c r="Y138" s="10">
        <f>IF(Table1[[#This Row],[Drank]]&gt;0,VLOOKUP(Table1[[#This Row],[ID]],Drank!A:P,16,FALSE),IF(Table1[[#This Row],[WALDD]]&gt;0,VLOOKUP(Table1[[#This Row],[ID]],Wine1!A:Q,17,FALSE),Table1[[#This Row],[EP]]))</f>
        <v>2021</v>
      </c>
      <c r="Z138" s="18">
        <f>IF(Table1[[#This Row],[My Rating]]="",IF(Table1[[#This Row],[WA Rating Clean]]="","",Table1[[#This Row],[WA Rating Clean]]),Table1[[#This Row],[My Rating]])</f>
        <v>89.46875</v>
      </c>
      <c r="AA138" s="37">
        <v>2021</v>
      </c>
      <c r="AB138" s="128">
        <v>14.65</v>
      </c>
      <c r="AC138" s="2">
        <f t="shared" si="5"/>
        <v>14.65</v>
      </c>
      <c r="AD138" s="8">
        <v>1</v>
      </c>
      <c r="AE138" s="10">
        <f>IF(Table1[[#This Row],[P/750]]&lt;20,1,IF(Table1[[#This Row],[P/750]]&lt;50,2,3))</f>
        <v>1</v>
      </c>
      <c r="AF138" s="10">
        <f>IF(Table1[[#This Row],[P/750]]&lt;Expenses!$C$30,1,IF(Table1[[#This Row],[P/750]]&lt;Expenses!$C$31,2,IF(Table1[[#This Row],[P/750]]&lt;Expenses!$C$32,3,4)))</f>
        <v>1</v>
      </c>
      <c r="AH138" s="37" t="s">
        <v>1128</v>
      </c>
      <c r="AI138" s="11">
        <f>Table1[[#This Row],[Price]]/Table1[[#This Row],[Size (ml)]]*750</f>
        <v>14.65</v>
      </c>
      <c r="AK138" s="10">
        <f>COUNTIF(UniqueID!A:A,Table1[[#This Row],[ID]])</f>
        <v>1</v>
      </c>
      <c r="AL138" s="10" t="str">
        <f>VLOOKUP(Table1[[#This Row],[Cellar Location]],Location!A:F,6,FALSE)</f>
        <v>C</v>
      </c>
      <c r="AN138" s="1">
        <v>44070</v>
      </c>
      <c r="AO138" s="10" t="str">
        <f>TEXT(Table1[[#This Row],[Purchased]],"mmmm")</f>
        <v>August</v>
      </c>
      <c r="AP138" s="10" t="str">
        <f>TEXT(Table1[[#This Row],[Purchased]],"yyyy")</f>
        <v>2020</v>
      </c>
      <c r="AQ138" s="1"/>
    </row>
    <row r="139" spans="1:43" s="37" customFormat="1" x14ac:dyDescent="0.25">
      <c r="A139" s="37" t="str">
        <f t="shared" si="4"/>
        <v>2010Cosimo TaurinoSalice Salentino Riserva</v>
      </c>
      <c r="B139" s="8">
        <v>2010</v>
      </c>
      <c r="C139" s="37" t="s">
        <v>56</v>
      </c>
      <c r="D139" s="8" t="s">
        <v>57</v>
      </c>
      <c r="E139" s="67" t="s">
        <v>1204</v>
      </c>
      <c r="F139" s="37" t="s">
        <v>728</v>
      </c>
      <c r="G139" s="37" t="s">
        <v>785</v>
      </c>
      <c r="H139" s="37" t="s">
        <v>769</v>
      </c>
      <c r="I139" s="37">
        <v>1</v>
      </c>
      <c r="J139" s="37">
        <v>750</v>
      </c>
      <c r="K139" s="8" t="s">
        <v>1828</v>
      </c>
      <c r="L139" s="10">
        <f>COUNTIF(Drank!A:A,Table1[[#This Row],[ID]])</f>
        <v>33</v>
      </c>
      <c r="M139" s="37" t="s">
        <v>202</v>
      </c>
      <c r="N139" s="37" t="s">
        <v>207</v>
      </c>
      <c r="O139" s="37">
        <v>1</v>
      </c>
      <c r="P139" s="10"/>
      <c r="R139" s="10">
        <f>IF(IFERROR(VLOOKUP(A139,Drank!A:S,15,FALSE),"")=0,"",IFERROR(VLOOKUP(A139,Drank!A:S,15,FALSE),""))</f>
        <v>2020</v>
      </c>
      <c r="S139" s="10">
        <f>IF(IFERROR(VLOOKUP(A139,Drank!A:S,16,FALSE),"")=0,"",IFERROR(VLOOKUP(A139,Drank!A:S,16,FALSE),""))</f>
        <v>2021</v>
      </c>
      <c r="T139" s="10"/>
      <c r="V139" s="18">
        <f>IF(IFERROR(VLOOKUP(A139,Drank!A:T,19,FALSE),"")=0,"",IFERROR(VLOOKUP(A139,Drank!A:T,19,FALSE),""))</f>
        <v>89.46875</v>
      </c>
      <c r="W139" s="1">
        <f>IF(IFERROR(VLOOKUP(A139,Drank!A:T,20,FALSE),"")=0,"",IFERROR(VLOOKUP(A139,Drank!A:T,20,FALSE),""))</f>
        <v>44092</v>
      </c>
      <c r="X139" s="10">
        <f>SUMIF(A:A,A139,I:I)</f>
        <v>19</v>
      </c>
      <c r="Y139" s="10">
        <f>IF(Table1[[#This Row],[Drank]]&gt;0,VLOOKUP(Table1[[#This Row],[ID]],Drank!A:P,16,FALSE),IF(Table1[[#This Row],[WALDD]]&gt;0,VLOOKUP(Table1[[#This Row],[ID]],Wine1!A:Q,17,FALSE),Table1[[#This Row],[EP]]))</f>
        <v>2021</v>
      </c>
      <c r="Z139" s="18">
        <f>IF(Table1[[#This Row],[My Rating]]="",IF(Table1[[#This Row],[WA Rating Clean]]="","",Table1[[#This Row],[WA Rating Clean]]),Table1[[#This Row],[My Rating]])</f>
        <v>89.46875</v>
      </c>
      <c r="AA139" s="37">
        <v>2021</v>
      </c>
      <c r="AB139" s="128">
        <v>14.65</v>
      </c>
      <c r="AC139" s="2">
        <f t="shared" si="5"/>
        <v>14.65</v>
      </c>
      <c r="AD139" s="8">
        <v>1</v>
      </c>
      <c r="AE139" s="10">
        <f>IF(Table1[[#This Row],[P/750]]&lt;20,1,IF(Table1[[#This Row],[P/750]]&lt;50,2,3))</f>
        <v>1</v>
      </c>
      <c r="AF139" s="10">
        <f>IF(Table1[[#This Row],[P/750]]&lt;Expenses!$C$30,1,IF(Table1[[#This Row],[P/750]]&lt;Expenses!$C$31,2,IF(Table1[[#This Row],[P/750]]&lt;Expenses!$C$32,3,4)))</f>
        <v>1</v>
      </c>
      <c r="AH139" s="37" t="s">
        <v>1128</v>
      </c>
      <c r="AI139" s="11">
        <f>Table1[[#This Row],[Price]]/Table1[[#This Row],[Size (ml)]]*750</f>
        <v>14.65</v>
      </c>
      <c r="AK139" s="10">
        <f>COUNTIF(UniqueID!A:A,Table1[[#This Row],[ID]])</f>
        <v>1</v>
      </c>
      <c r="AL139" s="10" t="str">
        <f>VLOOKUP(Table1[[#This Row],[Cellar Location]],Location!A:F,6,FALSE)</f>
        <v>C</v>
      </c>
      <c r="AN139" s="1">
        <v>44070</v>
      </c>
      <c r="AO139" s="10" t="str">
        <f>TEXT(Table1[[#This Row],[Purchased]],"mmmm")</f>
        <v>August</v>
      </c>
      <c r="AP139" s="10" t="str">
        <f>TEXT(Table1[[#This Row],[Purchased]],"yyyy")</f>
        <v>2020</v>
      </c>
      <c r="AQ139" s="1"/>
    </row>
    <row r="140" spans="1:43" s="37" customFormat="1" x14ac:dyDescent="0.25">
      <c r="A140" s="37" t="str">
        <f t="shared" si="4"/>
        <v>2010Cosimo TaurinoSalice Salentino Riserva</v>
      </c>
      <c r="B140" s="8">
        <v>2010</v>
      </c>
      <c r="C140" s="37" t="s">
        <v>56</v>
      </c>
      <c r="D140" s="8" t="s">
        <v>57</v>
      </c>
      <c r="E140" s="67" t="s">
        <v>1204</v>
      </c>
      <c r="F140" s="37" t="s">
        <v>728</v>
      </c>
      <c r="G140" s="37" t="s">
        <v>785</v>
      </c>
      <c r="H140" s="37" t="s">
        <v>769</v>
      </c>
      <c r="I140" s="37">
        <v>1</v>
      </c>
      <c r="J140" s="37">
        <v>750</v>
      </c>
      <c r="K140" s="8" t="s">
        <v>1828</v>
      </c>
      <c r="L140" s="10">
        <f>COUNTIF(Drank!A:A,Table1[[#This Row],[ID]])</f>
        <v>33</v>
      </c>
      <c r="M140" s="37" t="s">
        <v>202</v>
      </c>
      <c r="N140" s="37" t="s">
        <v>207</v>
      </c>
      <c r="O140" s="37">
        <v>1</v>
      </c>
      <c r="P140" s="10"/>
      <c r="R140" s="10">
        <f>IF(IFERROR(VLOOKUP(A140,Drank!A:S,15,FALSE),"")=0,"",IFERROR(VLOOKUP(A140,Drank!A:S,15,FALSE),""))</f>
        <v>2020</v>
      </c>
      <c r="S140" s="10">
        <f>IF(IFERROR(VLOOKUP(A140,Drank!A:S,16,FALSE),"")=0,"",IFERROR(VLOOKUP(A140,Drank!A:S,16,FALSE),""))</f>
        <v>2021</v>
      </c>
      <c r="T140" s="10"/>
      <c r="V140" s="18">
        <f>IF(IFERROR(VLOOKUP(A140,Drank!A:T,19,FALSE),"")=0,"",IFERROR(VLOOKUP(A140,Drank!A:T,19,FALSE),""))</f>
        <v>89.46875</v>
      </c>
      <c r="W140" s="1">
        <f>IF(IFERROR(VLOOKUP(A140,Drank!A:T,20,FALSE),"")=0,"",IFERROR(VLOOKUP(A140,Drank!A:T,20,FALSE),""))</f>
        <v>44092</v>
      </c>
      <c r="X140" s="10">
        <f>SUMIF(A:A,A140,I:I)</f>
        <v>19</v>
      </c>
      <c r="Y140" s="10">
        <f>IF(Table1[[#This Row],[Drank]]&gt;0,VLOOKUP(Table1[[#This Row],[ID]],Drank!A:P,16,FALSE),IF(Table1[[#This Row],[WALDD]]&gt;0,VLOOKUP(Table1[[#This Row],[ID]],Wine1!A:Q,17,FALSE),Table1[[#This Row],[EP]]))</f>
        <v>2021</v>
      </c>
      <c r="Z140" s="18">
        <f>IF(Table1[[#This Row],[My Rating]]="",IF(Table1[[#This Row],[WA Rating Clean]]="","",Table1[[#This Row],[WA Rating Clean]]),Table1[[#This Row],[My Rating]])</f>
        <v>89.46875</v>
      </c>
      <c r="AA140" s="37">
        <v>2021</v>
      </c>
      <c r="AB140" s="128">
        <v>14.65</v>
      </c>
      <c r="AC140" s="2">
        <f t="shared" si="5"/>
        <v>14.65</v>
      </c>
      <c r="AD140" s="8">
        <v>1</v>
      </c>
      <c r="AE140" s="10">
        <f>IF(Table1[[#This Row],[P/750]]&lt;20,1,IF(Table1[[#This Row],[P/750]]&lt;50,2,3))</f>
        <v>1</v>
      </c>
      <c r="AF140" s="10">
        <f>IF(Table1[[#This Row],[P/750]]&lt;Expenses!$C$30,1,IF(Table1[[#This Row],[P/750]]&lt;Expenses!$C$31,2,IF(Table1[[#This Row],[P/750]]&lt;Expenses!$C$32,3,4)))</f>
        <v>1</v>
      </c>
      <c r="AH140" s="37" t="s">
        <v>1128</v>
      </c>
      <c r="AI140" s="11">
        <f>Table1[[#This Row],[Price]]/Table1[[#This Row],[Size (ml)]]*750</f>
        <v>14.65</v>
      </c>
      <c r="AK140" s="10">
        <f>COUNTIF(UniqueID!A:A,Table1[[#This Row],[ID]])</f>
        <v>1</v>
      </c>
      <c r="AL140" s="10" t="str">
        <f>VLOOKUP(Table1[[#This Row],[Cellar Location]],Location!A:F,6,FALSE)</f>
        <v>C</v>
      </c>
      <c r="AN140" s="1">
        <v>44070</v>
      </c>
      <c r="AO140" s="10" t="str">
        <f>TEXT(Table1[[#This Row],[Purchased]],"mmmm")</f>
        <v>August</v>
      </c>
      <c r="AP140" s="10" t="str">
        <f>TEXT(Table1[[#This Row],[Purchased]],"yyyy")</f>
        <v>2020</v>
      </c>
      <c r="AQ140" s="1"/>
    </row>
    <row r="141" spans="1:43" s="37" customFormat="1" x14ac:dyDescent="0.25">
      <c r="A141" s="37" t="str">
        <f t="shared" si="4"/>
        <v>2010Diez-CaballeroReserva</v>
      </c>
      <c r="B141" s="37">
        <v>2010</v>
      </c>
      <c r="C141" s="8" t="s">
        <v>1216</v>
      </c>
      <c r="D141" s="37" t="s">
        <v>106</v>
      </c>
      <c r="E141" s="67" t="s">
        <v>1220</v>
      </c>
      <c r="F141" s="37" t="s">
        <v>729</v>
      </c>
      <c r="G141" s="37" t="s">
        <v>823</v>
      </c>
      <c r="I141" s="37">
        <v>1</v>
      </c>
      <c r="J141" s="37">
        <v>750</v>
      </c>
      <c r="K141" s="8" t="s">
        <v>589</v>
      </c>
      <c r="L141" s="10">
        <f>COUNTIF(Drank!A:A,Table1[[#This Row],[ID]])</f>
        <v>3</v>
      </c>
      <c r="M141" s="37" t="s">
        <v>202</v>
      </c>
      <c r="N141" s="37" t="s">
        <v>207</v>
      </c>
      <c r="O141" s="37">
        <v>1</v>
      </c>
      <c r="P141" s="37">
        <v>2016</v>
      </c>
      <c r="Q141" s="37">
        <v>2022</v>
      </c>
      <c r="R141" s="10">
        <f>IF(IFERROR(VLOOKUP(A141,Drank!A:S,15,FALSE),"")=0,"",IFERROR(VLOOKUP(A141,Drank!A:S,15,FALSE),""))</f>
        <v>2020</v>
      </c>
      <c r="S141" s="10">
        <f>IF(IFERROR(VLOOKUP(A141,Drank!A:S,16,FALSE),"")=0,"",IFERROR(VLOOKUP(A141,Drank!A:S,16,FALSE),""))</f>
        <v>2021</v>
      </c>
      <c r="T141" s="10"/>
      <c r="U141" s="37" t="s">
        <v>196</v>
      </c>
      <c r="V141" s="18">
        <f>IF(IFERROR(VLOOKUP(A141,Drank!A:T,19,FALSE),"")=0,"",IFERROR(VLOOKUP(A141,Drank!A:T,19,FALSE),""))</f>
        <v>91</v>
      </c>
      <c r="W141" s="1">
        <f>IF(IFERROR(VLOOKUP(A141,Drank!A:T,20,FALSE),"")=0,"",IFERROR(VLOOKUP(A141,Drank!A:T,20,FALSE),""))</f>
        <v>44009</v>
      </c>
      <c r="X141" s="10">
        <f>SUMIF(A:A,A141,I:I)</f>
        <v>9</v>
      </c>
      <c r="Y141" s="10">
        <f>IF(Table1[[#This Row],[Drank]]&gt;0,VLOOKUP(Table1[[#This Row],[ID]],Drank!A:P,16,FALSE),IF(Table1[[#This Row],[WALDD]]&gt;0,VLOOKUP(Table1[[#This Row],[ID]],Wine1!A:Q,17,FALSE),Table1[[#This Row],[EP]]))</f>
        <v>2021</v>
      </c>
      <c r="Z141" s="18">
        <f>IF(Table1[[#This Row],[My Rating]]="",IF(Table1[[#This Row],[WA Rating Clean]]="","",Table1[[#This Row],[WA Rating Clean]]),Table1[[#This Row],[My Rating]])</f>
        <v>91</v>
      </c>
      <c r="AA141" s="37">
        <v>2021</v>
      </c>
      <c r="AB141" s="128">
        <v>16.28</v>
      </c>
      <c r="AC141" s="2">
        <f t="shared" si="5"/>
        <v>16.28</v>
      </c>
      <c r="AD141" s="8">
        <v>0</v>
      </c>
      <c r="AE141" s="61">
        <f>IF(Table1[[#This Row],[P/750]]&lt;20,1,IF(Table1[[#This Row],[P/750]]&lt;50,2,3))</f>
        <v>1</v>
      </c>
      <c r="AF141" s="61">
        <f>IF(Table1[[#This Row],[P/750]]&lt;Expenses!$C$30,1,IF(Table1[[#This Row],[P/750]]&lt;Expenses!$C$31,2,IF(Table1[[#This Row],[P/750]]&lt;Expenses!$C$32,3,4)))</f>
        <v>1</v>
      </c>
      <c r="AH141" s="37" t="s">
        <v>384</v>
      </c>
      <c r="AI141" s="11">
        <f>Table1[[#This Row],[Price]]/Table1[[#This Row],[Size (ml)]]*750</f>
        <v>16.28</v>
      </c>
      <c r="AJ141" s="37">
        <v>91</v>
      </c>
      <c r="AK141" s="10">
        <f>COUNTIF(UniqueID!A:A,Table1[[#This Row],[ID]])</f>
        <v>0</v>
      </c>
      <c r="AL141" s="10" t="str">
        <f>VLOOKUP(Table1[[#This Row],[Cellar Location]],Location!A:F,6,FALSE)</f>
        <v>C</v>
      </c>
      <c r="AN141" s="1">
        <v>44000</v>
      </c>
      <c r="AO141" s="10" t="str">
        <f>TEXT(Table1[[#This Row],[Purchased]],"mmmm")</f>
        <v>June</v>
      </c>
      <c r="AP141" s="10" t="str">
        <f>TEXT(Table1[[#This Row],[Purchased]],"yyyy")</f>
        <v>2020</v>
      </c>
      <c r="AQ141" s="10"/>
    </row>
    <row r="142" spans="1:43" s="37" customFormat="1" x14ac:dyDescent="0.25">
      <c r="A142" s="37" t="str">
        <f t="shared" si="4"/>
        <v>2010Diez-CaballeroReserva</v>
      </c>
      <c r="B142" s="37">
        <v>2010</v>
      </c>
      <c r="C142" s="8" t="s">
        <v>1216</v>
      </c>
      <c r="D142" s="37" t="s">
        <v>106</v>
      </c>
      <c r="E142" s="67" t="s">
        <v>1220</v>
      </c>
      <c r="F142" s="37" t="s">
        <v>729</v>
      </c>
      <c r="G142" s="37" t="s">
        <v>823</v>
      </c>
      <c r="I142" s="37">
        <v>1</v>
      </c>
      <c r="J142" s="37">
        <v>750</v>
      </c>
      <c r="K142" s="8" t="s">
        <v>589</v>
      </c>
      <c r="L142" s="10">
        <f>COUNTIF(Drank!A:A,Table1[[#This Row],[ID]])</f>
        <v>3</v>
      </c>
      <c r="M142" s="37" t="s">
        <v>202</v>
      </c>
      <c r="N142" s="37" t="s">
        <v>207</v>
      </c>
      <c r="O142" s="37">
        <v>1</v>
      </c>
      <c r="P142" s="37">
        <v>2016</v>
      </c>
      <c r="Q142" s="37">
        <v>2022</v>
      </c>
      <c r="R142" s="10">
        <f>IF(IFERROR(VLOOKUP(A142,Drank!A:S,15,FALSE),"")=0,"",IFERROR(VLOOKUP(A142,Drank!A:S,15,FALSE),""))</f>
        <v>2020</v>
      </c>
      <c r="S142" s="10">
        <f>IF(IFERROR(VLOOKUP(A142,Drank!A:S,16,FALSE),"")=0,"",IFERROR(VLOOKUP(A142,Drank!A:S,16,FALSE),""))</f>
        <v>2021</v>
      </c>
      <c r="T142" s="10"/>
      <c r="U142" s="37" t="s">
        <v>196</v>
      </c>
      <c r="V142" s="18">
        <f>IF(IFERROR(VLOOKUP(A142,Drank!A:T,19,FALSE),"")=0,"",IFERROR(VLOOKUP(A142,Drank!A:T,19,FALSE),""))</f>
        <v>91</v>
      </c>
      <c r="W142" s="1">
        <f>IF(IFERROR(VLOOKUP(A142,Drank!A:T,20,FALSE),"")=0,"",IFERROR(VLOOKUP(A142,Drank!A:T,20,FALSE),""))</f>
        <v>44009</v>
      </c>
      <c r="X142" s="10">
        <f>SUMIF(A:A,A142,I:I)</f>
        <v>9</v>
      </c>
      <c r="Y142" s="10">
        <f>IF(Table1[[#This Row],[Drank]]&gt;0,VLOOKUP(Table1[[#This Row],[ID]],Drank!A:P,16,FALSE),IF(Table1[[#This Row],[WALDD]]&gt;0,VLOOKUP(Table1[[#This Row],[ID]],Wine1!A:Q,17,FALSE),Table1[[#This Row],[EP]]))</f>
        <v>2021</v>
      </c>
      <c r="Z142" s="18">
        <f>IF(Table1[[#This Row],[My Rating]]="",IF(Table1[[#This Row],[WA Rating Clean]]="","",Table1[[#This Row],[WA Rating Clean]]),Table1[[#This Row],[My Rating]])</f>
        <v>91</v>
      </c>
      <c r="AA142" s="37">
        <v>2021</v>
      </c>
      <c r="AB142" s="128">
        <v>16.28</v>
      </c>
      <c r="AC142" s="2">
        <f t="shared" si="5"/>
        <v>16.28</v>
      </c>
      <c r="AD142" s="8">
        <v>0</v>
      </c>
      <c r="AE142" s="61">
        <f>IF(Table1[[#This Row],[P/750]]&lt;20,1,IF(Table1[[#This Row],[P/750]]&lt;50,2,3))</f>
        <v>1</v>
      </c>
      <c r="AF142" s="61">
        <f>IF(Table1[[#This Row],[P/750]]&lt;Expenses!$C$30,1,IF(Table1[[#This Row],[P/750]]&lt;Expenses!$C$31,2,IF(Table1[[#This Row],[P/750]]&lt;Expenses!$C$32,3,4)))</f>
        <v>1</v>
      </c>
      <c r="AH142" s="37" t="s">
        <v>384</v>
      </c>
      <c r="AI142" s="11">
        <f>Table1[[#This Row],[Price]]/Table1[[#This Row],[Size (ml)]]*750</f>
        <v>16.28</v>
      </c>
      <c r="AJ142" s="37">
        <v>91</v>
      </c>
      <c r="AK142" s="10">
        <f>COUNTIF(UniqueID!A:A,Table1[[#This Row],[ID]])</f>
        <v>0</v>
      </c>
      <c r="AL142" s="10" t="str">
        <f>VLOOKUP(Table1[[#This Row],[Cellar Location]],Location!A:F,6,FALSE)</f>
        <v>C</v>
      </c>
      <c r="AN142" s="1">
        <v>44000</v>
      </c>
      <c r="AO142" s="10" t="str">
        <f>TEXT(Table1[[#This Row],[Purchased]],"mmmm")</f>
        <v>June</v>
      </c>
      <c r="AP142" s="10" t="str">
        <f>TEXT(Table1[[#This Row],[Purchased]],"yyyy")</f>
        <v>2020</v>
      </c>
      <c r="AQ142" s="10"/>
    </row>
    <row r="143" spans="1:43" s="37" customFormat="1" x14ac:dyDescent="0.25">
      <c r="A143" s="37" t="str">
        <f t="shared" si="4"/>
        <v>2010Diez-CaballeroReserva</v>
      </c>
      <c r="B143" s="37">
        <v>2010</v>
      </c>
      <c r="C143" s="8" t="s">
        <v>1216</v>
      </c>
      <c r="D143" s="37" t="s">
        <v>106</v>
      </c>
      <c r="E143" s="67" t="s">
        <v>1220</v>
      </c>
      <c r="F143" s="37" t="s">
        <v>729</v>
      </c>
      <c r="G143" s="37" t="s">
        <v>823</v>
      </c>
      <c r="I143" s="37">
        <v>1</v>
      </c>
      <c r="J143" s="37">
        <v>750</v>
      </c>
      <c r="K143" s="8" t="s">
        <v>589</v>
      </c>
      <c r="L143" s="10">
        <f>COUNTIF(Drank!A:A,Table1[[#This Row],[ID]])</f>
        <v>3</v>
      </c>
      <c r="M143" s="37" t="s">
        <v>202</v>
      </c>
      <c r="N143" s="37" t="s">
        <v>207</v>
      </c>
      <c r="O143" s="37">
        <v>1</v>
      </c>
      <c r="P143" s="37">
        <v>2016</v>
      </c>
      <c r="Q143" s="37">
        <v>2022</v>
      </c>
      <c r="R143" s="10">
        <f>IF(IFERROR(VLOOKUP(A143,Drank!A:S,15,FALSE),"")=0,"",IFERROR(VLOOKUP(A143,Drank!A:S,15,FALSE),""))</f>
        <v>2020</v>
      </c>
      <c r="S143" s="10">
        <f>IF(IFERROR(VLOOKUP(A143,Drank!A:S,16,FALSE),"")=0,"",IFERROR(VLOOKUP(A143,Drank!A:S,16,FALSE),""))</f>
        <v>2021</v>
      </c>
      <c r="T143" s="10"/>
      <c r="U143" s="37" t="s">
        <v>196</v>
      </c>
      <c r="V143" s="18">
        <f>IF(IFERROR(VLOOKUP(A143,Drank!A:T,19,FALSE),"")=0,"",IFERROR(VLOOKUP(A143,Drank!A:T,19,FALSE),""))</f>
        <v>91</v>
      </c>
      <c r="W143" s="1">
        <f>IF(IFERROR(VLOOKUP(A143,Drank!A:T,20,FALSE),"")=0,"",IFERROR(VLOOKUP(A143,Drank!A:T,20,FALSE),""))</f>
        <v>44009</v>
      </c>
      <c r="X143" s="10">
        <f>SUMIF(A:A,A143,I:I)</f>
        <v>9</v>
      </c>
      <c r="Y143" s="10">
        <f>IF(Table1[[#This Row],[Drank]]&gt;0,VLOOKUP(Table1[[#This Row],[ID]],Drank!A:P,16,FALSE),IF(Table1[[#This Row],[WALDD]]&gt;0,VLOOKUP(Table1[[#This Row],[ID]],Wine1!A:Q,17,FALSE),Table1[[#This Row],[EP]]))</f>
        <v>2021</v>
      </c>
      <c r="Z143" s="18">
        <f>IF(Table1[[#This Row],[My Rating]]="",IF(Table1[[#This Row],[WA Rating Clean]]="","",Table1[[#This Row],[WA Rating Clean]]),Table1[[#This Row],[My Rating]])</f>
        <v>91</v>
      </c>
      <c r="AA143" s="37">
        <v>2021</v>
      </c>
      <c r="AB143" s="128">
        <v>16.28</v>
      </c>
      <c r="AC143" s="2">
        <f t="shared" si="5"/>
        <v>16.28</v>
      </c>
      <c r="AD143" s="8">
        <v>0</v>
      </c>
      <c r="AE143" s="61">
        <f>IF(Table1[[#This Row],[P/750]]&lt;20,1,IF(Table1[[#This Row],[P/750]]&lt;50,2,3))</f>
        <v>1</v>
      </c>
      <c r="AF143" s="61">
        <f>IF(Table1[[#This Row],[P/750]]&lt;Expenses!$C$30,1,IF(Table1[[#This Row],[P/750]]&lt;Expenses!$C$31,2,IF(Table1[[#This Row],[P/750]]&lt;Expenses!$C$32,3,4)))</f>
        <v>1</v>
      </c>
      <c r="AH143" s="37" t="s">
        <v>384</v>
      </c>
      <c r="AI143" s="11">
        <f>Table1[[#This Row],[Price]]/Table1[[#This Row],[Size (ml)]]*750</f>
        <v>16.28</v>
      </c>
      <c r="AJ143" s="37">
        <v>91</v>
      </c>
      <c r="AK143" s="10">
        <f>COUNTIF(UniqueID!A:A,Table1[[#This Row],[ID]])</f>
        <v>0</v>
      </c>
      <c r="AL143" s="10" t="str">
        <f>VLOOKUP(Table1[[#This Row],[Cellar Location]],Location!A:F,6,FALSE)</f>
        <v>C</v>
      </c>
      <c r="AN143" s="1">
        <v>44000</v>
      </c>
      <c r="AO143" s="10" t="str">
        <f>TEXT(Table1[[#This Row],[Purchased]],"mmmm")</f>
        <v>June</v>
      </c>
      <c r="AP143" s="10" t="str">
        <f>TEXT(Table1[[#This Row],[Purchased]],"yyyy")</f>
        <v>2020</v>
      </c>
      <c r="AQ143" s="10"/>
    </row>
    <row r="144" spans="1:43" s="37" customFormat="1" x14ac:dyDescent="0.25">
      <c r="A144" s="37" t="str">
        <f t="shared" ref="A144" si="6">CONCATENATE(B144,C144,D144)</f>
        <v>2011Diez-CaballeroReserva</v>
      </c>
      <c r="B144" s="37">
        <v>2011</v>
      </c>
      <c r="C144" s="8" t="s">
        <v>1216</v>
      </c>
      <c r="D144" s="37" t="s">
        <v>106</v>
      </c>
      <c r="E144" s="67" t="s">
        <v>1220</v>
      </c>
      <c r="F144" s="37" t="s">
        <v>729</v>
      </c>
      <c r="G144" s="37" t="s">
        <v>823</v>
      </c>
      <c r="I144" s="37">
        <v>1</v>
      </c>
      <c r="J144" s="38">
        <v>750</v>
      </c>
      <c r="K144" s="38" t="s">
        <v>384</v>
      </c>
      <c r="L144" s="10">
        <f>COUNTIF(Drank!A:A,Table1[[#This Row],[ID]])</f>
        <v>0</v>
      </c>
      <c r="M144" s="37" t="s">
        <v>202</v>
      </c>
      <c r="N144" s="37" t="s">
        <v>207</v>
      </c>
      <c r="O144" s="37">
        <v>1</v>
      </c>
      <c r="P144" s="37">
        <v>2018</v>
      </c>
      <c r="Q144" s="37">
        <v>2023</v>
      </c>
      <c r="R144" s="10" t="str">
        <f>IF(IFERROR(VLOOKUP(A144,Drank!A:S,15,FALSE),"")=0,"",IFERROR(VLOOKUP(A144,Drank!A:S,15,FALSE),""))</f>
        <v/>
      </c>
      <c r="S144" s="10" t="str">
        <f>IF(IFERROR(VLOOKUP(A144,Drank!A:S,16,FALSE),"")=0,"",IFERROR(VLOOKUP(A144,Drank!A:S,16,FALSE),""))</f>
        <v/>
      </c>
      <c r="T144" s="10"/>
      <c r="U144" s="37">
        <v>91</v>
      </c>
      <c r="V144" s="18" t="str">
        <f>IF(IFERROR(VLOOKUP(A144,Drank!A:T,19,FALSE),"")=0,"",IFERROR(VLOOKUP(A144,Drank!A:T,19,FALSE),""))</f>
        <v/>
      </c>
      <c r="W144" s="1" t="str">
        <f>IF(IFERROR(VLOOKUP(A144,Drank!A:T,20,FALSE),"")=0,"",IFERROR(VLOOKUP(A144,Drank!A:T,20,FALSE),""))</f>
        <v/>
      </c>
      <c r="X144" s="10">
        <f>SUMIF(A:A,A144,I:I)</f>
        <v>12</v>
      </c>
      <c r="Y144" s="10">
        <f>IF(Table1[[#This Row],[Drank]]&gt;0,VLOOKUP(Table1[[#This Row],[ID]],Drank!A:P,16,FALSE),IF(Table1[[#This Row],[WALDD]]&gt;0,VLOOKUP(Table1[[#This Row],[ID]],Wine1!A:Q,17,FALSE),Table1[[#This Row],[EP]]))</f>
        <v>2023</v>
      </c>
      <c r="Z144" s="18">
        <f>IF(Table1[[#This Row],[My Rating]]="",IF(Table1[[#This Row],[WA Rating Clean]]="","",Table1[[#This Row],[WA Rating Clean]]),Table1[[#This Row],[My Rating]])</f>
        <v>91</v>
      </c>
      <c r="AA144" s="37">
        <v>2020</v>
      </c>
      <c r="AB144" s="128">
        <v>16.28</v>
      </c>
      <c r="AC144" s="2">
        <f t="shared" ref="AC144" si="7">AB144*I144</f>
        <v>16.28</v>
      </c>
      <c r="AD144" s="8"/>
      <c r="AE144" s="61">
        <f>IF(Table1[[#This Row],[P/750]]&lt;20,1,IF(Table1[[#This Row],[P/750]]&lt;50,2,3))</f>
        <v>1</v>
      </c>
      <c r="AF144" s="61">
        <f>IF(Table1[[#This Row],[P/750]]&lt;Expenses!$C$30,1,IF(Table1[[#This Row],[P/750]]&lt;Expenses!$C$31,2,IF(Table1[[#This Row],[P/750]]&lt;Expenses!$C$32,3,4)))</f>
        <v>1</v>
      </c>
      <c r="AH144" s="37" t="s">
        <v>384</v>
      </c>
      <c r="AI144" s="11">
        <f>Table1[[#This Row],[Price]]/Table1[[#This Row],[Size (ml)]]*750</f>
        <v>16.28</v>
      </c>
      <c r="AJ144" s="37">
        <v>91</v>
      </c>
      <c r="AK144" s="10">
        <f>COUNTIF(UniqueID!A:A,Table1[[#This Row],[ID]])</f>
        <v>0</v>
      </c>
      <c r="AL144" s="10" t="str">
        <f>VLOOKUP(Table1[[#This Row],[Cellar Location]],Location!A:F,6,FALSE)</f>
        <v>W</v>
      </c>
      <c r="AN144" s="1">
        <v>44088</v>
      </c>
      <c r="AO144" s="10" t="str">
        <f>TEXT(Table1[[#This Row],[Purchased]],"mmmm")</f>
        <v>September</v>
      </c>
      <c r="AP144" s="10" t="str">
        <f>TEXT(Table1[[#This Row],[Purchased]],"yyyy")</f>
        <v>2020</v>
      </c>
      <c r="AQ144" s="1">
        <v>44133</v>
      </c>
    </row>
    <row r="145" spans="1:43" s="37" customFormat="1" x14ac:dyDescent="0.25">
      <c r="A145" s="37" t="str">
        <f t="shared" ref="A145:A155" si="8">CONCATENATE(B145,C145,D145)</f>
        <v>2011Diez-CaballeroReserva</v>
      </c>
      <c r="B145" s="37">
        <v>2011</v>
      </c>
      <c r="C145" s="8" t="s">
        <v>1216</v>
      </c>
      <c r="D145" s="37" t="s">
        <v>106</v>
      </c>
      <c r="E145" s="67" t="s">
        <v>1220</v>
      </c>
      <c r="F145" s="37" t="s">
        <v>729</v>
      </c>
      <c r="G145" s="37" t="s">
        <v>823</v>
      </c>
      <c r="I145" s="37">
        <v>1</v>
      </c>
      <c r="J145" s="38">
        <v>750</v>
      </c>
      <c r="K145" s="38" t="s">
        <v>384</v>
      </c>
      <c r="L145" s="10">
        <f>COUNTIF(Drank!A:A,Table1[[#This Row],[ID]])</f>
        <v>0</v>
      </c>
      <c r="M145" s="37" t="s">
        <v>202</v>
      </c>
      <c r="N145" s="37" t="s">
        <v>207</v>
      </c>
      <c r="O145" s="37">
        <v>1</v>
      </c>
      <c r="P145" s="37">
        <v>2018</v>
      </c>
      <c r="Q145" s="37">
        <v>2023</v>
      </c>
      <c r="R145" s="10" t="str">
        <f>IF(IFERROR(VLOOKUP(A145,Drank!A:S,15,FALSE),"")=0,"",IFERROR(VLOOKUP(A145,Drank!A:S,15,FALSE),""))</f>
        <v/>
      </c>
      <c r="S145" s="10" t="str">
        <f>IF(IFERROR(VLOOKUP(A145,Drank!A:S,16,FALSE),"")=0,"",IFERROR(VLOOKUP(A145,Drank!A:S,16,FALSE),""))</f>
        <v/>
      </c>
      <c r="T145" s="10"/>
      <c r="U145" s="37">
        <v>91</v>
      </c>
      <c r="V145" s="18" t="str">
        <f>IF(IFERROR(VLOOKUP(A145,Drank!A:T,19,FALSE),"")=0,"",IFERROR(VLOOKUP(A145,Drank!A:T,19,FALSE),""))</f>
        <v/>
      </c>
      <c r="W145" s="1" t="str">
        <f>IF(IFERROR(VLOOKUP(A145,Drank!A:T,20,FALSE),"")=0,"",IFERROR(VLOOKUP(A145,Drank!A:T,20,FALSE),""))</f>
        <v/>
      </c>
      <c r="X145" s="10">
        <f>SUMIF(A:A,A145,I:I)</f>
        <v>12</v>
      </c>
      <c r="Y145" s="10">
        <f>IF(Table1[[#This Row],[Drank]]&gt;0,VLOOKUP(Table1[[#This Row],[ID]],Drank!A:P,16,FALSE),IF(Table1[[#This Row],[WALDD]]&gt;0,VLOOKUP(Table1[[#This Row],[ID]],Wine1!A:Q,17,FALSE),Table1[[#This Row],[EP]]))</f>
        <v>2023</v>
      </c>
      <c r="Z145" s="18">
        <f>IF(Table1[[#This Row],[My Rating]]="",IF(Table1[[#This Row],[WA Rating Clean]]="","",Table1[[#This Row],[WA Rating Clean]]),Table1[[#This Row],[My Rating]])</f>
        <v>91</v>
      </c>
      <c r="AA145" s="37">
        <v>2021</v>
      </c>
      <c r="AB145" s="128">
        <v>16.28</v>
      </c>
      <c r="AC145" s="2">
        <f t="shared" ref="AC145:AC155" si="9">AB145*I145</f>
        <v>16.28</v>
      </c>
      <c r="AD145" s="8"/>
      <c r="AE145" s="61">
        <f>IF(Table1[[#This Row],[P/750]]&lt;20,1,IF(Table1[[#This Row],[P/750]]&lt;50,2,3))</f>
        <v>1</v>
      </c>
      <c r="AF145" s="61">
        <f>IF(Table1[[#This Row],[P/750]]&lt;Expenses!$C$30,1,IF(Table1[[#This Row],[P/750]]&lt;Expenses!$C$31,2,IF(Table1[[#This Row],[P/750]]&lt;Expenses!$C$32,3,4)))</f>
        <v>1</v>
      </c>
      <c r="AH145" s="37" t="s">
        <v>384</v>
      </c>
      <c r="AI145" s="11">
        <f>Table1[[#This Row],[Price]]/Table1[[#This Row],[Size (ml)]]*750</f>
        <v>16.28</v>
      </c>
      <c r="AJ145" s="37">
        <v>91</v>
      </c>
      <c r="AK145" s="10">
        <f>COUNTIF(UniqueID!A:A,Table1[[#This Row],[ID]])</f>
        <v>0</v>
      </c>
      <c r="AL145" s="10" t="str">
        <f>VLOOKUP(Table1[[#This Row],[Cellar Location]],Location!A:F,6,FALSE)</f>
        <v>W</v>
      </c>
      <c r="AN145" s="1">
        <v>44088</v>
      </c>
      <c r="AO145" s="10" t="str">
        <f>TEXT(Table1[[#This Row],[Purchased]],"mmmm")</f>
        <v>September</v>
      </c>
      <c r="AP145" s="10" t="str">
        <f>TEXT(Table1[[#This Row],[Purchased]],"yyyy")</f>
        <v>2020</v>
      </c>
      <c r="AQ145" s="1">
        <v>44133</v>
      </c>
    </row>
    <row r="146" spans="1:43" s="37" customFormat="1" x14ac:dyDescent="0.25">
      <c r="A146" s="37" t="str">
        <f t="shared" si="8"/>
        <v>2011Diez-CaballeroReserva</v>
      </c>
      <c r="B146" s="37">
        <v>2011</v>
      </c>
      <c r="C146" s="8" t="s">
        <v>1216</v>
      </c>
      <c r="D146" s="37" t="s">
        <v>106</v>
      </c>
      <c r="E146" s="67" t="s">
        <v>1220</v>
      </c>
      <c r="F146" s="37" t="s">
        <v>729</v>
      </c>
      <c r="G146" s="37" t="s">
        <v>823</v>
      </c>
      <c r="I146" s="37">
        <v>1</v>
      </c>
      <c r="J146" s="38">
        <v>750</v>
      </c>
      <c r="K146" s="38" t="s">
        <v>384</v>
      </c>
      <c r="L146" s="10">
        <f>COUNTIF(Drank!A:A,Table1[[#This Row],[ID]])</f>
        <v>0</v>
      </c>
      <c r="M146" s="37" t="s">
        <v>202</v>
      </c>
      <c r="N146" s="37" t="s">
        <v>207</v>
      </c>
      <c r="O146" s="37">
        <v>1</v>
      </c>
      <c r="P146" s="37">
        <v>2018</v>
      </c>
      <c r="Q146" s="37">
        <v>2023</v>
      </c>
      <c r="R146" s="10" t="str">
        <f>IF(IFERROR(VLOOKUP(A146,Drank!A:S,15,FALSE),"")=0,"",IFERROR(VLOOKUP(A146,Drank!A:S,15,FALSE),""))</f>
        <v/>
      </c>
      <c r="S146" s="10" t="str">
        <f>IF(IFERROR(VLOOKUP(A146,Drank!A:S,16,FALSE),"")=0,"",IFERROR(VLOOKUP(A146,Drank!A:S,16,FALSE),""))</f>
        <v/>
      </c>
      <c r="T146" s="10"/>
      <c r="U146" s="37">
        <v>91</v>
      </c>
      <c r="V146" s="18" t="str">
        <f>IF(IFERROR(VLOOKUP(A146,Drank!A:T,19,FALSE),"")=0,"",IFERROR(VLOOKUP(A146,Drank!A:T,19,FALSE),""))</f>
        <v/>
      </c>
      <c r="W146" s="1" t="str">
        <f>IF(IFERROR(VLOOKUP(A146,Drank!A:T,20,FALSE),"")=0,"",IFERROR(VLOOKUP(A146,Drank!A:T,20,FALSE),""))</f>
        <v/>
      </c>
      <c r="X146" s="10">
        <f>SUMIF(A:A,A146,I:I)</f>
        <v>12</v>
      </c>
      <c r="Y146" s="10">
        <f>IF(Table1[[#This Row],[Drank]]&gt;0,VLOOKUP(Table1[[#This Row],[ID]],Drank!A:P,16,FALSE),IF(Table1[[#This Row],[WALDD]]&gt;0,VLOOKUP(Table1[[#This Row],[ID]],Wine1!A:Q,17,FALSE),Table1[[#This Row],[EP]]))</f>
        <v>2023</v>
      </c>
      <c r="Z146" s="18">
        <f>IF(Table1[[#This Row],[My Rating]]="",IF(Table1[[#This Row],[WA Rating Clean]]="","",Table1[[#This Row],[WA Rating Clean]]),Table1[[#This Row],[My Rating]])</f>
        <v>91</v>
      </c>
      <c r="AA146" s="37">
        <v>2021</v>
      </c>
      <c r="AB146" s="128">
        <v>16.28</v>
      </c>
      <c r="AC146" s="2">
        <f t="shared" si="9"/>
        <v>16.28</v>
      </c>
      <c r="AD146" s="8"/>
      <c r="AE146" s="61">
        <f>IF(Table1[[#This Row],[P/750]]&lt;20,1,IF(Table1[[#This Row],[P/750]]&lt;50,2,3))</f>
        <v>1</v>
      </c>
      <c r="AF146" s="61">
        <f>IF(Table1[[#This Row],[P/750]]&lt;Expenses!$C$30,1,IF(Table1[[#This Row],[P/750]]&lt;Expenses!$C$31,2,IF(Table1[[#This Row],[P/750]]&lt;Expenses!$C$32,3,4)))</f>
        <v>1</v>
      </c>
      <c r="AH146" s="37" t="s">
        <v>384</v>
      </c>
      <c r="AI146" s="11">
        <f>Table1[[#This Row],[Price]]/Table1[[#This Row],[Size (ml)]]*750</f>
        <v>16.28</v>
      </c>
      <c r="AJ146" s="37">
        <v>91</v>
      </c>
      <c r="AK146" s="10">
        <f>COUNTIF(UniqueID!A:A,Table1[[#This Row],[ID]])</f>
        <v>0</v>
      </c>
      <c r="AL146" s="10" t="str">
        <f>VLOOKUP(Table1[[#This Row],[Cellar Location]],Location!A:F,6,FALSE)</f>
        <v>W</v>
      </c>
      <c r="AN146" s="1">
        <v>44088</v>
      </c>
      <c r="AO146" s="10" t="str">
        <f>TEXT(Table1[[#This Row],[Purchased]],"mmmm")</f>
        <v>September</v>
      </c>
      <c r="AP146" s="10" t="str">
        <f>TEXT(Table1[[#This Row],[Purchased]],"yyyy")</f>
        <v>2020</v>
      </c>
      <c r="AQ146" s="1">
        <v>44133</v>
      </c>
    </row>
    <row r="147" spans="1:43" s="37" customFormat="1" x14ac:dyDescent="0.25">
      <c r="A147" s="37" t="str">
        <f t="shared" si="8"/>
        <v>2011Diez-CaballeroReserva</v>
      </c>
      <c r="B147" s="37">
        <v>2011</v>
      </c>
      <c r="C147" s="8" t="s">
        <v>1216</v>
      </c>
      <c r="D147" s="37" t="s">
        <v>106</v>
      </c>
      <c r="E147" s="67" t="s">
        <v>1220</v>
      </c>
      <c r="F147" s="37" t="s">
        <v>729</v>
      </c>
      <c r="G147" s="37" t="s">
        <v>823</v>
      </c>
      <c r="I147" s="37">
        <v>1</v>
      </c>
      <c r="J147" s="38">
        <v>750</v>
      </c>
      <c r="K147" s="38" t="s">
        <v>384</v>
      </c>
      <c r="L147" s="10">
        <f>COUNTIF(Drank!A:A,Table1[[#This Row],[ID]])</f>
        <v>0</v>
      </c>
      <c r="M147" s="37" t="s">
        <v>202</v>
      </c>
      <c r="N147" s="37" t="s">
        <v>207</v>
      </c>
      <c r="O147" s="37">
        <v>1</v>
      </c>
      <c r="P147" s="37">
        <v>2018</v>
      </c>
      <c r="Q147" s="37">
        <v>2023</v>
      </c>
      <c r="R147" s="10" t="str">
        <f>IF(IFERROR(VLOOKUP(A147,Drank!A:S,15,FALSE),"")=0,"",IFERROR(VLOOKUP(A147,Drank!A:S,15,FALSE),""))</f>
        <v/>
      </c>
      <c r="S147" s="10" t="str">
        <f>IF(IFERROR(VLOOKUP(A147,Drank!A:S,16,FALSE),"")=0,"",IFERROR(VLOOKUP(A147,Drank!A:S,16,FALSE),""))</f>
        <v/>
      </c>
      <c r="T147" s="10"/>
      <c r="U147" s="37">
        <v>91</v>
      </c>
      <c r="V147" s="18" t="str">
        <f>IF(IFERROR(VLOOKUP(A147,Drank!A:T,19,FALSE),"")=0,"",IFERROR(VLOOKUP(A147,Drank!A:T,19,FALSE),""))</f>
        <v/>
      </c>
      <c r="W147" s="1" t="str">
        <f>IF(IFERROR(VLOOKUP(A147,Drank!A:T,20,FALSE),"")=0,"",IFERROR(VLOOKUP(A147,Drank!A:T,20,FALSE),""))</f>
        <v/>
      </c>
      <c r="X147" s="10">
        <f>SUMIF(A:A,A147,I:I)</f>
        <v>12</v>
      </c>
      <c r="Y147" s="10">
        <f>IF(Table1[[#This Row],[Drank]]&gt;0,VLOOKUP(Table1[[#This Row],[ID]],Drank!A:P,16,FALSE),IF(Table1[[#This Row],[WALDD]]&gt;0,VLOOKUP(Table1[[#This Row],[ID]],Wine1!A:Q,17,FALSE),Table1[[#This Row],[EP]]))</f>
        <v>2023</v>
      </c>
      <c r="Z147" s="18">
        <f>IF(Table1[[#This Row],[My Rating]]="",IF(Table1[[#This Row],[WA Rating Clean]]="","",Table1[[#This Row],[WA Rating Clean]]),Table1[[#This Row],[My Rating]])</f>
        <v>91</v>
      </c>
      <c r="AA147" s="37">
        <v>2021</v>
      </c>
      <c r="AB147" s="128">
        <v>16.28</v>
      </c>
      <c r="AC147" s="2">
        <f t="shared" si="9"/>
        <v>16.28</v>
      </c>
      <c r="AD147" s="8"/>
      <c r="AE147" s="61">
        <f>IF(Table1[[#This Row],[P/750]]&lt;20,1,IF(Table1[[#This Row],[P/750]]&lt;50,2,3))</f>
        <v>1</v>
      </c>
      <c r="AF147" s="61">
        <f>IF(Table1[[#This Row],[P/750]]&lt;Expenses!$C$30,1,IF(Table1[[#This Row],[P/750]]&lt;Expenses!$C$31,2,IF(Table1[[#This Row],[P/750]]&lt;Expenses!$C$32,3,4)))</f>
        <v>1</v>
      </c>
      <c r="AH147" s="37" t="s">
        <v>384</v>
      </c>
      <c r="AI147" s="11">
        <f>Table1[[#This Row],[Price]]/Table1[[#This Row],[Size (ml)]]*750</f>
        <v>16.28</v>
      </c>
      <c r="AJ147" s="37">
        <v>91</v>
      </c>
      <c r="AK147" s="10">
        <f>COUNTIF(UniqueID!A:A,Table1[[#This Row],[ID]])</f>
        <v>0</v>
      </c>
      <c r="AL147" s="10" t="str">
        <f>VLOOKUP(Table1[[#This Row],[Cellar Location]],Location!A:F,6,FALSE)</f>
        <v>W</v>
      </c>
      <c r="AN147" s="1">
        <v>44088</v>
      </c>
      <c r="AO147" s="10" t="str">
        <f>TEXT(Table1[[#This Row],[Purchased]],"mmmm")</f>
        <v>September</v>
      </c>
      <c r="AP147" s="10" t="str">
        <f>TEXT(Table1[[#This Row],[Purchased]],"yyyy")</f>
        <v>2020</v>
      </c>
      <c r="AQ147" s="1">
        <v>44133</v>
      </c>
    </row>
    <row r="148" spans="1:43" s="37" customFormat="1" x14ac:dyDescent="0.25">
      <c r="A148" s="37" t="str">
        <f t="shared" si="8"/>
        <v>2011Diez-CaballeroReserva</v>
      </c>
      <c r="B148" s="37">
        <v>2011</v>
      </c>
      <c r="C148" s="8" t="s">
        <v>1216</v>
      </c>
      <c r="D148" s="37" t="s">
        <v>106</v>
      </c>
      <c r="E148" s="67" t="s">
        <v>1220</v>
      </c>
      <c r="F148" s="37" t="s">
        <v>729</v>
      </c>
      <c r="G148" s="37" t="s">
        <v>823</v>
      </c>
      <c r="I148" s="37">
        <v>1</v>
      </c>
      <c r="J148" s="38">
        <v>750</v>
      </c>
      <c r="K148" s="38" t="s">
        <v>384</v>
      </c>
      <c r="L148" s="10">
        <f>COUNTIF(Drank!A:A,Table1[[#This Row],[ID]])</f>
        <v>0</v>
      </c>
      <c r="M148" s="37" t="s">
        <v>202</v>
      </c>
      <c r="N148" s="37" t="s">
        <v>207</v>
      </c>
      <c r="O148" s="37">
        <v>1</v>
      </c>
      <c r="P148" s="37">
        <v>2018</v>
      </c>
      <c r="Q148" s="37">
        <v>2023</v>
      </c>
      <c r="R148" s="10" t="str">
        <f>IF(IFERROR(VLOOKUP(A148,Drank!A:S,15,FALSE),"")=0,"",IFERROR(VLOOKUP(A148,Drank!A:S,15,FALSE),""))</f>
        <v/>
      </c>
      <c r="S148" s="10" t="str">
        <f>IF(IFERROR(VLOOKUP(A148,Drank!A:S,16,FALSE),"")=0,"",IFERROR(VLOOKUP(A148,Drank!A:S,16,FALSE),""))</f>
        <v/>
      </c>
      <c r="T148" s="10"/>
      <c r="U148" s="37">
        <v>91</v>
      </c>
      <c r="V148" s="18" t="str">
        <f>IF(IFERROR(VLOOKUP(A148,Drank!A:T,19,FALSE),"")=0,"",IFERROR(VLOOKUP(A148,Drank!A:T,19,FALSE),""))</f>
        <v/>
      </c>
      <c r="W148" s="1" t="str">
        <f>IF(IFERROR(VLOOKUP(A148,Drank!A:T,20,FALSE),"")=0,"",IFERROR(VLOOKUP(A148,Drank!A:T,20,FALSE),""))</f>
        <v/>
      </c>
      <c r="X148" s="10">
        <f>SUMIF(A:A,A148,I:I)</f>
        <v>12</v>
      </c>
      <c r="Y148" s="10">
        <f>IF(Table1[[#This Row],[Drank]]&gt;0,VLOOKUP(Table1[[#This Row],[ID]],Drank!A:P,16,FALSE),IF(Table1[[#This Row],[WALDD]]&gt;0,VLOOKUP(Table1[[#This Row],[ID]],Wine1!A:Q,17,FALSE),Table1[[#This Row],[EP]]))</f>
        <v>2023</v>
      </c>
      <c r="Z148" s="18">
        <f>IF(Table1[[#This Row],[My Rating]]="",IF(Table1[[#This Row],[WA Rating Clean]]="","",Table1[[#This Row],[WA Rating Clean]]),Table1[[#This Row],[My Rating]])</f>
        <v>91</v>
      </c>
      <c r="AA148" s="37">
        <v>2021</v>
      </c>
      <c r="AB148" s="128">
        <v>16.28</v>
      </c>
      <c r="AC148" s="2">
        <f t="shared" si="9"/>
        <v>16.28</v>
      </c>
      <c r="AD148" s="8"/>
      <c r="AE148" s="61">
        <f>IF(Table1[[#This Row],[P/750]]&lt;20,1,IF(Table1[[#This Row],[P/750]]&lt;50,2,3))</f>
        <v>1</v>
      </c>
      <c r="AF148" s="61">
        <f>IF(Table1[[#This Row],[P/750]]&lt;Expenses!$C$30,1,IF(Table1[[#This Row],[P/750]]&lt;Expenses!$C$31,2,IF(Table1[[#This Row],[P/750]]&lt;Expenses!$C$32,3,4)))</f>
        <v>1</v>
      </c>
      <c r="AH148" s="37" t="s">
        <v>384</v>
      </c>
      <c r="AI148" s="11">
        <f>Table1[[#This Row],[Price]]/Table1[[#This Row],[Size (ml)]]*750</f>
        <v>16.28</v>
      </c>
      <c r="AJ148" s="37">
        <v>91</v>
      </c>
      <c r="AK148" s="10">
        <f>COUNTIF(UniqueID!A:A,Table1[[#This Row],[ID]])</f>
        <v>0</v>
      </c>
      <c r="AL148" s="10" t="str">
        <f>VLOOKUP(Table1[[#This Row],[Cellar Location]],Location!A:F,6,FALSE)</f>
        <v>W</v>
      </c>
      <c r="AN148" s="1">
        <v>44088</v>
      </c>
      <c r="AO148" s="10" t="str">
        <f>TEXT(Table1[[#This Row],[Purchased]],"mmmm")</f>
        <v>September</v>
      </c>
      <c r="AP148" s="10" t="str">
        <f>TEXT(Table1[[#This Row],[Purchased]],"yyyy")</f>
        <v>2020</v>
      </c>
      <c r="AQ148" s="1">
        <v>44133</v>
      </c>
    </row>
    <row r="149" spans="1:43" s="37" customFormat="1" x14ac:dyDescent="0.25">
      <c r="A149" s="37" t="str">
        <f t="shared" si="8"/>
        <v>2011Diez-CaballeroReserva</v>
      </c>
      <c r="B149" s="37">
        <v>2011</v>
      </c>
      <c r="C149" s="8" t="s">
        <v>1216</v>
      </c>
      <c r="D149" s="37" t="s">
        <v>106</v>
      </c>
      <c r="E149" s="67" t="s">
        <v>1220</v>
      </c>
      <c r="F149" s="37" t="s">
        <v>729</v>
      </c>
      <c r="G149" s="37" t="s">
        <v>823</v>
      </c>
      <c r="I149" s="37">
        <v>1</v>
      </c>
      <c r="J149" s="38">
        <v>750</v>
      </c>
      <c r="K149" s="38" t="s">
        <v>384</v>
      </c>
      <c r="L149" s="10">
        <f>COUNTIF(Drank!A:A,Table1[[#This Row],[ID]])</f>
        <v>0</v>
      </c>
      <c r="M149" s="37" t="s">
        <v>202</v>
      </c>
      <c r="N149" s="37" t="s">
        <v>207</v>
      </c>
      <c r="O149" s="37">
        <v>1</v>
      </c>
      <c r="P149" s="37">
        <v>2018</v>
      </c>
      <c r="Q149" s="37">
        <v>2023</v>
      </c>
      <c r="R149" s="10" t="str">
        <f>IF(IFERROR(VLOOKUP(A149,Drank!A:S,15,FALSE),"")=0,"",IFERROR(VLOOKUP(A149,Drank!A:S,15,FALSE),""))</f>
        <v/>
      </c>
      <c r="S149" s="10" t="str">
        <f>IF(IFERROR(VLOOKUP(A149,Drank!A:S,16,FALSE),"")=0,"",IFERROR(VLOOKUP(A149,Drank!A:S,16,FALSE),""))</f>
        <v/>
      </c>
      <c r="T149" s="10"/>
      <c r="U149" s="37">
        <v>91</v>
      </c>
      <c r="V149" s="18" t="str">
        <f>IF(IFERROR(VLOOKUP(A149,Drank!A:T,19,FALSE),"")=0,"",IFERROR(VLOOKUP(A149,Drank!A:T,19,FALSE),""))</f>
        <v/>
      </c>
      <c r="W149" s="1" t="str">
        <f>IF(IFERROR(VLOOKUP(A149,Drank!A:T,20,FALSE),"")=0,"",IFERROR(VLOOKUP(A149,Drank!A:T,20,FALSE),""))</f>
        <v/>
      </c>
      <c r="X149" s="10">
        <f>SUMIF(A:A,A149,I:I)</f>
        <v>12</v>
      </c>
      <c r="Y149" s="10">
        <f>IF(Table1[[#This Row],[Drank]]&gt;0,VLOOKUP(Table1[[#This Row],[ID]],Drank!A:P,16,FALSE),IF(Table1[[#This Row],[WALDD]]&gt;0,VLOOKUP(Table1[[#This Row],[ID]],Wine1!A:Q,17,FALSE),Table1[[#This Row],[EP]]))</f>
        <v>2023</v>
      </c>
      <c r="Z149" s="18">
        <f>IF(Table1[[#This Row],[My Rating]]="",IF(Table1[[#This Row],[WA Rating Clean]]="","",Table1[[#This Row],[WA Rating Clean]]),Table1[[#This Row],[My Rating]])</f>
        <v>91</v>
      </c>
      <c r="AA149" s="37">
        <v>2022</v>
      </c>
      <c r="AB149" s="128">
        <v>16.28</v>
      </c>
      <c r="AC149" s="2">
        <f t="shared" si="9"/>
        <v>16.28</v>
      </c>
      <c r="AD149" s="8"/>
      <c r="AE149" s="61">
        <f>IF(Table1[[#This Row],[P/750]]&lt;20,1,IF(Table1[[#This Row],[P/750]]&lt;50,2,3))</f>
        <v>1</v>
      </c>
      <c r="AF149" s="61">
        <f>IF(Table1[[#This Row],[P/750]]&lt;Expenses!$C$30,1,IF(Table1[[#This Row],[P/750]]&lt;Expenses!$C$31,2,IF(Table1[[#This Row],[P/750]]&lt;Expenses!$C$32,3,4)))</f>
        <v>1</v>
      </c>
      <c r="AH149" s="37" t="s">
        <v>384</v>
      </c>
      <c r="AI149" s="11">
        <f>Table1[[#This Row],[Price]]/Table1[[#This Row],[Size (ml)]]*750</f>
        <v>16.28</v>
      </c>
      <c r="AJ149" s="37">
        <v>91</v>
      </c>
      <c r="AK149" s="10">
        <f>COUNTIF(UniqueID!A:A,Table1[[#This Row],[ID]])</f>
        <v>0</v>
      </c>
      <c r="AL149" s="10" t="str">
        <f>VLOOKUP(Table1[[#This Row],[Cellar Location]],Location!A:F,6,FALSE)</f>
        <v>W</v>
      </c>
      <c r="AN149" s="1">
        <v>44088</v>
      </c>
      <c r="AO149" s="10" t="str">
        <f>TEXT(Table1[[#This Row],[Purchased]],"mmmm")</f>
        <v>September</v>
      </c>
      <c r="AP149" s="10" t="str">
        <f>TEXT(Table1[[#This Row],[Purchased]],"yyyy")</f>
        <v>2020</v>
      </c>
      <c r="AQ149" s="1">
        <v>44133</v>
      </c>
    </row>
    <row r="150" spans="1:43" s="37" customFormat="1" x14ac:dyDescent="0.25">
      <c r="A150" s="37" t="str">
        <f t="shared" si="8"/>
        <v>2011Diez-CaballeroReserva</v>
      </c>
      <c r="B150" s="37">
        <v>2011</v>
      </c>
      <c r="C150" s="8" t="s">
        <v>1216</v>
      </c>
      <c r="D150" s="37" t="s">
        <v>106</v>
      </c>
      <c r="E150" s="67" t="s">
        <v>1220</v>
      </c>
      <c r="F150" s="37" t="s">
        <v>729</v>
      </c>
      <c r="G150" s="37" t="s">
        <v>823</v>
      </c>
      <c r="I150" s="37">
        <v>1</v>
      </c>
      <c r="J150" s="38">
        <v>750</v>
      </c>
      <c r="K150" s="38" t="s">
        <v>384</v>
      </c>
      <c r="L150" s="10">
        <f>COUNTIF(Drank!A:A,Table1[[#This Row],[ID]])</f>
        <v>0</v>
      </c>
      <c r="M150" s="37" t="s">
        <v>202</v>
      </c>
      <c r="N150" s="37" t="s">
        <v>207</v>
      </c>
      <c r="O150" s="37">
        <v>1</v>
      </c>
      <c r="P150" s="37">
        <v>2018</v>
      </c>
      <c r="Q150" s="37">
        <v>2023</v>
      </c>
      <c r="R150" s="10" t="str">
        <f>IF(IFERROR(VLOOKUP(A150,Drank!A:S,15,FALSE),"")=0,"",IFERROR(VLOOKUP(A150,Drank!A:S,15,FALSE),""))</f>
        <v/>
      </c>
      <c r="S150" s="10" t="str">
        <f>IF(IFERROR(VLOOKUP(A150,Drank!A:S,16,FALSE),"")=0,"",IFERROR(VLOOKUP(A150,Drank!A:S,16,FALSE),""))</f>
        <v/>
      </c>
      <c r="T150" s="10"/>
      <c r="U150" s="37">
        <v>91</v>
      </c>
      <c r="V150" s="18" t="str">
        <f>IF(IFERROR(VLOOKUP(A150,Drank!A:T,19,FALSE),"")=0,"",IFERROR(VLOOKUP(A150,Drank!A:T,19,FALSE),""))</f>
        <v/>
      </c>
      <c r="W150" s="1" t="str">
        <f>IF(IFERROR(VLOOKUP(A150,Drank!A:T,20,FALSE),"")=0,"",IFERROR(VLOOKUP(A150,Drank!A:T,20,FALSE),""))</f>
        <v/>
      </c>
      <c r="X150" s="10">
        <f>SUMIF(A:A,A150,I:I)</f>
        <v>12</v>
      </c>
      <c r="Y150" s="10">
        <f>IF(Table1[[#This Row],[Drank]]&gt;0,VLOOKUP(Table1[[#This Row],[ID]],Drank!A:P,16,FALSE),IF(Table1[[#This Row],[WALDD]]&gt;0,VLOOKUP(Table1[[#This Row],[ID]],Wine1!A:Q,17,FALSE),Table1[[#This Row],[EP]]))</f>
        <v>2023</v>
      </c>
      <c r="Z150" s="18">
        <f>IF(Table1[[#This Row],[My Rating]]="",IF(Table1[[#This Row],[WA Rating Clean]]="","",Table1[[#This Row],[WA Rating Clean]]),Table1[[#This Row],[My Rating]])</f>
        <v>91</v>
      </c>
      <c r="AA150" s="37">
        <v>2022</v>
      </c>
      <c r="AB150" s="128">
        <v>16.28</v>
      </c>
      <c r="AC150" s="2">
        <f t="shared" si="9"/>
        <v>16.28</v>
      </c>
      <c r="AD150" s="8"/>
      <c r="AE150" s="61">
        <f>IF(Table1[[#This Row],[P/750]]&lt;20,1,IF(Table1[[#This Row],[P/750]]&lt;50,2,3))</f>
        <v>1</v>
      </c>
      <c r="AF150" s="61">
        <f>IF(Table1[[#This Row],[P/750]]&lt;Expenses!$C$30,1,IF(Table1[[#This Row],[P/750]]&lt;Expenses!$C$31,2,IF(Table1[[#This Row],[P/750]]&lt;Expenses!$C$32,3,4)))</f>
        <v>1</v>
      </c>
      <c r="AH150" s="37" t="s">
        <v>384</v>
      </c>
      <c r="AI150" s="11">
        <f>Table1[[#This Row],[Price]]/Table1[[#This Row],[Size (ml)]]*750</f>
        <v>16.28</v>
      </c>
      <c r="AJ150" s="37">
        <v>91</v>
      </c>
      <c r="AK150" s="10">
        <f>COUNTIF(UniqueID!A:A,Table1[[#This Row],[ID]])</f>
        <v>0</v>
      </c>
      <c r="AL150" s="10" t="str">
        <f>VLOOKUP(Table1[[#This Row],[Cellar Location]],Location!A:F,6,FALSE)</f>
        <v>W</v>
      </c>
      <c r="AN150" s="1">
        <v>44088</v>
      </c>
      <c r="AO150" s="10" t="str">
        <f>TEXT(Table1[[#This Row],[Purchased]],"mmmm")</f>
        <v>September</v>
      </c>
      <c r="AP150" s="10" t="str">
        <f>TEXT(Table1[[#This Row],[Purchased]],"yyyy")</f>
        <v>2020</v>
      </c>
      <c r="AQ150" s="1">
        <v>44133</v>
      </c>
    </row>
    <row r="151" spans="1:43" s="37" customFormat="1" x14ac:dyDescent="0.25">
      <c r="A151" s="37" t="str">
        <f t="shared" si="8"/>
        <v>2011Diez-CaballeroReserva</v>
      </c>
      <c r="B151" s="37">
        <v>2011</v>
      </c>
      <c r="C151" s="8" t="s">
        <v>1216</v>
      </c>
      <c r="D151" s="37" t="s">
        <v>106</v>
      </c>
      <c r="E151" s="67" t="s">
        <v>1220</v>
      </c>
      <c r="F151" s="37" t="s">
        <v>729</v>
      </c>
      <c r="G151" s="37" t="s">
        <v>823</v>
      </c>
      <c r="I151" s="37">
        <v>1</v>
      </c>
      <c r="J151" s="38">
        <v>750</v>
      </c>
      <c r="K151" s="38" t="s">
        <v>384</v>
      </c>
      <c r="L151" s="10">
        <f>COUNTIF(Drank!A:A,Table1[[#This Row],[ID]])</f>
        <v>0</v>
      </c>
      <c r="M151" s="37" t="s">
        <v>202</v>
      </c>
      <c r="N151" s="37" t="s">
        <v>207</v>
      </c>
      <c r="O151" s="37">
        <v>1</v>
      </c>
      <c r="P151" s="37">
        <v>2018</v>
      </c>
      <c r="Q151" s="37">
        <v>2023</v>
      </c>
      <c r="R151" s="10" t="str">
        <f>IF(IFERROR(VLOOKUP(A151,Drank!A:S,15,FALSE),"")=0,"",IFERROR(VLOOKUP(A151,Drank!A:S,15,FALSE),""))</f>
        <v/>
      </c>
      <c r="S151" s="10" t="str">
        <f>IF(IFERROR(VLOOKUP(A151,Drank!A:S,16,FALSE),"")=0,"",IFERROR(VLOOKUP(A151,Drank!A:S,16,FALSE),""))</f>
        <v/>
      </c>
      <c r="T151" s="10"/>
      <c r="U151" s="37">
        <v>91</v>
      </c>
      <c r="V151" s="18" t="str">
        <f>IF(IFERROR(VLOOKUP(A151,Drank!A:T,19,FALSE),"")=0,"",IFERROR(VLOOKUP(A151,Drank!A:T,19,FALSE),""))</f>
        <v/>
      </c>
      <c r="W151" s="1" t="str">
        <f>IF(IFERROR(VLOOKUP(A151,Drank!A:T,20,FALSE),"")=0,"",IFERROR(VLOOKUP(A151,Drank!A:T,20,FALSE),""))</f>
        <v/>
      </c>
      <c r="X151" s="10">
        <f>SUMIF(A:A,A151,I:I)</f>
        <v>12</v>
      </c>
      <c r="Y151" s="10">
        <f>IF(Table1[[#This Row],[Drank]]&gt;0,VLOOKUP(Table1[[#This Row],[ID]],Drank!A:P,16,FALSE),IF(Table1[[#This Row],[WALDD]]&gt;0,VLOOKUP(Table1[[#This Row],[ID]],Wine1!A:Q,17,FALSE),Table1[[#This Row],[EP]]))</f>
        <v>2023</v>
      </c>
      <c r="Z151" s="18">
        <f>IF(Table1[[#This Row],[My Rating]]="",IF(Table1[[#This Row],[WA Rating Clean]]="","",Table1[[#This Row],[WA Rating Clean]]),Table1[[#This Row],[My Rating]])</f>
        <v>91</v>
      </c>
      <c r="AA151" s="37">
        <v>2022</v>
      </c>
      <c r="AB151" s="128">
        <v>16.28</v>
      </c>
      <c r="AC151" s="2">
        <f t="shared" si="9"/>
        <v>16.28</v>
      </c>
      <c r="AD151" s="8"/>
      <c r="AE151" s="61">
        <f>IF(Table1[[#This Row],[P/750]]&lt;20,1,IF(Table1[[#This Row],[P/750]]&lt;50,2,3))</f>
        <v>1</v>
      </c>
      <c r="AF151" s="61">
        <f>IF(Table1[[#This Row],[P/750]]&lt;Expenses!$C$30,1,IF(Table1[[#This Row],[P/750]]&lt;Expenses!$C$31,2,IF(Table1[[#This Row],[P/750]]&lt;Expenses!$C$32,3,4)))</f>
        <v>1</v>
      </c>
      <c r="AH151" s="37" t="s">
        <v>384</v>
      </c>
      <c r="AI151" s="11">
        <f>Table1[[#This Row],[Price]]/Table1[[#This Row],[Size (ml)]]*750</f>
        <v>16.28</v>
      </c>
      <c r="AJ151" s="37">
        <v>91</v>
      </c>
      <c r="AK151" s="10">
        <f>COUNTIF(UniqueID!A:A,Table1[[#This Row],[ID]])</f>
        <v>0</v>
      </c>
      <c r="AL151" s="10" t="str">
        <f>VLOOKUP(Table1[[#This Row],[Cellar Location]],Location!A:F,6,FALSE)</f>
        <v>W</v>
      </c>
      <c r="AN151" s="1">
        <v>44088</v>
      </c>
      <c r="AO151" s="10" t="str">
        <f>TEXT(Table1[[#This Row],[Purchased]],"mmmm")</f>
        <v>September</v>
      </c>
      <c r="AP151" s="10" t="str">
        <f>TEXT(Table1[[#This Row],[Purchased]],"yyyy")</f>
        <v>2020</v>
      </c>
      <c r="AQ151" s="1">
        <v>44133</v>
      </c>
    </row>
    <row r="152" spans="1:43" s="37" customFormat="1" x14ac:dyDescent="0.25">
      <c r="A152" s="37" t="str">
        <f t="shared" si="8"/>
        <v>2011Diez-CaballeroReserva</v>
      </c>
      <c r="B152" s="37">
        <v>2011</v>
      </c>
      <c r="C152" s="8" t="s">
        <v>1216</v>
      </c>
      <c r="D152" s="37" t="s">
        <v>106</v>
      </c>
      <c r="E152" s="67" t="s">
        <v>1220</v>
      </c>
      <c r="F152" s="37" t="s">
        <v>729</v>
      </c>
      <c r="G152" s="37" t="s">
        <v>823</v>
      </c>
      <c r="I152" s="37">
        <v>1</v>
      </c>
      <c r="J152" s="38">
        <v>750</v>
      </c>
      <c r="K152" s="38" t="s">
        <v>384</v>
      </c>
      <c r="L152" s="10">
        <f>COUNTIF(Drank!A:A,Table1[[#This Row],[ID]])</f>
        <v>0</v>
      </c>
      <c r="M152" s="37" t="s">
        <v>202</v>
      </c>
      <c r="N152" s="37" t="s">
        <v>207</v>
      </c>
      <c r="O152" s="37">
        <v>1</v>
      </c>
      <c r="P152" s="37">
        <v>2018</v>
      </c>
      <c r="Q152" s="37">
        <v>2023</v>
      </c>
      <c r="R152" s="10" t="str">
        <f>IF(IFERROR(VLOOKUP(A152,Drank!A:S,15,FALSE),"")=0,"",IFERROR(VLOOKUP(A152,Drank!A:S,15,FALSE),""))</f>
        <v/>
      </c>
      <c r="S152" s="10" t="str">
        <f>IF(IFERROR(VLOOKUP(A152,Drank!A:S,16,FALSE),"")=0,"",IFERROR(VLOOKUP(A152,Drank!A:S,16,FALSE),""))</f>
        <v/>
      </c>
      <c r="T152" s="10"/>
      <c r="U152" s="37">
        <v>91</v>
      </c>
      <c r="V152" s="18" t="str">
        <f>IF(IFERROR(VLOOKUP(A152,Drank!A:T,19,FALSE),"")=0,"",IFERROR(VLOOKUP(A152,Drank!A:T,19,FALSE),""))</f>
        <v/>
      </c>
      <c r="W152" s="1" t="str">
        <f>IF(IFERROR(VLOOKUP(A152,Drank!A:T,20,FALSE),"")=0,"",IFERROR(VLOOKUP(A152,Drank!A:T,20,FALSE),""))</f>
        <v/>
      </c>
      <c r="X152" s="10">
        <f>SUMIF(A:A,A152,I:I)</f>
        <v>12</v>
      </c>
      <c r="Y152" s="10">
        <f>IF(Table1[[#This Row],[Drank]]&gt;0,VLOOKUP(Table1[[#This Row],[ID]],Drank!A:P,16,FALSE),IF(Table1[[#This Row],[WALDD]]&gt;0,VLOOKUP(Table1[[#This Row],[ID]],Wine1!A:Q,17,FALSE),Table1[[#This Row],[EP]]))</f>
        <v>2023</v>
      </c>
      <c r="Z152" s="18">
        <f>IF(Table1[[#This Row],[My Rating]]="",IF(Table1[[#This Row],[WA Rating Clean]]="","",Table1[[#This Row],[WA Rating Clean]]),Table1[[#This Row],[My Rating]])</f>
        <v>91</v>
      </c>
      <c r="AA152" s="37">
        <v>2022</v>
      </c>
      <c r="AB152" s="128">
        <v>16.28</v>
      </c>
      <c r="AC152" s="2">
        <f t="shared" si="9"/>
        <v>16.28</v>
      </c>
      <c r="AD152" s="8"/>
      <c r="AE152" s="61">
        <f>IF(Table1[[#This Row],[P/750]]&lt;20,1,IF(Table1[[#This Row],[P/750]]&lt;50,2,3))</f>
        <v>1</v>
      </c>
      <c r="AF152" s="61">
        <f>IF(Table1[[#This Row],[P/750]]&lt;Expenses!$C$30,1,IF(Table1[[#This Row],[P/750]]&lt;Expenses!$C$31,2,IF(Table1[[#This Row],[P/750]]&lt;Expenses!$C$32,3,4)))</f>
        <v>1</v>
      </c>
      <c r="AH152" s="37" t="s">
        <v>384</v>
      </c>
      <c r="AI152" s="11">
        <f>Table1[[#This Row],[Price]]/Table1[[#This Row],[Size (ml)]]*750</f>
        <v>16.28</v>
      </c>
      <c r="AJ152" s="37">
        <v>91</v>
      </c>
      <c r="AK152" s="10">
        <f>COUNTIF(UniqueID!A:A,Table1[[#This Row],[ID]])</f>
        <v>0</v>
      </c>
      <c r="AL152" s="10" t="str">
        <f>VLOOKUP(Table1[[#This Row],[Cellar Location]],Location!A:F,6,FALSE)</f>
        <v>W</v>
      </c>
      <c r="AN152" s="1">
        <v>44088</v>
      </c>
      <c r="AO152" s="10" t="str">
        <f>TEXT(Table1[[#This Row],[Purchased]],"mmmm")</f>
        <v>September</v>
      </c>
      <c r="AP152" s="10" t="str">
        <f>TEXT(Table1[[#This Row],[Purchased]],"yyyy")</f>
        <v>2020</v>
      </c>
      <c r="AQ152" s="1">
        <v>44133</v>
      </c>
    </row>
    <row r="153" spans="1:43" s="37" customFormat="1" x14ac:dyDescent="0.25">
      <c r="A153" s="37" t="str">
        <f t="shared" si="8"/>
        <v>2011Diez-CaballeroReserva</v>
      </c>
      <c r="B153" s="37">
        <v>2011</v>
      </c>
      <c r="C153" s="8" t="s">
        <v>1216</v>
      </c>
      <c r="D153" s="37" t="s">
        <v>106</v>
      </c>
      <c r="E153" s="67" t="s">
        <v>1220</v>
      </c>
      <c r="F153" s="37" t="s">
        <v>729</v>
      </c>
      <c r="G153" s="37" t="s">
        <v>823</v>
      </c>
      <c r="I153" s="37">
        <v>1</v>
      </c>
      <c r="J153" s="38">
        <v>750</v>
      </c>
      <c r="K153" s="38" t="s">
        <v>384</v>
      </c>
      <c r="L153" s="10">
        <f>COUNTIF(Drank!A:A,Table1[[#This Row],[ID]])</f>
        <v>0</v>
      </c>
      <c r="M153" s="37" t="s">
        <v>202</v>
      </c>
      <c r="N153" s="37" t="s">
        <v>207</v>
      </c>
      <c r="O153" s="37">
        <v>1</v>
      </c>
      <c r="P153" s="37">
        <v>2018</v>
      </c>
      <c r="Q153" s="37">
        <v>2023</v>
      </c>
      <c r="R153" s="10" t="str">
        <f>IF(IFERROR(VLOOKUP(A153,Drank!A:S,15,FALSE),"")=0,"",IFERROR(VLOOKUP(A153,Drank!A:S,15,FALSE),""))</f>
        <v/>
      </c>
      <c r="S153" s="10" t="str">
        <f>IF(IFERROR(VLOOKUP(A153,Drank!A:S,16,FALSE),"")=0,"",IFERROR(VLOOKUP(A153,Drank!A:S,16,FALSE),""))</f>
        <v/>
      </c>
      <c r="T153" s="10"/>
      <c r="U153" s="37">
        <v>91</v>
      </c>
      <c r="V153" s="18" t="str">
        <f>IF(IFERROR(VLOOKUP(A153,Drank!A:T,19,FALSE),"")=0,"",IFERROR(VLOOKUP(A153,Drank!A:T,19,FALSE),""))</f>
        <v/>
      </c>
      <c r="W153" s="1" t="str">
        <f>IF(IFERROR(VLOOKUP(A153,Drank!A:T,20,FALSE),"")=0,"",IFERROR(VLOOKUP(A153,Drank!A:T,20,FALSE),""))</f>
        <v/>
      </c>
      <c r="X153" s="10">
        <f>SUMIF(A:A,A153,I:I)</f>
        <v>12</v>
      </c>
      <c r="Y153" s="10">
        <f>IF(Table1[[#This Row],[Drank]]&gt;0,VLOOKUP(Table1[[#This Row],[ID]],Drank!A:P,16,FALSE),IF(Table1[[#This Row],[WALDD]]&gt;0,VLOOKUP(Table1[[#This Row],[ID]],Wine1!A:Q,17,FALSE),Table1[[#This Row],[EP]]))</f>
        <v>2023</v>
      </c>
      <c r="Z153" s="18">
        <f>IF(Table1[[#This Row],[My Rating]]="",IF(Table1[[#This Row],[WA Rating Clean]]="","",Table1[[#This Row],[WA Rating Clean]]),Table1[[#This Row],[My Rating]])</f>
        <v>91</v>
      </c>
      <c r="AA153" s="37">
        <v>2023</v>
      </c>
      <c r="AB153" s="128">
        <v>16.28</v>
      </c>
      <c r="AC153" s="2">
        <f t="shared" si="9"/>
        <v>16.28</v>
      </c>
      <c r="AD153" s="8"/>
      <c r="AE153" s="61">
        <f>IF(Table1[[#This Row],[P/750]]&lt;20,1,IF(Table1[[#This Row],[P/750]]&lt;50,2,3))</f>
        <v>1</v>
      </c>
      <c r="AF153" s="61">
        <f>IF(Table1[[#This Row],[P/750]]&lt;Expenses!$C$30,1,IF(Table1[[#This Row],[P/750]]&lt;Expenses!$C$31,2,IF(Table1[[#This Row],[P/750]]&lt;Expenses!$C$32,3,4)))</f>
        <v>1</v>
      </c>
      <c r="AH153" s="37" t="s">
        <v>384</v>
      </c>
      <c r="AI153" s="11">
        <f>Table1[[#This Row],[Price]]/Table1[[#This Row],[Size (ml)]]*750</f>
        <v>16.28</v>
      </c>
      <c r="AJ153" s="37">
        <v>91</v>
      </c>
      <c r="AK153" s="10">
        <f>COUNTIF(UniqueID!A:A,Table1[[#This Row],[ID]])</f>
        <v>0</v>
      </c>
      <c r="AL153" s="10" t="str">
        <f>VLOOKUP(Table1[[#This Row],[Cellar Location]],Location!A:F,6,FALSE)</f>
        <v>W</v>
      </c>
      <c r="AN153" s="1">
        <v>44088</v>
      </c>
      <c r="AO153" s="10" t="str">
        <f>TEXT(Table1[[#This Row],[Purchased]],"mmmm")</f>
        <v>September</v>
      </c>
      <c r="AP153" s="10" t="str">
        <f>TEXT(Table1[[#This Row],[Purchased]],"yyyy")</f>
        <v>2020</v>
      </c>
      <c r="AQ153" s="1">
        <v>44133</v>
      </c>
    </row>
    <row r="154" spans="1:43" s="37" customFormat="1" x14ac:dyDescent="0.25">
      <c r="A154" s="37" t="str">
        <f t="shared" si="8"/>
        <v>2011Diez-CaballeroReserva</v>
      </c>
      <c r="B154" s="37">
        <v>2011</v>
      </c>
      <c r="C154" s="8" t="s">
        <v>1216</v>
      </c>
      <c r="D154" s="37" t="s">
        <v>106</v>
      </c>
      <c r="E154" s="67" t="s">
        <v>1220</v>
      </c>
      <c r="F154" s="37" t="s">
        <v>729</v>
      </c>
      <c r="G154" s="37" t="s">
        <v>823</v>
      </c>
      <c r="I154" s="37">
        <v>1</v>
      </c>
      <c r="J154" s="38">
        <v>750</v>
      </c>
      <c r="K154" s="38" t="s">
        <v>384</v>
      </c>
      <c r="L154" s="10">
        <f>COUNTIF(Drank!A:A,Table1[[#This Row],[ID]])</f>
        <v>0</v>
      </c>
      <c r="M154" s="37" t="s">
        <v>202</v>
      </c>
      <c r="N154" s="37" t="s">
        <v>207</v>
      </c>
      <c r="O154" s="37">
        <v>1</v>
      </c>
      <c r="P154" s="37">
        <v>2018</v>
      </c>
      <c r="Q154" s="37">
        <v>2023</v>
      </c>
      <c r="R154" s="10" t="str">
        <f>IF(IFERROR(VLOOKUP(A154,Drank!A:S,15,FALSE),"")=0,"",IFERROR(VLOOKUP(A154,Drank!A:S,15,FALSE),""))</f>
        <v/>
      </c>
      <c r="S154" s="10" t="str">
        <f>IF(IFERROR(VLOOKUP(A154,Drank!A:S,16,FALSE),"")=0,"",IFERROR(VLOOKUP(A154,Drank!A:S,16,FALSE),""))</f>
        <v/>
      </c>
      <c r="T154" s="10"/>
      <c r="U154" s="37">
        <v>91</v>
      </c>
      <c r="V154" s="18" t="str">
        <f>IF(IFERROR(VLOOKUP(A154,Drank!A:T,19,FALSE),"")=0,"",IFERROR(VLOOKUP(A154,Drank!A:T,19,FALSE),""))</f>
        <v/>
      </c>
      <c r="W154" s="1" t="str">
        <f>IF(IFERROR(VLOOKUP(A154,Drank!A:T,20,FALSE),"")=0,"",IFERROR(VLOOKUP(A154,Drank!A:T,20,FALSE),""))</f>
        <v/>
      </c>
      <c r="X154" s="10">
        <f>SUMIF(A:A,A154,I:I)</f>
        <v>12</v>
      </c>
      <c r="Y154" s="10">
        <f>IF(Table1[[#This Row],[Drank]]&gt;0,VLOOKUP(Table1[[#This Row],[ID]],Drank!A:P,16,FALSE),IF(Table1[[#This Row],[WALDD]]&gt;0,VLOOKUP(Table1[[#This Row],[ID]],Wine1!A:Q,17,FALSE),Table1[[#This Row],[EP]]))</f>
        <v>2023</v>
      </c>
      <c r="Z154" s="18">
        <f>IF(Table1[[#This Row],[My Rating]]="",IF(Table1[[#This Row],[WA Rating Clean]]="","",Table1[[#This Row],[WA Rating Clean]]),Table1[[#This Row],[My Rating]])</f>
        <v>91</v>
      </c>
      <c r="AA154" s="37">
        <v>2023</v>
      </c>
      <c r="AB154" s="128">
        <v>16.28</v>
      </c>
      <c r="AC154" s="2">
        <f t="shared" si="9"/>
        <v>16.28</v>
      </c>
      <c r="AD154" s="8"/>
      <c r="AE154" s="61">
        <f>IF(Table1[[#This Row],[P/750]]&lt;20,1,IF(Table1[[#This Row],[P/750]]&lt;50,2,3))</f>
        <v>1</v>
      </c>
      <c r="AF154" s="61">
        <f>IF(Table1[[#This Row],[P/750]]&lt;Expenses!$C$30,1,IF(Table1[[#This Row],[P/750]]&lt;Expenses!$C$31,2,IF(Table1[[#This Row],[P/750]]&lt;Expenses!$C$32,3,4)))</f>
        <v>1</v>
      </c>
      <c r="AH154" s="37" t="s">
        <v>384</v>
      </c>
      <c r="AI154" s="11">
        <f>Table1[[#This Row],[Price]]/Table1[[#This Row],[Size (ml)]]*750</f>
        <v>16.28</v>
      </c>
      <c r="AJ154" s="37">
        <v>91</v>
      </c>
      <c r="AK154" s="10">
        <f>COUNTIF(UniqueID!A:A,Table1[[#This Row],[ID]])</f>
        <v>0</v>
      </c>
      <c r="AL154" s="10" t="str">
        <f>VLOOKUP(Table1[[#This Row],[Cellar Location]],Location!A:F,6,FALSE)</f>
        <v>W</v>
      </c>
      <c r="AN154" s="1">
        <v>44088</v>
      </c>
      <c r="AO154" s="10" t="str">
        <f>TEXT(Table1[[#This Row],[Purchased]],"mmmm")</f>
        <v>September</v>
      </c>
      <c r="AP154" s="10" t="str">
        <f>TEXT(Table1[[#This Row],[Purchased]],"yyyy")</f>
        <v>2020</v>
      </c>
      <c r="AQ154" s="1">
        <v>44133</v>
      </c>
    </row>
    <row r="155" spans="1:43" s="37" customFormat="1" x14ac:dyDescent="0.25">
      <c r="A155" s="37" t="str">
        <f t="shared" si="8"/>
        <v>2011Diez-CaballeroReserva</v>
      </c>
      <c r="B155" s="37">
        <v>2011</v>
      </c>
      <c r="C155" s="8" t="s">
        <v>1216</v>
      </c>
      <c r="D155" s="37" t="s">
        <v>106</v>
      </c>
      <c r="E155" s="67" t="s">
        <v>1220</v>
      </c>
      <c r="F155" s="37" t="s">
        <v>729</v>
      </c>
      <c r="G155" s="37" t="s">
        <v>823</v>
      </c>
      <c r="I155" s="37">
        <v>1</v>
      </c>
      <c r="J155" s="38">
        <v>750</v>
      </c>
      <c r="K155" s="38" t="s">
        <v>384</v>
      </c>
      <c r="L155" s="10">
        <f>COUNTIF(Drank!A:A,Table1[[#This Row],[ID]])</f>
        <v>0</v>
      </c>
      <c r="M155" s="37" t="s">
        <v>202</v>
      </c>
      <c r="N155" s="37" t="s">
        <v>207</v>
      </c>
      <c r="O155" s="37">
        <v>1</v>
      </c>
      <c r="P155" s="37">
        <v>2018</v>
      </c>
      <c r="Q155" s="37">
        <v>2023</v>
      </c>
      <c r="R155" s="10" t="str">
        <f>IF(IFERROR(VLOOKUP(A155,Drank!A:S,15,FALSE),"")=0,"",IFERROR(VLOOKUP(A155,Drank!A:S,15,FALSE),""))</f>
        <v/>
      </c>
      <c r="S155" s="10" t="str">
        <f>IF(IFERROR(VLOOKUP(A155,Drank!A:S,16,FALSE),"")=0,"",IFERROR(VLOOKUP(A155,Drank!A:S,16,FALSE),""))</f>
        <v/>
      </c>
      <c r="T155" s="10"/>
      <c r="U155" s="37">
        <v>91</v>
      </c>
      <c r="V155" s="18" t="str">
        <f>IF(IFERROR(VLOOKUP(A155,Drank!A:T,19,FALSE),"")=0,"",IFERROR(VLOOKUP(A155,Drank!A:T,19,FALSE),""))</f>
        <v/>
      </c>
      <c r="W155" s="1" t="str">
        <f>IF(IFERROR(VLOOKUP(A155,Drank!A:T,20,FALSE),"")=0,"",IFERROR(VLOOKUP(A155,Drank!A:T,20,FALSE),""))</f>
        <v/>
      </c>
      <c r="X155" s="10">
        <f>SUMIF(A:A,A155,I:I)</f>
        <v>12</v>
      </c>
      <c r="Y155" s="10">
        <f>IF(Table1[[#This Row],[Drank]]&gt;0,VLOOKUP(Table1[[#This Row],[ID]],Drank!A:P,16,FALSE),IF(Table1[[#This Row],[WALDD]]&gt;0,VLOOKUP(Table1[[#This Row],[ID]],Wine1!A:Q,17,FALSE),Table1[[#This Row],[EP]]))</f>
        <v>2023</v>
      </c>
      <c r="Z155" s="18">
        <f>IF(Table1[[#This Row],[My Rating]]="",IF(Table1[[#This Row],[WA Rating Clean]]="","",Table1[[#This Row],[WA Rating Clean]]),Table1[[#This Row],[My Rating]])</f>
        <v>91</v>
      </c>
      <c r="AA155" s="37">
        <v>2023</v>
      </c>
      <c r="AB155" s="128">
        <v>16.28</v>
      </c>
      <c r="AC155" s="2">
        <f t="shared" si="9"/>
        <v>16.28</v>
      </c>
      <c r="AD155" s="8"/>
      <c r="AE155" s="61">
        <f>IF(Table1[[#This Row],[P/750]]&lt;20,1,IF(Table1[[#This Row],[P/750]]&lt;50,2,3))</f>
        <v>1</v>
      </c>
      <c r="AF155" s="61">
        <f>IF(Table1[[#This Row],[P/750]]&lt;Expenses!$C$30,1,IF(Table1[[#This Row],[P/750]]&lt;Expenses!$C$31,2,IF(Table1[[#This Row],[P/750]]&lt;Expenses!$C$32,3,4)))</f>
        <v>1</v>
      </c>
      <c r="AH155" s="37" t="s">
        <v>384</v>
      </c>
      <c r="AI155" s="11">
        <f>Table1[[#This Row],[Price]]/Table1[[#This Row],[Size (ml)]]*750</f>
        <v>16.28</v>
      </c>
      <c r="AJ155" s="37">
        <v>91</v>
      </c>
      <c r="AK155" s="10">
        <f>COUNTIF(UniqueID!A:A,Table1[[#This Row],[ID]])</f>
        <v>0</v>
      </c>
      <c r="AL155" s="10" t="str">
        <f>VLOOKUP(Table1[[#This Row],[Cellar Location]],Location!A:F,6,FALSE)</f>
        <v>W</v>
      </c>
      <c r="AN155" s="1">
        <v>44088</v>
      </c>
      <c r="AO155" s="10" t="str">
        <f>TEXT(Table1[[#This Row],[Purchased]],"mmmm")</f>
        <v>September</v>
      </c>
      <c r="AP155" s="10" t="str">
        <f>TEXT(Table1[[#This Row],[Purchased]],"yyyy")</f>
        <v>2020</v>
      </c>
      <c r="AQ155" s="1">
        <v>44133</v>
      </c>
    </row>
    <row r="156" spans="1:43" s="37" customFormat="1" x14ac:dyDescent="0.25">
      <c r="A156" s="37" t="str">
        <f t="shared" ref="A156" si="10">CONCATENATE(B156,C156,D156)</f>
        <v>2018PonceP.F.</v>
      </c>
      <c r="B156" s="37">
        <v>2018</v>
      </c>
      <c r="C156" s="8" t="s">
        <v>1905</v>
      </c>
      <c r="D156" s="37" t="s">
        <v>1906</v>
      </c>
      <c r="E156" s="69" t="s">
        <v>1907</v>
      </c>
      <c r="F156" s="37" t="s">
        <v>729</v>
      </c>
      <c r="G156" s="37" t="s">
        <v>1908</v>
      </c>
      <c r="H156" s="37" t="s">
        <v>1909</v>
      </c>
      <c r="I156" s="78">
        <v>1</v>
      </c>
      <c r="J156" s="37">
        <v>750</v>
      </c>
      <c r="K156" s="78" t="s">
        <v>1545</v>
      </c>
      <c r="L156" s="10">
        <f>COUNTIF(Drank!A:A,Table1[[#This Row],[ID]])</f>
        <v>0</v>
      </c>
      <c r="M156" s="37" t="s">
        <v>202</v>
      </c>
      <c r="N156" s="37" t="s">
        <v>207</v>
      </c>
      <c r="O156" s="37">
        <v>1</v>
      </c>
      <c r="P156" s="37">
        <v>2020</v>
      </c>
      <c r="Q156" s="37">
        <v>2028</v>
      </c>
      <c r="R156" s="10" t="str">
        <f>IF(IFERROR(VLOOKUP(A156,Drank!A:S,15,FALSE),"")=0,"",IFERROR(VLOOKUP(A156,Drank!A:S,15,FALSE),""))</f>
        <v/>
      </c>
      <c r="S156" s="10" t="str">
        <f>IF(IFERROR(VLOOKUP(A156,Drank!A:S,16,FALSE),"")=0,"",IFERROR(VLOOKUP(A156,Drank!A:S,16,FALSE),""))</f>
        <v/>
      </c>
      <c r="T156" s="10"/>
      <c r="U156" s="37">
        <v>95</v>
      </c>
      <c r="V156" s="18" t="str">
        <f>IF(IFERROR(VLOOKUP(A156,Drank!A:T,19,FALSE),"")=0,"",IFERROR(VLOOKUP(A156,Drank!A:T,19,FALSE),""))</f>
        <v/>
      </c>
      <c r="W156" s="1" t="str">
        <f>IF(IFERROR(VLOOKUP(A156,Drank!A:T,20,FALSE),"")=0,"",IFERROR(VLOOKUP(A156,Drank!A:T,20,FALSE),""))</f>
        <v/>
      </c>
      <c r="X156" s="10">
        <f>SUMIF(A:A,A156,I:I)</f>
        <v>6</v>
      </c>
      <c r="Y156" s="10">
        <f>IF(Table1[[#This Row],[Drank]]&gt;0,VLOOKUP(Table1[[#This Row],[ID]],Drank!A:P,16,FALSE),IF(Table1[[#This Row],[WALDD]]&gt;0,VLOOKUP(Table1[[#This Row],[ID]],Wine1!A:Q,17,FALSE),Table1[[#This Row],[EP]]))</f>
        <v>2028</v>
      </c>
      <c r="Z156" s="18">
        <f>IF(Table1[[#This Row],[My Rating]]="",IF(Table1[[#This Row],[WA Rating Clean]]="","",Table1[[#This Row],[WA Rating Clean]]),Table1[[#This Row],[My Rating]])</f>
        <v>95</v>
      </c>
      <c r="AA156" s="37">
        <v>2021</v>
      </c>
      <c r="AB156" s="128">
        <v>24.93</v>
      </c>
      <c r="AC156" s="2">
        <f t="shared" ref="AC156" si="11">AB156*I156</f>
        <v>24.93</v>
      </c>
      <c r="AD156" s="8"/>
      <c r="AE156" s="61">
        <f>IF(Table1[[#This Row],[P/750]]&lt;20,1,IF(Table1[[#This Row],[P/750]]&lt;50,2,3))</f>
        <v>2</v>
      </c>
      <c r="AF156" s="61">
        <f>IF(Table1[[#This Row],[P/750]]&lt;Expenses!$C$30,1,IF(Table1[[#This Row],[P/750]]&lt;Expenses!$C$31,2,IF(Table1[[#This Row],[P/750]]&lt;Expenses!$C$32,3,4)))</f>
        <v>2</v>
      </c>
      <c r="AH156" s="37" t="s">
        <v>1545</v>
      </c>
      <c r="AI156" s="11">
        <f>Table1[[#This Row],[Price]]/Table1[[#This Row],[Size (ml)]]*750</f>
        <v>24.93</v>
      </c>
      <c r="AJ156" s="37">
        <v>95</v>
      </c>
      <c r="AK156" s="10">
        <f>COUNTIF(UniqueID!A:A,Table1[[#This Row],[ID]])</f>
        <v>0</v>
      </c>
      <c r="AL156" s="10" t="str">
        <f>VLOOKUP(Table1[[#This Row],[Cellar Location]],Location!A:F,6,FALSE)</f>
        <v>W</v>
      </c>
      <c r="AN156" s="1">
        <v>44091</v>
      </c>
      <c r="AO156" s="10" t="str">
        <f>TEXT(Table1[[#This Row],[Purchased]],"mmmm")</f>
        <v>September</v>
      </c>
      <c r="AP156" s="10" t="str">
        <f>TEXT(Table1[[#This Row],[Purchased]],"yyyy")</f>
        <v>2020</v>
      </c>
      <c r="AQ156" s="1">
        <v>44145</v>
      </c>
    </row>
    <row r="157" spans="1:43" s="37" customFormat="1" x14ac:dyDescent="0.25">
      <c r="A157" s="37" t="str">
        <f t="shared" ref="A157:A161" si="12">CONCATENATE(B157,C157,D157)</f>
        <v>2018PonceP.F.</v>
      </c>
      <c r="B157" s="37">
        <v>2018</v>
      </c>
      <c r="C157" s="8" t="s">
        <v>1905</v>
      </c>
      <c r="D157" s="37" t="s">
        <v>1906</v>
      </c>
      <c r="E157" s="69" t="s">
        <v>1907</v>
      </c>
      <c r="F157" s="37" t="s">
        <v>729</v>
      </c>
      <c r="G157" s="37" t="s">
        <v>1908</v>
      </c>
      <c r="H157" s="37" t="s">
        <v>1909</v>
      </c>
      <c r="I157" s="78">
        <v>1</v>
      </c>
      <c r="J157" s="37">
        <v>750</v>
      </c>
      <c r="K157" s="78" t="s">
        <v>1545</v>
      </c>
      <c r="L157" s="10">
        <f>COUNTIF(Drank!A:A,Table1[[#This Row],[ID]])</f>
        <v>0</v>
      </c>
      <c r="M157" s="37" t="s">
        <v>202</v>
      </c>
      <c r="N157" s="37" t="s">
        <v>207</v>
      </c>
      <c r="O157" s="37">
        <v>1</v>
      </c>
      <c r="P157" s="37">
        <v>2020</v>
      </c>
      <c r="Q157" s="37">
        <v>2028</v>
      </c>
      <c r="R157" s="10" t="str">
        <f>IF(IFERROR(VLOOKUP(A157,Drank!A:S,15,FALSE),"")=0,"",IFERROR(VLOOKUP(A157,Drank!A:S,15,FALSE),""))</f>
        <v/>
      </c>
      <c r="S157" s="10" t="str">
        <f>IF(IFERROR(VLOOKUP(A157,Drank!A:S,16,FALSE),"")=0,"",IFERROR(VLOOKUP(A157,Drank!A:S,16,FALSE),""))</f>
        <v/>
      </c>
      <c r="T157" s="10"/>
      <c r="U157" s="37">
        <v>95</v>
      </c>
      <c r="V157" s="18" t="str">
        <f>IF(IFERROR(VLOOKUP(A157,Drank!A:T,19,FALSE),"")=0,"",IFERROR(VLOOKUP(A157,Drank!A:T,19,FALSE),""))</f>
        <v/>
      </c>
      <c r="W157" s="1" t="str">
        <f>IF(IFERROR(VLOOKUP(A157,Drank!A:T,20,FALSE),"")=0,"",IFERROR(VLOOKUP(A157,Drank!A:T,20,FALSE),""))</f>
        <v/>
      </c>
      <c r="X157" s="10">
        <f>SUMIF(A:A,A157,I:I)</f>
        <v>6</v>
      </c>
      <c r="Y157" s="10">
        <f>IF(Table1[[#This Row],[Drank]]&gt;0,VLOOKUP(Table1[[#This Row],[ID]],Drank!A:P,16,FALSE),IF(Table1[[#This Row],[WALDD]]&gt;0,VLOOKUP(Table1[[#This Row],[ID]],Wine1!A:Q,17,FALSE),Table1[[#This Row],[EP]]))</f>
        <v>2028</v>
      </c>
      <c r="Z157" s="18">
        <f>IF(Table1[[#This Row],[My Rating]]="",IF(Table1[[#This Row],[WA Rating Clean]]="","",Table1[[#This Row],[WA Rating Clean]]),Table1[[#This Row],[My Rating]])</f>
        <v>95</v>
      </c>
      <c r="AA157" s="37">
        <v>2022</v>
      </c>
      <c r="AB157" s="128">
        <v>24.93</v>
      </c>
      <c r="AC157" s="2">
        <f t="shared" ref="AC157:AC161" si="13">AB157*I157</f>
        <v>24.93</v>
      </c>
      <c r="AD157" s="8"/>
      <c r="AE157" s="61">
        <f>IF(Table1[[#This Row],[P/750]]&lt;20,1,IF(Table1[[#This Row],[P/750]]&lt;50,2,3))</f>
        <v>2</v>
      </c>
      <c r="AF157" s="61">
        <f>IF(Table1[[#This Row],[P/750]]&lt;Expenses!$C$30,1,IF(Table1[[#This Row],[P/750]]&lt;Expenses!$C$31,2,IF(Table1[[#This Row],[P/750]]&lt;Expenses!$C$32,3,4)))</f>
        <v>2</v>
      </c>
      <c r="AH157" s="37" t="s">
        <v>1545</v>
      </c>
      <c r="AI157" s="11">
        <f>Table1[[#This Row],[Price]]/Table1[[#This Row],[Size (ml)]]*750</f>
        <v>24.93</v>
      </c>
      <c r="AJ157" s="37">
        <v>95</v>
      </c>
      <c r="AK157" s="10">
        <f>COUNTIF(UniqueID!A:A,Table1[[#This Row],[ID]])</f>
        <v>0</v>
      </c>
      <c r="AL157" s="10" t="str">
        <f>VLOOKUP(Table1[[#This Row],[Cellar Location]],Location!A:F,6,FALSE)</f>
        <v>W</v>
      </c>
      <c r="AN157" s="1">
        <v>44091</v>
      </c>
      <c r="AO157" s="10" t="str">
        <f>TEXT(Table1[[#This Row],[Purchased]],"mmmm")</f>
        <v>September</v>
      </c>
      <c r="AP157" s="10" t="str">
        <f>TEXT(Table1[[#This Row],[Purchased]],"yyyy")</f>
        <v>2020</v>
      </c>
      <c r="AQ157" s="1">
        <v>44145</v>
      </c>
    </row>
    <row r="158" spans="1:43" s="37" customFormat="1" x14ac:dyDescent="0.25">
      <c r="A158" s="37" t="str">
        <f t="shared" si="12"/>
        <v>2018PonceP.F.</v>
      </c>
      <c r="B158" s="37">
        <v>2018</v>
      </c>
      <c r="C158" s="8" t="s">
        <v>1905</v>
      </c>
      <c r="D158" s="37" t="s">
        <v>1906</v>
      </c>
      <c r="E158" s="69" t="s">
        <v>1907</v>
      </c>
      <c r="F158" s="37" t="s">
        <v>729</v>
      </c>
      <c r="G158" s="37" t="s">
        <v>1908</v>
      </c>
      <c r="H158" s="37" t="s">
        <v>1909</v>
      </c>
      <c r="I158" s="78">
        <v>1</v>
      </c>
      <c r="J158" s="37">
        <v>750</v>
      </c>
      <c r="K158" s="78" t="s">
        <v>1545</v>
      </c>
      <c r="L158" s="10">
        <f>COUNTIF(Drank!A:A,Table1[[#This Row],[ID]])</f>
        <v>0</v>
      </c>
      <c r="M158" s="37" t="s">
        <v>202</v>
      </c>
      <c r="N158" s="37" t="s">
        <v>207</v>
      </c>
      <c r="O158" s="37">
        <v>1</v>
      </c>
      <c r="P158" s="37">
        <v>2020</v>
      </c>
      <c r="Q158" s="37">
        <v>2028</v>
      </c>
      <c r="R158" s="10" t="str">
        <f>IF(IFERROR(VLOOKUP(A158,Drank!A:S,15,FALSE),"")=0,"",IFERROR(VLOOKUP(A158,Drank!A:S,15,FALSE),""))</f>
        <v/>
      </c>
      <c r="S158" s="10" t="str">
        <f>IF(IFERROR(VLOOKUP(A158,Drank!A:S,16,FALSE),"")=0,"",IFERROR(VLOOKUP(A158,Drank!A:S,16,FALSE),""))</f>
        <v/>
      </c>
      <c r="T158" s="10"/>
      <c r="U158" s="37">
        <v>95</v>
      </c>
      <c r="V158" s="18" t="str">
        <f>IF(IFERROR(VLOOKUP(A158,Drank!A:T,19,FALSE),"")=0,"",IFERROR(VLOOKUP(A158,Drank!A:T,19,FALSE),""))</f>
        <v/>
      </c>
      <c r="W158" s="1" t="str">
        <f>IF(IFERROR(VLOOKUP(A158,Drank!A:T,20,FALSE),"")=0,"",IFERROR(VLOOKUP(A158,Drank!A:T,20,FALSE),""))</f>
        <v/>
      </c>
      <c r="X158" s="10">
        <f>SUMIF(A:A,A158,I:I)</f>
        <v>6</v>
      </c>
      <c r="Y158" s="10">
        <f>IF(Table1[[#This Row],[Drank]]&gt;0,VLOOKUP(Table1[[#This Row],[ID]],Drank!A:P,16,FALSE),IF(Table1[[#This Row],[WALDD]]&gt;0,VLOOKUP(Table1[[#This Row],[ID]],Wine1!A:Q,17,FALSE),Table1[[#This Row],[EP]]))</f>
        <v>2028</v>
      </c>
      <c r="Z158" s="18">
        <f>IF(Table1[[#This Row],[My Rating]]="",IF(Table1[[#This Row],[WA Rating Clean]]="","",Table1[[#This Row],[WA Rating Clean]]),Table1[[#This Row],[My Rating]])</f>
        <v>95</v>
      </c>
      <c r="AA158" s="37">
        <v>2023</v>
      </c>
      <c r="AB158" s="128">
        <v>24.93</v>
      </c>
      <c r="AC158" s="2">
        <f t="shared" si="13"/>
        <v>24.93</v>
      </c>
      <c r="AD158" s="8"/>
      <c r="AE158" s="61">
        <f>IF(Table1[[#This Row],[P/750]]&lt;20,1,IF(Table1[[#This Row],[P/750]]&lt;50,2,3))</f>
        <v>2</v>
      </c>
      <c r="AF158" s="61">
        <f>IF(Table1[[#This Row],[P/750]]&lt;Expenses!$C$30,1,IF(Table1[[#This Row],[P/750]]&lt;Expenses!$C$31,2,IF(Table1[[#This Row],[P/750]]&lt;Expenses!$C$32,3,4)))</f>
        <v>2</v>
      </c>
      <c r="AH158" s="37" t="s">
        <v>1545</v>
      </c>
      <c r="AI158" s="11">
        <f>Table1[[#This Row],[Price]]/Table1[[#This Row],[Size (ml)]]*750</f>
        <v>24.93</v>
      </c>
      <c r="AJ158" s="37">
        <v>95</v>
      </c>
      <c r="AK158" s="10">
        <f>COUNTIF(UniqueID!A:A,Table1[[#This Row],[ID]])</f>
        <v>0</v>
      </c>
      <c r="AL158" s="10" t="str">
        <f>VLOOKUP(Table1[[#This Row],[Cellar Location]],Location!A:F,6,FALSE)</f>
        <v>W</v>
      </c>
      <c r="AN158" s="1">
        <v>44091</v>
      </c>
      <c r="AO158" s="10" t="str">
        <f>TEXT(Table1[[#This Row],[Purchased]],"mmmm")</f>
        <v>September</v>
      </c>
      <c r="AP158" s="10" t="str">
        <f>TEXT(Table1[[#This Row],[Purchased]],"yyyy")</f>
        <v>2020</v>
      </c>
      <c r="AQ158" s="1">
        <v>44145</v>
      </c>
    </row>
    <row r="159" spans="1:43" s="37" customFormat="1" x14ac:dyDescent="0.25">
      <c r="A159" s="37" t="str">
        <f t="shared" si="12"/>
        <v>2018PonceP.F.</v>
      </c>
      <c r="B159" s="37">
        <v>2018</v>
      </c>
      <c r="C159" s="8" t="s">
        <v>1905</v>
      </c>
      <c r="D159" s="37" t="s">
        <v>1906</v>
      </c>
      <c r="E159" s="69" t="s">
        <v>1907</v>
      </c>
      <c r="F159" s="37" t="s">
        <v>729</v>
      </c>
      <c r="G159" s="37" t="s">
        <v>1908</v>
      </c>
      <c r="H159" s="37" t="s">
        <v>1909</v>
      </c>
      <c r="I159" s="78">
        <v>1</v>
      </c>
      <c r="J159" s="37">
        <v>750</v>
      </c>
      <c r="K159" s="78" t="s">
        <v>1545</v>
      </c>
      <c r="L159" s="10">
        <f>COUNTIF(Drank!A:A,Table1[[#This Row],[ID]])</f>
        <v>0</v>
      </c>
      <c r="M159" s="37" t="s">
        <v>202</v>
      </c>
      <c r="N159" s="37" t="s">
        <v>207</v>
      </c>
      <c r="O159" s="37">
        <v>1</v>
      </c>
      <c r="P159" s="37">
        <v>2020</v>
      </c>
      <c r="Q159" s="37">
        <v>2028</v>
      </c>
      <c r="R159" s="10" t="str">
        <f>IF(IFERROR(VLOOKUP(A159,Drank!A:S,15,FALSE),"")=0,"",IFERROR(VLOOKUP(A159,Drank!A:S,15,FALSE),""))</f>
        <v/>
      </c>
      <c r="S159" s="10" t="str">
        <f>IF(IFERROR(VLOOKUP(A159,Drank!A:S,16,FALSE),"")=0,"",IFERROR(VLOOKUP(A159,Drank!A:S,16,FALSE),""))</f>
        <v/>
      </c>
      <c r="T159" s="10"/>
      <c r="U159" s="37">
        <v>95</v>
      </c>
      <c r="V159" s="18" t="str">
        <f>IF(IFERROR(VLOOKUP(A159,Drank!A:T,19,FALSE),"")=0,"",IFERROR(VLOOKUP(A159,Drank!A:T,19,FALSE),""))</f>
        <v/>
      </c>
      <c r="W159" s="1" t="str">
        <f>IF(IFERROR(VLOOKUP(A159,Drank!A:T,20,FALSE),"")=0,"",IFERROR(VLOOKUP(A159,Drank!A:T,20,FALSE),""))</f>
        <v/>
      </c>
      <c r="X159" s="10">
        <f>SUMIF(A:A,A159,I:I)</f>
        <v>6</v>
      </c>
      <c r="Y159" s="10">
        <f>IF(Table1[[#This Row],[Drank]]&gt;0,VLOOKUP(Table1[[#This Row],[ID]],Drank!A:P,16,FALSE),IF(Table1[[#This Row],[WALDD]]&gt;0,VLOOKUP(Table1[[#This Row],[ID]],Wine1!A:Q,17,FALSE),Table1[[#This Row],[EP]]))</f>
        <v>2028</v>
      </c>
      <c r="Z159" s="18">
        <f>IF(Table1[[#This Row],[My Rating]]="",IF(Table1[[#This Row],[WA Rating Clean]]="","",Table1[[#This Row],[WA Rating Clean]]),Table1[[#This Row],[My Rating]])</f>
        <v>95</v>
      </c>
      <c r="AA159" s="37">
        <v>2026</v>
      </c>
      <c r="AB159" s="128">
        <v>24.93</v>
      </c>
      <c r="AC159" s="2">
        <f t="shared" si="13"/>
        <v>24.93</v>
      </c>
      <c r="AD159" s="8"/>
      <c r="AE159" s="61">
        <f>IF(Table1[[#This Row],[P/750]]&lt;20,1,IF(Table1[[#This Row],[P/750]]&lt;50,2,3))</f>
        <v>2</v>
      </c>
      <c r="AF159" s="61">
        <f>IF(Table1[[#This Row],[P/750]]&lt;Expenses!$C$30,1,IF(Table1[[#This Row],[P/750]]&lt;Expenses!$C$31,2,IF(Table1[[#This Row],[P/750]]&lt;Expenses!$C$32,3,4)))</f>
        <v>2</v>
      </c>
      <c r="AH159" s="37" t="s">
        <v>1545</v>
      </c>
      <c r="AI159" s="11">
        <f>Table1[[#This Row],[Price]]/Table1[[#This Row],[Size (ml)]]*750</f>
        <v>24.93</v>
      </c>
      <c r="AJ159" s="37">
        <v>95</v>
      </c>
      <c r="AK159" s="10">
        <f>COUNTIF(UniqueID!A:A,Table1[[#This Row],[ID]])</f>
        <v>0</v>
      </c>
      <c r="AL159" s="10" t="str">
        <f>VLOOKUP(Table1[[#This Row],[Cellar Location]],Location!A:F,6,FALSE)</f>
        <v>W</v>
      </c>
      <c r="AN159" s="1">
        <v>44091</v>
      </c>
      <c r="AO159" s="10" t="str">
        <f>TEXT(Table1[[#This Row],[Purchased]],"mmmm")</f>
        <v>September</v>
      </c>
      <c r="AP159" s="10" t="str">
        <f>TEXT(Table1[[#This Row],[Purchased]],"yyyy")</f>
        <v>2020</v>
      </c>
      <c r="AQ159" s="1">
        <v>44145</v>
      </c>
    </row>
    <row r="160" spans="1:43" s="37" customFormat="1" x14ac:dyDescent="0.25">
      <c r="A160" s="37" t="str">
        <f t="shared" si="12"/>
        <v>2018PonceP.F.</v>
      </c>
      <c r="B160" s="37">
        <v>2018</v>
      </c>
      <c r="C160" s="8" t="s">
        <v>1905</v>
      </c>
      <c r="D160" s="37" t="s">
        <v>1906</v>
      </c>
      <c r="E160" s="69" t="s">
        <v>1907</v>
      </c>
      <c r="F160" s="37" t="s">
        <v>729</v>
      </c>
      <c r="G160" s="37" t="s">
        <v>1908</v>
      </c>
      <c r="H160" s="37" t="s">
        <v>1909</v>
      </c>
      <c r="I160" s="78">
        <v>1</v>
      </c>
      <c r="J160" s="37">
        <v>750</v>
      </c>
      <c r="K160" s="78" t="s">
        <v>1545</v>
      </c>
      <c r="L160" s="10">
        <f>COUNTIF(Drank!A:A,Table1[[#This Row],[ID]])</f>
        <v>0</v>
      </c>
      <c r="M160" s="37" t="s">
        <v>202</v>
      </c>
      <c r="N160" s="37" t="s">
        <v>207</v>
      </c>
      <c r="O160" s="37">
        <v>1</v>
      </c>
      <c r="P160" s="37">
        <v>2020</v>
      </c>
      <c r="Q160" s="37">
        <v>2028</v>
      </c>
      <c r="R160" s="10" t="str">
        <f>IF(IFERROR(VLOOKUP(A160,Drank!A:S,15,FALSE),"")=0,"",IFERROR(VLOOKUP(A160,Drank!A:S,15,FALSE),""))</f>
        <v/>
      </c>
      <c r="S160" s="10" t="str">
        <f>IF(IFERROR(VLOOKUP(A160,Drank!A:S,16,FALSE),"")=0,"",IFERROR(VLOOKUP(A160,Drank!A:S,16,FALSE),""))</f>
        <v/>
      </c>
      <c r="T160" s="10"/>
      <c r="U160" s="37">
        <v>95</v>
      </c>
      <c r="V160" s="18" t="str">
        <f>IF(IFERROR(VLOOKUP(A160,Drank!A:T,19,FALSE),"")=0,"",IFERROR(VLOOKUP(A160,Drank!A:T,19,FALSE),""))</f>
        <v/>
      </c>
      <c r="W160" s="1" t="str">
        <f>IF(IFERROR(VLOOKUP(A160,Drank!A:T,20,FALSE),"")=0,"",IFERROR(VLOOKUP(A160,Drank!A:T,20,FALSE),""))</f>
        <v/>
      </c>
      <c r="X160" s="10">
        <f>SUMIF(A:A,A160,I:I)</f>
        <v>6</v>
      </c>
      <c r="Y160" s="10">
        <f>IF(Table1[[#This Row],[Drank]]&gt;0,VLOOKUP(Table1[[#This Row],[ID]],Drank!A:P,16,FALSE),IF(Table1[[#This Row],[WALDD]]&gt;0,VLOOKUP(Table1[[#This Row],[ID]],Wine1!A:Q,17,FALSE),Table1[[#This Row],[EP]]))</f>
        <v>2028</v>
      </c>
      <c r="Z160" s="18">
        <f>IF(Table1[[#This Row],[My Rating]]="",IF(Table1[[#This Row],[WA Rating Clean]]="","",Table1[[#This Row],[WA Rating Clean]]),Table1[[#This Row],[My Rating]])</f>
        <v>95</v>
      </c>
      <c r="AA160" s="37">
        <v>2027</v>
      </c>
      <c r="AB160" s="128">
        <v>24.93</v>
      </c>
      <c r="AC160" s="2">
        <f t="shared" si="13"/>
        <v>24.93</v>
      </c>
      <c r="AD160" s="8"/>
      <c r="AE160" s="61">
        <f>IF(Table1[[#This Row],[P/750]]&lt;20,1,IF(Table1[[#This Row],[P/750]]&lt;50,2,3))</f>
        <v>2</v>
      </c>
      <c r="AF160" s="61">
        <f>IF(Table1[[#This Row],[P/750]]&lt;Expenses!$C$30,1,IF(Table1[[#This Row],[P/750]]&lt;Expenses!$C$31,2,IF(Table1[[#This Row],[P/750]]&lt;Expenses!$C$32,3,4)))</f>
        <v>2</v>
      </c>
      <c r="AH160" s="37" t="s">
        <v>1545</v>
      </c>
      <c r="AI160" s="11">
        <f>Table1[[#This Row],[Price]]/Table1[[#This Row],[Size (ml)]]*750</f>
        <v>24.93</v>
      </c>
      <c r="AJ160" s="37">
        <v>95</v>
      </c>
      <c r="AK160" s="10">
        <f>COUNTIF(UniqueID!A:A,Table1[[#This Row],[ID]])</f>
        <v>0</v>
      </c>
      <c r="AL160" s="10" t="str">
        <f>VLOOKUP(Table1[[#This Row],[Cellar Location]],Location!A:F,6,FALSE)</f>
        <v>W</v>
      </c>
      <c r="AN160" s="1">
        <v>44091</v>
      </c>
      <c r="AO160" s="10" t="str">
        <f>TEXT(Table1[[#This Row],[Purchased]],"mmmm")</f>
        <v>September</v>
      </c>
      <c r="AP160" s="10" t="str">
        <f>TEXT(Table1[[#This Row],[Purchased]],"yyyy")</f>
        <v>2020</v>
      </c>
      <c r="AQ160" s="1">
        <v>44145</v>
      </c>
    </row>
    <row r="161" spans="1:43" s="37" customFormat="1" x14ac:dyDescent="0.25">
      <c r="A161" s="37" t="str">
        <f t="shared" si="12"/>
        <v>2018PonceP.F.</v>
      </c>
      <c r="B161" s="37">
        <v>2018</v>
      </c>
      <c r="C161" s="8" t="s">
        <v>1905</v>
      </c>
      <c r="D161" s="37" t="s">
        <v>1906</v>
      </c>
      <c r="E161" s="69" t="s">
        <v>1907</v>
      </c>
      <c r="F161" s="37" t="s">
        <v>729</v>
      </c>
      <c r="G161" s="37" t="s">
        <v>1908</v>
      </c>
      <c r="H161" s="37" t="s">
        <v>1909</v>
      </c>
      <c r="I161" s="78">
        <v>1</v>
      </c>
      <c r="J161" s="37">
        <v>750</v>
      </c>
      <c r="K161" s="78" t="s">
        <v>1545</v>
      </c>
      <c r="L161" s="10">
        <f>COUNTIF(Drank!A:A,Table1[[#This Row],[ID]])</f>
        <v>0</v>
      </c>
      <c r="M161" s="37" t="s">
        <v>202</v>
      </c>
      <c r="N161" s="37" t="s">
        <v>207</v>
      </c>
      <c r="O161" s="37">
        <v>1</v>
      </c>
      <c r="P161" s="37">
        <v>2020</v>
      </c>
      <c r="Q161" s="37">
        <v>2028</v>
      </c>
      <c r="R161" s="10" t="str">
        <f>IF(IFERROR(VLOOKUP(A161,Drank!A:S,15,FALSE),"")=0,"",IFERROR(VLOOKUP(A161,Drank!A:S,15,FALSE),""))</f>
        <v/>
      </c>
      <c r="S161" s="10" t="str">
        <f>IF(IFERROR(VLOOKUP(A161,Drank!A:S,16,FALSE),"")=0,"",IFERROR(VLOOKUP(A161,Drank!A:S,16,FALSE),""))</f>
        <v/>
      </c>
      <c r="T161" s="10"/>
      <c r="U161" s="37">
        <v>95</v>
      </c>
      <c r="V161" s="18" t="str">
        <f>IF(IFERROR(VLOOKUP(A161,Drank!A:T,19,FALSE),"")=0,"",IFERROR(VLOOKUP(A161,Drank!A:T,19,FALSE),""))</f>
        <v/>
      </c>
      <c r="W161" s="1" t="str">
        <f>IF(IFERROR(VLOOKUP(A161,Drank!A:T,20,FALSE),"")=0,"",IFERROR(VLOOKUP(A161,Drank!A:T,20,FALSE),""))</f>
        <v/>
      </c>
      <c r="X161" s="10">
        <f>SUMIF(A:A,A161,I:I)</f>
        <v>6</v>
      </c>
      <c r="Y161" s="10">
        <f>IF(Table1[[#This Row],[Drank]]&gt;0,VLOOKUP(Table1[[#This Row],[ID]],Drank!A:P,16,FALSE),IF(Table1[[#This Row],[WALDD]]&gt;0,VLOOKUP(Table1[[#This Row],[ID]],Wine1!A:Q,17,FALSE),Table1[[#This Row],[EP]]))</f>
        <v>2028</v>
      </c>
      <c r="Z161" s="18">
        <f>IF(Table1[[#This Row],[My Rating]]="",IF(Table1[[#This Row],[WA Rating Clean]]="","",Table1[[#This Row],[WA Rating Clean]]),Table1[[#This Row],[My Rating]])</f>
        <v>95</v>
      </c>
      <c r="AA161" s="37">
        <v>2028</v>
      </c>
      <c r="AB161" s="128">
        <v>24.93</v>
      </c>
      <c r="AC161" s="2">
        <f t="shared" si="13"/>
        <v>24.93</v>
      </c>
      <c r="AD161" s="8"/>
      <c r="AE161" s="61">
        <f>IF(Table1[[#This Row],[P/750]]&lt;20,1,IF(Table1[[#This Row],[P/750]]&lt;50,2,3))</f>
        <v>2</v>
      </c>
      <c r="AF161" s="61">
        <f>IF(Table1[[#This Row],[P/750]]&lt;Expenses!$C$30,1,IF(Table1[[#This Row],[P/750]]&lt;Expenses!$C$31,2,IF(Table1[[#This Row],[P/750]]&lt;Expenses!$C$32,3,4)))</f>
        <v>2</v>
      </c>
      <c r="AH161" s="37" t="s">
        <v>1545</v>
      </c>
      <c r="AI161" s="11">
        <f>Table1[[#This Row],[Price]]/Table1[[#This Row],[Size (ml)]]*750</f>
        <v>24.93</v>
      </c>
      <c r="AJ161" s="37">
        <v>95</v>
      </c>
      <c r="AK161" s="10">
        <f>COUNTIF(UniqueID!A:A,Table1[[#This Row],[ID]])</f>
        <v>0</v>
      </c>
      <c r="AL161" s="10" t="str">
        <f>VLOOKUP(Table1[[#This Row],[Cellar Location]],Location!A:F,6,FALSE)</f>
        <v>W</v>
      </c>
      <c r="AN161" s="1">
        <v>44091</v>
      </c>
      <c r="AO161" s="10" t="str">
        <f>TEXT(Table1[[#This Row],[Purchased]],"mmmm")</f>
        <v>September</v>
      </c>
      <c r="AP161" s="10" t="str">
        <f>TEXT(Table1[[#This Row],[Purchased]],"yyyy")</f>
        <v>2020</v>
      </c>
      <c r="AQ161" s="1">
        <v>44145</v>
      </c>
    </row>
    <row r="162" spans="1:43" s="37" customFormat="1" x14ac:dyDescent="0.25">
      <c r="A162" s="37" t="str">
        <f t="shared" si="4"/>
        <v>2010Cosimo TaurinoSalice Salentino Riserva</v>
      </c>
      <c r="B162" s="8">
        <v>2010</v>
      </c>
      <c r="C162" s="37" t="s">
        <v>56</v>
      </c>
      <c r="D162" s="8" t="s">
        <v>57</v>
      </c>
      <c r="E162" s="67" t="s">
        <v>1204</v>
      </c>
      <c r="F162" s="37" t="s">
        <v>728</v>
      </c>
      <c r="G162" s="37" t="s">
        <v>785</v>
      </c>
      <c r="H162" s="37" t="s">
        <v>769</v>
      </c>
      <c r="I162" s="37">
        <v>1</v>
      </c>
      <c r="J162" s="37">
        <v>750</v>
      </c>
      <c r="K162" s="8" t="s">
        <v>102</v>
      </c>
      <c r="L162" s="37">
        <f>COUNTIF(Drank!A:A,Table1[[#This Row],[ID]])</f>
        <v>33</v>
      </c>
      <c r="M162" s="37" t="s">
        <v>202</v>
      </c>
      <c r="N162" s="37" t="s">
        <v>207</v>
      </c>
      <c r="O162" s="37">
        <v>1</v>
      </c>
      <c r="R162" s="37">
        <f>IF(IFERROR(VLOOKUP(A162,Drank!A:S,15,FALSE),"")=0,"",IFERROR(VLOOKUP(A162,Drank!A:S,15,FALSE),""))</f>
        <v>2020</v>
      </c>
      <c r="S162" s="37">
        <f>IF(IFERROR(VLOOKUP(A162,Drank!A:S,16,FALSE),"")=0,"",IFERROR(VLOOKUP(A162,Drank!A:S,16,FALSE),""))</f>
        <v>2021</v>
      </c>
      <c r="V162" s="18">
        <f>IF(IFERROR(VLOOKUP(A162,Drank!A:T,19,FALSE),"")=0,"",IFERROR(VLOOKUP(A162,Drank!A:T,19,FALSE),""))</f>
        <v>89.46875</v>
      </c>
      <c r="W162" s="1">
        <f>IF(IFERROR(VLOOKUP(A162,Drank!A:T,20,FALSE),"")=0,"",IFERROR(VLOOKUP(A162,Drank!A:T,20,FALSE),""))</f>
        <v>44092</v>
      </c>
      <c r="X162" s="37">
        <f>SUMIF(A:A,A162,I:I)</f>
        <v>19</v>
      </c>
      <c r="Y162" s="37">
        <f>IF(Table1[[#This Row],[Drank]]&gt;0,VLOOKUP(Table1[[#This Row],[ID]],Drank!A:P,16,FALSE),IF(Table1[[#This Row],[WALDD]]&gt;0,VLOOKUP(Table1[[#This Row],[ID]],Wine1!A:Q,17,FALSE),Table1[[#This Row],[EP]]))</f>
        <v>2021</v>
      </c>
      <c r="Z162" s="18">
        <f>IF(Table1[[#This Row],[My Rating]]="",IF(Table1[[#This Row],[WA Rating Clean]]="","",Table1[[#This Row],[WA Rating Clean]]),Table1[[#This Row],[My Rating]])</f>
        <v>89.46875</v>
      </c>
      <c r="AA162" s="37">
        <v>2021</v>
      </c>
      <c r="AB162" s="14">
        <v>11.69</v>
      </c>
      <c r="AC162" s="2">
        <f t="shared" si="5"/>
        <v>11.69</v>
      </c>
      <c r="AD162" s="8">
        <v>0</v>
      </c>
      <c r="AE162" s="37">
        <f>IF(Table1[[#This Row],[P/750]]&lt;20,1,IF(Table1[[#This Row],[P/750]]&lt;50,2,3))</f>
        <v>1</v>
      </c>
      <c r="AF162" s="37">
        <f>IF(Table1[[#This Row],[P/750]]&lt;Expenses!$C$30,1,IF(Table1[[#This Row],[P/750]]&lt;Expenses!$C$31,2,IF(Table1[[#This Row],[P/750]]&lt;Expenses!$C$32,3,4)))</f>
        <v>1</v>
      </c>
      <c r="AH162" s="37" t="s">
        <v>1128</v>
      </c>
      <c r="AI162" s="11">
        <f>Table1[[#This Row],[Price]]/Table1[[#This Row],[Size (ml)]]*750</f>
        <v>11.69</v>
      </c>
      <c r="AK162" s="37">
        <f>COUNTIF(UniqueID!A:A,Table1[[#This Row],[ID]])</f>
        <v>1</v>
      </c>
      <c r="AL162" s="37" t="str">
        <f>VLOOKUP(Table1[[#This Row],[Cellar Location]],Location!A:F,6,FALSE)</f>
        <v>K</v>
      </c>
      <c r="AO162" s="37" t="str">
        <f>TEXT(Table1[[#This Row],[Purchased]],"mmmm")</f>
        <v>January</v>
      </c>
      <c r="AP162" s="10" t="str">
        <f>TEXT(Table1[[#This Row],[Purchased]],"yyyy")</f>
        <v>1900</v>
      </c>
      <c r="AQ162" s="10"/>
    </row>
    <row r="163" spans="1:43" s="37" customFormat="1" x14ac:dyDescent="0.25">
      <c r="A163" s="25" t="str">
        <f t="shared" si="4"/>
        <v>2014AllegriniPalazzo della Torre</v>
      </c>
      <c r="B163" s="67">
        <v>2014</v>
      </c>
      <c r="C163" s="32" t="s">
        <v>111</v>
      </c>
      <c r="D163" s="25" t="s">
        <v>112</v>
      </c>
      <c r="E163" s="69" t="s">
        <v>1258</v>
      </c>
      <c r="F163" s="37" t="s">
        <v>728</v>
      </c>
      <c r="G163" s="37" t="s">
        <v>799</v>
      </c>
      <c r="H163" s="37" t="s">
        <v>800</v>
      </c>
      <c r="I163" s="25">
        <v>1</v>
      </c>
      <c r="J163" s="25">
        <v>750</v>
      </c>
      <c r="K163" s="32" t="s">
        <v>589</v>
      </c>
      <c r="L163" s="25">
        <f>COUNTIF(Drank!A:A,Table1[[#This Row],[ID]])</f>
        <v>1</v>
      </c>
      <c r="M163" s="25" t="s">
        <v>202</v>
      </c>
      <c r="N163" s="25" t="s">
        <v>207</v>
      </c>
      <c r="O163" s="25">
        <v>1</v>
      </c>
      <c r="P163" s="25"/>
      <c r="Q163" s="25"/>
      <c r="R163" s="26" t="str">
        <f>IF(IFERROR(VLOOKUP(A163,Drank!A:S,15,FALSE),"")=0,"",IFERROR(VLOOKUP(A163,Drank!A:S,15,FALSE),""))</f>
        <v/>
      </c>
      <c r="S163" s="26">
        <f>IF(IFERROR(VLOOKUP(A163,Drank!A:S,16,FALSE),"")=0,"",IFERROR(VLOOKUP(A163,Drank!A:S,16,FALSE),""))</f>
        <v>2022</v>
      </c>
      <c r="T163" s="26"/>
      <c r="U163" s="25"/>
      <c r="V163" s="27">
        <f>IF(IFERROR(VLOOKUP(A163,Drank!A:T,19,FALSE),"")=0,"",IFERROR(VLOOKUP(A163,Drank!A:T,19,FALSE),""))</f>
        <v>90</v>
      </c>
      <c r="W163" s="28">
        <f>IF(IFERROR(VLOOKUP(A163,Drank!A:T,20,FALSE),"")=0,"",IFERROR(VLOOKUP(A163,Drank!A:T,20,FALSE),""))</f>
        <v>43596</v>
      </c>
      <c r="X163" s="26">
        <f>SUMIF(A:A,A163,I:I)</f>
        <v>1</v>
      </c>
      <c r="Y163" s="25">
        <f>IF(Table1[[#This Row],[Drank]]&gt;0,VLOOKUP(Table1[[#This Row],[ID]],Drank!A:P,16,FALSE),IF(Table1[[#This Row],[WALDD]]&gt;0,VLOOKUP(Table1[[#This Row],[ID]],Wine1!A:Q,17,FALSE),Table1[[#This Row],[EP]]))</f>
        <v>2022</v>
      </c>
      <c r="Z163" s="18">
        <f>IF(Table1[[#This Row],[My Rating]]="",IF(Table1[[#This Row],[WA Rating Clean]]="","",Table1[[#This Row],[WA Rating Clean]]),Table1[[#This Row],[My Rating]])</f>
        <v>90</v>
      </c>
      <c r="AA163" s="25">
        <v>2021</v>
      </c>
      <c r="AB163" s="128">
        <v>17.989999999999998</v>
      </c>
      <c r="AC163" s="2">
        <f t="shared" si="5"/>
        <v>17.989999999999998</v>
      </c>
      <c r="AD163" s="8">
        <v>0</v>
      </c>
      <c r="AE163" s="25">
        <f>IF(Table1[[#This Row],[P/750]]&lt;20,1,IF(Table1[[#This Row],[P/750]]&lt;50,2,3))</f>
        <v>1</v>
      </c>
      <c r="AF163" s="25">
        <f>IF(Table1[[#This Row],[P/750]]&lt;Expenses!$C$30,1,IF(Table1[[#This Row],[P/750]]&lt;Expenses!$C$31,2,IF(Table1[[#This Row],[P/750]]&lt;Expenses!$C$32,3,4)))</f>
        <v>2</v>
      </c>
      <c r="AG163" s="25"/>
      <c r="AH163" s="25" t="s">
        <v>1128</v>
      </c>
      <c r="AI163" s="29">
        <f>Table1[[#This Row],[Price]]/Table1[[#This Row],[Size (ml)]]*750</f>
        <v>17.989999999999998</v>
      </c>
      <c r="AK163" s="37">
        <f>COUNTIF(UniqueID!A:A,Table1[[#This Row],[ID]])</f>
        <v>1</v>
      </c>
      <c r="AL163" s="37" t="str">
        <f>VLOOKUP(Table1[[#This Row],[Cellar Location]],Location!A:F,6,FALSE)</f>
        <v>C</v>
      </c>
      <c r="AO163" s="37" t="str">
        <f>TEXT(Table1[[#This Row],[Purchased]],"mmmm")</f>
        <v>January</v>
      </c>
      <c r="AP163" s="10" t="str">
        <f>TEXT(Table1[[#This Row],[Purchased]],"yyyy")</f>
        <v>1900</v>
      </c>
      <c r="AQ163" s="10"/>
    </row>
    <row r="164" spans="1:43" s="37" customFormat="1" x14ac:dyDescent="0.25">
      <c r="A164" s="37" t="str">
        <f t="shared" si="4"/>
        <v>2004Corte PavoneBrunello di Montalcino Riserva</v>
      </c>
      <c r="B164" s="8">
        <v>2004</v>
      </c>
      <c r="C164" s="8" t="s">
        <v>12</v>
      </c>
      <c r="D164" s="37" t="s">
        <v>13</v>
      </c>
      <c r="E164" s="64" t="s">
        <v>280</v>
      </c>
      <c r="F164" s="37" t="s">
        <v>728</v>
      </c>
      <c r="G164" s="37" t="s">
        <v>790</v>
      </c>
      <c r="H164" s="37" t="s">
        <v>19</v>
      </c>
      <c r="I164" s="37">
        <v>1</v>
      </c>
      <c r="J164" s="37">
        <v>750</v>
      </c>
      <c r="K164" s="8" t="s">
        <v>11</v>
      </c>
      <c r="L164" s="37">
        <f>COUNTIF(Drank!A:A,Table1[[#This Row],[ID]])</f>
        <v>0</v>
      </c>
      <c r="M164" s="37" t="s">
        <v>202</v>
      </c>
      <c r="N164" s="37" t="s">
        <v>207</v>
      </c>
      <c r="O164" s="37">
        <v>1</v>
      </c>
      <c r="P164" s="37">
        <v>2012</v>
      </c>
      <c r="Q164" s="37">
        <v>2022</v>
      </c>
      <c r="R164" s="37" t="str">
        <f>IF(IFERROR(VLOOKUP(A164,Drank!A:S,15,FALSE),"")=0,"",IFERROR(VLOOKUP(A164,Drank!A:S,15,FALSE),""))</f>
        <v/>
      </c>
      <c r="S164" s="37" t="str">
        <f>IF(IFERROR(VLOOKUP(A164,Drank!A:S,16,FALSE),"")=0,"",IFERROR(VLOOKUP(A164,Drank!A:S,16,FALSE),""))</f>
        <v/>
      </c>
      <c r="U164" s="37">
        <v>91</v>
      </c>
      <c r="V164" s="18" t="str">
        <f>IF(IFERROR(VLOOKUP(A164,Drank!A:T,19,FALSE),"")=0,"",IFERROR(VLOOKUP(A164,Drank!A:T,19,FALSE),""))</f>
        <v/>
      </c>
      <c r="W164" s="1" t="str">
        <f>IF(IFERROR(VLOOKUP(A164,Drank!A:T,20,FALSE),"")=0,"",IFERROR(VLOOKUP(A164,Drank!A:T,20,FALSE),""))</f>
        <v/>
      </c>
      <c r="X164" s="37">
        <f>SUMIF(A:A,A164,I:I)</f>
        <v>1</v>
      </c>
      <c r="Y164" s="37">
        <f>IF(Table1[[#This Row],[Drank]]&gt;0,VLOOKUP(Table1[[#This Row],[ID]],Drank!A:P,16,FALSE),IF(Table1[[#This Row],[WALDD]]&gt;0,VLOOKUP(Table1[[#This Row],[ID]],Wine1!A:Q,17,FALSE),Table1[[#This Row],[EP]]))</f>
        <v>2022</v>
      </c>
      <c r="Z164" s="18">
        <f>IF(Table1[[#This Row],[My Rating]]="",IF(Table1[[#This Row],[WA Rating Clean]]="","",Table1[[#This Row],[WA Rating Clean]]),Table1[[#This Row],[My Rating]])</f>
        <v>91</v>
      </c>
      <c r="AA164" s="37">
        <v>2021</v>
      </c>
      <c r="AB164" s="14">
        <v>34.99</v>
      </c>
      <c r="AC164" s="2">
        <f t="shared" si="5"/>
        <v>34.99</v>
      </c>
      <c r="AD164" s="8">
        <v>0</v>
      </c>
      <c r="AE164" s="37">
        <f>IF(Table1[[#This Row],[P/750]]&lt;20,1,IF(Table1[[#This Row],[P/750]]&lt;50,2,3))</f>
        <v>2</v>
      </c>
      <c r="AF164" s="37">
        <f>IF(Table1[[#This Row],[P/750]]&lt;Expenses!$C$30,1,IF(Table1[[#This Row],[P/750]]&lt;Expenses!$C$31,2,IF(Table1[[#This Row],[P/750]]&lt;Expenses!$C$32,3,4)))</f>
        <v>3</v>
      </c>
      <c r="AH164" s="37" t="s">
        <v>1131</v>
      </c>
      <c r="AI164" s="11">
        <f>Table1[[#This Row],[Price]]/Table1[[#This Row],[Size (ml)]]*750</f>
        <v>34.99</v>
      </c>
      <c r="AJ164" s="37">
        <v>91</v>
      </c>
      <c r="AK164" s="37">
        <f>COUNTIF(UniqueID!A:A,Table1[[#This Row],[ID]])</f>
        <v>1</v>
      </c>
      <c r="AL164" s="37" t="str">
        <f>VLOOKUP(Table1[[#This Row],[Cellar Location]],Location!A:F,6,FALSE)</f>
        <v>K</v>
      </c>
      <c r="AO164" s="37" t="str">
        <f>TEXT(Table1[[#This Row],[Purchased]],"mmmm")</f>
        <v>January</v>
      </c>
      <c r="AP164" s="10" t="str">
        <f>TEXT(Table1[[#This Row],[Purchased]],"yyyy")</f>
        <v>1900</v>
      </c>
      <c r="AQ164" s="10"/>
    </row>
    <row r="165" spans="1:43" s="37" customFormat="1" x14ac:dyDescent="0.25">
      <c r="A165" s="37" t="str">
        <f t="shared" si="4"/>
        <v>2015Diez-CaballeroVendimia Seleccionada</v>
      </c>
      <c r="B165" s="8">
        <v>2015</v>
      </c>
      <c r="C165" s="8" t="s">
        <v>1216</v>
      </c>
      <c r="D165" s="37" t="s">
        <v>303</v>
      </c>
      <c r="E165" s="67" t="s">
        <v>1220</v>
      </c>
      <c r="F165" s="37" t="s">
        <v>729</v>
      </c>
      <c r="G165" s="37" t="s">
        <v>823</v>
      </c>
      <c r="I165" s="37">
        <v>1</v>
      </c>
      <c r="J165" s="37">
        <v>750</v>
      </c>
      <c r="K165" s="8" t="s">
        <v>651</v>
      </c>
      <c r="L165" s="37">
        <f>COUNTIF(Drank!A:A,Table1[[#This Row],[ID]])</f>
        <v>3</v>
      </c>
      <c r="M165" s="37" t="s">
        <v>202</v>
      </c>
      <c r="N165" s="37" t="s">
        <v>207</v>
      </c>
      <c r="O165" s="37">
        <v>1</v>
      </c>
      <c r="P165" s="37">
        <v>2018</v>
      </c>
      <c r="Q165" s="37">
        <v>2022</v>
      </c>
      <c r="R165" s="10">
        <f>IF(IFERROR(VLOOKUP(A165,Drank!A:S,15,FALSE),"")=0,"",IFERROR(VLOOKUP(A165,Drank!A:S,15,FALSE),""))</f>
        <v>2022</v>
      </c>
      <c r="S165" s="10">
        <f>IF(IFERROR(VLOOKUP(A165,Drank!A:S,16,FALSE),"")=0,"",IFERROR(VLOOKUP(A165,Drank!A:S,16,FALSE),""))</f>
        <v>2022</v>
      </c>
      <c r="T165" s="10"/>
      <c r="U165" s="37" t="s">
        <v>196</v>
      </c>
      <c r="V165" s="18">
        <f>IF(IFERROR(VLOOKUP(A165,Drank!A:T,19,FALSE),"")=0,"",IFERROR(VLOOKUP(A165,Drank!A:T,19,FALSE),""))</f>
        <v>91</v>
      </c>
      <c r="W165" s="1">
        <f>IF(IFERROR(VLOOKUP(A165,Drank!A:T,20,FALSE),"")=0,"",IFERROR(VLOOKUP(A165,Drank!A:T,20,FALSE),""))</f>
        <v>43848</v>
      </c>
      <c r="X165" s="10">
        <f>SUMIF(A:A,A165,I:I)</f>
        <v>1</v>
      </c>
      <c r="Y165" s="37">
        <f>IF(Table1[[#This Row],[Drank]]&gt;0,VLOOKUP(Table1[[#This Row],[ID]],Drank!A:P,16,FALSE),IF(Table1[[#This Row],[WALDD]]&gt;0,VLOOKUP(Table1[[#This Row],[ID]],Wine1!A:Q,17,FALSE),Table1[[#This Row],[EP]]))</f>
        <v>2022</v>
      </c>
      <c r="Z165" s="18">
        <f>IF(Table1[[#This Row],[My Rating]]="",IF(Table1[[#This Row],[WA Rating Clean]]="","",Table1[[#This Row],[WA Rating Clean]]),Table1[[#This Row],[My Rating]])</f>
        <v>91</v>
      </c>
      <c r="AA165" s="37">
        <v>2021</v>
      </c>
      <c r="AB165" s="128">
        <v>16.989999999999998</v>
      </c>
      <c r="AC165" s="2">
        <f t="shared" si="5"/>
        <v>16.989999999999998</v>
      </c>
      <c r="AD165" s="8">
        <v>0</v>
      </c>
      <c r="AE165" s="8">
        <f>IF(Table1[[#This Row],[P/750]]&lt;20,1,IF(Table1[[#This Row],[P/750]]&lt;50,2,3))</f>
        <v>1</v>
      </c>
      <c r="AF165" s="8">
        <f>IF(Table1[[#This Row],[P/750]]&lt;Expenses!$C$30,1,IF(Table1[[#This Row],[P/750]]&lt;Expenses!$C$31,2,IF(Table1[[#This Row],[P/750]]&lt;Expenses!$C$32,3,4)))</f>
        <v>2</v>
      </c>
      <c r="AH165" s="37" t="s">
        <v>384</v>
      </c>
      <c r="AI165" s="11">
        <f>Table1[[#This Row],[Price]]/Table1[[#This Row],[Size (ml)]]*750</f>
        <v>16.989999999999998</v>
      </c>
      <c r="AJ165" s="37">
        <v>91</v>
      </c>
      <c r="AK165" s="37">
        <f>COUNTIF(UniqueID!A:A,Table1[[#This Row],[ID]])</f>
        <v>1</v>
      </c>
      <c r="AL165" s="37" t="str">
        <f>VLOOKUP(Table1[[#This Row],[Cellar Location]],Location!A:F,6,FALSE)</f>
        <v>C</v>
      </c>
      <c r="AO165" s="37" t="str">
        <f>TEXT(Table1[[#This Row],[Purchased]],"mmmm")</f>
        <v>January</v>
      </c>
      <c r="AP165" s="10" t="str">
        <f>TEXT(Table1[[#This Row],[Purchased]],"yyyy")</f>
        <v>1900</v>
      </c>
      <c r="AQ165" s="10"/>
    </row>
    <row r="166" spans="1:43" s="37" customFormat="1" x14ac:dyDescent="0.25">
      <c r="A166" s="37" t="str">
        <f t="shared" si="4"/>
        <v>2015Methven Family VineyardsPinot Noir Citizen's Cuvee</v>
      </c>
      <c r="B166" s="8">
        <v>2015</v>
      </c>
      <c r="C166" s="8" t="s">
        <v>1458</v>
      </c>
      <c r="D166" s="37" t="s">
        <v>1459</v>
      </c>
      <c r="E166" s="98" t="s">
        <v>1462</v>
      </c>
      <c r="F166" s="37" t="s">
        <v>727</v>
      </c>
      <c r="G166" s="37" t="s">
        <v>1460</v>
      </c>
      <c r="H166" s="37" t="s">
        <v>1461</v>
      </c>
      <c r="I166" s="37">
        <v>1</v>
      </c>
      <c r="J166" s="37">
        <v>750</v>
      </c>
      <c r="K166" s="8" t="s">
        <v>839</v>
      </c>
      <c r="L166" s="10">
        <f>COUNTIF(Drank!A:A,Table1[[#This Row],[ID]])</f>
        <v>1</v>
      </c>
      <c r="M166" s="37" t="s">
        <v>202</v>
      </c>
      <c r="N166" s="37" t="s">
        <v>207</v>
      </c>
      <c r="O166" s="37">
        <v>1</v>
      </c>
      <c r="P166" s="37">
        <v>2018</v>
      </c>
      <c r="Q166" s="37">
        <v>2022</v>
      </c>
      <c r="R166" s="10">
        <f>IF(IFERROR(VLOOKUP(A166,Drank!A:S,15,FALSE),"")=0,"",IFERROR(VLOOKUP(A166,Drank!A:S,15,FALSE),""))</f>
        <v>2020</v>
      </c>
      <c r="S166" s="10">
        <f>IF(IFERROR(VLOOKUP(A166,Drank!A:S,16,FALSE),"")=0,"",IFERROR(VLOOKUP(A166,Drank!A:S,16,FALSE),""))</f>
        <v>2022</v>
      </c>
      <c r="T166" s="10"/>
      <c r="U166" s="37">
        <v>91</v>
      </c>
      <c r="V166" s="18">
        <f>IF(IFERROR(VLOOKUP(A166,Drank!A:T,19,FALSE),"")=0,"",IFERROR(VLOOKUP(A166,Drank!A:T,19,FALSE),""))</f>
        <v>89</v>
      </c>
      <c r="W166" s="1">
        <f>IF(IFERROR(VLOOKUP(A166,Drank!A:T,20,FALSE),"")=0,"",IFERROR(VLOOKUP(A166,Drank!A:T,20,FALSE),""))</f>
        <v>44012</v>
      </c>
      <c r="X166" s="10">
        <f>SUMIF(A:A,A166,I:I)</f>
        <v>7</v>
      </c>
      <c r="Y166" s="10">
        <f>IF(Table1[[#This Row],[Drank]]&gt;0,VLOOKUP(Table1[[#This Row],[ID]],Drank!A:P,16,FALSE),IF(Table1[[#This Row],[WALDD]]&gt;0,VLOOKUP(Table1[[#This Row],[ID]],Wine1!A:Q,17,FALSE),Table1[[#This Row],[EP]]))</f>
        <v>2022</v>
      </c>
      <c r="Z166" s="18">
        <f>IF(Table1[[#This Row],[My Rating]]="",IF(Table1[[#This Row],[WA Rating Clean]]="","",Table1[[#This Row],[WA Rating Clean]]),Table1[[#This Row],[My Rating]])</f>
        <v>89</v>
      </c>
      <c r="AA166" s="37">
        <v>2021</v>
      </c>
      <c r="AB166" s="128">
        <v>16.28</v>
      </c>
      <c r="AC166" s="2">
        <f t="shared" si="5"/>
        <v>16.28</v>
      </c>
      <c r="AD166" s="8">
        <v>0</v>
      </c>
      <c r="AE166" s="61">
        <f>IF(Table1[[#This Row],[P/750]]&lt;20,1,IF(Table1[[#This Row],[P/750]]&lt;50,2,3))</f>
        <v>1</v>
      </c>
      <c r="AF166" s="61">
        <f>IF(Table1[[#This Row],[P/750]]&lt;Expenses!$C$30,1,IF(Table1[[#This Row],[P/750]]&lt;Expenses!$C$31,2,IF(Table1[[#This Row],[P/750]]&lt;Expenses!$C$32,3,4)))</f>
        <v>1</v>
      </c>
      <c r="AH166" s="37" t="s">
        <v>384</v>
      </c>
      <c r="AI166" s="11">
        <f>Table1[[#This Row],[Price]]/Table1[[#This Row],[Size (ml)]]*750</f>
        <v>16.28</v>
      </c>
      <c r="AJ166" s="37">
        <v>91</v>
      </c>
      <c r="AK166" s="10">
        <f>COUNTIF(UniqueID!A:A,Table1[[#This Row],[ID]])</f>
        <v>0</v>
      </c>
      <c r="AL166" s="10" t="str">
        <f>VLOOKUP(Table1[[#This Row],[Cellar Location]],Location!A:F,6,FALSE)</f>
        <v>C</v>
      </c>
      <c r="AN166" s="1">
        <v>44010</v>
      </c>
      <c r="AO166" s="10" t="str">
        <f>TEXT(Table1[[#This Row],[Purchased]],"mmmm")</f>
        <v>June</v>
      </c>
      <c r="AP166" s="10" t="str">
        <f>TEXT(Table1[[#This Row],[Purchased]],"yyyy")</f>
        <v>2020</v>
      </c>
      <c r="AQ166" s="10"/>
    </row>
    <row r="167" spans="1:43" s="37" customFormat="1" x14ac:dyDescent="0.25">
      <c r="A167" s="37" t="str">
        <f t="shared" si="4"/>
        <v>2015Methven Family VineyardsPinot Noir Citizen's Cuvee</v>
      </c>
      <c r="B167" s="8">
        <v>2015</v>
      </c>
      <c r="C167" s="8" t="s">
        <v>1458</v>
      </c>
      <c r="D167" s="37" t="s">
        <v>1459</v>
      </c>
      <c r="E167" s="98" t="s">
        <v>1462</v>
      </c>
      <c r="F167" s="37" t="s">
        <v>727</v>
      </c>
      <c r="G167" s="37" t="s">
        <v>1460</v>
      </c>
      <c r="H167" s="37" t="s">
        <v>1461</v>
      </c>
      <c r="I167" s="37">
        <v>1</v>
      </c>
      <c r="J167" s="37">
        <v>750</v>
      </c>
      <c r="K167" s="8" t="s">
        <v>839</v>
      </c>
      <c r="L167" s="10">
        <f>COUNTIF(Drank!A:A,Table1[[#This Row],[ID]])</f>
        <v>1</v>
      </c>
      <c r="M167" s="37" t="s">
        <v>202</v>
      </c>
      <c r="N167" s="37" t="s">
        <v>207</v>
      </c>
      <c r="O167" s="37">
        <v>1</v>
      </c>
      <c r="P167" s="37">
        <v>2018</v>
      </c>
      <c r="Q167" s="37">
        <v>2022</v>
      </c>
      <c r="R167" s="10">
        <f>IF(IFERROR(VLOOKUP(A167,Drank!A:S,15,FALSE),"")=0,"",IFERROR(VLOOKUP(A167,Drank!A:S,15,FALSE),""))</f>
        <v>2020</v>
      </c>
      <c r="S167" s="10">
        <f>IF(IFERROR(VLOOKUP(A167,Drank!A:S,16,FALSE),"")=0,"",IFERROR(VLOOKUP(A167,Drank!A:S,16,FALSE),""))</f>
        <v>2022</v>
      </c>
      <c r="T167" s="10"/>
      <c r="U167" s="37">
        <v>91</v>
      </c>
      <c r="V167" s="18">
        <f>IF(IFERROR(VLOOKUP(A167,Drank!A:T,19,FALSE),"")=0,"",IFERROR(VLOOKUP(A167,Drank!A:T,19,FALSE),""))</f>
        <v>89</v>
      </c>
      <c r="W167" s="1">
        <f>IF(IFERROR(VLOOKUP(A167,Drank!A:T,20,FALSE),"")=0,"",IFERROR(VLOOKUP(A167,Drank!A:T,20,FALSE),""))</f>
        <v>44012</v>
      </c>
      <c r="X167" s="10">
        <f>SUMIF(A:A,A167,I:I)</f>
        <v>7</v>
      </c>
      <c r="Y167" s="10">
        <f>IF(Table1[[#This Row],[Drank]]&gt;0,VLOOKUP(Table1[[#This Row],[ID]],Drank!A:P,16,FALSE),IF(Table1[[#This Row],[WALDD]]&gt;0,VLOOKUP(Table1[[#This Row],[ID]],Wine1!A:Q,17,FALSE),Table1[[#This Row],[EP]]))</f>
        <v>2022</v>
      </c>
      <c r="Z167" s="18">
        <f>IF(Table1[[#This Row],[My Rating]]="",IF(Table1[[#This Row],[WA Rating Clean]]="","",Table1[[#This Row],[WA Rating Clean]]),Table1[[#This Row],[My Rating]])</f>
        <v>89</v>
      </c>
      <c r="AA167" s="37">
        <v>2021</v>
      </c>
      <c r="AB167" s="128">
        <v>16.28</v>
      </c>
      <c r="AC167" s="2">
        <f t="shared" si="5"/>
        <v>16.28</v>
      </c>
      <c r="AD167" s="8">
        <v>0</v>
      </c>
      <c r="AE167" s="61">
        <f>IF(Table1[[#This Row],[P/750]]&lt;20,1,IF(Table1[[#This Row],[P/750]]&lt;50,2,3))</f>
        <v>1</v>
      </c>
      <c r="AF167" s="61">
        <f>IF(Table1[[#This Row],[P/750]]&lt;Expenses!$C$30,1,IF(Table1[[#This Row],[P/750]]&lt;Expenses!$C$31,2,IF(Table1[[#This Row],[P/750]]&lt;Expenses!$C$32,3,4)))</f>
        <v>1</v>
      </c>
      <c r="AH167" s="37" t="s">
        <v>384</v>
      </c>
      <c r="AI167" s="11">
        <f>Table1[[#This Row],[Price]]/Table1[[#This Row],[Size (ml)]]*750</f>
        <v>16.28</v>
      </c>
      <c r="AJ167" s="37">
        <v>91</v>
      </c>
      <c r="AK167" s="10">
        <f>COUNTIF(UniqueID!A:A,Table1[[#This Row],[ID]])</f>
        <v>0</v>
      </c>
      <c r="AL167" s="10" t="str">
        <f>VLOOKUP(Table1[[#This Row],[Cellar Location]],Location!A:F,6,FALSE)</f>
        <v>C</v>
      </c>
      <c r="AN167" s="1">
        <v>44010</v>
      </c>
      <c r="AO167" s="10" t="str">
        <f>TEXT(Table1[[#This Row],[Purchased]],"mmmm")</f>
        <v>June</v>
      </c>
      <c r="AP167" s="10" t="str">
        <f>TEXT(Table1[[#This Row],[Purchased]],"yyyy")</f>
        <v>2020</v>
      </c>
      <c r="AQ167" s="10"/>
    </row>
    <row r="168" spans="1:43" s="37" customFormat="1" x14ac:dyDescent="0.25">
      <c r="A168" s="37" t="str">
        <f t="shared" si="4"/>
        <v>2015Methven Family VineyardsPinot Noir Citizen's Cuvee</v>
      </c>
      <c r="B168" s="8">
        <v>2015</v>
      </c>
      <c r="C168" s="8" t="s">
        <v>1458</v>
      </c>
      <c r="D168" s="37" t="s">
        <v>1459</v>
      </c>
      <c r="E168" s="98" t="s">
        <v>1462</v>
      </c>
      <c r="F168" s="37" t="s">
        <v>727</v>
      </c>
      <c r="G168" s="37" t="s">
        <v>1460</v>
      </c>
      <c r="H168" s="37" t="s">
        <v>1461</v>
      </c>
      <c r="I168" s="37">
        <v>1</v>
      </c>
      <c r="J168" s="37">
        <v>750</v>
      </c>
      <c r="K168" s="8" t="s">
        <v>839</v>
      </c>
      <c r="L168" s="10">
        <f>COUNTIF(Drank!A:A,Table1[[#This Row],[ID]])</f>
        <v>1</v>
      </c>
      <c r="M168" s="37" t="s">
        <v>202</v>
      </c>
      <c r="N168" s="37" t="s">
        <v>207</v>
      </c>
      <c r="O168" s="37">
        <v>1</v>
      </c>
      <c r="P168" s="37">
        <v>2018</v>
      </c>
      <c r="Q168" s="37">
        <v>2022</v>
      </c>
      <c r="R168" s="10">
        <f>IF(IFERROR(VLOOKUP(A168,Drank!A:S,15,FALSE),"")=0,"",IFERROR(VLOOKUP(A168,Drank!A:S,15,FALSE),""))</f>
        <v>2020</v>
      </c>
      <c r="S168" s="10">
        <f>IF(IFERROR(VLOOKUP(A168,Drank!A:S,16,FALSE),"")=0,"",IFERROR(VLOOKUP(A168,Drank!A:S,16,FALSE),""))</f>
        <v>2022</v>
      </c>
      <c r="T168" s="10"/>
      <c r="U168" s="37">
        <v>91</v>
      </c>
      <c r="V168" s="18">
        <f>IF(IFERROR(VLOOKUP(A168,Drank!A:T,19,FALSE),"")=0,"",IFERROR(VLOOKUP(A168,Drank!A:T,19,FALSE),""))</f>
        <v>89</v>
      </c>
      <c r="W168" s="1">
        <f>IF(IFERROR(VLOOKUP(A168,Drank!A:T,20,FALSE),"")=0,"",IFERROR(VLOOKUP(A168,Drank!A:T,20,FALSE),""))</f>
        <v>44012</v>
      </c>
      <c r="X168" s="10">
        <f>SUMIF(A:A,A168,I:I)</f>
        <v>7</v>
      </c>
      <c r="Y168" s="10">
        <f>IF(Table1[[#This Row],[Drank]]&gt;0,VLOOKUP(Table1[[#This Row],[ID]],Drank!A:P,16,FALSE),IF(Table1[[#This Row],[WALDD]]&gt;0,VLOOKUP(Table1[[#This Row],[ID]],Wine1!A:Q,17,FALSE),Table1[[#This Row],[EP]]))</f>
        <v>2022</v>
      </c>
      <c r="Z168" s="18">
        <f>IF(Table1[[#This Row],[My Rating]]="",IF(Table1[[#This Row],[WA Rating Clean]]="","",Table1[[#This Row],[WA Rating Clean]]),Table1[[#This Row],[My Rating]])</f>
        <v>89</v>
      </c>
      <c r="AA168" s="37">
        <v>2021</v>
      </c>
      <c r="AB168" s="128">
        <v>16.28</v>
      </c>
      <c r="AC168" s="2">
        <f t="shared" si="5"/>
        <v>16.28</v>
      </c>
      <c r="AD168" s="8">
        <v>0</v>
      </c>
      <c r="AE168" s="61">
        <f>IF(Table1[[#This Row],[P/750]]&lt;20,1,IF(Table1[[#This Row],[P/750]]&lt;50,2,3))</f>
        <v>1</v>
      </c>
      <c r="AF168" s="61">
        <f>IF(Table1[[#This Row],[P/750]]&lt;Expenses!$C$30,1,IF(Table1[[#This Row],[P/750]]&lt;Expenses!$C$31,2,IF(Table1[[#This Row],[P/750]]&lt;Expenses!$C$32,3,4)))</f>
        <v>1</v>
      </c>
      <c r="AH168" s="37" t="s">
        <v>384</v>
      </c>
      <c r="AI168" s="11">
        <f>Table1[[#This Row],[Price]]/Table1[[#This Row],[Size (ml)]]*750</f>
        <v>16.28</v>
      </c>
      <c r="AJ168" s="37">
        <v>91</v>
      </c>
      <c r="AK168" s="10">
        <f>COUNTIF(UniqueID!A:A,Table1[[#This Row],[ID]])</f>
        <v>0</v>
      </c>
      <c r="AL168" s="10" t="str">
        <f>VLOOKUP(Table1[[#This Row],[Cellar Location]],Location!A:F,6,FALSE)</f>
        <v>C</v>
      </c>
      <c r="AN168" s="1">
        <v>44010</v>
      </c>
      <c r="AO168" s="10" t="str">
        <f>TEXT(Table1[[#This Row],[Purchased]],"mmmm")</f>
        <v>June</v>
      </c>
      <c r="AP168" s="10" t="str">
        <f>TEXT(Table1[[#This Row],[Purchased]],"yyyy")</f>
        <v>2020</v>
      </c>
      <c r="AQ168" s="10"/>
    </row>
    <row r="169" spans="1:43" s="37" customFormat="1" x14ac:dyDescent="0.25">
      <c r="A169" s="37" t="str">
        <f t="shared" si="4"/>
        <v>2016Diez-CaballeroCrianza</v>
      </c>
      <c r="B169" s="8">
        <v>2016</v>
      </c>
      <c r="C169" s="103" t="s">
        <v>1216</v>
      </c>
      <c r="D169" s="123" t="s">
        <v>108</v>
      </c>
      <c r="E169" s="67" t="s">
        <v>1220</v>
      </c>
      <c r="F169" s="37" t="s">
        <v>729</v>
      </c>
      <c r="G169" s="37" t="s">
        <v>823</v>
      </c>
      <c r="I169" s="8">
        <v>1</v>
      </c>
      <c r="J169" s="37">
        <v>750</v>
      </c>
      <c r="K169" s="8" t="s">
        <v>1541</v>
      </c>
      <c r="L169" s="10">
        <f>COUNTIF(Drank!A:A,Table1[[#This Row],[ID]])</f>
        <v>1</v>
      </c>
      <c r="M169" s="37" t="s">
        <v>202</v>
      </c>
      <c r="N169" s="37" t="s">
        <v>207</v>
      </c>
      <c r="O169" s="37">
        <v>1</v>
      </c>
      <c r="R169" s="10">
        <f>IF(IFERROR(VLOOKUP(A169,Drank!A:S,15,FALSE),"")=0,"",IFERROR(VLOOKUP(A169,Drank!A:S,15,FALSE),""))</f>
        <v>2020</v>
      </c>
      <c r="S169" s="10">
        <f>IF(IFERROR(VLOOKUP(A169,Drank!A:S,16,FALSE),"")=0,"",IFERROR(VLOOKUP(A169,Drank!A:S,16,FALSE),""))</f>
        <v>2022</v>
      </c>
      <c r="T169" s="10">
        <v>2023</v>
      </c>
      <c r="V169" s="18">
        <f>IF(IFERROR(VLOOKUP(A169,Drank!A:T,19,FALSE),"")=0,"",IFERROR(VLOOKUP(A169,Drank!A:T,19,FALSE),""))</f>
        <v>90</v>
      </c>
      <c r="W169" s="1">
        <f>IF(IFERROR(VLOOKUP(A169,Drank!A:T,20,FALSE),"")=0,"",IFERROR(VLOOKUP(A169,Drank!A:T,20,FALSE),""))</f>
        <v>43823</v>
      </c>
      <c r="X169" s="10">
        <f>SUMIF(A:A,A169,I:I)</f>
        <v>3</v>
      </c>
      <c r="Y169" s="10">
        <f>IF(Table1[[#This Row],[Drank]]&gt;0,VLOOKUP(Table1[[#This Row],[ID]],Drank!A:P,16,FALSE),IF(Table1[[#This Row],[WALDD]]&gt;0,VLOOKUP(Table1[[#This Row],[ID]],Wine1!A:Q,17,FALSE),Table1[[#This Row],[EP]]))</f>
        <v>2022</v>
      </c>
      <c r="Z169" s="18">
        <f>IF(Table1[[#This Row],[My Rating]]="",IF(Table1[[#This Row],[WA Rating Clean]]="","",Table1[[#This Row],[WA Rating Clean]]),Table1[[#This Row],[My Rating]])</f>
        <v>90</v>
      </c>
      <c r="AA169" s="8">
        <v>2021</v>
      </c>
      <c r="AB169" s="128">
        <v>13.99</v>
      </c>
      <c r="AC169" s="2">
        <f t="shared" si="5"/>
        <v>13.99</v>
      </c>
      <c r="AD169" s="8">
        <v>0</v>
      </c>
      <c r="AE169" s="10">
        <f>IF(Table1[[#This Row],[P/750]]&lt;20,1,IF(Table1[[#This Row],[P/750]]&lt;50,2,3))</f>
        <v>1</v>
      </c>
      <c r="AF169" s="10">
        <f>IF(Table1[[#This Row],[P/750]]&lt;Expenses!$C$30,1,IF(Table1[[#This Row],[P/750]]&lt;Expenses!$C$31,2,IF(Table1[[#This Row],[P/750]]&lt;Expenses!$C$32,3,4)))</f>
        <v>1</v>
      </c>
      <c r="AH169" s="37" t="s">
        <v>384</v>
      </c>
      <c r="AI169" s="11">
        <f>Table1[[#This Row],[Price]]/Table1[[#This Row],[Size (ml)]]*750</f>
        <v>13.99</v>
      </c>
      <c r="AK169" s="10">
        <f>COUNTIF(UniqueID!A:A,Table1[[#This Row],[ID]])</f>
        <v>1</v>
      </c>
      <c r="AL169" s="37" t="str">
        <f>VLOOKUP(Table1[[#This Row],[Cellar Location]],Location!A:F,6,FALSE)</f>
        <v>C</v>
      </c>
      <c r="AN169" s="1">
        <v>43816</v>
      </c>
      <c r="AO169" s="37" t="str">
        <f>TEXT(Table1[[#This Row],[Purchased]],"mmmm")</f>
        <v>December</v>
      </c>
      <c r="AP169" s="10" t="str">
        <f>TEXT(Table1[[#This Row],[Purchased]],"yyyy")</f>
        <v>2019</v>
      </c>
      <c r="AQ169" s="10"/>
    </row>
    <row r="170" spans="1:43" s="37" customFormat="1" x14ac:dyDescent="0.25">
      <c r="A170" s="20" t="str">
        <f t="shared" si="4"/>
        <v>2015Mas des PatresLa Clape Mas Des Patres</v>
      </c>
      <c r="B170" s="8">
        <v>2015</v>
      </c>
      <c r="C170" s="9" t="s">
        <v>224</v>
      </c>
      <c r="D170" s="9" t="s">
        <v>225</v>
      </c>
      <c r="E170" s="69" t="s">
        <v>673</v>
      </c>
      <c r="F170" s="37" t="s">
        <v>742</v>
      </c>
      <c r="G170" s="37" t="s">
        <v>756</v>
      </c>
      <c r="H170" s="37" t="s">
        <v>757</v>
      </c>
      <c r="I170" s="8">
        <v>1</v>
      </c>
      <c r="J170" s="107">
        <v>750</v>
      </c>
      <c r="K170" s="8" t="s">
        <v>640</v>
      </c>
      <c r="L170" s="37">
        <f>COUNTIF(Drank!A:A,Table1[[#This Row],[ID]])</f>
        <v>5</v>
      </c>
      <c r="M170" s="37" t="s">
        <v>202</v>
      </c>
      <c r="N170" s="37" t="s">
        <v>207</v>
      </c>
      <c r="O170" s="37">
        <v>1</v>
      </c>
      <c r="P170" s="37">
        <v>2017</v>
      </c>
      <c r="Q170" s="37">
        <v>2023</v>
      </c>
      <c r="R170" s="37">
        <f>IF(IFERROR(VLOOKUP(A170,Drank!A:S,15,FALSE),"")=0,"",IFERROR(VLOOKUP(A170,Drank!A:S,15,FALSE),""))</f>
        <v>2021</v>
      </c>
      <c r="S170" s="37">
        <f>IF(IFERROR(VLOOKUP(A170,Drank!A:S,16,FALSE),"")=0,"",IFERROR(VLOOKUP(A170,Drank!A:S,16,FALSE),""))</f>
        <v>2022</v>
      </c>
      <c r="U170" s="37" t="s">
        <v>237</v>
      </c>
      <c r="V170" s="18">
        <f>IF(IFERROR(VLOOKUP(A170,Drank!A:T,19,FALSE),"")=0,"",IFERROR(VLOOKUP(A170,Drank!A:T,19,FALSE),""))</f>
        <v>89.8</v>
      </c>
      <c r="W170" s="1">
        <f>IF(IFERROR(VLOOKUP(A170,Drank!A:T,20,FALSE),"")=0,"",IFERROR(VLOOKUP(A170,Drank!A:T,20,FALSE),""))</f>
        <v>44043</v>
      </c>
      <c r="X170" s="37">
        <f>SUMIF(A:A,A170,I:I)</f>
        <v>1</v>
      </c>
      <c r="Y170" s="37">
        <f>IF(Table1[[#This Row],[Drank]]&gt;0,VLOOKUP(Table1[[#This Row],[ID]],Drank!A:P,16,FALSE),IF(Table1[[#This Row],[WALDD]]&gt;0,VLOOKUP(Table1[[#This Row],[ID]],Wine1!A:Q,17,FALSE),Table1[[#This Row],[EP]]))</f>
        <v>2022</v>
      </c>
      <c r="Z170" s="18">
        <f>IF(Table1[[#This Row],[My Rating]]="",IF(Table1[[#This Row],[WA Rating Clean]]="","",Table1[[#This Row],[WA Rating Clean]]),Table1[[#This Row],[My Rating]])</f>
        <v>89.8</v>
      </c>
      <c r="AA170" s="8">
        <v>2021</v>
      </c>
      <c r="AB170" s="128">
        <v>12.99</v>
      </c>
      <c r="AC170" s="2">
        <f t="shared" si="5"/>
        <v>12.99</v>
      </c>
      <c r="AD170" s="8">
        <v>0</v>
      </c>
      <c r="AE170" s="37">
        <f>IF(Table1[[#This Row],[P/750]]&lt;20,1,IF(Table1[[#This Row],[P/750]]&lt;50,2,3))</f>
        <v>1</v>
      </c>
      <c r="AF170" s="37">
        <f>IF(Table1[[#This Row],[P/750]]&lt;Expenses!$C$30,1,IF(Table1[[#This Row],[P/750]]&lt;Expenses!$C$31,2,IF(Table1[[#This Row],[P/750]]&lt;Expenses!$C$32,3,4)))</f>
        <v>1</v>
      </c>
      <c r="AH170" s="37" t="s">
        <v>385</v>
      </c>
      <c r="AI170" s="11">
        <f>Table1[[#This Row],[Price]]/Table1[[#This Row],[Size (ml)]]*750</f>
        <v>12.989999999999998</v>
      </c>
      <c r="AJ170" s="37">
        <v>90</v>
      </c>
      <c r="AK170" s="37">
        <f>COUNTIF(UniqueID!A:A,Table1[[#This Row],[ID]])</f>
        <v>1</v>
      </c>
      <c r="AL170" s="37" t="str">
        <f>VLOOKUP(Table1[[#This Row],[Cellar Location]],Location!A:F,6,FALSE)</f>
        <v>S</v>
      </c>
      <c r="AO170" s="37" t="str">
        <f>TEXT(Table1[[#This Row],[Purchased]],"mmmm")</f>
        <v>January</v>
      </c>
      <c r="AP170" s="10" t="str">
        <f>TEXT(Table1[[#This Row],[Purchased]],"yyyy")</f>
        <v>1900</v>
      </c>
      <c r="AQ170" s="10"/>
    </row>
    <row r="171" spans="1:43" s="37" customFormat="1" x14ac:dyDescent="0.25">
      <c r="A171" s="20" t="str">
        <f t="shared" si="4"/>
        <v>2007Tommaso BussolaAmarone della Valpolicella Classico</v>
      </c>
      <c r="B171" s="8">
        <v>2007</v>
      </c>
      <c r="C171" s="37" t="s">
        <v>583</v>
      </c>
      <c r="D171" s="37" t="s">
        <v>26</v>
      </c>
      <c r="E171" s="64" t="s">
        <v>313</v>
      </c>
      <c r="F171" s="37" t="s">
        <v>728</v>
      </c>
      <c r="G171" s="37" t="s">
        <v>799</v>
      </c>
      <c r="H171" s="37" t="s">
        <v>800</v>
      </c>
      <c r="I171" s="37">
        <v>1</v>
      </c>
      <c r="J171" s="107">
        <v>750</v>
      </c>
      <c r="K171" s="8" t="s">
        <v>640</v>
      </c>
      <c r="L171" s="37">
        <f>COUNTIF(Drank!A:A,Table1[[#This Row],[ID]])</f>
        <v>0</v>
      </c>
      <c r="M171" s="37" t="s">
        <v>202</v>
      </c>
      <c r="N171" s="37" t="s">
        <v>207</v>
      </c>
      <c r="O171" s="37">
        <v>1</v>
      </c>
      <c r="P171" s="10">
        <v>2014</v>
      </c>
      <c r="Q171" s="37">
        <v>2022</v>
      </c>
      <c r="R171" s="10" t="str">
        <f>IF(IFERROR(VLOOKUP(A171,Drank!A:S,15,FALSE),"")=0,"",IFERROR(VLOOKUP(A171,Drank!A:S,15,FALSE),""))</f>
        <v/>
      </c>
      <c r="S171" s="10" t="str">
        <f>IF(IFERROR(VLOOKUP(A171,Drank!A:S,16,FALSE),"")=0,"",IFERROR(VLOOKUP(A171,Drank!A:S,16,FALSE),""))</f>
        <v/>
      </c>
      <c r="T171" s="10"/>
      <c r="U171" s="37">
        <v>92</v>
      </c>
      <c r="V171" s="18" t="str">
        <f>IF(IFERROR(VLOOKUP(A171,Drank!A:T,19,FALSE),"")=0,"",IFERROR(VLOOKUP(A171,Drank!A:T,19,FALSE),""))</f>
        <v/>
      </c>
      <c r="W171" s="1" t="str">
        <f>IF(IFERROR(VLOOKUP(A171,Drank!A:T,20,FALSE),"")=0,"",IFERROR(VLOOKUP(A171,Drank!A:T,20,FALSE),""))</f>
        <v/>
      </c>
      <c r="X171" s="10">
        <f>SUMIF(A:A,A171,I:I)</f>
        <v>1</v>
      </c>
      <c r="Y171" s="10">
        <f>IF(Table1[[#This Row],[Drank]]&gt;0,VLOOKUP(Table1[[#This Row],[ID]],Drank!A:P,16,FALSE),IF(Table1[[#This Row],[WALDD]]&gt;0,VLOOKUP(Table1[[#This Row],[ID]],Wine1!A:Q,17,FALSE),Table1[[#This Row],[EP]]))</f>
        <v>2022</v>
      </c>
      <c r="Z171" s="18">
        <f>IF(Table1[[#This Row],[My Rating]]="",IF(Table1[[#This Row],[WA Rating Clean]]="","",Table1[[#This Row],[WA Rating Clean]]),Table1[[#This Row],[My Rating]])</f>
        <v>92</v>
      </c>
      <c r="AA171" s="8">
        <v>2021</v>
      </c>
      <c r="AB171" s="128">
        <v>53.59</v>
      </c>
      <c r="AC171" s="2">
        <f t="shared" si="5"/>
        <v>53.59</v>
      </c>
      <c r="AD171" s="8">
        <v>0</v>
      </c>
      <c r="AE171" s="10">
        <f>IF(Table1[[#This Row],[P/750]]&lt;20,1,IF(Table1[[#This Row],[P/750]]&lt;50,2,3))</f>
        <v>3</v>
      </c>
      <c r="AF171" s="10">
        <f>IF(Table1[[#This Row],[P/750]]&lt;Expenses!$C$30,1,IF(Table1[[#This Row],[P/750]]&lt;Expenses!$C$31,2,IF(Table1[[#This Row],[P/750]]&lt;Expenses!$C$32,3,4)))</f>
        <v>3</v>
      </c>
      <c r="AH171" s="37" t="s">
        <v>1130</v>
      </c>
      <c r="AI171" s="11">
        <f>Table1[[#This Row],[Price]]/Table1[[#This Row],[Size (ml)]]*750</f>
        <v>53.59</v>
      </c>
      <c r="AJ171" s="37">
        <v>92</v>
      </c>
      <c r="AK171" s="37">
        <f>COUNTIF(UniqueID!A:A,Table1[[#This Row],[ID]])</f>
        <v>1</v>
      </c>
      <c r="AL171" s="37" t="str">
        <f>VLOOKUP(Table1[[#This Row],[Cellar Location]],Location!A:F,6,FALSE)</f>
        <v>S</v>
      </c>
      <c r="AO171" s="37" t="str">
        <f>TEXT(Table1[[#This Row],[Purchased]],"mmmm")</f>
        <v>January</v>
      </c>
      <c r="AP171" s="10" t="str">
        <f>TEXT(Table1[[#This Row],[Purchased]],"yyyy")</f>
        <v>1900</v>
      </c>
      <c r="AQ171" s="10"/>
    </row>
    <row r="172" spans="1:43" s="37" customFormat="1" x14ac:dyDescent="0.25">
      <c r="A172" s="37" t="str">
        <f t="shared" si="4"/>
        <v>2015Diez-CaballeroCrianza</v>
      </c>
      <c r="B172" s="8">
        <v>2015</v>
      </c>
      <c r="C172" s="8" t="s">
        <v>1216</v>
      </c>
      <c r="D172" s="37" t="s">
        <v>108</v>
      </c>
      <c r="E172" s="67" t="s">
        <v>1220</v>
      </c>
      <c r="F172" s="37" t="s">
        <v>729</v>
      </c>
      <c r="G172" s="37" t="s">
        <v>823</v>
      </c>
      <c r="I172" s="8">
        <v>1</v>
      </c>
      <c r="J172" s="37">
        <v>750</v>
      </c>
      <c r="K172" s="8" t="s">
        <v>652</v>
      </c>
      <c r="L172" s="37">
        <f>COUNTIF(Drank!A:A,Table1[[#This Row],[ID]])</f>
        <v>18</v>
      </c>
      <c r="M172" s="37" t="s">
        <v>202</v>
      </c>
      <c r="N172" s="37" t="s">
        <v>207</v>
      </c>
      <c r="O172" s="37">
        <v>1</v>
      </c>
      <c r="P172" s="37">
        <v>2018</v>
      </c>
      <c r="Q172" s="37">
        <v>2022</v>
      </c>
      <c r="R172" s="37">
        <f>IF(IFERROR(VLOOKUP(A172,Drank!A:S,15,FALSE),"")=0,"",IFERROR(VLOOKUP(A172,Drank!A:S,15,FALSE),""))</f>
        <v>2021</v>
      </c>
      <c r="S172" s="37">
        <f>IF(IFERROR(VLOOKUP(A172,Drank!A:S,16,FALSE),"")=0,"",IFERROR(VLOOKUP(A172,Drank!A:S,16,FALSE),""))</f>
        <v>2022</v>
      </c>
      <c r="U172" s="37">
        <v>92</v>
      </c>
      <c r="V172" s="18">
        <f>IF(IFERROR(VLOOKUP(A172,Drank!A:T,19,FALSE),"")=0,"",IFERROR(VLOOKUP(A172,Drank!A:T,19,FALSE),""))</f>
        <v>91.235294117647058</v>
      </c>
      <c r="W172" s="1">
        <f>IF(IFERROR(VLOOKUP(A172,Drank!A:T,20,FALSE),"")=0,"",IFERROR(VLOOKUP(A172,Drank!A:T,20,FALSE),""))</f>
        <v>44055</v>
      </c>
      <c r="X172" s="37">
        <f>SUMIF(A:A,A172,I:I)</f>
        <v>4</v>
      </c>
      <c r="Y172" s="37">
        <f>IF(Table1[[#This Row],[Drank]]&gt;0,VLOOKUP(Table1[[#This Row],[ID]],Drank!A:P,16,FALSE),IF(Table1[[#This Row],[WALDD]]&gt;0,VLOOKUP(Table1[[#This Row],[ID]],Wine1!A:Q,17,FALSE),Table1[[#This Row],[EP]]))</f>
        <v>2022</v>
      </c>
      <c r="Z172" s="18">
        <f>IF(Table1[[#This Row],[My Rating]]="",IF(Table1[[#This Row],[WA Rating Clean]]="","",Table1[[#This Row],[WA Rating Clean]]),Table1[[#This Row],[My Rating]])</f>
        <v>91.235294117647058</v>
      </c>
      <c r="AA172" s="8">
        <v>2021</v>
      </c>
      <c r="AB172" s="14">
        <v>14</v>
      </c>
      <c r="AC172" s="2">
        <f t="shared" si="5"/>
        <v>14</v>
      </c>
      <c r="AD172" s="8">
        <v>0</v>
      </c>
      <c r="AE172" s="37">
        <f>IF(Table1[[#This Row],[P/750]]&lt;20,1,IF(Table1[[#This Row],[P/750]]&lt;50,2,3))</f>
        <v>1</v>
      </c>
      <c r="AF172" s="37">
        <f>IF(Table1[[#This Row],[P/750]]&lt;Expenses!$C$30,1,IF(Table1[[#This Row],[P/750]]&lt;Expenses!$C$31,2,IF(Table1[[#This Row],[P/750]]&lt;Expenses!$C$32,3,4)))</f>
        <v>1</v>
      </c>
      <c r="AH172" s="37" t="s">
        <v>384</v>
      </c>
      <c r="AI172" s="11">
        <f>Table1[[#This Row],[Price]]/Table1[[#This Row],[Size (ml)]]*750</f>
        <v>14.000000000000002</v>
      </c>
      <c r="AJ172" s="37">
        <v>92</v>
      </c>
      <c r="AK172" s="37">
        <f>COUNTIF(UniqueID!A:A,Table1[[#This Row],[ID]])</f>
        <v>1</v>
      </c>
      <c r="AL172" s="37" t="str">
        <f>VLOOKUP(Table1[[#This Row],[Cellar Location]],Location!A:F,6,FALSE)</f>
        <v>C</v>
      </c>
      <c r="AO172" s="37" t="str">
        <f>TEXT(Table1[[#This Row],[Purchased]],"mmmm")</f>
        <v>January</v>
      </c>
      <c r="AP172" s="10" t="str">
        <f>TEXT(Table1[[#This Row],[Purchased]],"yyyy")</f>
        <v>1900</v>
      </c>
      <c r="AQ172" s="10"/>
    </row>
    <row r="173" spans="1:43" s="37" customFormat="1" x14ac:dyDescent="0.25">
      <c r="A173" s="37" t="str">
        <f t="shared" si="4"/>
        <v>2007CampogiovanniBrunello di Montalcino San Felice</v>
      </c>
      <c r="B173" s="37">
        <v>2007</v>
      </c>
      <c r="C173" s="37" t="s">
        <v>1472</v>
      </c>
      <c r="D173" s="37" t="s">
        <v>1473</v>
      </c>
      <c r="E173" s="9" t="s">
        <v>1250</v>
      </c>
      <c r="F173" s="37" t="s">
        <v>728</v>
      </c>
      <c r="G173" s="37" t="s">
        <v>790</v>
      </c>
      <c r="H173" s="37" t="s">
        <v>19</v>
      </c>
      <c r="I173" s="37">
        <v>1</v>
      </c>
      <c r="J173" s="38">
        <v>750</v>
      </c>
      <c r="K173" s="38" t="s">
        <v>415</v>
      </c>
      <c r="L173" s="10">
        <f>COUNTIF(Drank!A:A,Table1[[#This Row],[ID]])</f>
        <v>0</v>
      </c>
      <c r="M173" s="37" t="s">
        <v>202</v>
      </c>
      <c r="N173" s="37" t="s">
        <v>207</v>
      </c>
      <c r="O173" s="37">
        <v>1</v>
      </c>
      <c r="P173" s="10">
        <v>2014</v>
      </c>
      <c r="Q173" s="37">
        <v>2022</v>
      </c>
      <c r="R173" s="10" t="str">
        <f>IF(IFERROR(VLOOKUP(A173,Drank!A:S,15,FALSE),"")=0,"",IFERROR(VLOOKUP(A173,Drank!A:S,15,FALSE),""))</f>
        <v/>
      </c>
      <c r="S173" s="10" t="str">
        <f>IF(IFERROR(VLOOKUP(A173,Drank!A:S,16,FALSE),"")=0,"",IFERROR(VLOOKUP(A173,Drank!A:S,16,FALSE),""))</f>
        <v/>
      </c>
      <c r="T173" s="10"/>
      <c r="U173" s="37">
        <v>92</v>
      </c>
      <c r="V173" s="18" t="str">
        <f>IF(IFERROR(VLOOKUP(A173,Drank!A:T,19,FALSE),"")=0,"",IFERROR(VLOOKUP(A173,Drank!A:T,19,FALSE),""))</f>
        <v/>
      </c>
      <c r="W173" s="1" t="str">
        <f>IF(IFERROR(VLOOKUP(A173,Drank!A:T,20,FALSE),"")=0,"",IFERROR(VLOOKUP(A173,Drank!A:T,20,FALSE),""))</f>
        <v/>
      </c>
      <c r="X173" s="10">
        <f>SUMIF(A:A,A173,I:I)</f>
        <v>1</v>
      </c>
      <c r="Y173" s="10">
        <f>IF(Table1[[#This Row],[Drank]]&gt;0,VLOOKUP(Table1[[#This Row],[ID]],Drank!A:P,16,FALSE),IF(Table1[[#This Row],[WALDD]]&gt;0,VLOOKUP(Table1[[#This Row],[ID]],Wine1!A:Q,17,FALSE),Table1[[#This Row],[EP]]))</f>
        <v>2022</v>
      </c>
      <c r="Z173" s="18">
        <f>IF(Table1[[#This Row],[My Rating]]="",IF(Table1[[#This Row],[WA Rating Clean]]="","",Table1[[#This Row],[WA Rating Clean]]),Table1[[#This Row],[My Rating]])</f>
        <v>92</v>
      </c>
      <c r="AA173" s="37">
        <v>2021</v>
      </c>
      <c r="AB173" s="128">
        <v>44.99</v>
      </c>
      <c r="AC173" s="2">
        <f t="shared" si="5"/>
        <v>44.99</v>
      </c>
      <c r="AD173" s="8">
        <v>1</v>
      </c>
      <c r="AE173" s="10">
        <f>IF(Table1[[#This Row],[P/750]]&lt;20,1,IF(Table1[[#This Row],[P/750]]&lt;50,2,3))</f>
        <v>2</v>
      </c>
      <c r="AF173" s="10">
        <f>IF(Table1[[#This Row],[P/750]]&lt;Expenses!$C$30,1,IF(Table1[[#This Row],[P/750]]&lt;Expenses!$C$31,2,IF(Table1[[#This Row],[P/750]]&lt;Expenses!$C$32,3,4)))</f>
        <v>3</v>
      </c>
      <c r="AH173" s="37" t="s">
        <v>415</v>
      </c>
      <c r="AI173" s="11">
        <f>Table1[[#This Row],[Price]]/Table1[[#This Row],[Size (ml)]]*750</f>
        <v>44.99</v>
      </c>
      <c r="AJ173" s="37">
        <v>92</v>
      </c>
      <c r="AK173" s="10">
        <f>COUNTIF(UniqueID!A:A,Table1[[#This Row],[ID]])</f>
        <v>0</v>
      </c>
      <c r="AL173" s="10" t="str">
        <f>VLOOKUP(Table1[[#This Row],[Cellar Location]],Location!A:F,6,FALSE)</f>
        <v>W</v>
      </c>
      <c r="AN173" s="1">
        <v>44015</v>
      </c>
      <c r="AO173" s="10" t="str">
        <f>TEXT(Table1[[#This Row],[Purchased]],"mmmm")</f>
        <v>July</v>
      </c>
      <c r="AP173" s="10" t="str">
        <f>TEXT(Table1[[#This Row],[Purchased]],"yyyy")</f>
        <v>2020</v>
      </c>
      <c r="AQ173" s="1">
        <v>44114</v>
      </c>
    </row>
    <row r="174" spans="1:43" s="37" customFormat="1" x14ac:dyDescent="0.25">
      <c r="A174" s="37" t="str">
        <f t="shared" si="4"/>
        <v>2012Carmelo PattiCabernet Sauvignon</v>
      </c>
      <c r="B174" s="8">
        <v>2012</v>
      </c>
      <c r="C174" s="114" t="s">
        <v>842</v>
      </c>
      <c r="D174" s="118" t="s">
        <v>32</v>
      </c>
      <c r="E174" s="64" t="s">
        <v>32</v>
      </c>
      <c r="F174" s="37" t="s">
        <v>731</v>
      </c>
      <c r="G174" s="37" t="s">
        <v>732</v>
      </c>
      <c r="H174" s="37" t="s">
        <v>849</v>
      </c>
      <c r="I174" s="37">
        <v>1</v>
      </c>
      <c r="J174" s="37">
        <v>750</v>
      </c>
      <c r="K174" s="8" t="s">
        <v>839</v>
      </c>
      <c r="L174" s="10">
        <f>COUNTIF(Drank!A:A,Table1[[#This Row],[ID]])</f>
        <v>1</v>
      </c>
      <c r="M174" s="37" t="s">
        <v>202</v>
      </c>
      <c r="N174" s="37" t="s">
        <v>207</v>
      </c>
      <c r="O174" s="37">
        <v>1</v>
      </c>
      <c r="P174" s="10">
        <v>2018</v>
      </c>
      <c r="Q174" s="37">
        <v>2024</v>
      </c>
      <c r="R174" s="10">
        <f>IF(IFERROR(VLOOKUP(A174,Drank!A:S,15,FALSE),"")=0,"",IFERROR(VLOOKUP(A174,Drank!A:S,15,FALSE),""))</f>
        <v>2022</v>
      </c>
      <c r="S174" s="10">
        <f>IF(IFERROR(VLOOKUP(A174,Drank!A:S,16,FALSE),"")=0,"",IFERROR(VLOOKUP(A174,Drank!A:S,16,FALSE),""))</f>
        <v>2022</v>
      </c>
      <c r="T174" s="10"/>
      <c r="U174" s="37">
        <v>94</v>
      </c>
      <c r="V174" s="18">
        <f>IF(IFERROR(VLOOKUP(A174,Drank!A:T,19,FALSE),"")=0,"",IFERROR(VLOOKUP(A174,Drank!A:T,19,FALSE),""))</f>
        <v>93</v>
      </c>
      <c r="W174" s="1">
        <f>IF(IFERROR(VLOOKUP(A174,Drank!A:T,20,FALSE),"")=0,"",IFERROR(VLOOKUP(A174,Drank!A:T,20,FALSE),""))</f>
        <v>44009</v>
      </c>
      <c r="X174" s="10">
        <f>SUMIF(A:A,A174,I:I)</f>
        <v>2</v>
      </c>
      <c r="Y174" s="10">
        <f>IF(Table1[[#This Row],[Drank]]&gt;0,VLOOKUP(Table1[[#This Row],[ID]],Drank!A:P,16,FALSE),IF(Table1[[#This Row],[WALDD]]&gt;0,VLOOKUP(Table1[[#This Row],[ID]],Wine1!A:Q,17,FALSE),Table1[[#This Row],[EP]]))</f>
        <v>2022</v>
      </c>
      <c r="Z174" s="18">
        <f>IF(Table1[[#This Row],[My Rating]]="",IF(Table1[[#This Row],[WA Rating Clean]]="","",Table1[[#This Row],[WA Rating Clean]]),Table1[[#This Row],[My Rating]])</f>
        <v>93</v>
      </c>
      <c r="AA174" s="37">
        <v>2021</v>
      </c>
      <c r="AB174" s="128">
        <v>37.130000000000003</v>
      </c>
      <c r="AC174" s="2">
        <f t="shared" si="5"/>
        <v>37.130000000000003</v>
      </c>
      <c r="AD174" s="8">
        <v>0</v>
      </c>
      <c r="AE174" s="10">
        <f>IF(Table1[[#This Row],[P/750]]&lt;20,1,IF(Table1[[#This Row],[P/750]]&lt;50,2,3))</f>
        <v>2</v>
      </c>
      <c r="AF174" s="10">
        <f>IF(Table1[[#This Row],[P/750]]&lt;Expenses!$C$30,1,IF(Table1[[#This Row],[P/750]]&lt;Expenses!$C$31,2,IF(Table1[[#This Row],[P/750]]&lt;Expenses!$C$32,3,4)))</f>
        <v>3</v>
      </c>
      <c r="AH174" s="37" t="s">
        <v>371</v>
      </c>
      <c r="AI174" s="11">
        <f>Table1[[#This Row],[Price]]/Table1[[#This Row],[Size (ml)]]*750</f>
        <v>37.130000000000003</v>
      </c>
      <c r="AJ174" s="37">
        <v>94</v>
      </c>
      <c r="AK174" s="10">
        <f>COUNTIF(UniqueID!A:A,Table1[[#This Row],[ID]])</f>
        <v>1</v>
      </c>
      <c r="AL174" s="10" t="str">
        <f>VLOOKUP(Table1[[#This Row],[Cellar Location]],Location!A:F,6,FALSE)</f>
        <v>C</v>
      </c>
      <c r="AN174" s="1">
        <v>44019</v>
      </c>
      <c r="AO174" s="10" t="str">
        <f>TEXT(Table1[[#This Row],[Purchased]],"mmmm")</f>
        <v>July</v>
      </c>
      <c r="AP174" s="10" t="str">
        <f>TEXT(Table1[[#This Row],[Purchased]],"yyyy")</f>
        <v>2020</v>
      </c>
      <c r="AQ174" s="10"/>
    </row>
    <row r="175" spans="1:43" s="37" customFormat="1" x14ac:dyDescent="0.25">
      <c r="A175" s="37" t="str">
        <f t="shared" si="4"/>
        <v>2017Enrique MendozaLa Tremenda</v>
      </c>
      <c r="B175" s="37">
        <v>2017</v>
      </c>
      <c r="C175" s="37" t="s">
        <v>234</v>
      </c>
      <c r="D175" s="37" t="s">
        <v>235</v>
      </c>
      <c r="E175" s="69" t="s">
        <v>1223</v>
      </c>
      <c r="F175" s="37" t="s">
        <v>729</v>
      </c>
      <c r="G175" s="37" t="s">
        <v>826</v>
      </c>
      <c r="H175" s="37" t="s">
        <v>827</v>
      </c>
      <c r="I175" s="8">
        <v>1</v>
      </c>
      <c r="J175" s="38">
        <v>750</v>
      </c>
      <c r="K175" s="38" t="s">
        <v>1687</v>
      </c>
      <c r="L175" s="10">
        <f>COUNTIF(Drank!A:A,Table1[[#This Row],[ID]])</f>
        <v>0</v>
      </c>
      <c r="M175" s="37" t="s">
        <v>202</v>
      </c>
      <c r="N175" s="37" t="s">
        <v>207</v>
      </c>
      <c r="O175" s="37">
        <v>1</v>
      </c>
      <c r="P175" s="37">
        <v>2019</v>
      </c>
      <c r="Q175" s="37">
        <v>2022</v>
      </c>
      <c r="R175" s="10" t="str">
        <f>IF(IFERROR(VLOOKUP(A175,Drank!A:S,15,FALSE),"")=0,"",IFERROR(VLOOKUP(A175,Drank!A:S,15,FALSE),""))</f>
        <v/>
      </c>
      <c r="S175" s="10" t="str">
        <f>IF(IFERROR(VLOOKUP(A175,Drank!A:S,16,FALSE),"")=0,"",IFERROR(VLOOKUP(A175,Drank!A:S,16,FALSE),""))</f>
        <v/>
      </c>
      <c r="T175" s="10"/>
      <c r="U175" s="37">
        <v>92</v>
      </c>
      <c r="V175" s="18" t="str">
        <f>IF(IFERROR(VLOOKUP(A175,Drank!A:T,19,FALSE),"")=0,"",IFERROR(VLOOKUP(A175,Drank!A:T,19,FALSE),""))</f>
        <v/>
      </c>
      <c r="W175" s="1" t="str">
        <f>IF(IFERROR(VLOOKUP(A175,Drank!A:T,20,FALSE),"")=0,"",IFERROR(VLOOKUP(A175,Drank!A:T,20,FALSE),""))</f>
        <v/>
      </c>
      <c r="X175" s="10">
        <f>SUMIF(A:A,A175,I:I)</f>
        <v>8</v>
      </c>
      <c r="Y175" s="10">
        <f>IF(Table1[[#This Row],[Drank]]&gt;0,VLOOKUP(Table1[[#This Row],[ID]],Drank!A:P,16,FALSE),IF(Table1[[#This Row],[WALDD]]&gt;0,VLOOKUP(Table1[[#This Row],[ID]],Wine1!A:Q,17,FALSE),Table1[[#This Row],[EP]]))</f>
        <v>2022</v>
      </c>
      <c r="Z175" s="18">
        <f>IF(Table1[[#This Row],[My Rating]]="",IF(Table1[[#This Row],[WA Rating Clean]]="","",Table1[[#This Row],[WA Rating Clean]]),Table1[[#This Row],[My Rating]])</f>
        <v>92</v>
      </c>
      <c r="AA175" s="8">
        <v>2021</v>
      </c>
      <c r="AB175" s="128">
        <v>12.62</v>
      </c>
      <c r="AC175" s="2">
        <f t="shared" si="5"/>
        <v>12.62</v>
      </c>
      <c r="AD175" s="8">
        <v>1</v>
      </c>
      <c r="AE175" s="10">
        <f>IF(Table1[[#This Row],[P/750]]&lt;20,1,IF(Table1[[#This Row],[P/750]]&lt;50,2,3))</f>
        <v>1</v>
      </c>
      <c r="AF175" s="10">
        <f>IF(Table1[[#This Row],[P/750]]&lt;Expenses!$C$30,1,IF(Table1[[#This Row],[P/750]]&lt;Expenses!$C$31,2,IF(Table1[[#This Row],[P/750]]&lt;Expenses!$C$32,3,4)))</f>
        <v>1</v>
      </c>
      <c r="AH175" s="37" t="s">
        <v>1189</v>
      </c>
      <c r="AI175" s="11">
        <f>Table1[[#This Row],[Price]]/Table1[[#This Row],[Size (ml)]]*750</f>
        <v>12.620000000000001</v>
      </c>
      <c r="AJ175" s="37">
        <v>92</v>
      </c>
      <c r="AK175" s="10">
        <f>COUNTIF(UniqueID!A:A,Table1[[#This Row],[ID]])</f>
        <v>0</v>
      </c>
      <c r="AL175" s="10" t="str">
        <f>VLOOKUP(Table1[[#This Row],[Cellar Location]],Location!A:F,6,FALSE)</f>
        <v>W</v>
      </c>
      <c r="AN175" s="1">
        <v>44061</v>
      </c>
      <c r="AO175" s="10" t="str">
        <f>TEXT(Table1[[#This Row],[Purchased]],"mmmm")</f>
        <v>August</v>
      </c>
      <c r="AP175" s="10" t="str">
        <f>TEXT(Table1[[#This Row],[Purchased]],"yyyy")</f>
        <v>2020</v>
      </c>
      <c r="AQ175" s="1">
        <v>44137</v>
      </c>
    </row>
    <row r="176" spans="1:43" s="37" customFormat="1" x14ac:dyDescent="0.25">
      <c r="A176" s="37" t="str">
        <f t="shared" si="4"/>
        <v>2017Enrique MendozaLa Tremenda</v>
      </c>
      <c r="B176" s="37">
        <v>2017</v>
      </c>
      <c r="C176" s="37" t="s">
        <v>234</v>
      </c>
      <c r="D176" s="37" t="s">
        <v>235</v>
      </c>
      <c r="E176" s="69" t="s">
        <v>1223</v>
      </c>
      <c r="F176" s="37" t="s">
        <v>729</v>
      </c>
      <c r="G176" s="37" t="s">
        <v>826</v>
      </c>
      <c r="H176" s="37" t="s">
        <v>827</v>
      </c>
      <c r="I176" s="8">
        <v>1</v>
      </c>
      <c r="J176" s="38">
        <v>750</v>
      </c>
      <c r="K176" s="38" t="s">
        <v>1687</v>
      </c>
      <c r="L176" s="10">
        <f>COUNTIF(Drank!A:A,Table1[[#This Row],[ID]])</f>
        <v>0</v>
      </c>
      <c r="M176" s="37" t="s">
        <v>202</v>
      </c>
      <c r="N176" s="37" t="s">
        <v>207</v>
      </c>
      <c r="O176" s="37">
        <v>1</v>
      </c>
      <c r="P176" s="37">
        <v>2019</v>
      </c>
      <c r="Q176" s="37">
        <v>2022</v>
      </c>
      <c r="R176" s="10" t="str">
        <f>IF(IFERROR(VLOOKUP(A176,Drank!A:S,15,FALSE),"")=0,"",IFERROR(VLOOKUP(A176,Drank!A:S,15,FALSE),""))</f>
        <v/>
      </c>
      <c r="S176" s="10" t="str">
        <f>IF(IFERROR(VLOOKUP(A176,Drank!A:S,16,FALSE),"")=0,"",IFERROR(VLOOKUP(A176,Drank!A:S,16,FALSE),""))</f>
        <v/>
      </c>
      <c r="T176" s="10"/>
      <c r="U176" s="37">
        <v>92</v>
      </c>
      <c r="V176" s="18" t="str">
        <f>IF(IFERROR(VLOOKUP(A176,Drank!A:T,19,FALSE),"")=0,"",IFERROR(VLOOKUP(A176,Drank!A:T,19,FALSE),""))</f>
        <v/>
      </c>
      <c r="W176" s="1" t="str">
        <f>IF(IFERROR(VLOOKUP(A176,Drank!A:T,20,FALSE),"")=0,"",IFERROR(VLOOKUP(A176,Drank!A:T,20,FALSE),""))</f>
        <v/>
      </c>
      <c r="X176" s="10">
        <f>SUMIF(A:A,A176,I:I)</f>
        <v>8</v>
      </c>
      <c r="Y176" s="10">
        <f>IF(Table1[[#This Row],[Drank]]&gt;0,VLOOKUP(Table1[[#This Row],[ID]],Drank!A:P,16,FALSE),IF(Table1[[#This Row],[WALDD]]&gt;0,VLOOKUP(Table1[[#This Row],[ID]],Wine1!A:Q,17,FALSE),Table1[[#This Row],[EP]]))</f>
        <v>2022</v>
      </c>
      <c r="Z176" s="18">
        <f>IF(Table1[[#This Row],[My Rating]]="",IF(Table1[[#This Row],[WA Rating Clean]]="","",Table1[[#This Row],[WA Rating Clean]]),Table1[[#This Row],[My Rating]])</f>
        <v>92</v>
      </c>
      <c r="AA176" s="8">
        <v>2021</v>
      </c>
      <c r="AB176" s="128">
        <v>12.62</v>
      </c>
      <c r="AC176" s="2">
        <f t="shared" si="5"/>
        <v>12.62</v>
      </c>
      <c r="AD176" s="8">
        <v>1</v>
      </c>
      <c r="AE176" s="10">
        <f>IF(Table1[[#This Row],[P/750]]&lt;20,1,IF(Table1[[#This Row],[P/750]]&lt;50,2,3))</f>
        <v>1</v>
      </c>
      <c r="AF176" s="10">
        <f>IF(Table1[[#This Row],[P/750]]&lt;Expenses!$C$30,1,IF(Table1[[#This Row],[P/750]]&lt;Expenses!$C$31,2,IF(Table1[[#This Row],[P/750]]&lt;Expenses!$C$32,3,4)))</f>
        <v>1</v>
      </c>
      <c r="AH176" s="37" t="s">
        <v>1189</v>
      </c>
      <c r="AI176" s="11">
        <f>Table1[[#This Row],[Price]]/Table1[[#This Row],[Size (ml)]]*750</f>
        <v>12.620000000000001</v>
      </c>
      <c r="AJ176" s="37">
        <v>92</v>
      </c>
      <c r="AK176" s="10">
        <f>COUNTIF(UniqueID!A:A,Table1[[#This Row],[ID]])</f>
        <v>0</v>
      </c>
      <c r="AL176" s="10" t="str">
        <f>VLOOKUP(Table1[[#This Row],[Cellar Location]],Location!A:F,6,FALSE)</f>
        <v>W</v>
      </c>
      <c r="AN176" s="1">
        <v>44061</v>
      </c>
      <c r="AO176" s="10" t="str">
        <f>TEXT(Table1[[#This Row],[Purchased]],"mmmm")</f>
        <v>August</v>
      </c>
      <c r="AP176" s="10" t="str">
        <f>TEXT(Table1[[#This Row],[Purchased]],"yyyy")</f>
        <v>2020</v>
      </c>
      <c r="AQ176" s="1">
        <v>44137</v>
      </c>
    </row>
    <row r="177" spans="1:43" s="37" customFormat="1" x14ac:dyDescent="0.25">
      <c r="A177" s="37" t="str">
        <f t="shared" si="4"/>
        <v>2017Enrique MendozaLa Tremenda</v>
      </c>
      <c r="B177" s="37">
        <v>2017</v>
      </c>
      <c r="C177" s="37" t="s">
        <v>234</v>
      </c>
      <c r="D177" s="37" t="s">
        <v>235</v>
      </c>
      <c r="E177" s="69" t="s">
        <v>1223</v>
      </c>
      <c r="F177" s="37" t="s">
        <v>729</v>
      </c>
      <c r="G177" s="37" t="s">
        <v>826</v>
      </c>
      <c r="H177" s="37" t="s">
        <v>827</v>
      </c>
      <c r="I177" s="8">
        <v>1</v>
      </c>
      <c r="J177" s="38">
        <v>750</v>
      </c>
      <c r="K177" s="38" t="s">
        <v>1687</v>
      </c>
      <c r="L177" s="10">
        <f>COUNTIF(Drank!A:A,Table1[[#This Row],[ID]])</f>
        <v>0</v>
      </c>
      <c r="M177" s="37" t="s">
        <v>202</v>
      </c>
      <c r="N177" s="37" t="s">
        <v>207</v>
      </c>
      <c r="O177" s="37">
        <v>1</v>
      </c>
      <c r="P177" s="37">
        <v>2019</v>
      </c>
      <c r="Q177" s="37">
        <v>2022</v>
      </c>
      <c r="R177" s="10" t="str">
        <f>IF(IFERROR(VLOOKUP(A177,Drank!A:S,15,FALSE),"")=0,"",IFERROR(VLOOKUP(A177,Drank!A:S,15,FALSE),""))</f>
        <v/>
      </c>
      <c r="S177" s="10" t="str">
        <f>IF(IFERROR(VLOOKUP(A177,Drank!A:S,16,FALSE),"")=0,"",IFERROR(VLOOKUP(A177,Drank!A:S,16,FALSE),""))</f>
        <v/>
      </c>
      <c r="T177" s="10"/>
      <c r="U177" s="37">
        <v>92</v>
      </c>
      <c r="V177" s="18" t="str">
        <f>IF(IFERROR(VLOOKUP(A177,Drank!A:T,19,FALSE),"")=0,"",IFERROR(VLOOKUP(A177,Drank!A:T,19,FALSE),""))</f>
        <v/>
      </c>
      <c r="W177" s="1" t="str">
        <f>IF(IFERROR(VLOOKUP(A177,Drank!A:T,20,FALSE),"")=0,"",IFERROR(VLOOKUP(A177,Drank!A:T,20,FALSE),""))</f>
        <v/>
      </c>
      <c r="X177" s="10">
        <f>SUMIF(A:A,A177,I:I)</f>
        <v>8</v>
      </c>
      <c r="Y177" s="10">
        <f>IF(Table1[[#This Row],[Drank]]&gt;0,VLOOKUP(Table1[[#This Row],[ID]],Drank!A:P,16,FALSE),IF(Table1[[#This Row],[WALDD]]&gt;0,VLOOKUP(Table1[[#This Row],[ID]],Wine1!A:Q,17,FALSE),Table1[[#This Row],[EP]]))</f>
        <v>2022</v>
      </c>
      <c r="Z177" s="18">
        <f>IF(Table1[[#This Row],[My Rating]]="",IF(Table1[[#This Row],[WA Rating Clean]]="","",Table1[[#This Row],[WA Rating Clean]]),Table1[[#This Row],[My Rating]])</f>
        <v>92</v>
      </c>
      <c r="AA177" s="8">
        <v>2021</v>
      </c>
      <c r="AB177" s="128">
        <v>12.62</v>
      </c>
      <c r="AC177" s="2">
        <f t="shared" si="5"/>
        <v>12.62</v>
      </c>
      <c r="AD177" s="8">
        <v>1</v>
      </c>
      <c r="AE177" s="10">
        <f>IF(Table1[[#This Row],[P/750]]&lt;20,1,IF(Table1[[#This Row],[P/750]]&lt;50,2,3))</f>
        <v>1</v>
      </c>
      <c r="AF177" s="10">
        <f>IF(Table1[[#This Row],[P/750]]&lt;Expenses!$C$30,1,IF(Table1[[#This Row],[P/750]]&lt;Expenses!$C$31,2,IF(Table1[[#This Row],[P/750]]&lt;Expenses!$C$32,3,4)))</f>
        <v>1</v>
      </c>
      <c r="AH177" s="37" t="s">
        <v>1189</v>
      </c>
      <c r="AI177" s="11">
        <f>Table1[[#This Row],[Price]]/Table1[[#This Row],[Size (ml)]]*750</f>
        <v>12.620000000000001</v>
      </c>
      <c r="AJ177" s="37">
        <v>92</v>
      </c>
      <c r="AK177" s="10">
        <f>COUNTIF(UniqueID!A:A,Table1[[#This Row],[ID]])</f>
        <v>0</v>
      </c>
      <c r="AL177" s="10" t="str">
        <f>VLOOKUP(Table1[[#This Row],[Cellar Location]],Location!A:F,6,FALSE)</f>
        <v>W</v>
      </c>
      <c r="AN177" s="1">
        <v>44061</v>
      </c>
      <c r="AO177" s="10" t="str">
        <f>TEXT(Table1[[#This Row],[Purchased]],"mmmm")</f>
        <v>August</v>
      </c>
      <c r="AP177" s="10" t="str">
        <f>TEXT(Table1[[#This Row],[Purchased]],"yyyy")</f>
        <v>2020</v>
      </c>
      <c r="AQ177" s="1">
        <v>44137</v>
      </c>
    </row>
    <row r="178" spans="1:43" s="37" customFormat="1" x14ac:dyDescent="0.25">
      <c r="A178" s="37" t="str">
        <f t="shared" si="4"/>
        <v>2016PlanetaCerasuolo di Vittoria Classico Dorilli</v>
      </c>
      <c r="B178" s="8">
        <v>2016</v>
      </c>
      <c r="C178" s="103" t="s">
        <v>1351</v>
      </c>
      <c r="D178" s="69" t="s">
        <v>1352</v>
      </c>
      <c r="E178" s="37" t="s">
        <v>1353</v>
      </c>
      <c r="F178" s="37" t="s">
        <v>728</v>
      </c>
      <c r="G178" s="37" t="s">
        <v>788</v>
      </c>
      <c r="H178" s="37" t="s">
        <v>1354</v>
      </c>
      <c r="I178" s="37">
        <v>1</v>
      </c>
      <c r="J178" s="37">
        <v>750</v>
      </c>
      <c r="K178" s="8" t="s">
        <v>1541</v>
      </c>
      <c r="L178" s="10">
        <f>COUNTIF(Drank!A:A,Table1[[#This Row],[ID]])</f>
        <v>2</v>
      </c>
      <c r="M178" s="37" t="s">
        <v>202</v>
      </c>
      <c r="N178" s="37" t="s">
        <v>207</v>
      </c>
      <c r="O178" s="37">
        <v>1</v>
      </c>
      <c r="P178" s="37">
        <v>2018</v>
      </c>
      <c r="Q178" s="37">
        <v>2022</v>
      </c>
      <c r="R178" s="10">
        <f>IF(IFERROR(VLOOKUP(A178,Drank!A:S,15,FALSE),"")=0,"",IFERROR(VLOOKUP(A178,Drank!A:S,15,FALSE),""))</f>
        <v>2021</v>
      </c>
      <c r="S178" s="10">
        <f>IF(IFERROR(VLOOKUP(A178,Drank!A:S,16,FALSE),"")=0,"",IFERROR(VLOOKUP(A178,Drank!A:S,16,FALSE),""))</f>
        <v>2023</v>
      </c>
      <c r="T178" s="10"/>
      <c r="U178" s="37">
        <v>92</v>
      </c>
      <c r="V178" s="18">
        <f>IF(IFERROR(VLOOKUP(A178,Drank!A:T,19,FALSE),"")=0,"",IFERROR(VLOOKUP(A178,Drank!A:T,19,FALSE),""))</f>
        <v>90.5</v>
      </c>
      <c r="W178" s="1">
        <f>IF(IFERROR(VLOOKUP(A178,Drank!A:T,20,FALSE),"")=0,"",IFERROR(VLOOKUP(A178,Drank!A:T,20,FALSE),""))</f>
        <v>44060</v>
      </c>
      <c r="X178" s="10">
        <f>SUMIF(A:A,A178,I:I)</f>
        <v>2</v>
      </c>
      <c r="Y178" s="10">
        <f>IF(Table1[[#This Row],[Drank]]&gt;0,VLOOKUP(Table1[[#This Row],[ID]],Drank!A:P,16,FALSE),IF(Table1[[#This Row],[WALDD]]&gt;0,VLOOKUP(Table1[[#This Row],[ID]],Wine1!A:Q,17,FALSE),Table1[[#This Row],[EP]]))</f>
        <v>2023</v>
      </c>
      <c r="Z178" s="18">
        <f>IF(Table1[[#This Row],[My Rating]]="",IF(Table1[[#This Row],[WA Rating Clean]]="","",Table1[[#This Row],[WA Rating Clean]]),Table1[[#This Row],[My Rating]])</f>
        <v>90.5</v>
      </c>
      <c r="AA178" s="8">
        <v>2021</v>
      </c>
      <c r="AB178" s="128">
        <v>26.22</v>
      </c>
      <c r="AC178" s="2">
        <f t="shared" si="5"/>
        <v>26.22</v>
      </c>
      <c r="AD178" s="8">
        <v>0</v>
      </c>
      <c r="AE178" s="10">
        <f>IF(Table1[[#This Row],[P/750]]&lt;20,1,IF(Table1[[#This Row],[P/750]]&lt;50,2,3))</f>
        <v>2</v>
      </c>
      <c r="AF178" s="10">
        <f>IF(Table1[[#This Row],[P/750]]&lt;Expenses!$C$30,1,IF(Table1[[#This Row],[P/750]]&lt;Expenses!$C$31,2,IF(Table1[[#This Row],[P/750]]&lt;Expenses!$C$32,3,4)))</f>
        <v>2</v>
      </c>
      <c r="AH178" s="37" t="s">
        <v>385</v>
      </c>
      <c r="AI178" s="11">
        <f>Table1[[#This Row],[Price]]/Table1[[#This Row],[Size (ml)]]*750</f>
        <v>26.22</v>
      </c>
      <c r="AJ178" s="37">
        <v>92</v>
      </c>
      <c r="AK178" s="10">
        <f>COUNTIF(UniqueID!A:A,Table1[[#This Row],[ID]])</f>
        <v>0</v>
      </c>
      <c r="AL178" s="10" t="str">
        <f>VLOOKUP(Table1[[#This Row],[Cellar Location]],Location!A:F,6,FALSE)</f>
        <v>C</v>
      </c>
      <c r="AN178" s="1">
        <v>43926</v>
      </c>
      <c r="AO178" s="10" t="str">
        <f>TEXT(Table1[[#This Row],[Purchased]],"mmmm")</f>
        <v>April</v>
      </c>
      <c r="AP178" s="10" t="str">
        <f>TEXT(Table1[[#This Row],[Purchased]],"yyyy")</f>
        <v>2020</v>
      </c>
      <c r="AQ178" s="10"/>
    </row>
    <row r="179" spans="1:43" s="37" customFormat="1" x14ac:dyDescent="0.25">
      <c r="A179" s="37" t="str">
        <f t="shared" si="4"/>
        <v>2017Domaine la Bastide Saint DominiqueVentoux Reserve Saint Dominique</v>
      </c>
      <c r="B179" s="37">
        <v>2017</v>
      </c>
      <c r="C179" s="37" t="s">
        <v>605</v>
      </c>
      <c r="D179" s="37" t="s">
        <v>606</v>
      </c>
      <c r="E179" s="67" t="s">
        <v>1248</v>
      </c>
      <c r="F179" s="37" t="s">
        <v>742</v>
      </c>
      <c r="G179" s="37" t="s">
        <v>759</v>
      </c>
      <c r="H179" s="37" t="s">
        <v>763</v>
      </c>
      <c r="I179" s="37">
        <v>1</v>
      </c>
      <c r="J179" s="37">
        <v>750</v>
      </c>
      <c r="K179" s="8" t="s">
        <v>1427</v>
      </c>
      <c r="L179" s="37">
        <f>COUNTIF(Drank!A:A,Table1[[#This Row],[ID]])</f>
        <v>1</v>
      </c>
      <c r="M179" s="37" t="s">
        <v>202</v>
      </c>
      <c r="N179" s="37" t="s">
        <v>207</v>
      </c>
      <c r="O179" s="37">
        <v>1</v>
      </c>
      <c r="P179" s="10">
        <v>2018</v>
      </c>
      <c r="Q179" s="37">
        <v>2023</v>
      </c>
      <c r="R179" s="10">
        <f>IF(IFERROR(VLOOKUP(A179,Drank!A:S,15,FALSE),"")=0,"",IFERROR(VLOOKUP(A179,Drank!A:S,15,FALSE),""))</f>
        <v>2020</v>
      </c>
      <c r="S179" s="10">
        <f>IF(IFERROR(VLOOKUP(A179,Drank!A:S,16,FALSE),"")=0,"",IFERROR(VLOOKUP(A179,Drank!A:S,16,FALSE),""))</f>
        <v>2023</v>
      </c>
      <c r="T179" s="10"/>
      <c r="U179" s="37">
        <v>91</v>
      </c>
      <c r="V179" s="18">
        <f>IF(IFERROR(VLOOKUP(A179,Drank!A:T,19,FALSE),"")=0,"",IFERROR(VLOOKUP(A179,Drank!A:T,19,FALSE),""))</f>
        <v>90</v>
      </c>
      <c r="W179" s="1">
        <f>IF(IFERROR(VLOOKUP(A179,Drank!A:T,20,FALSE),"")=0,"",IFERROR(VLOOKUP(A179,Drank!A:T,20,FALSE),""))</f>
        <v>43919</v>
      </c>
      <c r="X179" s="10">
        <f>SUMIF(A:A,A179,I:I)</f>
        <v>3</v>
      </c>
      <c r="Y179" s="10">
        <f>IF(Table1[[#This Row],[Drank]]&gt;0,VLOOKUP(Table1[[#This Row],[ID]],Drank!A:P,16,FALSE),IF(Table1[[#This Row],[WALDD]]&gt;0,VLOOKUP(Table1[[#This Row],[ID]],Wine1!A:Q,17,FALSE),Table1[[#This Row],[EP]]))</f>
        <v>2023</v>
      </c>
      <c r="Z179" s="18">
        <f>IF(Table1[[#This Row],[My Rating]]="",IF(Table1[[#This Row],[WA Rating Clean]]="","",Table1[[#This Row],[WA Rating Clean]]),Table1[[#This Row],[My Rating]])</f>
        <v>90</v>
      </c>
      <c r="AA179" s="8">
        <v>2021</v>
      </c>
      <c r="AB179" s="128">
        <v>9.99</v>
      </c>
      <c r="AC179" s="2">
        <f t="shared" si="5"/>
        <v>9.99</v>
      </c>
      <c r="AD179" s="8">
        <v>0</v>
      </c>
      <c r="AE179" s="10">
        <f>IF(Table1[[#This Row],[P/750]]&lt;20,1,IF(Table1[[#This Row],[P/750]]&lt;50,2,3))</f>
        <v>1</v>
      </c>
      <c r="AF179" s="10">
        <f>IF(Table1[[#This Row],[P/750]]&lt;Expenses!$C$30,1,IF(Table1[[#This Row],[P/750]]&lt;Expenses!$C$31,2,IF(Table1[[#This Row],[P/750]]&lt;Expenses!$C$32,3,4)))</f>
        <v>1</v>
      </c>
      <c r="AH179" s="37" t="s">
        <v>384</v>
      </c>
      <c r="AI179" s="11">
        <f>Table1[[#This Row],[Price]]/Table1[[#This Row],[Size (ml)]]*750</f>
        <v>9.99</v>
      </c>
      <c r="AJ179" s="37">
        <v>91</v>
      </c>
      <c r="AK179" s="37">
        <f>COUNTIF(UniqueID!A:A,Table1[[#This Row],[ID]])</f>
        <v>1</v>
      </c>
      <c r="AL179" s="37" t="str">
        <f>VLOOKUP(Table1[[#This Row],[Cellar Location]],Location!A:F,6,FALSE)</f>
        <v>C</v>
      </c>
      <c r="AN179" s="1">
        <v>43803</v>
      </c>
      <c r="AO179" s="37" t="str">
        <f>TEXT(Table1[[#This Row],[Purchased]],"mmmm")</f>
        <v>December</v>
      </c>
      <c r="AP179" s="10" t="str">
        <f>TEXT(Table1[[#This Row],[Purchased]],"yyyy")</f>
        <v>2019</v>
      </c>
      <c r="AQ179" s="10"/>
    </row>
    <row r="180" spans="1:43" s="37" customFormat="1" x14ac:dyDescent="0.25">
      <c r="A180" s="37" t="str">
        <f t="shared" si="4"/>
        <v>2014MugaReserva</v>
      </c>
      <c r="B180" s="37">
        <v>2014</v>
      </c>
      <c r="C180" s="8" t="s">
        <v>105</v>
      </c>
      <c r="D180" s="37" t="s">
        <v>106</v>
      </c>
      <c r="E180" s="64" t="s">
        <v>277</v>
      </c>
      <c r="F180" s="37" t="s">
        <v>729</v>
      </c>
      <c r="G180" s="37" t="s">
        <v>823</v>
      </c>
      <c r="I180" s="37">
        <v>1</v>
      </c>
      <c r="J180" s="37">
        <v>750</v>
      </c>
      <c r="K180" s="8" t="s">
        <v>25</v>
      </c>
      <c r="L180" s="37">
        <f>COUNTIF(Drank!A:A,Table1[[#This Row],[ID]])</f>
        <v>0</v>
      </c>
      <c r="M180" s="37" t="s">
        <v>202</v>
      </c>
      <c r="N180" s="37" t="s">
        <v>207</v>
      </c>
      <c r="O180" s="37">
        <v>1</v>
      </c>
      <c r="P180" s="37">
        <v>2018</v>
      </c>
      <c r="Q180" s="37">
        <v>2023</v>
      </c>
      <c r="R180" s="37" t="str">
        <f>IF(IFERROR(VLOOKUP(A180,Drank!A:S,15,FALSE),"")=0,"",IFERROR(VLOOKUP(A180,Drank!A:S,15,FALSE),""))</f>
        <v/>
      </c>
      <c r="S180" s="37" t="str">
        <f>IF(IFERROR(VLOOKUP(A180,Drank!A:S,16,FALSE),"")=0,"",IFERROR(VLOOKUP(A180,Drank!A:S,16,FALSE),""))</f>
        <v/>
      </c>
      <c r="U180" s="37">
        <v>91</v>
      </c>
      <c r="V180" s="18" t="str">
        <f>IF(IFERROR(VLOOKUP(A180,Drank!A:T,19,FALSE),"")=0,"",IFERROR(VLOOKUP(A180,Drank!A:T,19,FALSE),""))</f>
        <v/>
      </c>
      <c r="W180" s="1" t="str">
        <f>IF(IFERROR(VLOOKUP(A180,Drank!A:T,20,FALSE),"")=0,"",IFERROR(VLOOKUP(A180,Drank!A:T,20,FALSE),""))</f>
        <v/>
      </c>
      <c r="X180" s="37">
        <f>SUMIF(A:A,A180,I:I)</f>
        <v>1</v>
      </c>
      <c r="Y180" s="37">
        <f>IF(Table1[[#This Row],[Drank]]&gt;0,VLOOKUP(Table1[[#This Row],[ID]],Drank!A:P,16,FALSE),IF(Table1[[#This Row],[WALDD]]&gt;0,VLOOKUP(Table1[[#This Row],[ID]],Wine1!A:Q,17,FALSE),Table1[[#This Row],[EP]]))</f>
        <v>2023</v>
      </c>
      <c r="Z180" s="18">
        <f>IF(Table1[[#This Row],[My Rating]]="",IF(Table1[[#This Row],[WA Rating Clean]]="","",Table1[[#This Row],[WA Rating Clean]]),Table1[[#This Row],[My Rating]])</f>
        <v>91</v>
      </c>
      <c r="AA180" s="37">
        <v>2021</v>
      </c>
      <c r="AB180" s="134">
        <v>26</v>
      </c>
      <c r="AC180" s="2">
        <f t="shared" si="5"/>
        <v>26</v>
      </c>
      <c r="AD180" s="8">
        <v>0</v>
      </c>
      <c r="AE180" s="37">
        <f>IF(Table1[[#This Row],[P/750]]&lt;20,1,IF(Table1[[#This Row],[P/750]]&lt;50,2,3))</f>
        <v>2</v>
      </c>
      <c r="AF180" s="37">
        <f>IF(Table1[[#This Row],[P/750]]&lt;Expenses!$C$30,1,IF(Table1[[#This Row],[P/750]]&lt;Expenses!$C$31,2,IF(Table1[[#This Row],[P/750]]&lt;Expenses!$C$32,3,4)))</f>
        <v>2</v>
      </c>
      <c r="AH180" s="37" t="s">
        <v>1131</v>
      </c>
      <c r="AI180" s="11">
        <f>Table1[[#This Row],[Price]]/Table1[[#This Row],[Size (ml)]]*750</f>
        <v>26</v>
      </c>
      <c r="AJ180" s="37">
        <v>91</v>
      </c>
      <c r="AK180" s="37">
        <f>COUNTIF(UniqueID!A:A,Table1[[#This Row],[ID]])</f>
        <v>1</v>
      </c>
      <c r="AL180" s="37" t="str">
        <f>VLOOKUP(Table1[[#This Row],[Cellar Location]],Location!A:F,6,FALSE)</f>
        <v>K</v>
      </c>
      <c r="AO180" s="37" t="str">
        <f>TEXT(Table1[[#This Row],[Purchased]],"mmmm")</f>
        <v>January</v>
      </c>
      <c r="AP180" s="10" t="str">
        <f>TEXT(Table1[[#This Row],[Purchased]],"yyyy")</f>
        <v>1900</v>
      </c>
      <c r="AQ180" s="10"/>
    </row>
    <row r="181" spans="1:43" s="37" customFormat="1" x14ac:dyDescent="0.25">
      <c r="A181" s="37" t="str">
        <f t="shared" si="4"/>
        <v>2015Resalte de PeñafielOrigen de Resalte</v>
      </c>
      <c r="B181" s="8">
        <v>2015</v>
      </c>
      <c r="C181" s="103" t="s">
        <v>1246</v>
      </c>
      <c r="D181" s="37" t="s">
        <v>1247</v>
      </c>
      <c r="E181" s="67" t="s">
        <v>1220</v>
      </c>
      <c r="F181" s="37" t="s">
        <v>729</v>
      </c>
      <c r="G181" s="37" t="s">
        <v>1718</v>
      </c>
      <c r="H181" s="37" t="s">
        <v>818</v>
      </c>
      <c r="I181" s="37">
        <v>1</v>
      </c>
      <c r="J181" s="37">
        <v>750</v>
      </c>
      <c r="K181" s="8" t="s">
        <v>839</v>
      </c>
      <c r="L181" s="10">
        <f>COUNTIF(Drank!A:A,Table1[[#This Row],[ID]])</f>
        <v>2</v>
      </c>
      <c r="M181" s="37" t="s">
        <v>202</v>
      </c>
      <c r="N181" s="37" t="s">
        <v>207</v>
      </c>
      <c r="O181" s="37">
        <v>1</v>
      </c>
      <c r="P181" s="10">
        <v>2018</v>
      </c>
      <c r="Q181" s="37">
        <v>2021</v>
      </c>
      <c r="R181" s="10">
        <f>IF(IFERROR(VLOOKUP(A181,Drank!A:S,15,FALSE),"")=0,"",IFERROR(VLOOKUP(A181,Drank!A:S,15,FALSE),""))</f>
        <v>2021</v>
      </c>
      <c r="S181" s="10">
        <f>IF(IFERROR(VLOOKUP(A181,Drank!A:S,16,FALSE),"")=0,"",IFERROR(VLOOKUP(A181,Drank!A:S,16,FALSE),""))</f>
        <v>2023</v>
      </c>
      <c r="T181" s="10"/>
      <c r="U181" s="37">
        <v>91</v>
      </c>
      <c r="V181" s="18">
        <f>IF(IFERROR(VLOOKUP(A181,Drank!A:T,19,FALSE),"")=0,"",IFERROR(VLOOKUP(A181,Drank!A:T,19,FALSE),""))</f>
        <v>90</v>
      </c>
      <c r="W181" s="1">
        <f>IF(IFERROR(VLOOKUP(A181,Drank!A:T,20,FALSE),"")=0,"",IFERROR(VLOOKUP(A181,Drank!A:T,20,FALSE),""))</f>
        <v>44062</v>
      </c>
      <c r="X181" s="10">
        <f>SUMIF(A:A,A181,I:I)</f>
        <v>2</v>
      </c>
      <c r="Y181" s="10">
        <f>IF(Table1[[#This Row],[Drank]]&gt;0,VLOOKUP(Table1[[#This Row],[ID]],Drank!A:P,16,FALSE),IF(Table1[[#This Row],[WALDD]]&gt;0,VLOOKUP(Table1[[#This Row],[ID]],Wine1!A:Q,17,FALSE),Table1[[#This Row],[EP]]))</f>
        <v>2023</v>
      </c>
      <c r="Z181" s="18">
        <f>IF(Table1[[#This Row],[My Rating]]="",IF(Table1[[#This Row],[WA Rating Clean]]="","",Table1[[#This Row],[WA Rating Clean]]),Table1[[#This Row],[My Rating]])</f>
        <v>90</v>
      </c>
      <c r="AA181" s="37">
        <v>2021</v>
      </c>
      <c r="AB181" s="128">
        <v>19.989999999999998</v>
      </c>
      <c r="AC181" s="2">
        <f t="shared" si="5"/>
        <v>19.989999999999998</v>
      </c>
      <c r="AD181" s="8">
        <v>0</v>
      </c>
      <c r="AE181" s="10">
        <f>IF(Table1[[#This Row],[P/750]]&lt;20,1,IF(Table1[[#This Row],[P/750]]&lt;50,2,3))</f>
        <v>1</v>
      </c>
      <c r="AF181" s="10">
        <f>IF(Table1[[#This Row],[P/750]]&lt;Expenses!$C$30,1,IF(Table1[[#This Row],[P/750]]&lt;Expenses!$C$31,2,IF(Table1[[#This Row],[P/750]]&lt;Expenses!$C$32,3,4)))</f>
        <v>2</v>
      </c>
      <c r="AH181" s="37" t="s">
        <v>384</v>
      </c>
      <c r="AI181" s="11">
        <f>Table1[[#This Row],[Price]]/Table1[[#This Row],[Size (ml)]]*750</f>
        <v>19.989999999999998</v>
      </c>
      <c r="AJ181" s="37">
        <v>91</v>
      </c>
      <c r="AK181" s="10">
        <f>COUNTIF(UniqueID!A:A,Table1[[#This Row],[ID]])</f>
        <v>1</v>
      </c>
      <c r="AL181" s="10" t="str">
        <f>VLOOKUP(Table1[[#This Row],[Cellar Location]],Location!A:F,6,FALSE)</f>
        <v>C</v>
      </c>
      <c r="AN181" s="1">
        <v>43871</v>
      </c>
      <c r="AO181" s="37" t="str">
        <f>TEXT(Table1[[#This Row],[Purchased]],"mmmm")</f>
        <v>February</v>
      </c>
      <c r="AP181" s="10" t="str">
        <f>TEXT(Table1[[#This Row],[Purchased]],"yyyy")</f>
        <v>2020</v>
      </c>
      <c r="AQ181" s="10"/>
    </row>
    <row r="182" spans="1:43" s="37" customFormat="1" x14ac:dyDescent="0.25">
      <c r="A182" s="37" t="str">
        <f t="shared" si="4"/>
        <v>2015Resalte de PeñafielOrigen de Resalte</v>
      </c>
      <c r="B182" s="8">
        <v>2015</v>
      </c>
      <c r="C182" s="37" t="s">
        <v>1246</v>
      </c>
      <c r="D182" s="37" t="s">
        <v>1247</v>
      </c>
      <c r="E182" s="67" t="s">
        <v>1220</v>
      </c>
      <c r="F182" s="37" t="s">
        <v>729</v>
      </c>
      <c r="G182" s="37" t="s">
        <v>1718</v>
      </c>
      <c r="H182" s="37" t="s">
        <v>818</v>
      </c>
      <c r="I182" s="37">
        <v>1</v>
      </c>
      <c r="J182" s="37">
        <v>750</v>
      </c>
      <c r="K182" s="8" t="s">
        <v>929</v>
      </c>
      <c r="L182" s="10">
        <f>COUNTIF(Drank!A:A,Table1[[#This Row],[ID]])</f>
        <v>2</v>
      </c>
      <c r="M182" s="37" t="s">
        <v>202</v>
      </c>
      <c r="N182" s="37" t="s">
        <v>207</v>
      </c>
      <c r="O182" s="37">
        <v>1</v>
      </c>
      <c r="P182" s="10">
        <v>2018</v>
      </c>
      <c r="Q182" s="37">
        <v>2021</v>
      </c>
      <c r="R182" s="10">
        <f>IF(IFERROR(VLOOKUP(A182,Drank!A:S,15,FALSE),"")=0,"",IFERROR(VLOOKUP(A182,Drank!A:S,15,FALSE),""))</f>
        <v>2021</v>
      </c>
      <c r="S182" s="10">
        <f>IF(IFERROR(VLOOKUP(A182,Drank!A:S,16,FALSE),"")=0,"",IFERROR(VLOOKUP(A182,Drank!A:S,16,FALSE),""))</f>
        <v>2023</v>
      </c>
      <c r="T182" s="10"/>
      <c r="U182" s="37">
        <v>91</v>
      </c>
      <c r="V182" s="18">
        <f>IF(IFERROR(VLOOKUP(A182,Drank!A:T,19,FALSE),"")=0,"",IFERROR(VLOOKUP(A182,Drank!A:T,19,FALSE),""))</f>
        <v>90</v>
      </c>
      <c r="W182" s="1">
        <f>IF(IFERROR(VLOOKUP(A182,Drank!A:T,20,FALSE),"")=0,"",IFERROR(VLOOKUP(A182,Drank!A:T,20,FALSE),""))</f>
        <v>44062</v>
      </c>
      <c r="X182" s="10">
        <f>SUMIF(A:A,A182,I:I)</f>
        <v>2</v>
      </c>
      <c r="Y182" s="10">
        <f>IF(Table1[[#This Row],[Drank]]&gt;0,VLOOKUP(Table1[[#This Row],[ID]],Drank!A:P,16,FALSE),IF(Table1[[#This Row],[WALDD]]&gt;0,VLOOKUP(Table1[[#This Row],[ID]],Wine1!A:Q,17,FALSE),Table1[[#This Row],[EP]]))</f>
        <v>2023</v>
      </c>
      <c r="Z182" s="18">
        <f>IF(Table1[[#This Row],[My Rating]]="",IF(Table1[[#This Row],[WA Rating Clean]]="","",Table1[[#This Row],[WA Rating Clean]]),Table1[[#This Row],[My Rating]])</f>
        <v>90</v>
      </c>
      <c r="AA182" s="37">
        <v>2021</v>
      </c>
      <c r="AB182" s="128">
        <v>19.989999999999998</v>
      </c>
      <c r="AC182" s="2">
        <f t="shared" si="5"/>
        <v>19.989999999999998</v>
      </c>
      <c r="AD182" s="8">
        <v>0</v>
      </c>
      <c r="AE182" s="10">
        <f>IF(Table1[[#This Row],[P/750]]&lt;20,1,IF(Table1[[#This Row],[P/750]]&lt;50,2,3))</f>
        <v>1</v>
      </c>
      <c r="AF182" s="10">
        <f>IF(Table1[[#This Row],[P/750]]&lt;Expenses!$C$30,1,IF(Table1[[#This Row],[P/750]]&lt;Expenses!$C$31,2,IF(Table1[[#This Row],[P/750]]&lt;Expenses!$C$32,3,4)))</f>
        <v>2</v>
      </c>
      <c r="AH182" s="37" t="s">
        <v>384</v>
      </c>
      <c r="AI182" s="11">
        <f>Table1[[#This Row],[Price]]/Table1[[#This Row],[Size (ml)]]*750</f>
        <v>19.989999999999998</v>
      </c>
      <c r="AJ182" s="37">
        <v>91</v>
      </c>
      <c r="AK182" s="10">
        <f>COUNTIF(UniqueID!A:A,Table1[[#This Row],[ID]])</f>
        <v>1</v>
      </c>
      <c r="AL182" s="10" t="str">
        <f>VLOOKUP(Table1[[#This Row],[Cellar Location]],Location!A:F,6,FALSE)</f>
        <v>C</v>
      </c>
      <c r="AN182" s="1">
        <v>43871</v>
      </c>
      <c r="AO182" s="37" t="str">
        <f>TEXT(Table1[[#This Row],[Purchased]],"mmmm")</f>
        <v>February</v>
      </c>
      <c r="AP182" s="10" t="str">
        <f>TEXT(Table1[[#This Row],[Purchased]],"yyyy")</f>
        <v>2020</v>
      </c>
      <c r="AQ182" s="10"/>
    </row>
    <row r="183" spans="1:43" s="37" customFormat="1" x14ac:dyDescent="0.25">
      <c r="A183" s="37" t="str">
        <f t="shared" si="4"/>
        <v>2016San AlejandroLas Rocas</v>
      </c>
      <c r="B183" s="8">
        <v>2016</v>
      </c>
      <c r="C183" s="37" t="s">
        <v>152</v>
      </c>
      <c r="D183" s="25" t="s">
        <v>153</v>
      </c>
      <c r="E183" s="67" t="s">
        <v>1248</v>
      </c>
      <c r="F183" s="37" t="s">
        <v>729</v>
      </c>
      <c r="G183" s="37" t="s">
        <v>811</v>
      </c>
      <c r="H183" s="37" t="s">
        <v>812</v>
      </c>
      <c r="I183" s="37">
        <v>1</v>
      </c>
      <c r="J183" s="37">
        <v>750</v>
      </c>
      <c r="K183" s="8" t="s">
        <v>651</v>
      </c>
      <c r="L183" s="37">
        <f>COUNTIF(Drank!A:A,Table1[[#This Row],[ID]])</f>
        <v>21</v>
      </c>
      <c r="M183" s="37" t="s">
        <v>202</v>
      </c>
      <c r="N183" s="37" t="s">
        <v>207</v>
      </c>
      <c r="O183" s="37">
        <v>1</v>
      </c>
      <c r="P183" s="37">
        <v>2019</v>
      </c>
      <c r="Q183" s="37">
        <v>2021</v>
      </c>
      <c r="R183" s="37">
        <f>IF(IFERROR(VLOOKUP(A183,Drank!A:S,15,FALSE),"")=0,"",IFERROR(VLOOKUP(A183,Drank!A:S,15,FALSE),""))</f>
        <v>2020</v>
      </c>
      <c r="S183" s="37">
        <f>IF(IFERROR(VLOOKUP(A183,Drank!A:S,16,FALSE),"")=0,"",IFERROR(VLOOKUP(A183,Drank!A:S,16,FALSE),""))</f>
        <v>2023</v>
      </c>
      <c r="U183" s="37">
        <v>89</v>
      </c>
      <c r="V183" s="18">
        <f>IF(IFERROR(VLOOKUP(A183,Drank!A:T,19,FALSE),"")=0,"",IFERROR(VLOOKUP(A183,Drank!A:T,19,FALSE),""))</f>
        <v>88.944444444444443</v>
      </c>
      <c r="W183" s="1">
        <f>IF(IFERROR(VLOOKUP(A183,Drank!A:T,20,FALSE),"")=0,"",IFERROR(VLOOKUP(A183,Drank!A:T,20,FALSE),""))</f>
        <v>43889</v>
      </c>
      <c r="X183" s="37">
        <f>SUMIF(A:A,A183,I:I)</f>
        <v>4</v>
      </c>
      <c r="Y183" s="37">
        <f>IF(Table1[[#This Row],[Drank]]&gt;0,VLOOKUP(Table1[[#This Row],[ID]],Drank!A:P,16,FALSE),IF(Table1[[#This Row],[WALDD]]&gt;0,VLOOKUP(Table1[[#This Row],[ID]],Wine1!A:Q,17,FALSE),Table1[[#This Row],[EP]]))</f>
        <v>2023</v>
      </c>
      <c r="Z183" s="18">
        <f>IF(Table1[[#This Row],[My Rating]]="",IF(Table1[[#This Row],[WA Rating Clean]]="","",Table1[[#This Row],[WA Rating Clean]]),Table1[[#This Row],[My Rating]])</f>
        <v>88.944444444444443</v>
      </c>
      <c r="AA183" s="8">
        <v>2021</v>
      </c>
      <c r="AB183" s="14">
        <v>8.99</v>
      </c>
      <c r="AC183" s="2">
        <f t="shared" si="5"/>
        <v>8.99</v>
      </c>
      <c r="AD183" s="8">
        <v>0</v>
      </c>
      <c r="AE183" s="37">
        <f>IF(Table1[[#This Row],[P/750]]&lt;20,1,IF(Table1[[#This Row],[P/750]]&lt;50,2,3))</f>
        <v>1</v>
      </c>
      <c r="AF183" s="37">
        <f>IF(Table1[[#This Row],[P/750]]&lt;Expenses!$C$30,1,IF(Table1[[#This Row],[P/750]]&lt;Expenses!$C$31,2,IF(Table1[[#This Row],[P/750]]&lt;Expenses!$C$32,3,4)))</f>
        <v>1</v>
      </c>
      <c r="AH183" s="37" t="s">
        <v>1128</v>
      </c>
      <c r="AI183" s="11">
        <f>Table1[[#This Row],[Price]]/Table1[[#This Row],[Size (ml)]]*750</f>
        <v>8.99</v>
      </c>
      <c r="AJ183" s="37">
        <v>89</v>
      </c>
      <c r="AK183" s="37">
        <f>COUNTIF(UniqueID!A:A,Table1[[#This Row],[ID]])</f>
        <v>1</v>
      </c>
      <c r="AL183" s="37" t="str">
        <f>VLOOKUP(Table1[[#This Row],[Cellar Location]],Location!A:F,6,FALSE)</f>
        <v>C</v>
      </c>
      <c r="AO183" s="37" t="str">
        <f>TEXT(Table1[[#This Row],[Purchased]],"mmmm")</f>
        <v>January</v>
      </c>
      <c r="AP183" s="10" t="str">
        <f>TEXT(Table1[[#This Row],[Purchased]],"yyyy")</f>
        <v>1900</v>
      </c>
      <c r="AQ183" s="10"/>
    </row>
    <row r="184" spans="1:43" s="37" customFormat="1" x14ac:dyDescent="0.25">
      <c r="A184" s="37" t="str">
        <f t="shared" si="4"/>
        <v>2016San AlejandroLas Rocas</v>
      </c>
      <c r="B184" s="8">
        <v>2016</v>
      </c>
      <c r="C184" s="37" t="s">
        <v>152</v>
      </c>
      <c r="D184" s="25" t="s">
        <v>153</v>
      </c>
      <c r="E184" s="67" t="s">
        <v>1248</v>
      </c>
      <c r="F184" s="37" t="s">
        <v>729</v>
      </c>
      <c r="G184" s="37" t="s">
        <v>811</v>
      </c>
      <c r="H184" s="37" t="s">
        <v>812</v>
      </c>
      <c r="I184" s="37">
        <v>1</v>
      </c>
      <c r="J184" s="37">
        <v>750</v>
      </c>
      <c r="K184" s="8" t="s">
        <v>651</v>
      </c>
      <c r="L184" s="37">
        <f>COUNTIF(Drank!A:A,Table1[[#This Row],[ID]])</f>
        <v>21</v>
      </c>
      <c r="M184" s="37" t="s">
        <v>202</v>
      </c>
      <c r="N184" s="37" t="s">
        <v>207</v>
      </c>
      <c r="O184" s="37">
        <v>1</v>
      </c>
      <c r="P184" s="37">
        <v>2019</v>
      </c>
      <c r="Q184" s="37">
        <v>2021</v>
      </c>
      <c r="R184" s="37">
        <f>IF(IFERROR(VLOOKUP(A184,Drank!A:S,15,FALSE),"")=0,"",IFERROR(VLOOKUP(A184,Drank!A:S,15,FALSE),""))</f>
        <v>2020</v>
      </c>
      <c r="S184" s="37">
        <f>IF(IFERROR(VLOOKUP(A184,Drank!A:S,16,FALSE),"")=0,"",IFERROR(VLOOKUP(A184,Drank!A:S,16,FALSE),""))</f>
        <v>2023</v>
      </c>
      <c r="U184" s="37">
        <v>89</v>
      </c>
      <c r="V184" s="18">
        <f>IF(IFERROR(VLOOKUP(A184,Drank!A:T,19,FALSE),"")=0,"",IFERROR(VLOOKUP(A184,Drank!A:T,19,FALSE),""))</f>
        <v>88.944444444444443</v>
      </c>
      <c r="W184" s="1">
        <f>IF(IFERROR(VLOOKUP(A184,Drank!A:T,20,FALSE),"")=0,"",IFERROR(VLOOKUP(A184,Drank!A:T,20,FALSE),""))</f>
        <v>43889</v>
      </c>
      <c r="X184" s="37">
        <f>SUMIF(A:A,A184,I:I)</f>
        <v>4</v>
      </c>
      <c r="Y184" s="37">
        <f>IF(Table1[[#This Row],[Drank]]&gt;0,VLOOKUP(Table1[[#This Row],[ID]],Drank!A:P,16,FALSE),IF(Table1[[#This Row],[WALDD]]&gt;0,VLOOKUP(Table1[[#This Row],[ID]],Wine1!A:Q,17,FALSE),Table1[[#This Row],[EP]]))</f>
        <v>2023</v>
      </c>
      <c r="Z184" s="18">
        <f>IF(Table1[[#This Row],[My Rating]]="",IF(Table1[[#This Row],[WA Rating Clean]]="","",Table1[[#This Row],[WA Rating Clean]]),Table1[[#This Row],[My Rating]])</f>
        <v>88.944444444444443</v>
      </c>
      <c r="AA184" s="8">
        <v>2021</v>
      </c>
      <c r="AB184" s="14">
        <v>8.99</v>
      </c>
      <c r="AC184" s="2">
        <f t="shared" si="5"/>
        <v>8.99</v>
      </c>
      <c r="AD184" s="8">
        <v>0</v>
      </c>
      <c r="AE184" s="37">
        <f>IF(Table1[[#This Row],[P/750]]&lt;20,1,IF(Table1[[#This Row],[P/750]]&lt;50,2,3))</f>
        <v>1</v>
      </c>
      <c r="AF184" s="37">
        <f>IF(Table1[[#This Row],[P/750]]&lt;Expenses!$C$30,1,IF(Table1[[#This Row],[P/750]]&lt;Expenses!$C$31,2,IF(Table1[[#This Row],[P/750]]&lt;Expenses!$C$32,3,4)))</f>
        <v>1</v>
      </c>
      <c r="AH184" s="37" t="s">
        <v>1128</v>
      </c>
      <c r="AI184" s="11">
        <f>Table1[[#This Row],[Price]]/Table1[[#This Row],[Size (ml)]]*750</f>
        <v>8.99</v>
      </c>
      <c r="AJ184" s="37">
        <v>89</v>
      </c>
      <c r="AK184" s="37">
        <f>COUNTIF(UniqueID!A:A,Table1[[#This Row],[ID]])</f>
        <v>1</v>
      </c>
      <c r="AL184" s="37" t="str">
        <f>VLOOKUP(Table1[[#This Row],[Cellar Location]],Location!A:F,6,FALSE)</f>
        <v>C</v>
      </c>
      <c r="AO184" s="37" t="str">
        <f>TEXT(Table1[[#This Row],[Purchased]],"mmmm")</f>
        <v>January</v>
      </c>
      <c r="AP184" s="10" t="str">
        <f>TEXT(Table1[[#This Row],[Purchased]],"yyyy")</f>
        <v>1900</v>
      </c>
      <c r="AQ184" s="10"/>
    </row>
    <row r="185" spans="1:43" s="37" customFormat="1" x14ac:dyDescent="0.25">
      <c r="A185" s="37" t="str">
        <f t="shared" si="4"/>
        <v>2016San AlejandroLas Rocas</v>
      </c>
      <c r="B185" s="8">
        <v>2016</v>
      </c>
      <c r="C185" s="37" t="s">
        <v>152</v>
      </c>
      <c r="D185" s="25" t="s">
        <v>153</v>
      </c>
      <c r="E185" s="67" t="s">
        <v>1248</v>
      </c>
      <c r="F185" s="37" t="s">
        <v>729</v>
      </c>
      <c r="G185" s="37" t="s">
        <v>811</v>
      </c>
      <c r="H185" s="37" t="s">
        <v>812</v>
      </c>
      <c r="I185" s="37">
        <v>1</v>
      </c>
      <c r="J185" s="37">
        <v>750</v>
      </c>
      <c r="K185" s="8" t="s">
        <v>1541</v>
      </c>
      <c r="L185" s="37">
        <f>COUNTIF(Drank!A:A,Table1[[#This Row],[ID]])</f>
        <v>21</v>
      </c>
      <c r="M185" s="37" t="s">
        <v>202</v>
      </c>
      <c r="N185" s="37" t="s">
        <v>207</v>
      </c>
      <c r="O185" s="37">
        <v>1</v>
      </c>
      <c r="P185" s="37">
        <v>2019</v>
      </c>
      <c r="Q185" s="37">
        <v>2021</v>
      </c>
      <c r="R185" s="37">
        <f>IF(IFERROR(VLOOKUP(A185,Drank!A:S,15,FALSE),"")=0,"",IFERROR(VLOOKUP(A185,Drank!A:S,15,FALSE),""))</f>
        <v>2020</v>
      </c>
      <c r="S185" s="37">
        <f>IF(IFERROR(VLOOKUP(A185,Drank!A:S,16,FALSE),"")=0,"",IFERROR(VLOOKUP(A185,Drank!A:S,16,FALSE),""))</f>
        <v>2023</v>
      </c>
      <c r="U185" s="37">
        <v>89</v>
      </c>
      <c r="V185" s="18">
        <f>IF(IFERROR(VLOOKUP(A185,Drank!A:T,19,FALSE),"")=0,"",IFERROR(VLOOKUP(A185,Drank!A:T,19,FALSE),""))</f>
        <v>88.944444444444443</v>
      </c>
      <c r="W185" s="1">
        <f>IF(IFERROR(VLOOKUP(A185,Drank!A:T,20,FALSE),"")=0,"",IFERROR(VLOOKUP(A185,Drank!A:T,20,FALSE),""))</f>
        <v>43889</v>
      </c>
      <c r="X185" s="37">
        <f>SUMIF(A:A,A185,I:I)</f>
        <v>4</v>
      </c>
      <c r="Y185" s="37">
        <f>IF(Table1[[#This Row],[Drank]]&gt;0,VLOOKUP(Table1[[#This Row],[ID]],Drank!A:P,16,FALSE),IF(Table1[[#This Row],[WALDD]]&gt;0,VLOOKUP(Table1[[#This Row],[ID]],Wine1!A:Q,17,FALSE),Table1[[#This Row],[EP]]))</f>
        <v>2023</v>
      </c>
      <c r="Z185" s="18">
        <f>IF(Table1[[#This Row],[My Rating]]="",IF(Table1[[#This Row],[WA Rating Clean]]="","",Table1[[#This Row],[WA Rating Clean]]),Table1[[#This Row],[My Rating]])</f>
        <v>88.944444444444443</v>
      </c>
      <c r="AA185" s="8">
        <v>2021</v>
      </c>
      <c r="AB185" s="14">
        <v>8.99</v>
      </c>
      <c r="AC185" s="2">
        <f t="shared" si="5"/>
        <v>8.99</v>
      </c>
      <c r="AD185" s="8">
        <v>0</v>
      </c>
      <c r="AE185" s="37">
        <f>IF(Table1[[#This Row],[P/750]]&lt;20,1,IF(Table1[[#This Row],[P/750]]&lt;50,2,3))</f>
        <v>1</v>
      </c>
      <c r="AF185" s="37">
        <f>IF(Table1[[#This Row],[P/750]]&lt;Expenses!$C$30,1,IF(Table1[[#This Row],[P/750]]&lt;Expenses!$C$31,2,IF(Table1[[#This Row],[P/750]]&lt;Expenses!$C$32,3,4)))</f>
        <v>1</v>
      </c>
      <c r="AH185" s="37" t="s">
        <v>1128</v>
      </c>
      <c r="AI185" s="11">
        <f>Table1[[#This Row],[Price]]/Table1[[#This Row],[Size (ml)]]*750</f>
        <v>8.99</v>
      </c>
      <c r="AJ185" s="37">
        <v>89</v>
      </c>
      <c r="AK185" s="37">
        <f>COUNTIF(UniqueID!A:A,Table1[[#This Row],[ID]])</f>
        <v>1</v>
      </c>
      <c r="AL185" s="37" t="str">
        <f>VLOOKUP(Table1[[#This Row],[Cellar Location]],Location!A:F,6,FALSE)</f>
        <v>C</v>
      </c>
      <c r="AO185" s="37" t="str">
        <f>TEXT(Table1[[#This Row],[Purchased]],"mmmm")</f>
        <v>January</v>
      </c>
      <c r="AP185" s="10" t="str">
        <f>TEXT(Table1[[#This Row],[Purchased]],"yyyy")</f>
        <v>1900</v>
      </c>
      <c r="AQ185" s="10"/>
    </row>
    <row r="186" spans="1:43" s="37" customFormat="1" x14ac:dyDescent="0.25">
      <c r="A186" s="37" t="str">
        <f t="shared" si="4"/>
        <v>2017Georges DuboeufSaint-Amour Chateau de Saint-Amour</v>
      </c>
      <c r="B186" s="37">
        <v>2017</v>
      </c>
      <c r="C186" s="37" t="s">
        <v>335</v>
      </c>
      <c r="D186" s="37" t="s">
        <v>1209</v>
      </c>
      <c r="E186" s="69" t="s">
        <v>1295</v>
      </c>
      <c r="F186" s="37" t="s">
        <v>742</v>
      </c>
      <c r="G186" s="37" t="s">
        <v>745</v>
      </c>
      <c r="H186" s="37" t="s">
        <v>747</v>
      </c>
      <c r="I186" s="37">
        <v>1</v>
      </c>
      <c r="J186" s="37">
        <v>750</v>
      </c>
      <c r="K186" s="8" t="s">
        <v>839</v>
      </c>
      <c r="L186" s="37">
        <f>COUNTIF(Drank!A:A,Table1[[#This Row],[ID]])</f>
        <v>2</v>
      </c>
      <c r="M186" s="37" t="s">
        <v>202</v>
      </c>
      <c r="N186" s="37" t="s">
        <v>207</v>
      </c>
      <c r="O186" s="37">
        <v>1</v>
      </c>
      <c r="P186" s="37">
        <v>2018</v>
      </c>
      <c r="Q186" s="37">
        <v>2022</v>
      </c>
      <c r="R186" s="10">
        <f>IF(IFERROR(VLOOKUP(A186,Drank!A:S,15,FALSE),"")=0,"",IFERROR(VLOOKUP(A186,Drank!A:S,15,FALSE),""))</f>
        <v>2021</v>
      </c>
      <c r="S186" s="10">
        <f>IF(IFERROR(VLOOKUP(A186,Drank!A:S,16,FALSE),"")=0,"",IFERROR(VLOOKUP(A186,Drank!A:S,16,FALSE),""))</f>
        <v>2023</v>
      </c>
      <c r="T186" s="10"/>
      <c r="U186" s="37">
        <v>90</v>
      </c>
      <c r="V186" s="18">
        <f>IF(IFERROR(VLOOKUP(A186,Drank!A:T,19,FALSE),"")=0,"",IFERROR(VLOOKUP(A186,Drank!A:T,19,FALSE),""))</f>
        <v>89.5</v>
      </c>
      <c r="W186" s="1">
        <f>IF(IFERROR(VLOOKUP(A186,Drank!A:T,20,FALSE),"")=0,"",IFERROR(VLOOKUP(A186,Drank!A:T,20,FALSE),""))</f>
        <v>44056</v>
      </c>
      <c r="X186" s="10">
        <f>SUMIF(A:A,A186,I:I)</f>
        <v>2</v>
      </c>
      <c r="Y186" s="37">
        <f>IF(Table1[[#This Row],[Drank]]&gt;0,VLOOKUP(Table1[[#This Row],[ID]],Drank!A:P,16,FALSE),IF(Table1[[#This Row],[WALDD]]&gt;0,VLOOKUP(Table1[[#This Row],[ID]],Wine1!A:Q,17,FALSE),Table1[[#This Row],[EP]]))</f>
        <v>2023</v>
      </c>
      <c r="Z186" s="18">
        <f>IF(Table1[[#This Row],[My Rating]]="",IF(Table1[[#This Row],[WA Rating Clean]]="","",Table1[[#This Row],[WA Rating Clean]]),Table1[[#This Row],[My Rating]])</f>
        <v>89.5</v>
      </c>
      <c r="AA186" s="8">
        <v>2021</v>
      </c>
      <c r="AB186" s="128">
        <v>17.989999999999998</v>
      </c>
      <c r="AC186" s="2">
        <f t="shared" si="5"/>
        <v>17.989999999999998</v>
      </c>
      <c r="AD186" s="8">
        <v>0</v>
      </c>
      <c r="AE186" s="37">
        <f>IF(Table1[[#This Row],[P/750]]&lt;20,1,IF(Table1[[#This Row],[P/750]]&lt;50,2,3))</f>
        <v>1</v>
      </c>
      <c r="AF186" s="37">
        <f>IF(Table1[[#This Row],[P/750]]&lt;Expenses!$C$30,1,IF(Table1[[#This Row],[P/750]]&lt;Expenses!$C$31,2,IF(Table1[[#This Row],[P/750]]&lt;Expenses!$C$32,3,4)))</f>
        <v>2</v>
      </c>
      <c r="AH186" s="37" t="s">
        <v>384</v>
      </c>
      <c r="AI186" s="11">
        <f>Table1[[#This Row],[Price]]/Table1[[#This Row],[Size (ml)]]*750</f>
        <v>17.989999999999998</v>
      </c>
      <c r="AJ186" s="37">
        <v>90</v>
      </c>
      <c r="AK186" s="37">
        <f>COUNTIF(UniqueID!A:A,Table1[[#This Row],[ID]])</f>
        <v>1</v>
      </c>
      <c r="AL186" s="37" t="str">
        <f>VLOOKUP(Table1[[#This Row],[Cellar Location]],Location!A:F,6,FALSE)</f>
        <v>C</v>
      </c>
      <c r="AO186" s="37" t="str">
        <f>TEXT(Table1[[#This Row],[Purchased]],"mmmm")</f>
        <v>January</v>
      </c>
      <c r="AP186" s="10" t="str">
        <f>TEXT(Table1[[#This Row],[Purchased]],"yyyy")</f>
        <v>1900</v>
      </c>
      <c r="AQ186" s="10"/>
    </row>
    <row r="187" spans="1:43" s="37" customFormat="1" x14ac:dyDescent="0.25">
      <c r="A187" s="37" t="str">
        <f t="shared" si="4"/>
        <v>2015AllegriniPalazzo della Torre</v>
      </c>
      <c r="B187" s="37">
        <v>2015</v>
      </c>
      <c r="C187" s="8" t="s">
        <v>111</v>
      </c>
      <c r="D187" s="37" t="s">
        <v>112</v>
      </c>
      <c r="E187" s="67" t="s">
        <v>1258</v>
      </c>
      <c r="F187" s="37" t="s">
        <v>728</v>
      </c>
      <c r="G187" s="37" t="s">
        <v>799</v>
      </c>
      <c r="H187" s="37" t="s">
        <v>800</v>
      </c>
      <c r="I187" s="37">
        <v>1</v>
      </c>
      <c r="J187" s="37">
        <v>750</v>
      </c>
      <c r="K187" s="8" t="s">
        <v>102</v>
      </c>
      <c r="L187" s="37">
        <f>COUNTIF(Drank!A:A,Table1[[#This Row],[ID]])</f>
        <v>11</v>
      </c>
      <c r="M187" s="37" t="s">
        <v>202</v>
      </c>
      <c r="N187" s="37" t="s">
        <v>207</v>
      </c>
      <c r="O187" s="37">
        <v>1</v>
      </c>
      <c r="P187" s="37">
        <v>2019</v>
      </c>
      <c r="Q187" s="37">
        <v>2025</v>
      </c>
      <c r="R187" s="10">
        <f>IF(IFERROR(VLOOKUP(A187,Drank!A:S,15,FALSE),"")=0,"",IFERROR(VLOOKUP(A187,Drank!A:S,15,FALSE),""))</f>
        <v>2020</v>
      </c>
      <c r="S187" s="10">
        <f>IF(IFERROR(VLOOKUP(A187,Drank!A:S,16,FALSE),"")=0,"",IFERROR(VLOOKUP(A187,Drank!A:S,16,FALSE),""))</f>
        <v>2023</v>
      </c>
      <c r="T187" s="10"/>
      <c r="U187" s="37" t="s">
        <v>1404</v>
      </c>
      <c r="V187" s="18">
        <f>IF(IFERROR(VLOOKUP(A187,Drank!A:T,19,FALSE),"")=0,"",IFERROR(VLOOKUP(A187,Drank!A:T,19,FALSE),""))</f>
        <v>90.909090909090907</v>
      </c>
      <c r="W187" s="1">
        <f>IF(IFERROR(VLOOKUP(A187,Drank!A:T,20,FALSE),"")=0,"",IFERROR(VLOOKUP(A187,Drank!A:T,20,FALSE),""))</f>
        <v>44051</v>
      </c>
      <c r="X187" s="10">
        <f>SUMIF(A:A,A187,I:I)</f>
        <v>6</v>
      </c>
      <c r="Y187" s="37">
        <f>IF(Table1[[#This Row],[Drank]]&gt;0,VLOOKUP(Table1[[#This Row],[ID]],Drank!A:P,16,FALSE),IF(Table1[[#This Row],[WALDD]]&gt;0,VLOOKUP(Table1[[#This Row],[ID]],Wine1!A:Q,17,FALSE),Table1[[#This Row],[EP]]))</f>
        <v>2023</v>
      </c>
      <c r="Z187" s="18">
        <f>IF(Table1[[#This Row],[My Rating]]="",IF(Table1[[#This Row],[WA Rating Clean]]="","",Table1[[#This Row],[WA Rating Clean]]),Table1[[#This Row],[My Rating]])</f>
        <v>90.909090909090907</v>
      </c>
      <c r="AA187" s="8">
        <v>2021</v>
      </c>
      <c r="AB187" s="128">
        <v>17.989999999999998</v>
      </c>
      <c r="AC187" s="2">
        <f t="shared" si="5"/>
        <v>17.989999999999998</v>
      </c>
      <c r="AD187" s="8">
        <v>0</v>
      </c>
      <c r="AE187" s="37">
        <f>IF(Table1[[#This Row],[P/750]]&lt;20,1,IF(Table1[[#This Row],[P/750]]&lt;50,2,3))</f>
        <v>1</v>
      </c>
      <c r="AF187" s="37">
        <f>IF(Table1[[#This Row],[P/750]]&lt;Expenses!$C$30,1,IF(Table1[[#This Row],[P/750]]&lt;Expenses!$C$31,2,IF(Table1[[#This Row],[P/750]]&lt;Expenses!$C$32,3,4)))</f>
        <v>2</v>
      </c>
      <c r="AH187" s="25" t="s">
        <v>1128</v>
      </c>
      <c r="AI187" s="11">
        <f>Table1[[#This Row],[Price]]/Table1[[#This Row],[Size (ml)]]*750</f>
        <v>17.989999999999998</v>
      </c>
      <c r="AJ187" s="37">
        <v>90</v>
      </c>
      <c r="AK187" s="37">
        <f>COUNTIF(UniqueID!A:A,Table1[[#This Row],[ID]])</f>
        <v>1</v>
      </c>
      <c r="AL187" s="37" t="str">
        <f>VLOOKUP(Table1[[#This Row],[Cellar Location]],Location!A:F,6,FALSE)</f>
        <v>K</v>
      </c>
      <c r="AO187" s="37" t="str">
        <f>TEXT(Table1[[#This Row],[Purchased]],"mmmm")</f>
        <v>January</v>
      </c>
      <c r="AP187" s="10" t="str">
        <f>TEXT(Table1[[#This Row],[Purchased]],"yyyy")</f>
        <v>1900</v>
      </c>
      <c r="AQ187" s="10"/>
    </row>
    <row r="188" spans="1:43" s="37" customFormat="1" x14ac:dyDescent="0.25">
      <c r="A188" s="37" t="str">
        <f t="shared" si="4"/>
        <v>2016ArizcurenSolo Mazuelo</v>
      </c>
      <c r="B188" s="37">
        <v>2016</v>
      </c>
      <c r="C188" s="15" t="s">
        <v>1714</v>
      </c>
      <c r="D188" s="37" t="s">
        <v>1715</v>
      </c>
      <c r="E188" s="67" t="s">
        <v>1716</v>
      </c>
      <c r="F188" s="37" t="s">
        <v>729</v>
      </c>
      <c r="G188" s="37" t="s">
        <v>823</v>
      </c>
      <c r="I188" s="37">
        <v>1</v>
      </c>
      <c r="J188" s="37">
        <v>750</v>
      </c>
      <c r="K188" s="8" t="s">
        <v>1795</v>
      </c>
      <c r="L188" s="10">
        <f>COUNTIF(Drank!A:A,Table1[[#This Row],[ID]])</f>
        <v>0</v>
      </c>
      <c r="M188" s="37" t="s">
        <v>202</v>
      </c>
      <c r="N188" s="37" t="s">
        <v>207</v>
      </c>
      <c r="O188" s="37">
        <v>0</v>
      </c>
      <c r="R188" s="10" t="str">
        <f>IF(IFERROR(VLOOKUP(A188,Drank!A:S,15,FALSE),"")=0,"",IFERROR(VLOOKUP(A188,Drank!A:S,15,FALSE),""))</f>
        <v/>
      </c>
      <c r="S188" s="10" t="str">
        <f>IF(IFERROR(VLOOKUP(A188,Drank!A:S,16,FALSE),"")=0,"",IFERROR(VLOOKUP(A188,Drank!A:S,16,FALSE),""))</f>
        <v/>
      </c>
      <c r="T188" s="10">
        <v>2023</v>
      </c>
      <c r="V188" s="18" t="str">
        <f>IF(IFERROR(VLOOKUP(A188,Drank!A:T,19,FALSE),"")=0,"",IFERROR(VLOOKUP(A188,Drank!A:T,19,FALSE),""))</f>
        <v/>
      </c>
      <c r="W188" s="1" t="str">
        <f>IF(IFERROR(VLOOKUP(A188,Drank!A:T,20,FALSE),"")=0,"",IFERROR(VLOOKUP(A188,Drank!A:T,20,FALSE),""))</f>
        <v/>
      </c>
      <c r="X188" s="10">
        <f>SUMIF(A:A,A188,I:I)</f>
        <v>1</v>
      </c>
      <c r="Y188" s="10">
        <f>IF(Table1[[#This Row],[Drank]]&gt;0,VLOOKUP(Table1[[#This Row],[ID]],Drank!A:P,16,FALSE),IF(Table1[[#This Row],[WALDD]]&gt;0,VLOOKUP(Table1[[#This Row],[ID]],Wine1!A:Q,17,FALSE),Table1[[#This Row],[EP]]))</f>
        <v>2023</v>
      </c>
      <c r="Z188" s="18" t="str">
        <f>IF(Table1[[#This Row],[My Rating]]="",IF(Table1[[#This Row],[WA Rating Clean]]="","",Table1[[#This Row],[WA Rating Clean]]),Table1[[#This Row],[My Rating]])</f>
        <v/>
      </c>
      <c r="AA188" s="8">
        <v>2021</v>
      </c>
      <c r="AB188" s="128">
        <v>40.19</v>
      </c>
      <c r="AC188" s="2">
        <f t="shared" si="5"/>
        <v>40.19</v>
      </c>
      <c r="AD188" s="8">
        <v>0</v>
      </c>
      <c r="AE188" s="10">
        <f>IF(Table1[[#This Row],[P/750]]&lt;20,1,IF(Table1[[#This Row],[P/750]]&lt;50,2,3))</f>
        <v>2</v>
      </c>
      <c r="AF188" s="10">
        <f>IF(Table1[[#This Row],[P/750]]&lt;Expenses!$C$30,1,IF(Table1[[#This Row],[P/750]]&lt;Expenses!$C$31,2,IF(Table1[[#This Row],[P/750]]&lt;Expenses!$C$32,3,4)))</f>
        <v>3</v>
      </c>
      <c r="AH188" s="37" t="s">
        <v>1709</v>
      </c>
      <c r="AI188" s="11">
        <f>Table1[[#This Row],[Price]]/Table1[[#This Row],[Size (ml)]]*750</f>
        <v>40.19</v>
      </c>
      <c r="AK188" s="10">
        <f>COUNTIF(UniqueID!A:A,Table1[[#This Row],[ID]])</f>
        <v>0</v>
      </c>
      <c r="AL188" s="10" t="str">
        <f>VLOOKUP(Table1[[#This Row],[Cellar Location]],Location!A:F,6,FALSE)</f>
        <v>C</v>
      </c>
      <c r="AN188" s="1">
        <v>44062</v>
      </c>
      <c r="AO188" s="10" t="str">
        <f>TEXT(Table1[[#This Row],[Purchased]],"mmmm")</f>
        <v>August</v>
      </c>
      <c r="AP188" s="10" t="str">
        <f>TEXT(Table1[[#This Row],[Purchased]],"yyyy")</f>
        <v>2020</v>
      </c>
      <c r="AQ188" s="10"/>
    </row>
    <row r="189" spans="1:43" s="37" customFormat="1" x14ac:dyDescent="0.25">
      <c r="A189" s="37" t="str">
        <f t="shared" si="4"/>
        <v>NVPellegrinoMarsala Superiore Garibaldi Dolce</v>
      </c>
      <c r="B189" s="37" t="s">
        <v>167</v>
      </c>
      <c r="C189" s="37" t="s">
        <v>1763</v>
      </c>
      <c r="D189" s="37" t="s">
        <v>1764</v>
      </c>
      <c r="E189" s="69" t="s">
        <v>274</v>
      </c>
      <c r="F189" s="37" t="s">
        <v>728</v>
      </c>
      <c r="G189" s="37" t="s">
        <v>788</v>
      </c>
      <c r="H189" s="37" t="s">
        <v>1765</v>
      </c>
      <c r="I189" s="37">
        <v>1</v>
      </c>
      <c r="J189" s="37">
        <v>375</v>
      </c>
      <c r="K189" s="8" t="s">
        <v>236</v>
      </c>
      <c r="L189" s="10">
        <f>COUNTIF(Drank!A:A,Table1[[#This Row],[ID]])</f>
        <v>0</v>
      </c>
      <c r="M189" s="37" t="s">
        <v>201</v>
      </c>
      <c r="N189" s="37" t="s">
        <v>206</v>
      </c>
      <c r="O189" s="37">
        <v>0</v>
      </c>
      <c r="R189" s="10" t="str">
        <f>IF(IFERROR(VLOOKUP(A189,Drank!A:S,15,FALSE),"")=0,"",IFERROR(VLOOKUP(A189,Drank!A:S,15,FALSE),""))</f>
        <v/>
      </c>
      <c r="S189" s="10" t="str">
        <f>IF(IFERROR(VLOOKUP(A189,Drank!A:S,16,FALSE),"")=0,"",IFERROR(VLOOKUP(A189,Drank!A:S,16,FALSE),""))</f>
        <v/>
      </c>
      <c r="T189" s="10">
        <v>2023</v>
      </c>
      <c r="V189" s="18" t="str">
        <f>IF(IFERROR(VLOOKUP(A189,Drank!A:T,19,FALSE),"")=0,"",IFERROR(VLOOKUP(A189,Drank!A:T,19,FALSE),""))</f>
        <v/>
      </c>
      <c r="W189" s="1" t="str">
        <f>IF(IFERROR(VLOOKUP(A189,Drank!A:T,20,FALSE),"")=0,"",IFERROR(VLOOKUP(A189,Drank!A:T,20,FALSE),""))</f>
        <v/>
      </c>
      <c r="X189" s="10">
        <f>SUMIF(A:A,A189,I:I)</f>
        <v>1</v>
      </c>
      <c r="Y189" s="10">
        <f>IF(Table1[[#This Row],[Drank]]&gt;0,VLOOKUP(Table1[[#This Row],[ID]],Drank!A:P,16,FALSE),IF(Table1[[#This Row],[WALDD]]&gt;0,VLOOKUP(Table1[[#This Row],[ID]],Wine1!A:Q,17,FALSE),Table1[[#This Row],[EP]]))</f>
        <v>2023</v>
      </c>
      <c r="Z189" s="18" t="str">
        <f>IF(Table1[[#This Row],[My Rating]]="",IF(Table1[[#This Row],[WA Rating Clean]]="","",Table1[[#This Row],[WA Rating Clean]]),Table1[[#This Row],[My Rating]])</f>
        <v/>
      </c>
      <c r="AA189" s="8">
        <v>2021</v>
      </c>
      <c r="AB189" s="128">
        <v>9.17</v>
      </c>
      <c r="AC189" s="2">
        <f t="shared" si="5"/>
        <v>9.17</v>
      </c>
      <c r="AD189" s="8">
        <v>1</v>
      </c>
      <c r="AE189" s="10">
        <f>IF(Table1[[#This Row],[P/750]]&lt;20,1,IF(Table1[[#This Row],[P/750]]&lt;50,2,3))</f>
        <v>1</v>
      </c>
      <c r="AF189" s="10">
        <f>IF(Table1[[#This Row],[P/750]]&lt;Expenses!$C$30,1,IF(Table1[[#This Row],[P/750]]&lt;Expenses!$C$31,2,IF(Table1[[#This Row],[P/750]]&lt;Expenses!$C$32,3,4)))</f>
        <v>2</v>
      </c>
      <c r="AH189" s="37" t="s">
        <v>1749</v>
      </c>
      <c r="AI189" s="11">
        <f>Table1[[#This Row],[Price]]/Table1[[#This Row],[Size (ml)]]*750</f>
        <v>18.34</v>
      </c>
      <c r="AK189" s="10">
        <f>COUNTIF(UniqueID!A:A,Table1[[#This Row],[ID]])</f>
        <v>0</v>
      </c>
      <c r="AL189" s="10" t="str">
        <f>VLOOKUP(Table1[[#This Row],[Cellar Location]],Location!A:F,6,FALSE)</f>
        <v>C</v>
      </c>
      <c r="AN189" s="1">
        <v>44063</v>
      </c>
      <c r="AO189" s="10" t="str">
        <f>TEXT(Table1[[#This Row],[Purchased]],"mmmm")</f>
        <v>August</v>
      </c>
      <c r="AP189" s="10" t="str">
        <f>TEXT(Table1[[#This Row],[Purchased]],"yyyy")</f>
        <v>2020</v>
      </c>
      <c r="AQ189" s="10"/>
    </row>
    <row r="190" spans="1:43" s="37" customFormat="1" x14ac:dyDescent="0.25">
      <c r="A190" s="37" t="str">
        <f t="shared" si="4"/>
        <v>2019G.D. VajraLanghe Nebbiolo Clare J.C.</v>
      </c>
      <c r="B190" s="37">
        <v>2019</v>
      </c>
      <c r="C190" s="37" t="s">
        <v>81</v>
      </c>
      <c r="D190" s="37" t="s">
        <v>1702</v>
      </c>
      <c r="E190" s="37" t="s">
        <v>1206</v>
      </c>
      <c r="F190" s="37" t="s">
        <v>728</v>
      </c>
      <c r="G190" s="37" t="s">
        <v>778</v>
      </c>
      <c r="H190" s="37" t="s">
        <v>1193</v>
      </c>
      <c r="I190" s="8">
        <v>1</v>
      </c>
      <c r="J190" s="38">
        <v>750</v>
      </c>
      <c r="K190" s="38" t="s">
        <v>1687</v>
      </c>
      <c r="L190" s="10">
        <f>COUNTIF(Drank!A:A,Table1[[#This Row],[ID]])</f>
        <v>0</v>
      </c>
      <c r="M190" s="37" t="s">
        <v>202</v>
      </c>
      <c r="N190" s="37" t="s">
        <v>207</v>
      </c>
      <c r="O190" s="37">
        <v>1</v>
      </c>
      <c r="P190" s="37">
        <v>2020</v>
      </c>
      <c r="Q190" s="37">
        <v>2023</v>
      </c>
      <c r="R190" s="10" t="str">
        <f>IF(IFERROR(VLOOKUP(A190,Drank!A:S,15,FALSE),"")=0,"",IFERROR(VLOOKUP(A190,Drank!A:S,15,FALSE),""))</f>
        <v/>
      </c>
      <c r="S190" s="10" t="str">
        <f>IF(IFERROR(VLOOKUP(A190,Drank!A:S,16,FALSE),"")=0,"",IFERROR(VLOOKUP(A190,Drank!A:S,16,FALSE),""))</f>
        <v/>
      </c>
      <c r="T190" s="10"/>
      <c r="U190" s="37" t="s">
        <v>29</v>
      </c>
      <c r="V190" s="18" t="str">
        <f>IF(IFERROR(VLOOKUP(A190,Drank!A:T,19,FALSE),"")=0,"",IFERROR(VLOOKUP(A190,Drank!A:T,19,FALSE),""))</f>
        <v/>
      </c>
      <c r="W190" s="1" t="str">
        <f>IF(IFERROR(VLOOKUP(A190,Drank!A:T,20,FALSE),"")=0,"",IFERROR(VLOOKUP(A190,Drank!A:T,20,FALSE),""))</f>
        <v/>
      </c>
      <c r="X190" s="10">
        <f>SUMIF(A:A,A190,I:I)</f>
        <v>6</v>
      </c>
      <c r="Y190" s="10">
        <f>IF(Table1[[#This Row],[Drank]]&gt;0,VLOOKUP(Table1[[#This Row],[ID]],Drank!A:P,16,FALSE),IF(Table1[[#This Row],[WALDD]]&gt;0,VLOOKUP(Table1[[#This Row],[ID]],Wine1!A:Q,17,FALSE),Table1[[#This Row],[EP]]))</f>
        <v>2023</v>
      </c>
      <c r="Z190" s="18">
        <f>IF(Table1[[#This Row],[My Rating]]="",IF(Table1[[#This Row],[WA Rating Clean]]="","",Table1[[#This Row],[WA Rating Clean]]),Table1[[#This Row],[My Rating]])</f>
        <v>92</v>
      </c>
      <c r="AA190" s="8">
        <v>2021</v>
      </c>
      <c r="AB190" s="128">
        <v>22.4</v>
      </c>
      <c r="AC190" s="2">
        <f t="shared" si="5"/>
        <v>22.4</v>
      </c>
      <c r="AD190" s="8">
        <v>1</v>
      </c>
      <c r="AE190" s="10">
        <f>IF(Table1[[#This Row],[P/750]]&lt;20,1,IF(Table1[[#This Row],[P/750]]&lt;50,2,3))</f>
        <v>2</v>
      </c>
      <c r="AF190" s="10">
        <f>IF(Table1[[#This Row],[P/750]]&lt;Expenses!$C$30,1,IF(Table1[[#This Row],[P/750]]&lt;Expenses!$C$31,2,IF(Table1[[#This Row],[P/750]]&lt;Expenses!$C$32,3,4)))</f>
        <v>2</v>
      </c>
      <c r="AH190" s="37" t="s">
        <v>1189</v>
      </c>
      <c r="AI190" s="11">
        <f>Table1[[#This Row],[Price]]/Table1[[#This Row],[Size (ml)]]*750</f>
        <v>22.4</v>
      </c>
      <c r="AJ190" s="37">
        <v>92</v>
      </c>
      <c r="AK190" s="10">
        <f>COUNTIF(UniqueID!A:A,Table1[[#This Row],[ID]])</f>
        <v>0</v>
      </c>
      <c r="AL190" s="10" t="str">
        <f>VLOOKUP(Table1[[#This Row],[Cellar Location]],Location!A:F,6,FALSE)</f>
        <v>W</v>
      </c>
      <c r="AN190" s="1">
        <v>44061</v>
      </c>
      <c r="AO190" s="10" t="str">
        <f>TEXT(Table1[[#This Row],[Purchased]],"mmmm")</f>
        <v>August</v>
      </c>
      <c r="AP190" s="10" t="str">
        <f>TEXT(Table1[[#This Row],[Purchased]],"yyyy")</f>
        <v>2020</v>
      </c>
      <c r="AQ190" s="1">
        <v>44137</v>
      </c>
    </row>
    <row r="191" spans="1:43" s="37" customFormat="1" x14ac:dyDescent="0.25">
      <c r="A191" s="37" t="str">
        <f t="shared" si="4"/>
        <v>2015GordoYecla</v>
      </c>
      <c r="B191" s="8">
        <v>2015</v>
      </c>
      <c r="C191" s="8" t="s">
        <v>1815</v>
      </c>
      <c r="D191" s="19" t="s">
        <v>1816</v>
      </c>
      <c r="E191" s="63" t="s">
        <v>1817</v>
      </c>
      <c r="F191" s="37" t="s">
        <v>729</v>
      </c>
      <c r="G191" s="37" t="s">
        <v>821</v>
      </c>
      <c r="H191" s="37" t="s">
        <v>1816</v>
      </c>
      <c r="I191" s="37">
        <v>1</v>
      </c>
      <c r="J191" s="8">
        <v>750</v>
      </c>
      <c r="K191" s="8" t="s">
        <v>1427</v>
      </c>
      <c r="L191" s="10">
        <f>COUNTIF(Drank!A:A,Table1[[#This Row],[ID]])</f>
        <v>1</v>
      </c>
      <c r="M191" s="37" t="s">
        <v>202</v>
      </c>
      <c r="N191" s="37" t="s">
        <v>207</v>
      </c>
      <c r="O191" s="37">
        <v>0</v>
      </c>
      <c r="P191" s="10"/>
      <c r="R191" s="10">
        <f>IF(IFERROR(VLOOKUP(A191,Drank!A:S,15,FALSE),"")=0,"",IFERROR(VLOOKUP(A191,Drank!A:S,15,FALSE),""))</f>
        <v>2021</v>
      </c>
      <c r="S191" s="10">
        <f>IF(IFERROR(VLOOKUP(A191,Drank!A:S,16,FALSE),"")=0,"",IFERROR(VLOOKUP(A191,Drank!A:S,16,FALSE),""))</f>
        <v>2025</v>
      </c>
      <c r="T191" s="10">
        <v>2023</v>
      </c>
      <c r="V191" s="18">
        <f>IF(IFERROR(VLOOKUP(A191,Drank!A:T,19,FALSE),"")=0,"",IFERROR(VLOOKUP(A191,Drank!A:T,19,FALSE),""))</f>
        <v>89</v>
      </c>
      <c r="W191" s="1">
        <f>IF(IFERROR(VLOOKUP(A191,Drank!A:T,20,FALSE),"")=0,"",IFERROR(VLOOKUP(A191,Drank!A:T,20,FALSE),""))</f>
        <v>44080</v>
      </c>
      <c r="X191" s="10">
        <f>SUMIF(A:A,A191,I:I)</f>
        <v>5</v>
      </c>
      <c r="Y191" s="10">
        <f>IF(Table1[[#This Row],[Drank]]&gt;0,VLOOKUP(Table1[[#This Row],[ID]],Drank!A:P,16,FALSE),IF(Table1[[#This Row],[WALDD]]&gt;0,VLOOKUP(Table1[[#This Row],[ID]],Wine1!A:Q,17,FALSE),Table1[[#This Row],[EP]]))</f>
        <v>2025</v>
      </c>
      <c r="Z191" s="18">
        <f>IF(Table1[[#This Row],[My Rating]]="",IF(Table1[[#This Row],[WA Rating Clean]]="","",Table1[[#This Row],[WA Rating Clean]]),Table1[[#This Row],[My Rating]])</f>
        <v>89</v>
      </c>
      <c r="AA191" s="37">
        <v>2021</v>
      </c>
      <c r="AB191" s="128">
        <v>13.77</v>
      </c>
      <c r="AC191" s="2">
        <f t="shared" si="5"/>
        <v>13.77</v>
      </c>
      <c r="AD191" s="8"/>
      <c r="AE191" s="10">
        <f>IF(Table1[[#This Row],[P/750]]&lt;20,1,IF(Table1[[#This Row],[P/750]]&lt;50,2,3))</f>
        <v>1</v>
      </c>
      <c r="AF191" s="10">
        <f>IF(Table1[[#This Row],[P/750]]&lt;Expenses!$C$30,1,IF(Table1[[#This Row],[P/750]]&lt;Expenses!$C$31,2,IF(Table1[[#This Row],[P/750]]&lt;Expenses!$C$32,3,4)))</f>
        <v>1</v>
      </c>
      <c r="AH191" s="25" t="s">
        <v>385</v>
      </c>
      <c r="AI191" s="11">
        <f>Table1[[#This Row],[Price]]/Table1[[#This Row],[Size (ml)]]*750</f>
        <v>13.769999999999998</v>
      </c>
      <c r="AK191" s="10">
        <f>COUNTIF(UniqueID!A:A,Table1[[#This Row],[ID]])</f>
        <v>0</v>
      </c>
      <c r="AL191" s="10" t="str">
        <f>VLOOKUP(Table1[[#This Row],[Cellar Location]],Location!A:F,6,FALSE)</f>
        <v>C</v>
      </c>
      <c r="AN191" s="1">
        <v>44068</v>
      </c>
      <c r="AO191" s="10" t="str">
        <f>TEXT(Table1[[#This Row],[Purchased]],"mmmm")</f>
        <v>August</v>
      </c>
      <c r="AP191" s="10" t="str">
        <f>TEXT(Table1[[#This Row],[Purchased]],"yyyy")</f>
        <v>2020</v>
      </c>
      <c r="AQ191" s="1">
        <v>44114</v>
      </c>
    </row>
    <row r="192" spans="1:43" s="37" customFormat="1" x14ac:dyDescent="0.25">
      <c r="A192" s="37" t="str">
        <f t="shared" si="4"/>
        <v>2018Grand Serres, LesCotes du Rhone Portes du Castelas</v>
      </c>
      <c r="B192" s="37">
        <v>2018</v>
      </c>
      <c r="C192" s="8" t="s">
        <v>1704</v>
      </c>
      <c r="D192" s="9" t="s">
        <v>1705</v>
      </c>
      <c r="E192" s="68" t="s">
        <v>1706</v>
      </c>
      <c r="F192" s="37" t="s">
        <v>742</v>
      </c>
      <c r="G192" s="37" t="s">
        <v>759</v>
      </c>
      <c r="H192" s="37" t="s">
        <v>761</v>
      </c>
      <c r="I192" s="37">
        <v>1</v>
      </c>
      <c r="J192" s="37">
        <v>750</v>
      </c>
      <c r="K192" s="8" t="s">
        <v>1541</v>
      </c>
      <c r="L192" s="10">
        <f>COUNTIF(Drank!A:A,Table1[[#This Row],[ID]])</f>
        <v>0</v>
      </c>
      <c r="M192" s="37" t="s">
        <v>202</v>
      </c>
      <c r="N192" s="37" t="s">
        <v>207</v>
      </c>
      <c r="O192" s="37">
        <v>0</v>
      </c>
      <c r="R192" s="10" t="str">
        <f>IF(IFERROR(VLOOKUP(A192,Drank!A:S,15,FALSE),"")=0,"",IFERROR(VLOOKUP(A192,Drank!A:S,15,FALSE),""))</f>
        <v/>
      </c>
      <c r="S192" s="10" t="str">
        <f>IF(IFERROR(VLOOKUP(A192,Drank!A:S,16,FALSE),"")=0,"",IFERROR(VLOOKUP(A192,Drank!A:S,16,FALSE),""))</f>
        <v/>
      </c>
      <c r="T192" s="10">
        <v>2024</v>
      </c>
      <c r="V192" s="18" t="str">
        <f>IF(IFERROR(VLOOKUP(A192,Drank!A:T,19,FALSE),"")=0,"",IFERROR(VLOOKUP(A192,Drank!A:T,19,FALSE),""))</f>
        <v/>
      </c>
      <c r="W192" s="1" t="str">
        <f>IF(IFERROR(VLOOKUP(A192,Drank!A:T,20,FALSE),"")=0,"",IFERROR(VLOOKUP(A192,Drank!A:T,20,FALSE),""))</f>
        <v/>
      </c>
      <c r="X192" s="10">
        <f>SUMIF(A:A,A192,I:I)</f>
        <v>4</v>
      </c>
      <c r="Y192" s="10">
        <f>IF(Table1[[#This Row],[Drank]]&gt;0,VLOOKUP(Table1[[#This Row],[ID]],Drank!A:P,16,FALSE),IF(Table1[[#This Row],[WALDD]]&gt;0,VLOOKUP(Table1[[#This Row],[ID]],Wine1!A:Q,17,FALSE),Table1[[#This Row],[EP]]))</f>
        <v>2024</v>
      </c>
      <c r="Z192" s="18" t="str">
        <f>IF(Table1[[#This Row],[My Rating]]="",IF(Table1[[#This Row],[WA Rating Clean]]="","",Table1[[#This Row],[WA Rating Clean]]),Table1[[#This Row],[My Rating]])</f>
        <v/>
      </c>
      <c r="AA192" s="37">
        <v>2021</v>
      </c>
      <c r="AB192" s="128">
        <v>14.11</v>
      </c>
      <c r="AC192" s="2">
        <f t="shared" si="5"/>
        <v>14.11</v>
      </c>
      <c r="AD192" s="8">
        <v>0</v>
      </c>
      <c r="AE192" s="10">
        <f>IF(Table1[[#This Row],[P/750]]&lt;20,1,IF(Table1[[#This Row],[P/750]]&lt;50,2,3))</f>
        <v>1</v>
      </c>
      <c r="AF192" s="10">
        <f>IF(Table1[[#This Row],[P/750]]&lt;Expenses!$C$30,1,IF(Table1[[#This Row],[P/750]]&lt;Expenses!$C$31,2,IF(Table1[[#This Row],[P/750]]&lt;Expenses!$C$32,3,4)))</f>
        <v>1</v>
      </c>
      <c r="AH192" s="37" t="s">
        <v>384</v>
      </c>
      <c r="AI192" s="11">
        <f>Table1[[#This Row],[Price]]/Table1[[#This Row],[Size (ml)]]*750</f>
        <v>14.109999999999998</v>
      </c>
      <c r="AK192" s="10">
        <f>COUNTIF(UniqueID!A:A,Table1[[#This Row],[ID]])</f>
        <v>0</v>
      </c>
      <c r="AL192" s="10" t="str">
        <f>VLOOKUP(Table1[[#This Row],[Cellar Location]],Location!A:F,6,FALSE)</f>
        <v>C</v>
      </c>
      <c r="AN192" s="1">
        <v>44062</v>
      </c>
      <c r="AO192" s="10" t="str">
        <f>TEXT(Table1[[#This Row],[Purchased]],"mmmm")</f>
        <v>August</v>
      </c>
      <c r="AP192" s="10" t="str">
        <f>TEXT(Table1[[#This Row],[Purchased]],"yyyy")</f>
        <v>2020</v>
      </c>
      <c r="AQ192" s="10"/>
    </row>
    <row r="193" spans="1:43" s="37" customFormat="1" x14ac:dyDescent="0.25">
      <c r="A193" s="20" t="str">
        <f t="shared" si="4"/>
        <v>2016BrotteGigondas la Marasque</v>
      </c>
      <c r="B193" s="37">
        <v>2016</v>
      </c>
      <c r="C193" s="37" t="s">
        <v>1230</v>
      </c>
      <c r="D193" s="37" t="s">
        <v>1231</v>
      </c>
      <c r="E193" s="67" t="s">
        <v>1233</v>
      </c>
      <c r="F193" s="37" t="s">
        <v>742</v>
      </c>
      <c r="G193" s="37" t="s">
        <v>759</v>
      </c>
      <c r="H193" s="37" t="s">
        <v>764</v>
      </c>
      <c r="I193" s="37">
        <v>1</v>
      </c>
      <c r="J193" s="130">
        <v>750</v>
      </c>
      <c r="K193" s="8" t="s">
        <v>640</v>
      </c>
      <c r="L193" s="10">
        <f>COUNTIF(Drank!A:A,Table1[[#This Row],[ID]])</f>
        <v>1</v>
      </c>
      <c r="M193" s="37" t="s">
        <v>202</v>
      </c>
      <c r="N193" s="37" t="s">
        <v>207</v>
      </c>
      <c r="O193" s="37">
        <v>1</v>
      </c>
      <c r="P193" s="10">
        <v>2018</v>
      </c>
      <c r="Q193" s="37">
        <v>2023</v>
      </c>
      <c r="R193" s="10">
        <f>IF(IFERROR(VLOOKUP(A193,Drank!A:S,15,FALSE),"")=0,"",IFERROR(VLOOKUP(A193,Drank!A:S,15,FALSE),""))</f>
        <v>2020</v>
      </c>
      <c r="S193" s="10">
        <f>IF(IFERROR(VLOOKUP(A193,Drank!A:S,16,FALSE),"")=0,"",IFERROR(VLOOKUP(A193,Drank!A:S,16,FALSE),""))</f>
        <v>2024</v>
      </c>
      <c r="T193" s="10"/>
      <c r="U193" s="37" t="s">
        <v>1232</v>
      </c>
      <c r="V193" s="18">
        <f>IF(IFERROR(VLOOKUP(A193,Drank!A:T,19,FALSE),"")=0,"",IFERROR(VLOOKUP(A193,Drank!A:T,19,FALSE),""))</f>
        <v>91</v>
      </c>
      <c r="W193" s="1">
        <f>IF(IFERROR(VLOOKUP(A193,Drank!A:T,20,FALSE),"")=0,"",IFERROR(VLOOKUP(A193,Drank!A:T,20,FALSE),""))</f>
        <v>43911</v>
      </c>
      <c r="X193" s="10">
        <f>SUMIF(A:A,A193,I:I)</f>
        <v>4</v>
      </c>
      <c r="Y193" s="10">
        <f>IF(Table1[[#This Row],[Drank]]&gt;0,VLOOKUP(Table1[[#This Row],[ID]],Drank!A:P,16,FALSE),IF(Table1[[#This Row],[WALDD]]&gt;0,VLOOKUP(Table1[[#This Row],[ID]],Wine1!A:Q,17,FALSE),Table1[[#This Row],[EP]]))</f>
        <v>2024</v>
      </c>
      <c r="Z193" s="18">
        <f>IF(Table1[[#This Row],[My Rating]]="",IF(Table1[[#This Row],[WA Rating Clean]]="","",Table1[[#This Row],[WA Rating Clean]]),Table1[[#This Row],[My Rating]])</f>
        <v>91</v>
      </c>
      <c r="AA193" s="8">
        <v>2021</v>
      </c>
      <c r="AB193" s="128">
        <v>16.989999999999998</v>
      </c>
      <c r="AC193" s="2">
        <f t="shared" si="5"/>
        <v>16.989999999999998</v>
      </c>
      <c r="AD193" s="8">
        <v>0</v>
      </c>
      <c r="AE193" s="10">
        <f>IF(Table1[[#This Row],[P/750]]&lt;20,1,IF(Table1[[#This Row],[P/750]]&lt;50,2,3))</f>
        <v>1</v>
      </c>
      <c r="AF193" s="10">
        <f>IF(Table1[[#This Row],[P/750]]&lt;Expenses!$C$30,1,IF(Table1[[#This Row],[P/750]]&lt;Expenses!$C$31,2,IF(Table1[[#This Row],[P/750]]&lt;Expenses!$C$32,3,4)))</f>
        <v>2</v>
      </c>
      <c r="AH193" s="37" t="s">
        <v>384</v>
      </c>
      <c r="AI193" s="11">
        <f>Table1[[#This Row],[Price]]/Table1[[#This Row],[Size (ml)]]*750</f>
        <v>16.989999999999998</v>
      </c>
      <c r="AJ193" s="9">
        <v>91</v>
      </c>
      <c r="AK193" s="10">
        <f>COUNTIF(UniqueID!A:A,Table1[[#This Row],[ID]])</f>
        <v>1</v>
      </c>
      <c r="AL193" s="10" t="str">
        <f>VLOOKUP(Table1[[#This Row],[Cellar Location]],Location!A:F,6,FALSE)</f>
        <v>S</v>
      </c>
      <c r="AN193" s="1">
        <v>43863</v>
      </c>
      <c r="AO193" s="37" t="str">
        <f>TEXT(Table1[[#This Row],[Purchased]],"mmmm")</f>
        <v>February</v>
      </c>
      <c r="AP193" s="10" t="str">
        <f>TEXT(Table1[[#This Row],[Purchased]],"yyyy")</f>
        <v>2020</v>
      </c>
      <c r="AQ193" s="10"/>
    </row>
    <row r="194" spans="1:43" s="37" customFormat="1" x14ac:dyDescent="0.25">
      <c r="A194" s="37" t="str">
        <f t="shared" si="4"/>
        <v>2010CondeNeo</v>
      </c>
      <c r="B194" s="37">
        <v>2010</v>
      </c>
      <c r="C194" s="37" t="s">
        <v>45</v>
      </c>
      <c r="D194" s="37" t="s">
        <v>46</v>
      </c>
      <c r="E194" s="69" t="s">
        <v>276</v>
      </c>
      <c r="F194" s="37" t="s">
        <v>729</v>
      </c>
      <c r="G194" s="37" t="s">
        <v>1718</v>
      </c>
      <c r="H194" s="37" t="s">
        <v>818</v>
      </c>
      <c r="I194" s="37">
        <v>1</v>
      </c>
      <c r="J194" s="37">
        <v>750</v>
      </c>
      <c r="K194" s="32" t="s">
        <v>25</v>
      </c>
      <c r="L194" s="10">
        <f>COUNTIF(Drank!A:A,Table1[[#This Row],[ID]])</f>
        <v>6</v>
      </c>
      <c r="M194" s="37" t="s">
        <v>202</v>
      </c>
      <c r="N194" s="37" t="s">
        <v>207</v>
      </c>
      <c r="O194" s="37">
        <v>1</v>
      </c>
      <c r="P194" s="37">
        <v>2014</v>
      </c>
      <c r="Q194" s="37">
        <v>2020</v>
      </c>
      <c r="R194" s="10">
        <f>IF(IFERROR(VLOOKUP(A194,Drank!A:S,15,FALSE),"")=0,"",IFERROR(VLOOKUP(A194,Drank!A:S,15,FALSE),""))</f>
        <v>2021</v>
      </c>
      <c r="S194" s="10">
        <f>IF(IFERROR(VLOOKUP(A194,Drank!A:S,16,FALSE),"")=0,"",IFERROR(VLOOKUP(A194,Drank!A:S,16,FALSE),""))</f>
        <v>2024</v>
      </c>
      <c r="T194" s="10"/>
      <c r="U194" s="37">
        <v>93</v>
      </c>
      <c r="V194" s="18">
        <f>IF(IFERROR(VLOOKUP(A194,Drank!A:T,19,FALSE),"")=0,"",IFERROR(VLOOKUP(A194,Drank!A:T,19,FALSE),""))</f>
        <v>92.166666666666671</v>
      </c>
      <c r="W194" s="1">
        <f>IF(IFERROR(VLOOKUP(A194,Drank!A:T,20,FALSE),"")=0,"",IFERROR(VLOOKUP(A194,Drank!A:T,20,FALSE),""))</f>
        <v>43987</v>
      </c>
      <c r="X194" s="10">
        <f>SUMIF(A:A,A194,I:I)</f>
        <v>4</v>
      </c>
      <c r="Y194" s="10">
        <f>IF(Table1[[#This Row],[Drank]]&gt;0,VLOOKUP(Table1[[#This Row],[ID]],Drank!A:P,16,FALSE),IF(Table1[[#This Row],[WALDD]]&gt;0,VLOOKUP(Table1[[#This Row],[ID]],Wine1!A:Q,17,FALSE),Table1[[#This Row],[EP]]))</f>
        <v>2024</v>
      </c>
      <c r="Z194" s="18">
        <f>IF(Table1[[#This Row],[My Rating]]="",IF(Table1[[#This Row],[WA Rating Clean]]="","",Table1[[#This Row],[WA Rating Clean]]),Table1[[#This Row],[My Rating]])</f>
        <v>92.166666666666671</v>
      </c>
      <c r="AA194" s="8">
        <v>2021</v>
      </c>
      <c r="AB194" s="128">
        <v>21.99</v>
      </c>
      <c r="AC194" s="2">
        <f t="shared" si="5"/>
        <v>21.99</v>
      </c>
      <c r="AD194" s="8">
        <v>0</v>
      </c>
      <c r="AE194" s="37">
        <f>IF(Table1[[#This Row],[P/750]]&lt;20,1,IF(Table1[[#This Row],[P/750]]&lt;50,2,3))</f>
        <v>2</v>
      </c>
      <c r="AF194" s="37">
        <f>IF(Table1[[#This Row],[P/750]]&lt;Expenses!$C$30,1,IF(Table1[[#This Row],[P/750]]&lt;Expenses!$C$31,2,IF(Table1[[#This Row],[P/750]]&lt;Expenses!$C$32,3,4)))</f>
        <v>2</v>
      </c>
      <c r="AH194" s="37" t="s">
        <v>384</v>
      </c>
      <c r="AI194" s="11">
        <f>Table1[[#This Row],[Price]]/Table1[[#This Row],[Size (ml)]]*750</f>
        <v>21.99</v>
      </c>
      <c r="AJ194" s="37">
        <v>93</v>
      </c>
      <c r="AK194" s="37">
        <f>COUNTIF(UniqueID!A:A,Table1[[#This Row],[ID]])</f>
        <v>1</v>
      </c>
      <c r="AL194" s="37" t="str">
        <f>VLOOKUP(Table1[[#This Row],[Cellar Location]],Location!A:F,6,FALSE)</f>
        <v>K</v>
      </c>
      <c r="AO194" s="37" t="str">
        <f>TEXT(Table1[[#This Row],[Purchased]],"mmmm")</f>
        <v>January</v>
      </c>
      <c r="AP194" s="10" t="str">
        <f>TEXT(Table1[[#This Row],[Purchased]],"yyyy")</f>
        <v>1900</v>
      </c>
      <c r="AQ194" s="10"/>
    </row>
    <row r="195" spans="1:43" s="37" customFormat="1" x14ac:dyDescent="0.25">
      <c r="A195" s="37" t="str">
        <f t="shared" si="4"/>
        <v>2016García FigueroTinto Figuero 12 Tempranillo</v>
      </c>
      <c r="B195" s="8">
        <v>2016</v>
      </c>
      <c r="C195" s="8" t="s">
        <v>1268</v>
      </c>
      <c r="D195" s="37" t="s">
        <v>604</v>
      </c>
      <c r="E195" s="67" t="s">
        <v>1220</v>
      </c>
      <c r="F195" s="37" t="s">
        <v>729</v>
      </c>
      <c r="G195" s="37" t="s">
        <v>1718</v>
      </c>
      <c r="H195" s="37" t="s">
        <v>818</v>
      </c>
      <c r="I195" s="37">
        <v>1</v>
      </c>
      <c r="J195" s="37">
        <v>750</v>
      </c>
      <c r="K195" s="8" t="s">
        <v>929</v>
      </c>
      <c r="L195" s="37">
        <f>COUNTIF(Drank!A:A,Table1[[#This Row],[ID]])</f>
        <v>2</v>
      </c>
      <c r="M195" s="37" t="s">
        <v>202</v>
      </c>
      <c r="N195" s="37" t="s">
        <v>207</v>
      </c>
      <c r="O195" s="37">
        <v>1</v>
      </c>
      <c r="P195" s="10">
        <v>2018</v>
      </c>
      <c r="Q195" s="37">
        <v>2021</v>
      </c>
      <c r="R195" s="10">
        <f>IF(IFERROR(VLOOKUP(A195,Drank!A:S,15,FALSE),"")=0,"",IFERROR(VLOOKUP(A195,Drank!A:S,15,FALSE),""))</f>
        <v>2021</v>
      </c>
      <c r="S195" s="10">
        <f>IF(IFERROR(VLOOKUP(A195,Drank!A:S,16,FALSE),"")=0,"",IFERROR(VLOOKUP(A195,Drank!A:S,16,FALSE),""))</f>
        <v>2024</v>
      </c>
      <c r="T195" s="10"/>
      <c r="U195" s="37">
        <v>90</v>
      </c>
      <c r="V195" s="18">
        <f>IF(IFERROR(VLOOKUP(A195,Drank!A:T,19,FALSE),"")=0,"",IFERROR(VLOOKUP(A195,Drank!A:T,19,FALSE),""))</f>
        <v>90</v>
      </c>
      <c r="W195" s="1">
        <f>IF(IFERROR(VLOOKUP(A195,Drank!A:T,20,FALSE),"")=0,"",IFERROR(VLOOKUP(A195,Drank!A:T,20,FALSE),""))</f>
        <v>43940</v>
      </c>
      <c r="X195" s="10">
        <f>SUMIF(A:A,A195,I:I)</f>
        <v>2</v>
      </c>
      <c r="Y195" s="10">
        <f>IF(Table1[[#This Row],[Drank]]&gt;0,VLOOKUP(Table1[[#This Row],[ID]],Drank!A:P,16,FALSE),IF(Table1[[#This Row],[WALDD]]&gt;0,VLOOKUP(Table1[[#This Row],[ID]],Wine1!A:Q,17,FALSE),Table1[[#This Row],[EP]]))</f>
        <v>2024</v>
      </c>
      <c r="Z195" s="18">
        <f>IF(Table1[[#This Row],[My Rating]]="",IF(Table1[[#This Row],[WA Rating Clean]]="","",Table1[[#This Row],[WA Rating Clean]]),Table1[[#This Row],[My Rating]])</f>
        <v>90</v>
      </c>
      <c r="AA195" s="37">
        <v>2021</v>
      </c>
      <c r="AB195" s="128">
        <v>17.989999999999998</v>
      </c>
      <c r="AC195" s="2">
        <f t="shared" si="5"/>
        <v>17.989999999999998</v>
      </c>
      <c r="AD195" s="8">
        <v>0</v>
      </c>
      <c r="AE195" s="10">
        <f>IF(Table1[[#This Row],[P/750]]&lt;20,1,IF(Table1[[#This Row],[P/750]]&lt;50,2,3))</f>
        <v>1</v>
      </c>
      <c r="AF195" s="10">
        <f>IF(Table1[[#This Row],[P/750]]&lt;Expenses!$C$30,1,IF(Table1[[#This Row],[P/750]]&lt;Expenses!$C$31,2,IF(Table1[[#This Row],[P/750]]&lt;Expenses!$C$32,3,4)))</f>
        <v>2</v>
      </c>
      <c r="AH195" s="37" t="s">
        <v>384</v>
      </c>
      <c r="AI195" s="11">
        <f>Table1[[#This Row],[Price]]/Table1[[#This Row],[Size (ml)]]*750</f>
        <v>17.989999999999998</v>
      </c>
      <c r="AJ195" s="37">
        <v>90</v>
      </c>
      <c r="AK195" s="37">
        <f>COUNTIF(UniqueID!A:A,Table1[[#This Row],[ID]])</f>
        <v>1</v>
      </c>
      <c r="AL195" s="37" t="str">
        <f>VLOOKUP(Table1[[#This Row],[Cellar Location]],Location!A:F,6,FALSE)</f>
        <v>C</v>
      </c>
      <c r="AO195" s="37" t="str">
        <f>TEXT(Table1[[#This Row],[Purchased]],"mmmm")</f>
        <v>January</v>
      </c>
      <c r="AP195" s="10" t="str">
        <f>TEXT(Table1[[#This Row],[Purchased]],"yyyy")</f>
        <v>1900</v>
      </c>
      <c r="AQ195" s="10"/>
    </row>
    <row r="196" spans="1:43" s="37" customFormat="1" x14ac:dyDescent="0.25">
      <c r="A196" s="37" t="str">
        <f t="shared" si="4"/>
        <v>2005Pierre UsseglioChateauneuf du Pape</v>
      </c>
      <c r="B196" s="8">
        <v>2005</v>
      </c>
      <c r="C196" s="37" t="s">
        <v>1126</v>
      </c>
      <c r="D196" s="37" t="s">
        <v>1106</v>
      </c>
      <c r="E196" s="67" t="s">
        <v>1171</v>
      </c>
      <c r="F196" s="37" t="s">
        <v>742</v>
      </c>
      <c r="G196" s="37" t="s">
        <v>759</v>
      </c>
      <c r="H196" s="37" t="s">
        <v>762</v>
      </c>
      <c r="I196" s="37">
        <v>1</v>
      </c>
      <c r="J196" s="37">
        <v>750</v>
      </c>
      <c r="K196" s="8" t="s">
        <v>25</v>
      </c>
      <c r="L196" s="10">
        <f>COUNTIF(Drank!A:A,Table1[[#This Row],[ID]])</f>
        <v>1</v>
      </c>
      <c r="M196" s="37" t="s">
        <v>202</v>
      </c>
      <c r="N196" s="37" t="s">
        <v>207</v>
      </c>
      <c r="O196" s="37">
        <v>1</v>
      </c>
      <c r="P196" s="10">
        <v>2015</v>
      </c>
      <c r="Q196" s="37">
        <v>2021</v>
      </c>
      <c r="R196" s="10">
        <f>IF(IFERROR(VLOOKUP(A196,Drank!A:S,15,FALSE),"")=0,"",IFERROR(VLOOKUP(A196,Drank!A:S,15,FALSE),""))</f>
        <v>2024</v>
      </c>
      <c r="S196" s="10">
        <f>IF(IFERROR(VLOOKUP(A196,Drank!A:S,16,FALSE),"")=0,"",IFERROR(VLOOKUP(A196,Drank!A:S,16,FALSE),""))</f>
        <v>2024</v>
      </c>
      <c r="T196" s="10"/>
      <c r="U196" s="37">
        <v>91</v>
      </c>
      <c r="V196" s="18">
        <f>IF(IFERROR(VLOOKUP(A196,Drank!A:T,19,FALSE),"")=0,"",IFERROR(VLOOKUP(A196,Drank!A:T,19,FALSE),""))</f>
        <v>92</v>
      </c>
      <c r="W196" s="1">
        <f>IF(IFERROR(VLOOKUP(A196,Drank!A:T,20,FALSE),"")=0,"",IFERROR(VLOOKUP(A196,Drank!A:T,20,FALSE),""))</f>
        <v>43862</v>
      </c>
      <c r="X196" s="10">
        <f>SUMIF(A:A,A196,I:I)</f>
        <v>3</v>
      </c>
      <c r="Y196" s="10">
        <f>IF(Table1[[#This Row],[Drank]]&gt;0,VLOOKUP(Table1[[#This Row],[ID]],Drank!A:P,16,FALSE),IF(Table1[[#This Row],[WALDD]]&gt;0,VLOOKUP(Table1[[#This Row],[ID]],Wine1!A:Q,17,FALSE),Table1[[#This Row],[EP]]))</f>
        <v>2024</v>
      </c>
      <c r="Z196" s="18">
        <f>IF(Table1[[#This Row],[My Rating]]="",IF(Table1[[#This Row],[WA Rating Clean]]="","",Table1[[#This Row],[WA Rating Clean]]),Table1[[#This Row],[My Rating]])</f>
        <v>92</v>
      </c>
      <c r="AA196" s="37">
        <v>2021</v>
      </c>
      <c r="AB196" s="128">
        <v>43.85</v>
      </c>
      <c r="AC196" s="2">
        <f t="shared" si="5"/>
        <v>43.85</v>
      </c>
      <c r="AD196" s="8">
        <v>0</v>
      </c>
      <c r="AE196" s="10">
        <f>IF(Table1[[#This Row],[P/750]]&lt;20,1,IF(Table1[[#This Row],[P/750]]&lt;50,2,3))</f>
        <v>2</v>
      </c>
      <c r="AF196" s="10">
        <f>IF(Table1[[#This Row],[P/750]]&lt;Expenses!$C$30,1,IF(Table1[[#This Row],[P/750]]&lt;Expenses!$C$31,2,IF(Table1[[#This Row],[P/750]]&lt;Expenses!$C$32,3,4)))</f>
        <v>3</v>
      </c>
      <c r="AH196" s="37" t="s">
        <v>415</v>
      </c>
      <c r="AI196" s="11">
        <f>Table1[[#This Row],[Price]]/Table1[[#This Row],[Size (ml)]]*750</f>
        <v>43.85</v>
      </c>
      <c r="AJ196" s="37">
        <v>91</v>
      </c>
      <c r="AK196" s="10">
        <f>COUNTIF(UniqueID!A:A,Table1[[#This Row],[ID]])</f>
        <v>1</v>
      </c>
      <c r="AL196" s="10" t="str">
        <f>VLOOKUP(Table1[[#This Row],[Cellar Location]],Location!A:F,6,FALSE)</f>
        <v>K</v>
      </c>
      <c r="AN196" s="1">
        <v>43975</v>
      </c>
      <c r="AO196" s="37" t="str">
        <f>TEXT(Table1[[#This Row],[Purchased]],"mmmm")</f>
        <v>May</v>
      </c>
      <c r="AP196" s="10" t="str">
        <f>TEXT(Table1[[#This Row],[Purchased]],"yyyy")</f>
        <v>2020</v>
      </c>
      <c r="AQ196" s="10"/>
    </row>
    <row r="197" spans="1:43" s="37" customFormat="1" x14ac:dyDescent="0.25">
      <c r="A197" s="37" t="str">
        <f t="shared" si="4"/>
        <v>2014VolverTriga</v>
      </c>
      <c r="B197" s="37">
        <v>2014</v>
      </c>
      <c r="C197" s="8" t="s">
        <v>103</v>
      </c>
      <c r="D197" s="37" t="s">
        <v>104</v>
      </c>
      <c r="E197" s="64" t="s">
        <v>1224</v>
      </c>
      <c r="F197" s="37" t="s">
        <v>729</v>
      </c>
      <c r="G197" s="37" t="s">
        <v>826</v>
      </c>
      <c r="H197" s="37" t="s">
        <v>827</v>
      </c>
      <c r="I197" s="37">
        <v>1</v>
      </c>
      <c r="J197" s="37">
        <v>750</v>
      </c>
      <c r="K197" s="8" t="s">
        <v>25</v>
      </c>
      <c r="L197" s="37">
        <f>COUNTIF(Drank!A:A,Table1[[#This Row],[ID]])</f>
        <v>0</v>
      </c>
      <c r="M197" s="37" t="s">
        <v>202</v>
      </c>
      <c r="N197" s="37" t="s">
        <v>207</v>
      </c>
      <c r="O197" s="37">
        <v>1</v>
      </c>
      <c r="P197" s="37">
        <v>2019</v>
      </c>
      <c r="Q197" s="37">
        <v>2024</v>
      </c>
      <c r="R197" s="37" t="str">
        <f>IF(IFERROR(VLOOKUP(A197,Drank!A:S,15,FALSE),"")=0,"",IFERROR(VLOOKUP(A197,Drank!A:S,15,FALSE),""))</f>
        <v/>
      </c>
      <c r="S197" s="37" t="str">
        <f>IF(IFERROR(VLOOKUP(A197,Drank!A:S,16,FALSE),"")=0,"",IFERROR(VLOOKUP(A197,Drank!A:S,16,FALSE),""))</f>
        <v/>
      </c>
      <c r="U197" s="37">
        <v>91</v>
      </c>
      <c r="V197" s="18" t="str">
        <f>IF(IFERROR(VLOOKUP(A197,Drank!A:T,19,FALSE),"")=0,"",IFERROR(VLOOKUP(A197,Drank!A:T,19,FALSE),""))</f>
        <v/>
      </c>
      <c r="W197" s="1" t="str">
        <f>IF(IFERROR(VLOOKUP(A197,Drank!A:T,20,FALSE),"")=0,"",IFERROR(VLOOKUP(A197,Drank!A:T,20,FALSE),""))</f>
        <v/>
      </c>
      <c r="X197" s="37">
        <f>SUMIF(A:A,A197,I:I)</f>
        <v>1</v>
      </c>
      <c r="Y197" s="37">
        <f>IF(Table1[[#This Row],[Drank]]&gt;0,VLOOKUP(Table1[[#This Row],[ID]],Drank!A:P,16,FALSE),IF(Table1[[#This Row],[WALDD]]&gt;0,VLOOKUP(Table1[[#This Row],[ID]],Wine1!A:Q,17,FALSE),Table1[[#This Row],[EP]]))</f>
        <v>2024</v>
      </c>
      <c r="Z197" s="18">
        <f>IF(Table1[[#This Row],[My Rating]]="",IF(Table1[[#This Row],[WA Rating Clean]]="","",Table1[[#This Row],[WA Rating Clean]]),Table1[[#This Row],[My Rating]])</f>
        <v>91</v>
      </c>
      <c r="AA197" s="37">
        <v>2021</v>
      </c>
      <c r="AB197" s="134">
        <v>35</v>
      </c>
      <c r="AC197" s="2">
        <f t="shared" si="5"/>
        <v>35</v>
      </c>
      <c r="AD197" s="8">
        <v>0</v>
      </c>
      <c r="AE197" s="37">
        <f>IF(Table1[[#This Row],[P/750]]&lt;20,1,IF(Table1[[#This Row],[P/750]]&lt;50,2,3))</f>
        <v>2</v>
      </c>
      <c r="AF197" s="37">
        <f>IF(Table1[[#This Row],[P/750]]&lt;Expenses!$C$30,1,IF(Table1[[#This Row],[P/750]]&lt;Expenses!$C$31,2,IF(Table1[[#This Row],[P/750]]&lt;Expenses!$C$32,3,4)))</f>
        <v>3</v>
      </c>
      <c r="AH197" s="37" t="s">
        <v>1131</v>
      </c>
      <c r="AI197" s="11">
        <f>Table1[[#This Row],[Price]]/Table1[[#This Row],[Size (ml)]]*750</f>
        <v>35</v>
      </c>
      <c r="AJ197" s="37">
        <v>91</v>
      </c>
      <c r="AK197" s="37">
        <f>COUNTIF(UniqueID!A:A,Table1[[#This Row],[ID]])</f>
        <v>1</v>
      </c>
      <c r="AL197" s="37" t="str">
        <f>VLOOKUP(Table1[[#This Row],[Cellar Location]],Location!A:F,6,FALSE)</f>
        <v>K</v>
      </c>
      <c r="AO197" s="37" t="str">
        <f>TEXT(Table1[[#This Row],[Purchased]],"mmmm")</f>
        <v>January</v>
      </c>
      <c r="AP197" s="10" t="str">
        <f>TEXT(Table1[[#This Row],[Purchased]],"yyyy")</f>
        <v>1900</v>
      </c>
      <c r="AQ197" s="10"/>
    </row>
    <row r="198" spans="1:43" s="37" customFormat="1" x14ac:dyDescent="0.25">
      <c r="A198" s="37" t="str">
        <f t="shared" si="4"/>
        <v>2014FirriatoPassito L'Ecru</v>
      </c>
      <c r="B198" s="37">
        <v>2014</v>
      </c>
      <c r="C198" s="37" t="s">
        <v>1760</v>
      </c>
      <c r="D198" s="37" t="s">
        <v>1761</v>
      </c>
      <c r="E198" s="69" t="s">
        <v>1759</v>
      </c>
      <c r="F198" s="37" t="s">
        <v>728</v>
      </c>
      <c r="G198" s="37" t="s">
        <v>788</v>
      </c>
      <c r="H198" s="37" t="s">
        <v>1762</v>
      </c>
      <c r="I198" s="37">
        <v>1</v>
      </c>
      <c r="J198" s="37">
        <v>500</v>
      </c>
      <c r="K198" s="8" t="s">
        <v>236</v>
      </c>
      <c r="L198" s="10">
        <f>COUNTIF(Drank!A:A,Table1[[#This Row],[ID]])</f>
        <v>0</v>
      </c>
      <c r="M198" s="37" t="s">
        <v>201</v>
      </c>
      <c r="N198" s="37" t="s">
        <v>206</v>
      </c>
      <c r="O198" s="37">
        <v>0</v>
      </c>
      <c r="R198" s="10" t="str">
        <f>IF(IFERROR(VLOOKUP(A198,Drank!A:S,15,FALSE),"")=0,"",IFERROR(VLOOKUP(A198,Drank!A:S,15,FALSE),""))</f>
        <v/>
      </c>
      <c r="S198" s="10" t="str">
        <f>IF(IFERROR(VLOOKUP(A198,Drank!A:S,16,FALSE),"")=0,"",IFERROR(VLOOKUP(A198,Drank!A:S,16,FALSE),""))</f>
        <v/>
      </c>
      <c r="T198" s="10">
        <v>2024</v>
      </c>
      <c r="V198" s="18" t="str">
        <f>IF(IFERROR(VLOOKUP(A198,Drank!A:T,19,FALSE),"")=0,"",IFERROR(VLOOKUP(A198,Drank!A:T,19,FALSE),""))</f>
        <v/>
      </c>
      <c r="W198" s="1" t="str">
        <f>IF(IFERROR(VLOOKUP(A198,Drank!A:T,20,FALSE),"")=0,"",IFERROR(VLOOKUP(A198,Drank!A:T,20,FALSE),""))</f>
        <v/>
      </c>
      <c r="X198" s="10">
        <f>SUMIF(A:A,A198,I:I)</f>
        <v>1</v>
      </c>
      <c r="Y198" s="10">
        <f>IF(Table1[[#This Row],[Drank]]&gt;0,VLOOKUP(Table1[[#This Row],[ID]],Drank!A:P,16,FALSE),IF(Table1[[#This Row],[WALDD]]&gt;0,VLOOKUP(Table1[[#This Row],[ID]],Wine1!A:Q,17,FALSE),Table1[[#This Row],[EP]]))</f>
        <v>2024</v>
      </c>
      <c r="Z198" s="18" t="str">
        <f>IF(Table1[[#This Row],[My Rating]]="",IF(Table1[[#This Row],[WA Rating Clean]]="","",Table1[[#This Row],[WA Rating Clean]]),Table1[[#This Row],[My Rating]])</f>
        <v/>
      </c>
      <c r="AA198" s="8">
        <v>2021</v>
      </c>
      <c r="AB198" s="128">
        <v>45.26</v>
      </c>
      <c r="AC198" s="2">
        <f t="shared" si="5"/>
        <v>45.26</v>
      </c>
      <c r="AD198" s="8">
        <v>1</v>
      </c>
      <c r="AE198" s="10">
        <f>IF(Table1[[#This Row],[P/750]]&lt;20,1,IF(Table1[[#This Row],[P/750]]&lt;50,2,3))</f>
        <v>3</v>
      </c>
      <c r="AF198" s="10">
        <f>IF(Table1[[#This Row],[P/750]]&lt;Expenses!$C$30,1,IF(Table1[[#This Row],[P/750]]&lt;Expenses!$C$31,2,IF(Table1[[#This Row],[P/750]]&lt;Expenses!$C$32,3,4)))</f>
        <v>4</v>
      </c>
      <c r="AH198" s="37" t="s">
        <v>1749</v>
      </c>
      <c r="AI198" s="11">
        <f>Table1[[#This Row],[Price]]/Table1[[#This Row],[Size (ml)]]*750</f>
        <v>67.889999999999986</v>
      </c>
      <c r="AK198" s="10">
        <f>COUNTIF(UniqueID!A:A,Table1[[#This Row],[ID]])</f>
        <v>0</v>
      </c>
      <c r="AL198" s="10" t="str">
        <f>VLOOKUP(Table1[[#This Row],[Cellar Location]],Location!A:F,6,FALSE)</f>
        <v>C</v>
      </c>
      <c r="AN198" s="1">
        <v>44063</v>
      </c>
      <c r="AO198" s="10" t="str">
        <f>TEXT(Table1[[#This Row],[Purchased]],"mmmm")</f>
        <v>August</v>
      </c>
      <c r="AP198" s="10" t="str">
        <f>TEXT(Table1[[#This Row],[Purchased]],"yyyy")</f>
        <v>2020</v>
      </c>
      <c r="AQ198" s="10"/>
    </row>
    <row r="199" spans="1:43" s="37" customFormat="1" x14ac:dyDescent="0.25">
      <c r="A199" s="37" t="str">
        <f t="shared" si="4"/>
        <v>2016Rocca di FrassinelloMaremma Toscana Le Sughere di Frassinello</v>
      </c>
      <c r="B199" s="37">
        <v>2016</v>
      </c>
      <c r="C199" s="37" t="s">
        <v>142</v>
      </c>
      <c r="D199" s="37" t="s">
        <v>143</v>
      </c>
      <c r="E199" s="67" t="s">
        <v>1843</v>
      </c>
      <c r="F199" s="37" t="s">
        <v>728</v>
      </c>
      <c r="G199" s="37" t="s">
        <v>790</v>
      </c>
      <c r="H199" s="37" t="s">
        <v>793</v>
      </c>
      <c r="I199" s="37">
        <v>1</v>
      </c>
      <c r="J199" s="9">
        <v>750</v>
      </c>
      <c r="K199" s="8" t="s">
        <v>58</v>
      </c>
      <c r="L199" s="10">
        <f>COUNTIF(Drank!A:A,Table1[[#This Row],[ID]])</f>
        <v>2</v>
      </c>
      <c r="M199" s="37" t="s">
        <v>202</v>
      </c>
      <c r="N199" s="37" t="s">
        <v>207</v>
      </c>
      <c r="O199" s="37">
        <v>1</v>
      </c>
      <c r="P199" s="10"/>
      <c r="R199" s="10">
        <f>IF(IFERROR(VLOOKUP(A199,Drank!A:S,15,FALSE),"")=0,"",IFERROR(VLOOKUP(A199,Drank!A:S,15,FALSE),""))</f>
        <v>2020</v>
      </c>
      <c r="S199" s="10">
        <f>IF(IFERROR(VLOOKUP(A199,Drank!A:S,16,FALSE),"")=0,"",IFERROR(VLOOKUP(A199,Drank!A:S,16,FALSE),""))</f>
        <v>2025</v>
      </c>
      <c r="T199" s="10">
        <v>2027</v>
      </c>
      <c r="V199" s="18">
        <f>IF(IFERROR(VLOOKUP(A199,Drank!A:T,19,FALSE),"")=0,"",IFERROR(VLOOKUP(A199,Drank!A:T,19,FALSE),""))</f>
        <v>90</v>
      </c>
      <c r="W199" s="1">
        <f>IF(IFERROR(VLOOKUP(A199,Drank!A:T,20,FALSE),"")=0,"",IFERROR(VLOOKUP(A199,Drank!A:T,20,FALSE),""))</f>
        <v>44073</v>
      </c>
      <c r="X199" s="10">
        <f>SUMIF(A:A,A199,I:I)</f>
        <v>2</v>
      </c>
      <c r="Y199" s="10">
        <f>IF(Table1[[#This Row],[Drank]]&gt;0,VLOOKUP(Table1[[#This Row],[ID]],Drank!A:P,16,FALSE),IF(Table1[[#This Row],[WALDD]]&gt;0,VLOOKUP(Table1[[#This Row],[ID]],Wine1!A:Q,17,FALSE),Table1[[#This Row],[EP]]))</f>
        <v>2025</v>
      </c>
      <c r="Z199" s="18">
        <f>IF(Table1[[#This Row],[My Rating]]="",IF(Table1[[#This Row],[WA Rating Clean]]="","",Table1[[#This Row],[WA Rating Clean]]),Table1[[#This Row],[My Rating]])</f>
        <v>90</v>
      </c>
      <c r="AA199" s="37">
        <v>2021</v>
      </c>
      <c r="AB199" s="128">
        <v>21.5</v>
      </c>
      <c r="AC199" s="2">
        <f t="shared" si="5"/>
        <v>21.5</v>
      </c>
      <c r="AD199" s="8"/>
      <c r="AE199" s="10">
        <f>IF(Table1[[#This Row],[P/750]]&lt;20,1,IF(Table1[[#This Row],[P/750]]&lt;50,2,3))</f>
        <v>2</v>
      </c>
      <c r="AF199" s="10">
        <f>IF(Table1[[#This Row],[P/750]]&lt;Expenses!$C$30,1,IF(Table1[[#This Row],[P/750]]&lt;Expenses!$C$31,2,IF(Table1[[#This Row],[P/750]]&lt;Expenses!$C$32,3,4)))</f>
        <v>2</v>
      </c>
      <c r="AH199" s="37" t="s">
        <v>1128</v>
      </c>
      <c r="AI199" s="11">
        <f>Table1[[#This Row],[Price]]/Table1[[#This Row],[Size (ml)]]*750</f>
        <v>21.5</v>
      </c>
      <c r="AK199" s="10">
        <f>COUNTIF(UniqueID!A:A,Table1[[#This Row],[ID]])</f>
        <v>0</v>
      </c>
      <c r="AL199" s="10" t="str">
        <f>VLOOKUP(Table1[[#This Row],[Cellar Location]],Location!A:F,6,FALSE)</f>
        <v>K</v>
      </c>
      <c r="AN199" s="1">
        <v>44070</v>
      </c>
      <c r="AO199" s="10" t="str">
        <f>TEXT(Table1[[#This Row],[Purchased]],"mmmm")</f>
        <v>August</v>
      </c>
      <c r="AP199" s="10" t="str">
        <f>TEXT(Table1[[#This Row],[Purchased]],"yyyy")</f>
        <v>2020</v>
      </c>
      <c r="AQ199" s="10"/>
    </row>
    <row r="200" spans="1:43" s="37" customFormat="1" x14ac:dyDescent="0.25">
      <c r="A200" s="37" t="str">
        <f t="shared" si="4"/>
        <v>2016Rocca di FrassinelloMaremma Toscana Le Sughere di Frassinello</v>
      </c>
      <c r="B200" s="37">
        <v>2016</v>
      </c>
      <c r="C200" s="37" t="s">
        <v>142</v>
      </c>
      <c r="D200" s="37" t="s">
        <v>143</v>
      </c>
      <c r="E200" s="67" t="s">
        <v>1843</v>
      </c>
      <c r="F200" s="8" t="s">
        <v>728</v>
      </c>
      <c r="G200" s="37" t="s">
        <v>790</v>
      </c>
      <c r="H200" s="37" t="s">
        <v>793</v>
      </c>
      <c r="I200" s="37">
        <v>1</v>
      </c>
      <c r="J200" s="9">
        <v>750</v>
      </c>
      <c r="K200" s="8" t="s">
        <v>1316</v>
      </c>
      <c r="L200" s="10">
        <f>COUNTIF(Drank!A:A,Table1[[#This Row],[ID]])</f>
        <v>2</v>
      </c>
      <c r="M200" s="37" t="s">
        <v>202</v>
      </c>
      <c r="N200" s="37" t="s">
        <v>207</v>
      </c>
      <c r="O200" s="37">
        <v>1</v>
      </c>
      <c r="P200" s="10"/>
      <c r="R200" s="10">
        <f>IF(IFERROR(VLOOKUP(A200,Drank!A:S,15,FALSE),"")=0,"",IFERROR(VLOOKUP(A200,Drank!A:S,15,FALSE),""))</f>
        <v>2020</v>
      </c>
      <c r="S200" s="10">
        <f>IF(IFERROR(VLOOKUP(A200,Drank!A:S,16,FALSE),"")=0,"",IFERROR(VLOOKUP(A200,Drank!A:S,16,FALSE),""))</f>
        <v>2025</v>
      </c>
      <c r="T200" s="10">
        <v>2027</v>
      </c>
      <c r="V200" s="18">
        <f>IF(IFERROR(VLOOKUP(A200,Drank!A:T,19,FALSE),"")=0,"",IFERROR(VLOOKUP(A200,Drank!A:T,19,FALSE),""))</f>
        <v>90</v>
      </c>
      <c r="W200" s="1">
        <f>IF(IFERROR(VLOOKUP(A200,Drank!A:T,20,FALSE),"")=0,"",IFERROR(VLOOKUP(A200,Drank!A:T,20,FALSE),""))</f>
        <v>44073</v>
      </c>
      <c r="X200" s="10">
        <f>SUMIF(A:A,A200,I:I)</f>
        <v>2</v>
      </c>
      <c r="Y200" s="10">
        <f>IF(Table1[[#This Row],[Drank]]&gt;0,VLOOKUP(Table1[[#This Row],[ID]],Drank!A:P,16,FALSE),IF(Table1[[#This Row],[WALDD]]&gt;0,VLOOKUP(Table1[[#This Row],[ID]],Wine1!A:Q,17,FALSE),Table1[[#This Row],[EP]]))</f>
        <v>2025</v>
      </c>
      <c r="Z200" s="18">
        <f>IF(Table1[[#This Row],[My Rating]]="",IF(Table1[[#This Row],[WA Rating Clean]]="","",Table1[[#This Row],[WA Rating Clean]]),Table1[[#This Row],[My Rating]])</f>
        <v>90</v>
      </c>
      <c r="AA200" s="37">
        <v>2021</v>
      </c>
      <c r="AB200" s="128">
        <v>21.5</v>
      </c>
      <c r="AC200" s="2">
        <f t="shared" si="5"/>
        <v>21.5</v>
      </c>
      <c r="AD200" s="8"/>
      <c r="AE200" s="10">
        <f>IF(Table1[[#This Row],[P/750]]&lt;20,1,IF(Table1[[#This Row],[P/750]]&lt;50,2,3))</f>
        <v>2</v>
      </c>
      <c r="AF200" s="10">
        <f>IF(Table1[[#This Row],[P/750]]&lt;Expenses!$C$30,1,IF(Table1[[#This Row],[P/750]]&lt;Expenses!$C$31,2,IF(Table1[[#This Row],[P/750]]&lt;Expenses!$C$32,3,4)))</f>
        <v>2</v>
      </c>
      <c r="AH200" s="37" t="s">
        <v>1128</v>
      </c>
      <c r="AI200" s="11">
        <f>Table1[[#This Row],[Price]]/Table1[[#This Row],[Size (ml)]]*750</f>
        <v>21.5</v>
      </c>
      <c r="AK200" s="10">
        <f>COUNTIF(UniqueID!A:A,Table1[[#This Row],[ID]])</f>
        <v>0</v>
      </c>
      <c r="AL200" s="10" t="str">
        <f>VLOOKUP(Table1[[#This Row],[Cellar Location]],Location!A:F,6,FALSE)</f>
        <v>C</v>
      </c>
      <c r="AN200" s="1">
        <v>44070</v>
      </c>
      <c r="AO200" s="10" t="str">
        <f>TEXT(Table1[[#This Row],[Purchased]],"mmmm")</f>
        <v>August</v>
      </c>
      <c r="AP200" s="10" t="str">
        <f>TEXT(Table1[[#This Row],[Purchased]],"yyyy")</f>
        <v>2020</v>
      </c>
      <c r="AQ200" s="10"/>
    </row>
    <row r="201" spans="1:43" s="37" customFormat="1" x14ac:dyDescent="0.25">
      <c r="A201" s="37" t="str">
        <f t="shared" si="4"/>
        <v>2005EscuderoVidau</v>
      </c>
      <c r="B201" s="37">
        <v>2005</v>
      </c>
      <c r="C201" s="37" t="s">
        <v>217</v>
      </c>
      <c r="D201" s="37" t="s">
        <v>1658</v>
      </c>
      <c r="E201" s="67" t="s">
        <v>1659</v>
      </c>
      <c r="F201" s="37" t="s">
        <v>729</v>
      </c>
      <c r="G201" s="37" t="s">
        <v>823</v>
      </c>
      <c r="I201" s="8">
        <v>1</v>
      </c>
      <c r="J201" s="37">
        <v>750</v>
      </c>
      <c r="K201" s="8" t="s">
        <v>1427</v>
      </c>
      <c r="L201" s="10">
        <f>COUNTIF(Drank!A:A,Table1[[#This Row],[ID]])</f>
        <v>1</v>
      </c>
      <c r="M201" s="37" t="s">
        <v>202</v>
      </c>
      <c r="N201" s="37" t="s">
        <v>207</v>
      </c>
      <c r="O201" s="37">
        <v>1</v>
      </c>
      <c r="P201" s="10">
        <v>2010</v>
      </c>
      <c r="Q201" s="37">
        <v>2020</v>
      </c>
      <c r="R201" s="10" t="str">
        <f>IF(IFERROR(VLOOKUP(A201,Drank!A:S,15,FALSE),"")=0,"",IFERROR(VLOOKUP(A201,Drank!A:S,15,FALSE),""))</f>
        <v/>
      </c>
      <c r="S201" s="10">
        <f>IF(IFERROR(VLOOKUP(A201,Drank!A:S,16,FALSE),"")=0,"",IFERROR(VLOOKUP(A201,Drank!A:S,16,FALSE),""))</f>
        <v>2025</v>
      </c>
      <c r="T201" s="10"/>
      <c r="U201" s="37" t="s">
        <v>1404</v>
      </c>
      <c r="V201" s="18">
        <f>IF(IFERROR(VLOOKUP(A201,Drank!A:T,19,FALSE),"")=0,"",IFERROR(VLOOKUP(A201,Drank!A:T,19,FALSE),""))</f>
        <v>92</v>
      </c>
      <c r="W201" s="1">
        <f>IF(IFERROR(VLOOKUP(A201,Drank!A:T,20,FALSE),"")=0,"",IFERROR(VLOOKUP(A201,Drank!A:T,20,FALSE),""))</f>
        <v>44062</v>
      </c>
      <c r="X201" s="10">
        <f>SUMIF(A:A,A201,I:I)</f>
        <v>11</v>
      </c>
      <c r="Y201" s="10">
        <f>IF(Table1[[#This Row],[Drank]]&gt;0,VLOOKUP(Table1[[#This Row],[ID]],Drank!A:P,16,FALSE),IF(Table1[[#This Row],[WALDD]]&gt;0,VLOOKUP(Table1[[#This Row],[ID]],Wine1!A:Q,17,FALSE),Table1[[#This Row],[EP]]))</f>
        <v>2025</v>
      </c>
      <c r="Z201" s="18">
        <f>IF(Table1[[#This Row],[My Rating]]="",IF(Table1[[#This Row],[WA Rating Clean]]="","",Table1[[#This Row],[WA Rating Clean]]),Table1[[#This Row],[My Rating]])</f>
        <v>92</v>
      </c>
      <c r="AA201" s="37">
        <v>2021</v>
      </c>
      <c r="AB201" s="128">
        <v>21.72</v>
      </c>
      <c r="AC201" s="2">
        <f t="shared" si="5"/>
        <v>21.72</v>
      </c>
      <c r="AD201" s="8">
        <v>0</v>
      </c>
      <c r="AE201" s="10">
        <f>IF(Table1[[#This Row],[P/750]]&lt;20,1,IF(Table1[[#This Row],[P/750]]&lt;50,2,3))</f>
        <v>2</v>
      </c>
      <c r="AF201" s="10">
        <f>IF(Table1[[#This Row],[P/750]]&lt;Expenses!$C$30,1,IF(Table1[[#This Row],[P/750]]&lt;Expenses!$C$31,2,IF(Table1[[#This Row],[P/750]]&lt;Expenses!$C$32,3,4)))</f>
        <v>2</v>
      </c>
      <c r="AH201" s="37" t="s">
        <v>384</v>
      </c>
      <c r="AI201" s="11">
        <f>Table1[[#This Row],[Price]]/Table1[[#This Row],[Size (ml)]]*750</f>
        <v>21.72</v>
      </c>
      <c r="AJ201" s="37">
        <v>90</v>
      </c>
      <c r="AK201" s="10">
        <f>COUNTIF(UniqueID!A:A,Table1[[#This Row],[ID]])</f>
        <v>0</v>
      </c>
      <c r="AL201" s="10" t="str">
        <f>VLOOKUP(Table1[[#This Row],[Cellar Location]],Location!A:F,6,FALSE)</f>
        <v>C</v>
      </c>
      <c r="AN201" s="1">
        <v>44060</v>
      </c>
      <c r="AO201" s="10" t="str">
        <f>TEXT(Table1[[#This Row],[Purchased]],"mmmm")</f>
        <v>August</v>
      </c>
      <c r="AP201" s="10" t="str">
        <f>TEXT(Table1[[#This Row],[Purchased]],"yyyy")</f>
        <v>2020</v>
      </c>
      <c r="AQ201" s="10"/>
    </row>
    <row r="202" spans="1:43" s="37" customFormat="1" x14ac:dyDescent="0.25">
      <c r="A202" s="37" t="str">
        <f t="shared" si="4"/>
        <v>2005EscuderoVidau</v>
      </c>
      <c r="B202" s="37">
        <v>2005</v>
      </c>
      <c r="C202" s="37" t="s">
        <v>217</v>
      </c>
      <c r="D202" s="37" t="s">
        <v>1658</v>
      </c>
      <c r="E202" s="67" t="s">
        <v>1659</v>
      </c>
      <c r="F202" s="37" t="s">
        <v>729</v>
      </c>
      <c r="G202" s="37" t="s">
        <v>823</v>
      </c>
      <c r="I202" s="8">
        <v>1</v>
      </c>
      <c r="J202" s="37">
        <v>750</v>
      </c>
      <c r="K202" s="8" t="s">
        <v>929</v>
      </c>
      <c r="L202" s="10">
        <f>COUNTIF(Drank!A:A,Table1[[#This Row],[ID]])</f>
        <v>1</v>
      </c>
      <c r="M202" s="37" t="s">
        <v>202</v>
      </c>
      <c r="N202" s="37" t="s">
        <v>207</v>
      </c>
      <c r="O202" s="37">
        <v>1</v>
      </c>
      <c r="P202" s="10">
        <v>2010</v>
      </c>
      <c r="Q202" s="37">
        <v>2020</v>
      </c>
      <c r="R202" s="10" t="str">
        <f>IF(IFERROR(VLOOKUP(A202,Drank!A:S,15,FALSE),"")=0,"",IFERROR(VLOOKUP(A202,Drank!A:S,15,FALSE),""))</f>
        <v/>
      </c>
      <c r="S202" s="10">
        <f>IF(IFERROR(VLOOKUP(A202,Drank!A:S,16,FALSE),"")=0,"",IFERROR(VLOOKUP(A202,Drank!A:S,16,FALSE),""))</f>
        <v>2025</v>
      </c>
      <c r="T202" s="10"/>
      <c r="U202" s="37" t="s">
        <v>1404</v>
      </c>
      <c r="V202" s="18">
        <f>IF(IFERROR(VLOOKUP(A202,Drank!A:T,19,FALSE),"")=0,"",IFERROR(VLOOKUP(A202,Drank!A:T,19,FALSE),""))</f>
        <v>92</v>
      </c>
      <c r="W202" s="1">
        <f>IF(IFERROR(VLOOKUP(A202,Drank!A:T,20,FALSE),"")=0,"",IFERROR(VLOOKUP(A202,Drank!A:T,20,FALSE),""))</f>
        <v>44062</v>
      </c>
      <c r="X202" s="10">
        <f>SUMIF(A:A,A202,I:I)</f>
        <v>11</v>
      </c>
      <c r="Y202" s="10">
        <f>IF(Table1[[#This Row],[Drank]]&gt;0,VLOOKUP(Table1[[#This Row],[ID]],Drank!A:P,16,FALSE),IF(Table1[[#This Row],[WALDD]]&gt;0,VLOOKUP(Table1[[#This Row],[ID]],Wine1!A:Q,17,FALSE),Table1[[#This Row],[EP]]))</f>
        <v>2025</v>
      </c>
      <c r="Z202" s="18">
        <f>IF(Table1[[#This Row],[My Rating]]="",IF(Table1[[#This Row],[WA Rating Clean]]="","",Table1[[#This Row],[WA Rating Clean]]),Table1[[#This Row],[My Rating]])</f>
        <v>92</v>
      </c>
      <c r="AA202" s="37">
        <v>2021</v>
      </c>
      <c r="AB202" s="128">
        <v>21.72</v>
      </c>
      <c r="AC202" s="2">
        <f t="shared" si="5"/>
        <v>21.72</v>
      </c>
      <c r="AD202" s="8">
        <v>0</v>
      </c>
      <c r="AE202" s="10">
        <f>IF(Table1[[#This Row],[P/750]]&lt;20,1,IF(Table1[[#This Row],[P/750]]&lt;50,2,3))</f>
        <v>2</v>
      </c>
      <c r="AF202" s="10">
        <f>IF(Table1[[#This Row],[P/750]]&lt;Expenses!$C$30,1,IF(Table1[[#This Row],[P/750]]&lt;Expenses!$C$31,2,IF(Table1[[#This Row],[P/750]]&lt;Expenses!$C$32,3,4)))</f>
        <v>2</v>
      </c>
      <c r="AH202" s="37" t="s">
        <v>384</v>
      </c>
      <c r="AI202" s="11">
        <f>Table1[[#This Row],[Price]]/Table1[[#This Row],[Size (ml)]]*750</f>
        <v>21.72</v>
      </c>
      <c r="AJ202" s="37">
        <v>90</v>
      </c>
      <c r="AK202" s="10">
        <f>COUNTIF(UniqueID!A:A,Table1[[#This Row],[ID]])</f>
        <v>0</v>
      </c>
      <c r="AL202" s="10" t="str">
        <f>VLOOKUP(Table1[[#This Row],[Cellar Location]],Location!A:F,6,FALSE)</f>
        <v>C</v>
      </c>
      <c r="AN202" s="1">
        <v>44060</v>
      </c>
      <c r="AO202" s="10" t="str">
        <f>TEXT(Table1[[#This Row],[Purchased]],"mmmm")</f>
        <v>August</v>
      </c>
      <c r="AP202" s="10" t="str">
        <f>TEXT(Table1[[#This Row],[Purchased]],"yyyy")</f>
        <v>2020</v>
      </c>
      <c r="AQ202" s="10"/>
    </row>
    <row r="203" spans="1:43" s="37" customFormat="1" x14ac:dyDescent="0.25">
      <c r="A203" s="37" t="str">
        <f t="shared" si="4"/>
        <v>2005EscuderoVidau</v>
      </c>
      <c r="B203" s="37">
        <v>2005</v>
      </c>
      <c r="C203" s="37" t="s">
        <v>217</v>
      </c>
      <c r="D203" s="37" t="s">
        <v>1658</v>
      </c>
      <c r="E203" s="67" t="s">
        <v>1659</v>
      </c>
      <c r="F203" s="37" t="s">
        <v>729</v>
      </c>
      <c r="G203" s="37" t="s">
        <v>823</v>
      </c>
      <c r="I203" s="8">
        <v>1</v>
      </c>
      <c r="J203" s="37">
        <v>750</v>
      </c>
      <c r="K203" s="8" t="s">
        <v>929</v>
      </c>
      <c r="L203" s="10">
        <f>COUNTIF(Drank!A:A,Table1[[#This Row],[ID]])</f>
        <v>1</v>
      </c>
      <c r="M203" s="37" t="s">
        <v>202</v>
      </c>
      <c r="N203" s="37" t="s">
        <v>207</v>
      </c>
      <c r="O203" s="37">
        <v>1</v>
      </c>
      <c r="P203" s="10">
        <v>2010</v>
      </c>
      <c r="Q203" s="37">
        <v>2020</v>
      </c>
      <c r="R203" s="10" t="str">
        <f>IF(IFERROR(VLOOKUP(A203,Drank!A:S,15,FALSE),"")=0,"",IFERROR(VLOOKUP(A203,Drank!A:S,15,FALSE),""))</f>
        <v/>
      </c>
      <c r="S203" s="10">
        <f>IF(IFERROR(VLOOKUP(A203,Drank!A:S,16,FALSE),"")=0,"",IFERROR(VLOOKUP(A203,Drank!A:S,16,FALSE),""))</f>
        <v>2025</v>
      </c>
      <c r="T203" s="10"/>
      <c r="U203" s="37" t="s">
        <v>1404</v>
      </c>
      <c r="V203" s="18">
        <f>IF(IFERROR(VLOOKUP(A203,Drank!A:T,19,FALSE),"")=0,"",IFERROR(VLOOKUP(A203,Drank!A:T,19,FALSE),""))</f>
        <v>92</v>
      </c>
      <c r="W203" s="1">
        <f>IF(IFERROR(VLOOKUP(A203,Drank!A:T,20,FALSE),"")=0,"",IFERROR(VLOOKUP(A203,Drank!A:T,20,FALSE),""))</f>
        <v>44062</v>
      </c>
      <c r="X203" s="10">
        <f>SUMIF(A:A,A203,I:I)</f>
        <v>11</v>
      </c>
      <c r="Y203" s="10">
        <f>IF(Table1[[#This Row],[Drank]]&gt;0,VLOOKUP(Table1[[#This Row],[ID]],Drank!A:P,16,FALSE),IF(Table1[[#This Row],[WALDD]]&gt;0,VLOOKUP(Table1[[#This Row],[ID]],Wine1!A:Q,17,FALSE),Table1[[#This Row],[EP]]))</f>
        <v>2025</v>
      </c>
      <c r="Z203" s="18">
        <f>IF(Table1[[#This Row],[My Rating]]="",IF(Table1[[#This Row],[WA Rating Clean]]="","",Table1[[#This Row],[WA Rating Clean]]),Table1[[#This Row],[My Rating]])</f>
        <v>92</v>
      </c>
      <c r="AA203" s="37">
        <v>2021</v>
      </c>
      <c r="AB203" s="128">
        <v>21.72</v>
      </c>
      <c r="AC203" s="2">
        <f t="shared" si="5"/>
        <v>21.72</v>
      </c>
      <c r="AD203" s="8">
        <v>0</v>
      </c>
      <c r="AE203" s="10">
        <f>IF(Table1[[#This Row],[P/750]]&lt;20,1,IF(Table1[[#This Row],[P/750]]&lt;50,2,3))</f>
        <v>2</v>
      </c>
      <c r="AF203" s="10">
        <f>IF(Table1[[#This Row],[P/750]]&lt;Expenses!$C$30,1,IF(Table1[[#This Row],[P/750]]&lt;Expenses!$C$31,2,IF(Table1[[#This Row],[P/750]]&lt;Expenses!$C$32,3,4)))</f>
        <v>2</v>
      </c>
      <c r="AH203" s="37" t="s">
        <v>384</v>
      </c>
      <c r="AI203" s="11">
        <f>Table1[[#This Row],[Price]]/Table1[[#This Row],[Size (ml)]]*750</f>
        <v>21.72</v>
      </c>
      <c r="AJ203" s="37">
        <v>90</v>
      </c>
      <c r="AK203" s="10">
        <f>COUNTIF(UniqueID!A:A,Table1[[#This Row],[ID]])</f>
        <v>0</v>
      </c>
      <c r="AL203" s="10" t="str">
        <f>VLOOKUP(Table1[[#This Row],[Cellar Location]],Location!A:F,6,FALSE)</f>
        <v>C</v>
      </c>
      <c r="AN203" s="1">
        <v>44060</v>
      </c>
      <c r="AO203" s="10" t="str">
        <f>TEXT(Table1[[#This Row],[Purchased]],"mmmm")</f>
        <v>August</v>
      </c>
      <c r="AP203" s="10" t="str">
        <f>TEXT(Table1[[#This Row],[Purchased]],"yyyy")</f>
        <v>2020</v>
      </c>
      <c r="AQ203" s="10"/>
    </row>
    <row r="204" spans="1:43" s="37" customFormat="1" x14ac:dyDescent="0.25">
      <c r="A204" s="20" t="str">
        <f t="shared" si="4"/>
        <v>2014Los Frailes1771</v>
      </c>
      <c r="B204" s="8">
        <v>2014</v>
      </c>
      <c r="C204" s="8" t="s">
        <v>242</v>
      </c>
      <c r="D204" s="33">
        <v>1771</v>
      </c>
      <c r="E204" s="67" t="s">
        <v>1223</v>
      </c>
      <c r="F204" s="37" t="s">
        <v>729</v>
      </c>
      <c r="G204" s="37" t="s">
        <v>826</v>
      </c>
      <c r="I204" s="8">
        <v>1</v>
      </c>
      <c r="J204" s="107">
        <v>750</v>
      </c>
      <c r="K204" s="8" t="s">
        <v>640</v>
      </c>
      <c r="L204" s="37">
        <f>COUNTIF(Drank!A:A,Table1[[#This Row],[ID]])</f>
        <v>5</v>
      </c>
      <c r="M204" s="37" t="s">
        <v>202</v>
      </c>
      <c r="N204" s="37" t="s">
        <v>207</v>
      </c>
      <c r="O204" s="37">
        <v>1</v>
      </c>
      <c r="P204" s="37">
        <v>2018</v>
      </c>
      <c r="Q204" s="37">
        <v>2023</v>
      </c>
      <c r="R204" s="37">
        <f>IF(IFERROR(VLOOKUP(A204,Drank!A:S,15,FALSE),"")=0,"",IFERROR(VLOOKUP(A204,Drank!A:S,15,FALSE),""))</f>
        <v>2021</v>
      </c>
      <c r="S204" s="37">
        <f>IF(IFERROR(VLOOKUP(A204,Drank!A:S,16,FALSE),"")=0,"",IFERROR(VLOOKUP(A204,Drank!A:S,16,FALSE),""))</f>
        <v>2025</v>
      </c>
      <c r="U204" s="37">
        <v>93</v>
      </c>
      <c r="V204" s="18">
        <f>IF(IFERROR(VLOOKUP(A204,Drank!A:T,19,FALSE),"")=0,"",IFERROR(VLOOKUP(A204,Drank!A:T,19,FALSE),""))</f>
        <v>92.4</v>
      </c>
      <c r="W204" s="1">
        <f>IF(IFERROR(VLOOKUP(A204,Drank!A:T,20,FALSE),"")=0,"",IFERROR(VLOOKUP(A204,Drank!A:T,20,FALSE),""))</f>
        <v>44052</v>
      </c>
      <c r="X204" s="37">
        <f>SUMIF(A:A,A204,I:I)</f>
        <v>9</v>
      </c>
      <c r="Y204" s="37">
        <f>IF(Table1[[#This Row],[Drank]]&gt;0,VLOOKUP(Table1[[#This Row],[ID]],Drank!A:P,16,FALSE),IF(Table1[[#This Row],[WALDD]]&gt;0,VLOOKUP(Table1[[#This Row],[ID]],Wine1!A:Q,17,FALSE),Table1[[#This Row],[EP]]))</f>
        <v>2025</v>
      </c>
      <c r="Z204" s="18">
        <f>IF(Table1[[#This Row],[My Rating]]="",IF(Table1[[#This Row],[WA Rating Clean]]="","",Table1[[#This Row],[WA Rating Clean]]),Table1[[#This Row],[My Rating]])</f>
        <v>92.4</v>
      </c>
      <c r="AA204" s="8">
        <v>2021</v>
      </c>
      <c r="AB204" s="128">
        <v>19.5</v>
      </c>
      <c r="AC204" s="2">
        <f t="shared" si="5"/>
        <v>19.5</v>
      </c>
      <c r="AD204" s="8">
        <v>0</v>
      </c>
      <c r="AE204" s="37">
        <f>IF(Table1[[#This Row],[P/750]]&lt;20,1,IF(Table1[[#This Row],[P/750]]&lt;50,2,3))</f>
        <v>1</v>
      </c>
      <c r="AF204" s="37">
        <f>IF(Table1[[#This Row],[P/750]]&lt;Expenses!$C$30,1,IF(Table1[[#This Row],[P/750]]&lt;Expenses!$C$31,2,IF(Table1[[#This Row],[P/750]]&lt;Expenses!$C$32,3,4)))</f>
        <v>2</v>
      </c>
      <c r="AH204" s="37" t="s">
        <v>385</v>
      </c>
      <c r="AI204" s="11">
        <f>Table1[[#This Row],[Price]]/Table1[[#This Row],[Size (ml)]]*750</f>
        <v>19.5</v>
      </c>
      <c r="AJ204" s="37">
        <v>93</v>
      </c>
      <c r="AK204" s="37">
        <f>COUNTIF(UniqueID!A:A,Table1[[#This Row],[ID]])</f>
        <v>1</v>
      </c>
      <c r="AL204" s="37" t="str">
        <f>VLOOKUP(Table1[[#This Row],[Cellar Location]],Location!A:F,6,FALSE)</f>
        <v>S</v>
      </c>
      <c r="AO204" s="37" t="str">
        <f>TEXT(Table1[[#This Row],[Purchased]],"mmmm")</f>
        <v>January</v>
      </c>
      <c r="AP204" s="10" t="str">
        <f>TEXT(Table1[[#This Row],[Purchased]],"yyyy")</f>
        <v>1900</v>
      </c>
      <c r="AQ204" s="10"/>
    </row>
    <row r="205" spans="1:43" s="37" customFormat="1" x14ac:dyDescent="0.25">
      <c r="A205" s="20" t="str">
        <f t="shared" si="4"/>
        <v>2014Los Frailes1771</v>
      </c>
      <c r="B205" s="8">
        <v>2014</v>
      </c>
      <c r="C205" s="8" t="s">
        <v>242</v>
      </c>
      <c r="D205" s="33">
        <v>1771</v>
      </c>
      <c r="E205" s="67" t="s">
        <v>1223</v>
      </c>
      <c r="F205" s="37" t="s">
        <v>729</v>
      </c>
      <c r="G205" s="37" t="s">
        <v>826</v>
      </c>
      <c r="I205" s="8">
        <v>1</v>
      </c>
      <c r="J205" s="107">
        <v>750</v>
      </c>
      <c r="K205" s="8" t="s">
        <v>640</v>
      </c>
      <c r="L205" s="37">
        <f>COUNTIF(Drank!A:A,Table1[[#This Row],[ID]])</f>
        <v>5</v>
      </c>
      <c r="M205" s="37" t="s">
        <v>202</v>
      </c>
      <c r="N205" s="37" t="s">
        <v>207</v>
      </c>
      <c r="O205" s="37">
        <v>1</v>
      </c>
      <c r="P205" s="37">
        <v>2018</v>
      </c>
      <c r="Q205" s="37">
        <v>2023</v>
      </c>
      <c r="R205" s="37">
        <f>IF(IFERROR(VLOOKUP(A205,Drank!A:S,15,FALSE),"")=0,"",IFERROR(VLOOKUP(A205,Drank!A:S,15,FALSE),""))</f>
        <v>2021</v>
      </c>
      <c r="S205" s="37">
        <f>IF(IFERROR(VLOOKUP(A205,Drank!A:S,16,FALSE),"")=0,"",IFERROR(VLOOKUP(A205,Drank!A:S,16,FALSE),""))</f>
        <v>2025</v>
      </c>
      <c r="U205" s="37">
        <v>93</v>
      </c>
      <c r="V205" s="18">
        <f>IF(IFERROR(VLOOKUP(A205,Drank!A:T,19,FALSE),"")=0,"",IFERROR(VLOOKUP(A205,Drank!A:T,19,FALSE),""))</f>
        <v>92.4</v>
      </c>
      <c r="W205" s="1">
        <f>IF(IFERROR(VLOOKUP(A205,Drank!A:T,20,FALSE),"")=0,"",IFERROR(VLOOKUP(A205,Drank!A:T,20,FALSE),""))</f>
        <v>44052</v>
      </c>
      <c r="X205" s="37">
        <f>SUMIF(A:A,A205,I:I)</f>
        <v>9</v>
      </c>
      <c r="Y205" s="37">
        <f>IF(Table1[[#This Row],[Drank]]&gt;0,VLOOKUP(Table1[[#This Row],[ID]],Drank!A:P,16,FALSE),IF(Table1[[#This Row],[WALDD]]&gt;0,VLOOKUP(Table1[[#This Row],[ID]],Wine1!A:Q,17,FALSE),Table1[[#This Row],[EP]]))</f>
        <v>2025</v>
      </c>
      <c r="Z205" s="18">
        <f>IF(Table1[[#This Row],[My Rating]]="",IF(Table1[[#This Row],[WA Rating Clean]]="","",Table1[[#This Row],[WA Rating Clean]]),Table1[[#This Row],[My Rating]])</f>
        <v>92.4</v>
      </c>
      <c r="AA205" s="8">
        <v>2021</v>
      </c>
      <c r="AB205" s="128">
        <v>19.5</v>
      </c>
      <c r="AC205" s="2">
        <f t="shared" si="5"/>
        <v>19.5</v>
      </c>
      <c r="AD205" s="8">
        <v>0</v>
      </c>
      <c r="AE205" s="37">
        <f>IF(Table1[[#This Row],[P/750]]&lt;20,1,IF(Table1[[#This Row],[P/750]]&lt;50,2,3))</f>
        <v>1</v>
      </c>
      <c r="AF205" s="37">
        <f>IF(Table1[[#This Row],[P/750]]&lt;Expenses!$C$30,1,IF(Table1[[#This Row],[P/750]]&lt;Expenses!$C$31,2,IF(Table1[[#This Row],[P/750]]&lt;Expenses!$C$32,3,4)))</f>
        <v>2</v>
      </c>
      <c r="AH205" s="37" t="s">
        <v>385</v>
      </c>
      <c r="AI205" s="11">
        <f>Table1[[#This Row],[Price]]/Table1[[#This Row],[Size (ml)]]*750</f>
        <v>19.5</v>
      </c>
      <c r="AJ205" s="37">
        <v>93</v>
      </c>
      <c r="AK205" s="37">
        <f>COUNTIF(UniqueID!A:A,Table1[[#This Row],[ID]])</f>
        <v>1</v>
      </c>
      <c r="AL205" s="37" t="str">
        <f>VLOOKUP(Table1[[#This Row],[Cellar Location]],Location!A:F,6,FALSE)</f>
        <v>S</v>
      </c>
      <c r="AO205" s="37" t="str">
        <f>TEXT(Table1[[#This Row],[Purchased]],"mmmm")</f>
        <v>January</v>
      </c>
      <c r="AP205" s="10" t="str">
        <f>TEXT(Table1[[#This Row],[Purchased]],"yyyy")</f>
        <v>1900</v>
      </c>
      <c r="AQ205" s="10"/>
    </row>
    <row r="206" spans="1:43" s="37" customFormat="1" x14ac:dyDescent="0.25">
      <c r="A206" s="20" t="str">
        <f t="shared" si="4"/>
        <v>2014Los Frailes1771</v>
      </c>
      <c r="B206" s="37">
        <v>2014</v>
      </c>
      <c r="C206" s="37" t="s">
        <v>242</v>
      </c>
      <c r="D206" s="34">
        <v>1771</v>
      </c>
      <c r="E206" s="67" t="s">
        <v>1223</v>
      </c>
      <c r="F206" s="37" t="s">
        <v>729</v>
      </c>
      <c r="G206" s="37" t="s">
        <v>826</v>
      </c>
      <c r="I206" s="8">
        <v>1</v>
      </c>
      <c r="J206" s="107">
        <v>750</v>
      </c>
      <c r="K206" s="8" t="s">
        <v>640</v>
      </c>
      <c r="L206" s="37">
        <f>COUNTIF(Drank!A:A,Table1[[#This Row],[ID]])</f>
        <v>5</v>
      </c>
      <c r="M206" s="37" t="s">
        <v>202</v>
      </c>
      <c r="N206" s="37" t="s">
        <v>207</v>
      </c>
      <c r="O206" s="37">
        <v>1</v>
      </c>
      <c r="P206" s="37">
        <v>2018</v>
      </c>
      <c r="Q206" s="37">
        <v>2023</v>
      </c>
      <c r="R206" s="37">
        <f>IF(IFERROR(VLOOKUP(A206,Drank!A:S,15,FALSE),"")=0,"",IFERROR(VLOOKUP(A206,Drank!A:S,15,FALSE),""))</f>
        <v>2021</v>
      </c>
      <c r="S206" s="37">
        <f>IF(IFERROR(VLOOKUP(A206,Drank!A:S,16,FALSE),"")=0,"",IFERROR(VLOOKUP(A206,Drank!A:S,16,FALSE),""))</f>
        <v>2025</v>
      </c>
      <c r="U206" s="37">
        <v>93</v>
      </c>
      <c r="V206" s="18">
        <f>IF(IFERROR(VLOOKUP(A206,Drank!A:T,19,FALSE),"")=0,"",IFERROR(VLOOKUP(A206,Drank!A:T,19,FALSE),""))</f>
        <v>92.4</v>
      </c>
      <c r="W206" s="1">
        <f>IF(IFERROR(VLOOKUP(A206,Drank!A:T,20,FALSE),"")=0,"",IFERROR(VLOOKUP(A206,Drank!A:T,20,FALSE),""))</f>
        <v>44052</v>
      </c>
      <c r="X206" s="37">
        <f>SUMIF(A:A,A206,I:I)</f>
        <v>9</v>
      </c>
      <c r="Y206" s="37">
        <f>IF(Table1[[#This Row],[Drank]]&gt;0,VLOOKUP(Table1[[#This Row],[ID]],Drank!A:P,16,FALSE),IF(Table1[[#This Row],[WALDD]]&gt;0,VLOOKUP(Table1[[#This Row],[ID]],Wine1!A:Q,17,FALSE),Table1[[#This Row],[EP]]))</f>
        <v>2025</v>
      </c>
      <c r="Z206" s="18">
        <f>IF(Table1[[#This Row],[My Rating]]="",IF(Table1[[#This Row],[WA Rating Clean]]="","",Table1[[#This Row],[WA Rating Clean]]),Table1[[#This Row],[My Rating]])</f>
        <v>92.4</v>
      </c>
      <c r="AA206" s="8">
        <v>2021</v>
      </c>
      <c r="AB206" s="128">
        <v>19.5</v>
      </c>
      <c r="AC206" s="2">
        <f t="shared" si="5"/>
        <v>19.5</v>
      </c>
      <c r="AD206" s="8">
        <v>0</v>
      </c>
      <c r="AE206" s="37">
        <f>IF(Table1[[#This Row],[P/750]]&lt;20,1,IF(Table1[[#This Row],[P/750]]&lt;50,2,3))</f>
        <v>1</v>
      </c>
      <c r="AF206" s="37">
        <f>IF(Table1[[#This Row],[P/750]]&lt;Expenses!$C$30,1,IF(Table1[[#This Row],[P/750]]&lt;Expenses!$C$31,2,IF(Table1[[#This Row],[P/750]]&lt;Expenses!$C$32,3,4)))</f>
        <v>2</v>
      </c>
      <c r="AH206" s="37" t="s">
        <v>385</v>
      </c>
      <c r="AI206" s="11">
        <f>Table1[[#This Row],[Price]]/Table1[[#This Row],[Size (ml)]]*750</f>
        <v>19.5</v>
      </c>
      <c r="AJ206" s="37">
        <v>93</v>
      </c>
      <c r="AK206" s="37">
        <f>COUNTIF(UniqueID!A:A,Table1[[#This Row],[ID]])</f>
        <v>1</v>
      </c>
      <c r="AL206" s="37" t="str">
        <f>VLOOKUP(Table1[[#This Row],[Cellar Location]],Location!A:F,6,FALSE)</f>
        <v>S</v>
      </c>
      <c r="AO206" s="37" t="str">
        <f>TEXT(Table1[[#This Row],[Purchased]],"mmmm")</f>
        <v>January</v>
      </c>
      <c r="AP206" s="10" t="str">
        <f>TEXT(Table1[[#This Row],[Purchased]],"yyyy")</f>
        <v>1900</v>
      </c>
      <c r="AQ206" s="10"/>
    </row>
    <row r="207" spans="1:43" s="37" customFormat="1" x14ac:dyDescent="0.25">
      <c r="A207" s="37" t="str">
        <f t="shared" si="4"/>
        <v>2016Domaine de la Combe DieuRasteau</v>
      </c>
      <c r="B207" s="8">
        <v>2016</v>
      </c>
      <c r="C207" s="37" t="s">
        <v>407</v>
      </c>
      <c r="D207" s="25" t="s">
        <v>408</v>
      </c>
      <c r="E207" s="66" t="s">
        <v>417</v>
      </c>
      <c r="F207" s="9" t="s">
        <v>742</v>
      </c>
      <c r="G207" s="9" t="s">
        <v>759</v>
      </c>
      <c r="H207" s="9" t="s">
        <v>765</v>
      </c>
      <c r="I207" s="37">
        <v>1</v>
      </c>
      <c r="J207" s="37">
        <v>750</v>
      </c>
      <c r="K207" s="32" t="s">
        <v>102</v>
      </c>
      <c r="L207" s="37">
        <f>COUNTIF(Drank!A:A,Table1[[#This Row],[ID]])</f>
        <v>5</v>
      </c>
      <c r="M207" s="37" t="s">
        <v>202</v>
      </c>
      <c r="N207" s="37" t="s">
        <v>207</v>
      </c>
      <c r="O207" s="37">
        <v>1</v>
      </c>
      <c r="P207" s="37">
        <v>2018</v>
      </c>
      <c r="Q207" s="37">
        <v>2023</v>
      </c>
      <c r="R207" s="10">
        <f>IF(IFERROR(VLOOKUP(A207,Drank!A:S,15,FALSE),"")=0,"",IFERROR(VLOOKUP(A207,Drank!A:S,15,FALSE),""))</f>
        <v>2021</v>
      </c>
      <c r="S207" s="10">
        <f>IF(IFERROR(VLOOKUP(A207,Drank!A:S,16,FALSE),"")=0,"",IFERROR(VLOOKUP(A207,Drank!A:S,16,FALSE),""))</f>
        <v>2025</v>
      </c>
      <c r="T207" s="10"/>
      <c r="U207" s="37">
        <v>92</v>
      </c>
      <c r="V207" s="18">
        <f>IF(IFERROR(VLOOKUP(A207,Drank!A:T,19,FALSE),"")=0,"",IFERROR(VLOOKUP(A207,Drank!A:T,19,FALSE),""))</f>
        <v>92.2</v>
      </c>
      <c r="W207" s="1">
        <f>IF(IFERROR(VLOOKUP(A207,Drank!A:T,20,FALSE),"")=0,"",IFERROR(VLOOKUP(A207,Drank!A:T,20,FALSE),""))</f>
        <v>44002</v>
      </c>
      <c r="X207" s="10">
        <f>SUMIF(A:A,A207,I:I)</f>
        <v>15</v>
      </c>
      <c r="Y207" s="37">
        <f>IF(Table1[[#This Row],[Drank]]&gt;0,VLOOKUP(Table1[[#This Row],[ID]],Drank!A:P,16,FALSE),IF(Table1[[#This Row],[WALDD]]&gt;0,VLOOKUP(Table1[[#This Row],[ID]],Wine1!A:Q,17,FALSE),Table1[[#This Row],[EP]]))</f>
        <v>2025</v>
      </c>
      <c r="Z207" s="18">
        <f>IF(Table1[[#This Row],[My Rating]]="",IF(Table1[[#This Row],[WA Rating Clean]]="","",Table1[[#This Row],[WA Rating Clean]]),Table1[[#This Row],[My Rating]])</f>
        <v>92.2</v>
      </c>
      <c r="AA207" s="8">
        <v>2021</v>
      </c>
      <c r="AB207" s="128">
        <v>13.99</v>
      </c>
      <c r="AC207" s="2">
        <f t="shared" si="5"/>
        <v>13.99</v>
      </c>
      <c r="AD207" s="8">
        <v>0</v>
      </c>
      <c r="AE207" s="37">
        <f>IF(Table1[[#This Row],[P/750]]&lt;20,1,IF(Table1[[#This Row],[P/750]]&lt;50,2,3))</f>
        <v>1</v>
      </c>
      <c r="AF207" s="37">
        <f>IF(Table1[[#This Row],[P/750]]&lt;Expenses!$C$30,1,IF(Table1[[#This Row],[P/750]]&lt;Expenses!$C$31,2,IF(Table1[[#This Row],[P/750]]&lt;Expenses!$C$32,3,4)))</f>
        <v>1</v>
      </c>
      <c r="AH207" s="37" t="s">
        <v>384</v>
      </c>
      <c r="AI207" s="11">
        <f>Table1[[#This Row],[Price]]/Table1[[#This Row],[Size (ml)]]*750</f>
        <v>13.99</v>
      </c>
      <c r="AJ207" s="37">
        <v>92</v>
      </c>
      <c r="AK207" s="37">
        <f>COUNTIF(UniqueID!A:A,Table1[[#This Row],[ID]])</f>
        <v>1</v>
      </c>
      <c r="AL207" s="37" t="str">
        <f>VLOOKUP(Table1[[#This Row],[Cellar Location]],Location!A:F,6,FALSE)</f>
        <v>K</v>
      </c>
      <c r="AO207" s="37" t="str">
        <f>TEXT(Table1[[#This Row],[Purchased]],"mmmm")</f>
        <v>January</v>
      </c>
      <c r="AP207" s="10" t="str">
        <f>TEXT(Table1[[#This Row],[Purchased]],"yyyy")</f>
        <v>1900</v>
      </c>
      <c r="AQ207" s="10"/>
    </row>
    <row r="208" spans="1:43" s="37" customFormat="1" x14ac:dyDescent="0.25">
      <c r="A208" s="37" t="str">
        <f t="shared" ref="A208:A239" si="14">CONCATENATE(B208,C208,D208)</f>
        <v>2016Domaine de la Combe DieuRasteau</v>
      </c>
      <c r="B208" s="8">
        <v>2016</v>
      </c>
      <c r="C208" s="37" t="s">
        <v>407</v>
      </c>
      <c r="D208" s="25" t="s">
        <v>408</v>
      </c>
      <c r="E208" s="66" t="s">
        <v>417</v>
      </c>
      <c r="F208" s="9" t="s">
        <v>742</v>
      </c>
      <c r="G208" s="9" t="s">
        <v>759</v>
      </c>
      <c r="H208" s="9" t="s">
        <v>765</v>
      </c>
      <c r="I208" s="37">
        <v>1</v>
      </c>
      <c r="J208" s="37">
        <v>750</v>
      </c>
      <c r="K208" s="32" t="s">
        <v>1795</v>
      </c>
      <c r="L208" s="37">
        <f>COUNTIF(Drank!A:A,Table1[[#This Row],[ID]])</f>
        <v>5</v>
      </c>
      <c r="M208" s="37" t="s">
        <v>202</v>
      </c>
      <c r="N208" s="37" t="s">
        <v>207</v>
      </c>
      <c r="O208" s="37">
        <v>1</v>
      </c>
      <c r="P208" s="37">
        <v>2018</v>
      </c>
      <c r="Q208" s="37">
        <v>2023</v>
      </c>
      <c r="R208" s="10">
        <f>IF(IFERROR(VLOOKUP(A208,Drank!A:S,15,FALSE),"")=0,"",IFERROR(VLOOKUP(A208,Drank!A:S,15,FALSE),""))</f>
        <v>2021</v>
      </c>
      <c r="S208" s="10">
        <f>IF(IFERROR(VLOOKUP(A208,Drank!A:S,16,FALSE),"")=0,"",IFERROR(VLOOKUP(A208,Drank!A:S,16,FALSE),""))</f>
        <v>2025</v>
      </c>
      <c r="T208" s="10"/>
      <c r="U208" s="37">
        <v>92</v>
      </c>
      <c r="V208" s="18">
        <f>IF(IFERROR(VLOOKUP(A208,Drank!A:T,19,FALSE),"")=0,"",IFERROR(VLOOKUP(A208,Drank!A:T,19,FALSE),""))</f>
        <v>92.2</v>
      </c>
      <c r="W208" s="1">
        <f>IF(IFERROR(VLOOKUP(A208,Drank!A:T,20,FALSE),"")=0,"",IFERROR(VLOOKUP(A208,Drank!A:T,20,FALSE),""))</f>
        <v>44002</v>
      </c>
      <c r="X208" s="10">
        <f>SUMIF(A:A,A208,I:I)</f>
        <v>15</v>
      </c>
      <c r="Y208" s="37">
        <f>IF(Table1[[#This Row],[Drank]]&gt;0,VLOOKUP(Table1[[#This Row],[ID]],Drank!A:P,16,FALSE),IF(Table1[[#This Row],[WALDD]]&gt;0,VLOOKUP(Table1[[#This Row],[ID]],Wine1!A:Q,17,FALSE),Table1[[#This Row],[EP]]))</f>
        <v>2025</v>
      </c>
      <c r="Z208" s="18">
        <f>IF(Table1[[#This Row],[My Rating]]="",IF(Table1[[#This Row],[WA Rating Clean]]="","",Table1[[#This Row],[WA Rating Clean]]),Table1[[#This Row],[My Rating]])</f>
        <v>92.2</v>
      </c>
      <c r="AA208" s="8">
        <v>2021</v>
      </c>
      <c r="AB208" s="128">
        <v>13.99</v>
      </c>
      <c r="AC208" s="2">
        <f t="shared" ref="AC208:AC239" si="15">AB208*I208</f>
        <v>13.99</v>
      </c>
      <c r="AD208" s="8">
        <v>0</v>
      </c>
      <c r="AE208" s="37">
        <f>IF(Table1[[#This Row],[P/750]]&lt;20,1,IF(Table1[[#This Row],[P/750]]&lt;50,2,3))</f>
        <v>1</v>
      </c>
      <c r="AF208" s="37">
        <f>IF(Table1[[#This Row],[P/750]]&lt;Expenses!$C$30,1,IF(Table1[[#This Row],[P/750]]&lt;Expenses!$C$31,2,IF(Table1[[#This Row],[P/750]]&lt;Expenses!$C$32,3,4)))</f>
        <v>1</v>
      </c>
      <c r="AH208" s="37" t="s">
        <v>384</v>
      </c>
      <c r="AI208" s="11">
        <f>Table1[[#This Row],[Price]]/Table1[[#This Row],[Size (ml)]]*750</f>
        <v>13.99</v>
      </c>
      <c r="AJ208" s="37">
        <v>92</v>
      </c>
      <c r="AK208" s="37">
        <f>COUNTIF(UniqueID!A:A,Table1[[#This Row],[ID]])</f>
        <v>1</v>
      </c>
      <c r="AL208" s="37" t="str">
        <f>VLOOKUP(Table1[[#This Row],[Cellar Location]],Location!A:F,6,FALSE)</f>
        <v>C</v>
      </c>
      <c r="AO208" s="37" t="str">
        <f>TEXT(Table1[[#This Row],[Purchased]],"mmmm")</f>
        <v>January</v>
      </c>
      <c r="AP208" s="10" t="str">
        <f>TEXT(Table1[[#This Row],[Purchased]],"yyyy")</f>
        <v>1900</v>
      </c>
      <c r="AQ208" s="10"/>
    </row>
    <row r="209" spans="1:43" s="37" customFormat="1" x14ac:dyDescent="0.25">
      <c r="A209" s="37" t="str">
        <f t="shared" si="14"/>
        <v>2016Domaine de la Combe DieuRasteau</v>
      </c>
      <c r="B209" s="8">
        <v>2016</v>
      </c>
      <c r="C209" s="37" t="s">
        <v>407</v>
      </c>
      <c r="D209" s="25" t="s">
        <v>408</v>
      </c>
      <c r="E209" s="66" t="s">
        <v>417</v>
      </c>
      <c r="F209" s="9" t="s">
        <v>742</v>
      </c>
      <c r="G209" s="9" t="s">
        <v>759</v>
      </c>
      <c r="H209" s="9" t="s">
        <v>765</v>
      </c>
      <c r="I209" s="37">
        <v>1</v>
      </c>
      <c r="J209" s="37">
        <v>750</v>
      </c>
      <c r="K209" s="32" t="s">
        <v>102</v>
      </c>
      <c r="L209" s="37">
        <f>COUNTIF(Drank!A:A,Table1[[#This Row],[ID]])</f>
        <v>5</v>
      </c>
      <c r="M209" s="37" t="s">
        <v>202</v>
      </c>
      <c r="N209" s="37" t="s">
        <v>207</v>
      </c>
      <c r="O209" s="37">
        <v>1</v>
      </c>
      <c r="P209" s="37">
        <v>2018</v>
      </c>
      <c r="Q209" s="37">
        <v>2023</v>
      </c>
      <c r="R209" s="10">
        <f>IF(IFERROR(VLOOKUP(A209,Drank!A:S,15,FALSE),"")=0,"",IFERROR(VLOOKUP(A209,Drank!A:S,15,FALSE),""))</f>
        <v>2021</v>
      </c>
      <c r="S209" s="10">
        <f>IF(IFERROR(VLOOKUP(A209,Drank!A:S,16,FALSE),"")=0,"",IFERROR(VLOOKUP(A209,Drank!A:S,16,FALSE),""))</f>
        <v>2025</v>
      </c>
      <c r="T209" s="10"/>
      <c r="U209" s="37">
        <v>92</v>
      </c>
      <c r="V209" s="18">
        <f>IF(IFERROR(VLOOKUP(A209,Drank!A:T,19,FALSE),"")=0,"",IFERROR(VLOOKUP(A209,Drank!A:T,19,FALSE),""))</f>
        <v>92.2</v>
      </c>
      <c r="W209" s="1">
        <f>IF(IFERROR(VLOOKUP(A209,Drank!A:T,20,FALSE),"")=0,"",IFERROR(VLOOKUP(A209,Drank!A:T,20,FALSE),""))</f>
        <v>44002</v>
      </c>
      <c r="X209" s="10">
        <f>SUMIF(A:A,A209,I:I)</f>
        <v>15</v>
      </c>
      <c r="Y209" s="37">
        <f>IF(Table1[[#This Row],[Drank]]&gt;0,VLOOKUP(Table1[[#This Row],[ID]],Drank!A:P,16,FALSE),IF(Table1[[#This Row],[WALDD]]&gt;0,VLOOKUP(Table1[[#This Row],[ID]],Wine1!A:Q,17,FALSE),Table1[[#This Row],[EP]]))</f>
        <v>2025</v>
      </c>
      <c r="Z209" s="18">
        <f>IF(Table1[[#This Row],[My Rating]]="",IF(Table1[[#This Row],[WA Rating Clean]]="","",Table1[[#This Row],[WA Rating Clean]]),Table1[[#This Row],[My Rating]])</f>
        <v>92.2</v>
      </c>
      <c r="AA209" s="8">
        <v>2021</v>
      </c>
      <c r="AB209" s="128">
        <v>13.99</v>
      </c>
      <c r="AC209" s="2">
        <f t="shared" si="15"/>
        <v>13.99</v>
      </c>
      <c r="AD209" s="8">
        <v>0</v>
      </c>
      <c r="AE209" s="37">
        <f>IF(Table1[[#This Row],[P/750]]&lt;20,1,IF(Table1[[#This Row],[P/750]]&lt;50,2,3))</f>
        <v>1</v>
      </c>
      <c r="AF209" s="37">
        <f>IF(Table1[[#This Row],[P/750]]&lt;Expenses!$C$30,1,IF(Table1[[#This Row],[P/750]]&lt;Expenses!$C$31,2,IF(Table1[[#This Row],[P/750]]&lt;Expenses!$C$32,3,4)))</f>
        <v>1</v>
      </c>
      <c r="AH209" s="37" t="s">
        <v>384</v>
      </c>
      <c r="AI209" s="11">
        <f>Table1[[#This Row],[Price]]/Table1[[#This Row],[Size (ml)]]*750</f>
        <v>13.99</v>
      </c>
      <c r="AJ209" s="37">
        <v>92</v>
      </c>
      <c r="AK209" s="37">
        <f>COUNTIF(UniqueID!A:A,Table1[[#This Row],[ID]])</f>
        <v>1</v>
      </c>
      <c r="AL209" s="37" t="str">
        <f>VLOOKUP(Table1[[#This Row],[Cellar Location]],Location!A:F,6,FALSE)</f>
        <v>K</v>
      </c>
      <c r="AO209" s="37" t="str">
        <f>TEXT(Table1[[#This Row],[Purchased]],"mmmm")</f>
        <v>January</v>
      </c>
      <c r="AP209" s="10" t="str">
        <f>TEXT(Table1[[#This Row],[Purchased]],"yyyy")</f>
        <v>1900</v>
      </c>
      <c r="AQ209" s="10"/>
    </row>
    <row r="210" spans="1:43" s="37" customFormat="1" x14ac:dyDescent="0.25">
      <c r="A210" s="37" t="str">
        <f t="shared" si="14"/>
        <v>2016Domaine de la Combe DieuRasteau</v>
      </c>
      <c r="B210" s="8">
        <v>2016</v>
      </c>
      <c r="C210" s="37" t="s">
        <v>407</v>
      </c>
      <c r="D210" s="25" t="s">
        <v>408</v>
      </c>
      <c r="E210" s="66" t="s">
        <v>417</v>
      </c>
      <c r="F210" s="9" t="s">
        <v>742</v>
      </c>
      <c r="G210" s="9" t="s">
        <v>759</v>
      </c>
      <c r="H210" s="9" t="s">
        <v>765</v>
      </c>
      <c r="I210" s="37">
        <v>1</v>
      </c>
      <c r="J210" s="37">
        <v>750</v>
      </c>
      <c r="K210" s="32" t="s">
        <v>102</v>
      </c>
      <c r="L210" s="37">
        <f>COUNTIF(Drank!A:A,Table1[[#This Row],[ID]])</f>
        <v>5</v>
      </c>
      <c r="M210" s="37" t="s">
        <v>202</v>
      </c>
      <c r="N210" s="37" t="s">
        <v>207</v>
      </c>
      <c r="O210" s="37">
        <v>1</v>
      </c>
      <c r="P210" s="37">
        <v>2018</v>
      </c>
      <c r="Q210" s="37">
        <v>2023</v>
      </c>
      <c r="R210" s="10">
        <f>IF(IFERROR(VLOOKUP(A210,Drank!A:S,15,FALSE),"")=0,"",IFERROR(VLOOKUP(A210,Drank!A:S,15,FALSE),""))</f>
        <v>2021</v>
      </c>
      <c r="S210" s="10">
        <f>IF(IFERROR(VLOOKUP(A210,Drank!A:S,16,FALSE),"")=0,"",IFERROR(VLOOKUP(A210,Drank!A:S,16,FALSE),""))</f>
        <v>2025</v>
      </c>
      <c r="T210" s="10"/>
      <c r="U210" s="37">
        <v>92</v>
      </c>
      <c r="V210" s="18">
        <f>IF(IFERROR(VLOOKUP(A210,Drank!A:T,19,FALSE),"")=0,"",IFERROR(VLOOKUP(A210,Drank!A:T,19,FALSE),""))</f>
        <v>92.2</v>
      </c>
      <c r="W210" s="1">
        <f>IF(IFERROR(VLOOKUP(A210,Drank!A:T,20,FALSE),"")=0,"",IFERROR(VLOOKUP(A210,Drank!A:T,20,FALSE),""))</f>
        <v>44002</v>
      </c>
      <c r="X210" s="10">
        <f>SUMIF(A:A,A210,I:I)</f>
        <v>15</v>
      </c>
      <c r="Y210" s="37">
        <f>IF(Table1[[#This Row],[Drank]]&gt;0,VLOOKUP(Table1[[#This Row],[ID]],Drank!A:P,16,FALSE),IF(Table1[[#This Row],[WALDD]]&gt;0,VLOOKUP(Table1[[#This Row],[ID]],Wine1!A:Q,17,FALSE),Table1[[#This Row],[EP]]))</f>
        <v>2025</v>
      </c>
      <c r="Z210" s="18">
        <f>IF(Table1[[#This Row],[My Rating]]="",IF(Table1[[#This Row],[WA Rating Clean]]="","",Table1[[#This Row],[WA Rating Clean]]),Table1[[#This Row],[My Rating]])</f>
        <v>92.2</v>
      </c>
      <c r="AA210" s="8">
        <v>2021</v>
      </c>
      <c r="AB210" s="128">
        <v>13.99</v>
      </c>
      <c r="AC210" s="2">
        <f t="shared" si="15"/>
        <v>13.99</v>
      </c>
      <c r="AD210" s="8">
        <v>0</v>
      </c>
      <c r="AE210" s="37">
        <f>IF(Table1[[#This Row],[P/750]]&lt;20,1,IF(Table1[[#This Row],[P/750]]&lt;50,2,3))</f>
        <v>1</v>
      </c>
      <c r="AF210" s="37">
        <f>IF(Table1[[#This Row],[P/750]]&lt;Expenses!$C$30,1,IF(Table1[[#This Row],[P/750]]&lt;Expenses!$C$31,2,IF(Table1[[#This Row],[P/750]]&lt;Expenses!$C$32,3,4)))</f>
        <v>1</v>
      </c>
      <c r="AH210" s="37" t="s">
        <v>384</v>
      </c>
      <c r="AI210" s="11">
        <f>Table1[[#This Row],[Price]]/Table1[[#This Row],[Size (ml)]]*750</f>
        <v>13.99</v>
      </c>
      <c r="AJ210" s="37">
        <v>92</v>
      </c>
      <c r="AK210" s="37">
        <f>COUNTIF(UniqueID!A:A,Table1[[#This Row],[ID]])</f>
        <v>1</v>
      </c>
      <c r="AL210" s="37" t="str">
        <f>VLOOKUP(Table1[[#This Row],[Cellar Location]],Location!A:F,6,FALSE)</f>
        <v>K</v>
      </c>
      <c r="AO210" s="37" t="str">
        <f>TEXT(Table1[[#This Row],[Purchased]],"mmmm")</f>
        <v>January</v>
      </c>
      <c r="AP210" s="10" t="str">
        <f>TEXT(Table1[[#This Row],[Purchased]],"yyyy")</f>
        <v>1900</v>
      </c>
      <c r="AQ210" s="10"/>
    </row>
    <row r="211" spans="1:43" s="37" customFormat="1" x14ac:dyDescent="0.25">
      <c r="A211" s="37" t="str">
        <f t="shared" si="14"/>
        <v>2017Diez-CaballeroCrianza</v>
      </c>
      <c r="B211" s="8">
        <v>2017</v>
      </c>
      <c r="C211" s="8" t="s">
        <v>1216</v>
      </c>
      <c r="D211" s="37" t="s">
        <v>108</v>
      </c>
      <c r="E211" s="67" t="s">
        <v>1220</v>
      </c>
      <c r="F211" s="8" t="s">
        <v>729</v>
      </c>
      <c r="G211" s="37" t="s">
        <v>823</v>
      </c>
      <c r="I211" s="8">
        <v>1</v>
      </c>
      <c r="J211" s="37">
        <v>750</v>
      </c>
      <c r="K211" s="8" t="s">
        <v>1316</v>
      </c>
      <c r="L211" s="10">
        <f>COUNTIF(Drank!A:A,Table1[[#This Row],[ID]])</f>
        <v>3</v>
      </c>
      <c r="M211" s="37" t="s">
        <v>202</v>
      </c>
      <c r="N211" s="37" t="s">
        <v>207</v>
      </c>
      <c r="O211" s="37">
        <v>1</v>
      </c>
      <c r="P211" s="37">
        <v>2019</v>
      </c>
      <c r="Q211" s="37">
        <v>2024</v>
      </c>
      <c r="R211" s="10">
        <f>IF(IFERROR(VLOOKUP(A211,Drank!A:S,15,FALSE),"")=0,"",IFERROR(VLOOKUP(A211,Drank!A:S,15,FALSE),""))</f>
        <v>2021</v>
      </c>
      <c r="S211" s="10">
        <f>IF(IFERROR(VLOOKUP(A211,Drank!A:S,16,FALSE),"")=0,"",IFERROR(VLOOKUP(A211,Drank!A:S,16,FALSE),""))</f>
        <v>2025</v>
      </c>
      <c r="T211" s="10"/>
      <c r="U211" s="37">
        <v>90</v>
      </c>
      <c r="V211" s="18">
        <f>IF(IFERROR(VLOOKUP(A211,Drank!A:T,19,FALSE),"")=0,"",IFERROR(VLOOKUP(A211,Drank!A:T,19,FALSE),""))</f>
        <v>90.666666666666671</v>
      </c>
      <c r="W211" s="1">
        <f>IF(IFERROR(VLOOKUP(A211,Drank!A:T,20,FALSE),"")=0,"",IFERROR(VLOOKUP(A211,Drank!A:T,20,FALSE),""))</f>
        <v>44015</v>
      </c>
      <c r="X211" s="10">
        <f>SUMIF(A:A,A211,I:I)</f>
        <v>21</v>
      </c>
      <c r="Y211" s="10">
        <f>IF(Table1[[#This Row],[Drank]]&gt;0,VLOOKUP(Table1[[#This Row],[ID]],Drank!A:P,16,FALSE),IF(Table1[[#This Row],[WALDD]]&gt;0,VLOOKUP(Table1[[#This Row],[ID]],Wine1!A:Q,17,FALSE),Table1[[#This Row],[EP]]))</f>
        <v>2025</v>
      </c>
      <c r="Z211" s="18">
        <f>IF(Table1[[#This Row],[My Rating]]="",IF(Table1[[#This Row],[WA Rating Clean]]="","",Table1[[#This Row],[WA Rating Clean]]),Table1[[#This Row],[My Rating]])</f>
        <v>90.666666666666671</v>
      </c>
      <c r="AA211" s="37">
        <v>2021</v>
      </c>
      <c r="AB211" s="128">
        <v>14.11</v>
      </c>
      <c r="AC211" s="2">
        <f t="shared" si="15"/>
        <v>14.11</v>
      </c>
      <c r="AD211" s="8">
        <v>0</v>
      </c>
      <c r="AE211" s="10">
        <f>IF(Table1[[#This Row],[P/750]]&lt;20,1,IF(Table1[[#This Row],[P/750]]&lt;50,2,3))</f>
        <v>1</v>
      </c>
      <c r="AF211" s="10">
        <f>IF(Table1[[#This Row],[P/750]]&lt;Expenses!$C$30,1,IF(Table1[[#This Row],[P/750]]&lt;Expenses!$C$31,2,IF(Table1[[#This Row],[P/750]]&lt;Expenses!$C$32,3,4)))</f>
        <v>1</v>
      </c>
      <c r="AH211" s="37" t="s">
        <v>384</v>
      </c>
      <c r="AI211" s="11">
        <f>Table1[[#This Row],[Price]]/Table1[[#This Row],[Size (ml)]]*750</f>
        <v>14.109999999999998</v>
      </c>
      <c r="AJ211" s="37">
        <v>90</v>
      </c>
      <c r="AK211" s="10">
        <f>COUNTIF(UniqueID!A:A,Table1[[#This Row],[ID]])</f>
        <v>0</v>
      </c>
      <c r="AL211" s="10" t="str">
        <f>VLOOKUP(Table1[[#This Row],[Cellar Location]],Location!A:F,6,FALSE)</f>
        <v>C</v>
      </c>
      <c r="AN211" s="1">
        <v>43993</v>
      </c>
      <c r="AO211" s="10" t="str">
        <f>TEXT(Table1[[#This Row],[Purchased]],"mmmm")</f>
        <v>June</v>
      </c>
      <c r="AP211" s="10" t="str">
        <f>TEXT(Table1[[#This Row],[Purchased]],"yyyy")</f>
        <v>2020</v>
      </c>
      <c r="AQ211" s="10"/>
    </row>
    <row r="212" spans="1:43" s="37" customFormat="1" x14ac:dyDescent="0.25">
      <c r="A212" s="37" t="str">
        <f t="shared" si="14"/>
        <v>2017Diez-CaballeroCrianza</v>
      </c>
      <c r="B212" s="8">
        <v>2017</v>
      </c>
      <c r="C212" s="8" t="s">
        <v>1216</v>
      </c>
      <c r="D212" s="37" t="s">
        <v>108</v>
      </c>
      <c r="E212" s="67" t="s">
        <v>1220</v>
      </c>
      <c r="F212" s="8" t="s">
        <v>729</v>
      </c>
      <c r="G212" s="37" t="s">
        <v>823</v>
      </c>
      <c r="I212" s="8">
        <v>1</v>
      </c>
      <c r="J212" s="37">
        <v>750</v>
      </c>
      <c r="K212" s="8" t="s">
        <v>1316</v>
      </c>
      <c r="L212" s="10">
        <f>COUNTIF(Drank!A:A,Table1[[#This Row],[ID]])</f>
        <v>3</v>
      </c>
      <c r="M212" s="37" t="s">
        <v>202</v>
      </c>
      <c r="N212" s="37" t="s">
        <v>207</v>
      </c>
      <c r="O212" s="37">
        <v>1</v>
      </c>
      <c r="P212" s="37">
        <v>2019</v>
      </c>
      <c r="Q212" s="37">
        <v>2024</v>
      </c>
      <c r="R212" s="10">
        <f>IF(IFERROR(VLOOKUP(A212,Drank!A:S,15,FALSE),"")=0,"",IFERROR(VLOOKUP(A212,Drank!A:S,15,FALSE),""))</f>
        <v>2021</v>
      </c>
      <c r="S212" s="10">
        <f>IF(IFERROR(VLOOKUP(A212,Drank!A:S,16,FALSE),"")=0,"",IFERROR(VLOOKUP(A212,Drank!A:S,16,FALSE),""))</f>
        <v>2025</v>
      </c>
      <c r="T212" s="10"/>
      <c r="U212" s="37">
        <v>90</v>
      </c>
      <c r="V212" s="18">
        <f>IF(IFERROR(VLOOKUP(A212,Drank!A:T,19,FALSE),"")=0,"",IFERROR(VLOOKUP(A212,Drank!A:T,19,FALSE),""))</f>
        <v>90.666666666666671</v>
      </c>
      <c r="W212" s="1">
        <f>IF(IFERROR(VLOOKUP(A212,Drank!A:T,20,FALSE),"")=0,"",IFERROR(VLOOKUP(A212,Drank!A:T,20,FALSE),""))</f>
        <v>44015</v>
      </c>
      <c r="X212" s="10">
        <f>SUMIF(A:A,A212,I:I)</f>
        <v>21</v>
      </c>
      <c r="Y212" s="10">
        <f>IF(Table1[[#This Row],[Drank]]&gt;0,VLOOKUP(Table1[[#This Row],[ID]],Drank!A:P,16,FALSE),IF(Table1[[#This Row],[WALDD]]&gt;0,VLOOKUP(Table1[[#This Row],[ID]],Wine1!A:Q,17,FALSE),Table1[[#This Row],[EP]]))</f>
        <v>2025</v>
      </c>
      <c r="Z212" s="18">
        <f>IF(Table1[[#This Row],[My Rating]]="",IF(Table1[[#This Row],[WA Rating Clean]]="","",Table1[[#This Row],[WA Rating Clean]]),Table1[[#This Row],[My Rating]])</f>
        <v>90.666666666666671</v>
      </c>
      <c r="AA212" s="37">
        <v>2021</v>
      </c>
      <c r="AB212" s="128">
        <v>14.11</v>
      </c>
      <c r="AC212" s="2">
        <f t="shared" si="15"/>
        <v>14.11</v>
      </c>
      <c r="AD212" s="8">
        <v>0</v>
      </c>
      <c r="AE212" s="10">
        <f>IF(Table1[[#This Row],[P/750]]&lt;20,1,IF(Table1[[#This Row],[P/750]]&lt;50,2,3))</f>
        <v>1</v>
      </c>
      <c r="AF212" s="10">
        <f>IF(Table1[[#This Row],[P/750]]&lt;Expenses!$C$30,1,IF(Table1[[#This Row],[P/750]]&lt;Expenses!$C$31,2,IF(Table1[[#This Row],[P/750]]&lt;Expenses!$C$32,3,4)))</f>
        <v>1</v>
      </c>
      <c r="AH212" s="37" t="s">
        <v>384</v>
      </c>
      <c r="AI212" s="11">
        <f>Table1[[#This Row],[Price]]/Table1[[#This Row],[Size (ml)]]*750</f>
        <v>14.109999999999998</v>
      </c>
      <c r="AJ212" s="37">
        <v>90</v>
      </c>
      <c r="AK212" s="10">
        <f>COUNTIF(UniqueID!A:A,Table1[[#This Row],[ID]])</f>
        <v>0</v>
      </c>
      <c r="AL212" s="10" t="str">
        <f>VLOOKUP(Table1[[#This Row],[Cellar Location]],Location!A:F,6,FALSE)</f>
        <v>C</v>
      </c>
      <c r="AN212" s="1">
        <v>43993</v>
      </c>
      <c r="AO212" s="10" t="str">
        <f>TEXT(Table1[[#This Row],[Purchased]],"mmmm")</f>
        <v>June</v>
      </c>
      <c r="AP212" s="10" t="str">
        <f>TEXT(Table1[[#This Row],[Purchased]],"yyyy")</f>
        <v>2020</v>
      </c>
      <c r="AQ212" s="10"/>
    </row>
    <row r="213" spans="1:43" s="37" customFormat="1" x14ac:dyDescent="0.25">
      <c r="A213" s="20" t="str">
        <f t="shared" si="14"/>
        <v>2015Buty WineryRediviva of The Stones</v>
      </c>
      <c r="B213" s="8">
        <v>2015</v>
      </c>
      <c r="C213" s="9" t="s">
        <v>388</v>
      </c>
      <c r="D213" s="9" t="s">
        <v>389</v>
      </c>
      <c r="E213" s="67" t="s">
        <v>1270</v>
      </c>
      <c r="F213" s="37" t="s">
        <v>727</v>
      </c>
      <c r="G213" s="37" t="s">
        <v>833</v>
      </c>
      <c r="H213" s="37" t="s">
        <v>835</v>
      </c>
      <c r="I213" s="37">
        <v>1</v>
      </c>
      <c r="J213" s="107">
        <v>750</v>
      </c>
      <c r="K213" s="8" t="s">
        <v>640</v>
      </c>
      <c r="L213" s="37">
        <f>COUNTIF(Drank!A:A,Table1[[#This Row],[ID]])</f>
        <v>1</v>
      </c>
      <c r="M213" s="37" t="s">
        <v>202</v>
      </c>
      <c r="N213" s="37" t="s">
        <v>207</v>
      </c>
      <c r="O213" s="37">
        <v>1</v>
      </c>
      <c r="P213" s="37">
        <v>2018</v>
      </c>
      <c r="Q213" s="37">
        <v>2026</v>
      </c>
      <c r="R213" s="10">
        <f>IF(IFERROR(VLOOKUP(A213,Drank!A:S,15,FALSE),"")=0,"",IFERROR(VLOOKUP(A213,Drank!A:S,15,FALSE),""))</f>
        <v>2021</v>
      </c>
      <c r="S213" s="10">
        <f>IF(IFERROR(VLOOKUP(A213,Drank!A:S,16,FALSE),"")=0,"",IFERROR(VLOOKUP(A213,Drank!A:S,16,FALSE),""))</f>
        <v>2025</v>
      </c>
      <c r="T213" s="10"/>
      <c r="U213" s="37">
        <v>93</v>
      </c>
      <c r="V213" s="18">
        <f>IF(IFERROR(VLOOKUP(A213,Drank!A:T,19,FALSE),"")=0,"",IFERROR(VLOOKUP(A213,Drank!A:T,19,FALSE),""))</f>
        <v>92</v>
      </c>
      <c r="W213" s="1">
        <f>IF(IFERROR(VLOOKUP(A213,Drank!A:T,20,FALSE),"")=0,"",IFERROR(VLOOKUP(A213,Drank!A:T,20,FALSE),""))</f>
        <v>43777</v>
      </c>
      <c r="X213" s="10">
        <f>SUMIF(A:A,A213,I:I)</f>
        <v>3</v>
      </c>
      <c r="Y213" s="37">
        <f>IF(Table1[[#This Row],[Drank]]&gt;0,VLOOKUP(Table1[[#This Row],[ID]],Drank!A:P,16,FALSE),IF(Table1[[#This Row],[WALDD]]&gt;0,VLOOKUP(Table1[[#This Row],[ID]],Wine1!A:Q,17,FALSE),Table1[[#This Row],[EP]]))</f>
        <v>2025</v>
      </c>
      <c r="Z213" s="18">
        <f>IF(Table1[[#This Row],[My Rating]]="",IF(Table1[[#This Row],[WA Rating Clean]]="","",Table1[[#This Row],[WA Rating Clean]]),Table1[[#This Row],[My Rating]])</f>
        <v>92</v>
      </c>
      <c r="AA213" s="8">
        <v>2021</v>
      </c>
      <c r="AB213" s="128">
        <v>22.99</v>
      </c>
      <c r="AC213" s="2">
        <f t="shared" si="15"/>
        <v>22.99</v>
      </c>
      <c r="AD213" s="8">
        <v>0</v>
      </c>
      <c r="AE213" s="37">
        <f>IF(Table1[[#This Row],[P/750]]&lt;20,1,IF(Table1[[#This Row],[P/750]]&lt;50,2,3))</f>
        <v>2</v>
      </c>
      <c r="AF213" s="37">
        <f>IF(Table1[[#This Row],[P/750]]&lt;Expenses!$C$30,1,IF(Table1[[#This Row],[P/750]]&lt;Expenses!$C$31,2,IF(Table1[[#This Row],[P/750]]&lt;Expenses!$C$32,3,4)))</f>
        <v>2</v>
      </c>
      <c r="AH213" s="37" t="s">
        <v>384</v>
      </c>
      <c r="AI213" s="11">
        <f>Table1[[#This Row],[Price]]/Table1[[#This Row],[Size (ml)]]*750</f>
        <v>22.99</v>
      </c>
      <c r="AJ213" s="37">
        <v>93</v>
      </c>
      <c r="AK213" s="37">
        <f>COUNTIF(UniqueID!A:A,Table1[[#This Row],[ID]])</f>
        <v>1</v>
      </c>
      <c r="AL213" s="37" t="str">
        <f>VLOOKUP(Table1[[#This Row],[Cellar Location]],Location!A:F,6,FALSE)</f>
        <v>S</v>
      </c>
      <c r="AO213" s="37" t="str">
        <f>TEXT(Table1[[#This Row],[Purchased]],"mmmm")</f>
        <v>January</v>
      </c>
      <c r="AP213" s="10" t="str">
        <f>TEXT(Table1[[#This Row],[Purchased]],"yyyy")</f>
        <v>1900</v>
      </c>
      <c r="AQ213" s="10"/>
    </row>
    <row r="214" spans="1:43" s="37" customFormat="1" x14ac:dyDescent="0.25">
      <c r="A214" s="37" t="str">
        <f t="shared" si="14"/>
        <v>2012Chateau de VaudieuChateauneuf du Pape Amiral G</v>
      </c>
      <c r="B214" s="67">
        <v>2012</v>
      </c>
      <c r="C214" s="103" t="s">
        <v>331</v>
      </c>
      <c r="D214" s="113" t="s">
        <v>332</v>
      </c>
      <c r="E214" s="64" t="s">
        <v>284</v>
      </c>
      <c r="F214" s="37" t="s">
        <v>742</v>
      </c>
      <c r="G214" s="37" t="s">
        <v>759</v>
      </c>
      <c r="H214" s="9" t="s">
        <v>762</v>
      </c>
      <c r="I214" s="37">
        <v>1</v>
      </c>
      <c r="J214" s="37">
        <v>750</v>
      </c>
      <c r="K214" s="8" t="s">
        <v>1541</v>
      </c>
      <c r="L214" s="37">
        <f>COUNTIF(Drank!A:A,Table1[[#This Row],[ID]])</f>
        <v>0</v>
      </c>
      <c r="M214" s="37" t="s">
        <v>202</v>
      </c>
      <c r="N214" s="37" t="s">
        <v>207</v>
      </c>
      <c r="O214" s="37">
        <v>1</v>
      </c>
      <c r="P214" s="37">
        <v>2015</v>
      </c>
      <c r="Q214" s="37">
        <v>2025</v>
      </c>
      <c r="R214" s="10" t="str">
        <f>IF(IFERROR(VLOOKUP(A214,Drank!A:S,15,FALSE),"")=0,"",IFERROR(VLOOKUP(A214,Drank!A:S,15,FALSE),""))</f>
        <v/>
      </c>
      <c r="S214" s="10" t="str">
        <f>IF(IFERROR(VLOOKUP(A214,Drank!A:S,16,FALSE),"")=0,"",IFERROR(VLOOKUP(A214,Drank!A:S,16,FALSE),""))</f>
        <v/>
      </c>
      <c r="T214" s="10"/>
      <c r="U214" s="37">
        <v>96</v>
      </c>
      <c r="V214" s="18" t="str">
        <f>IF(IFERROR(VLOOKUP(A214,Drank!A:T,19,FALSE),"")=0,"",IFERROR(VLOOKUP(A214,Drank!A:T,19,FALSE),""))</f>
        <v/>
      </c>
      <c r="W214" s="1" t="str">
        <f>IF(IFERROR(VLOOKUP(A214,Drank!A:T,20,FALSE),"")=0,"",IFERROR(VLOOKUP(A214,Drank!A:T,20,FALSE),""))</f>
        <v/>
      </c>
      <c r="X214" s="10">
        <f>SUMIF(A:A,A214,I:I)</f>
        <v>2</v>
      </c>
      <c r="Y214" s="37">
        <f>IF(Table1[[#This Row],[Drank]]&gt;0,VLOOKUP(Table1[[#This Row],[ID]],Drank!A:P,16,FALSE),IF(Table1[[#This Row],[WALDD]]&gt;0,VLOOKUP(Table1[[#This Row],[ID]],Wine1!A:Q,17,FALSE),Table1[[#This Row],[EP]]))</f>
        <v>2025</v>
      </c>
      <c r="Z214" s="18">
        <f>IF(Table1[[#This Row],[My Rating]]="",IF(Table1[[#This Row],[WA Rating Clean]]="","",Table1[[#This Row],[WA Rating Clean]]),Table1[[#This Row],[My Rating]])</f>
        <v>96</v>
      </c>
      <c r="AA214" s="8">
        <v>2021</v>
      </c>
      <c r="AB214" s="128">
        <v>65</v>
      </c>
      <c r="AC214" s="2">
        <f t="shared" si="15"/>
        <v>65</v>
      </c>
      <c r="AD214" s="8">
        <v>0</v>
      </c>
      <c r="AE214" s="37">
        <f>IF(Table1[[#This Row],[P/750]]&lt;20,1,IF(Table1[[#This Row],[P/750]]&lt;50,2,3))</f>
        <v>3</v>
      </c>
      <c r="AF214" s="37">
        <f>IF(Table1[[#This Row],[P/750]]&lt;Expenses!$C$30,1,IF(Table1[[#This Row],[P/750]]&lt;Expenses!$C$31,2,IF(Table1[[#This Row],[P/750]]&lt;Expenses!$C$32,3,4)))</f>
        <v>4</v>
      </c>
      <c r="AH214" s="37" t="s">
        <v>385</v>
      </c>
      <c r="AI214" s="11">
        <f>Table1[[#This Row],[Price]]/Table1[[#This Row],[Size (ml)]]*750</f>
        <v>65</v>
      </c>
      <c r="AJ214" s="37">
        <v>96</v>
      </c>
      <c r="AK214" s="37">
        <f>COUNTIF(UniqueID!A:A,Table1[[#This Row],[ID]])</f>
        <v>1</v>
      </c>
      <c r="AL214" s="37" t="str">
        <f>VLOOKUP(Table1[[#This Row],[Cellar Location]],Location!A:F,6,FALSE)</f>
        <v>C</v>
      </c>
      <c r="AO214" s="37" t="str">
        <f>TEXT(Table1[[#This Row],[Purchased]],"mmmm")</f>
        <v>January</v>
      </c>
      <c r="AP214" s="10" t="str">
        <f>TEXT(Table1[[#This Row],[Purchased]],"yyyy")</f>
        <v>1900</v>
      </c>
      <c r="AQ214" s="10"/>
    </row>
    <row r="215" spans="1:43" s="37" customFormat="1" x14ac:dyDescent="0.25">
      <c r="A215" s="37" t="str">
        <f t="shared" si="14"/>
        <v>2016Diez-CaballeroVendimia Seleccionada</v>
      </c>
      <c r="B215" s="8">
        <v>2016</v>
      </c>
      <c r="C215" s="8" t="s">
        <v>1216</v>
      </c>
      <c r="D215" s="37" t="s">
        <v>303</v>
      </c>
      <c r="E215" s="67" t="s">
        <v>1220</v>
      </c>
      <c r="F215" s="37" t="s">
        <v>729</v>
      </c>
      <c r="G215" s="37" t="s">
        <v>823</v>
      </c>
      <c r="I215" s="37">
        <v>1</v>
      </c>
      <c r="J215" s="37">
        <v>750</v>
      </c>
      <c r="K215" s="8" t="s">
        <v>1541</v>
      </c>
      <c r="L215" s="37">
        <f>COUNTIF(Drank!A:A,Table1[[#This Row],[ID]])</f>
        <v>1</v>
      </c>
      <c r="M215" s="37" t="s">
        <v>202</v>
      </c>
      <c r="N215" s="37" t="s">
        <v>207</v>
      </c>
      <c r="O215" s="37">
        <v>1</v>
      </c>
      <c r="P215" s="37">
        <v>2019</v>
      </c>
      <c r="Q215" s="37">
        <v>2026</v>
      </c>
      <c r="R215" s="10">
        <f>IF(IFERROR(VLOOKUP(A215,Drank!A:S,15,FALSE),"")=0,"",IFERROR(VLOOKUP(A215,Drank!A:S,15,FALSE),""))</f>
        <v>2021</v>
      </c>
      <c r="S215" s="10">
        <f>IF(IFERROR(VLOOKUP(A215,Drank!A:S,16,FALSE),"")=0,"",IFERROR(VLOOKUP(A215,Drank!A:S,16,FALSE),""))</f>
        <v>2025</v>
      </c>
      <c r="T215" s="10"/>
      <c r="U215" s="37">
        <v>92</v>
      </c>
      <c r="V215" s="18">
        <f>IF(IFERROR(VLOOKUP(A215,Drank!A:T,19,FALSE),"")=0,"",IFERROR(VLOOKUP(A215,Drank!A:T,19,FALSE),""))</f>
        <v>90</v>
      </c>
      <c r="W215" s="1">
        <f>IF(IFERROR(VLOOKUP(A215,Drank!A:T,20,FALSE),"")=0,"",IFERROR(VLOOKUP(A215,Drank!A:T,20,FALSE),""))</f>
        <v>43883</v>
      </c>
      <c r="X215" s="10">
        <f>SUMIF(A:A,A215,I:I)</f>
        <v>7</v>
      </c>
      <c r="Y215" s="37">
        <f>IF(Table1[[#This Row],[Drank]]&gt;0,VLOOKUP(Table1[[#This Row],[ID]],Drank!A:P,16,FALSE),IF(Table1[[#This Row],[WALDD]]&gt;0,VLOOKUP(Table1[[#This Row],[ID]],Wine1!A:Q,17,FALSE),Table1[[#This Row],[EP]]))</f>
        <v>2025</v>
      </c>
      <c r="Z215" s="18">
        <f>IF(Table1[[#This Row],[My Rating]]="",IF(Table1[[#This Row],[WA Rating Clean]]="","",Table1[[#This Row],[WA Rating Clean]]),Table1[[#This Row],[My Rating]])</f>
        <v>90</v>
      </c>
      <c r="AA215" s="8">
        <v>2021</v>
      </c>
      <c r="AB215" s="128">
        <v>16.989999999999998</v>
      </c>
      <c r="AC215" s="2">
        <f t="shared" si="15"/>
        <v>16.989999999999998</v>
      </c>
      <c r="AD215" s="8">
        <v>0</v>
      </c>
      <c r="AE215" s="8">
        <f>IF(Table1[[#This Row],[P/750]]&lt;20,1,IF(Table1[[#This Row],[P/750]]&lt;50,2,3))</f>
        <v>1</v>
      </c>
      <c r="AF215" s="8">
        <f>IF(Table1[[#This Row],[P/750]]&lt;Expenses!$C$30,1,IF(Table1[[#This Row],[P/750]]&lt;Expenses!$C$31,2,IF(Table1[[#This Row],[P/750]]&lt;Expenses!$C$32,3,4)))</f>
        <v>2</v>
      </c>
      <c r="AH215" s="37" t="s">
        <v>384</v>
      </c>
      <c r="AI215" s="11">
        <f>Table1[[#This Row],[Price]]/Table1[[#This Row],[Size (ml)]]*750</f>
        <v>16.989999999999998</v>
      </c>
      <c r="AJ215" s="37">
        <v>92</v>
      </c>
      <c r="AK215" s="37">
        <f>COUNTIF(UniqueID!A:A,Table1[[#This Row],[ID]])</f>
        <v>1</v>
      </c>
      <c r="AL215" s="37" t="str">
        <f>VLOOKUP(Table1[[#This Row],[Cellar Location]],Location!A:F,6,FALSE)</f>
        <v>C</v>
      </c>
      <c r="AN215" s="1">
        <v>43873</v>
      </c>
      <c r="AO215" s="37" t="str">
        <f>TEXT(Table1[[#This Row],[Purchased]],"mmmm")</f>
        <v>February</v>
      </c>
      <c r="AP215" s="10" t="str">
        <f>TEXT(Table1[[#This Row],[Purchased]],"yyyy")</f>
        <v>2020</v>
      </c>
      <c r="AQ215" s="10"/>
    </row>
    <row r="216" spans="1:43" s="37" customFormat="1" x14ac:dyDescent="0.25">
      <c r="A216" s="37" t="str">
        <f t="shared" si="14"/>
        <v>2015Domaine LafageBastide Miraflors Vieilles Vignes</v>
      </c>
      <c r="B216" s="37">
        <v>2015</v>
      </c>
      <c r="C216" s="37" t="s">
        <v>671</v>
      </c>
      <c r="D216" s="37" t="s">
        <v>672</v>
      </c>
      <c r="E216" s="67" t="s">
        <v>1172</v>
      </c>
      <c r="F216" s="37" t="s">
        <v>742</v>
      </c>
      <c r="G216" s="37" t="s">
        <v>766</v>
      </c>
      <c r="H216" s="37" t="s">
        <v>767</v>
      </c>
      <c r="I216" s="37">
        <v>1</v>
      </c>
      <c r="J216" s="37">
        <v>750</v>
      </c>
      <c r="K216" s="8" t="s">
        <v>839</v>
      </c>
      <c r="L216" s="10">
        <f>COUNTIF(Drank!A:A,Table1[[#This Row],[ID]])</f>
        <v>3</v>
      </c>
      <c r="M216" s="37" t="s">
        <v>202</v>
      </c>
      <c r="N216" s="37" t="s">
        <v>207</v>
      </c>
      <c r="O216" s="37">
        <v>1</v>
      </c>
      <c r="P216" s="10">
        <v>2017</v>
      </c>
      <c r="Q216" s="37">
        <v>2021</v>
      </c>
      <c r="R216" s="10">
        <f>IF(IFERROR(VLOOKUP(A216,Drank!A:S,15,FALSE),"")=0,"",IFERROR(VLOOKUP(A216,Drank!A:S,15,FALSE),""))</f>
        <v>2020</v>
      </c>
      <c r="S216" s="10">
        <f>IF(IFERROR(VLOOKUP(A216,Drank!A:S,16,FALSE),"")=0,"",IFERROR(VLOOKUP(A216,Drank!A:S,16,FALSE),""))</f>
        <v>2025</v>
      </c>
      <c r="T216" s="10"/>
      <c r="U216" s="37">
        <v>94</v>
      </c>
      <c r="V216" s="18">
        <f>IF(IFERROR(VLOOKUP(A216,Drank!A:T,19,FALSE),"")=0,"",IFERROR(VLOOKUP(A216,Drank!A:T,19,FALSE),""))</f>
        <v>91.333333333333329</v>
      </c>
      <c r="W216" s="1">
        <f>IF(IFERROR(VLOOKUP(A216,Drank!A:T,20,FALSE),"")=0,"",IFERROR(VLOOKUP(A216,Drank!A:T,20,FALSE),""))</f>
        <v>43966</v>
      </c>
      <c r="X216" s="10">
        <f>SUMIF(A:A,A216,I:I)</f>
        <v>8</v>
      </c>
      <c r="Y216" s="10">
        <f>IF(Table1[[#This Row],[Drank]]&gt;0,VLOOKUP(Table1[[#This Row],[ID]],Drank!A:P,16,FALSE),IF(Table1[[#This Row],[WALDD]]&gt;0,VLOOKUP(Table1[[#This Row],[ID]],Wine1!A:Q,17,FALSE),Table1[[#This Row],[EP]]))</f>
        <v>2025</v>
      </c>
      <c r="Z216" s="18">
        <f>IF(Table1[[#This Row],[My Rating]]="",IF(Table1[[#This Row],[WA Rating Clean]]="","",Table1[[#This Row],[WA Rating Clean]]),Table1[[#This Row],[My Rating]])</f>
        <v>91.333333333333329</v>
      </c>
      <c r="AA216" s="8">
        <v>2021</v>
      </c>
      <c r="AB216" s="128">
        <v>14.99</v>
      </c>
      <c r="AC216" s="2">
        <f t="shared" si="15"/>
        <v>14.99</v>
      </c>
      <c r="AD216" s="8">
        <v>0</v>
      </c>
      <c r="AE216" s="10">
        <f>IF(Table1[[#This Row],[P/750]]&lt;20,1,IF(Table1[[#This Row],[P/750]]&lt;50,2,3))</f>
        <v>1</v>
      </c>
      <c r="AF216" s="10">
        <f>IF(Table1[[#This Row],[P/750]]&lt;Expenses!$C$30,1,IF(Table1[[#This Row],[P/750]]&lt;Expenses!$C$31,2,IF(Table1[[#This Row],[P/750]]&lt;Expenses!$C$32,3,4)))</f>
        <v>1</v>
      </c>
      <c r="AH216" s="37" t="s">
        <v>674</v>
      </c>
      <c r="AI216" s="11">
        <f>Table1[[#This Row],[Price]]/Table1[[#This Row],[Size (ml)]]*750</f>
        <v>14.99</v>
      </c>
      <c r="AJ216" s="37">
        <v>94</v>
      </c>
      <c r="AK216" s="37">
        <f>COUNTIF(UniqueID!A:A,Table1[[#This Row],[ID]])</f>
        <v>1</v>
      </c>
      <c r="AL216" s="37" t="str">
        <f>VLOOKUP(Table1[[#This Row],[Cellar Location]],Location!A:F,6,FALSE)</f>
        <v>C</v>
      </c>
      <c r="AO216" s="37" t="str">
        <f>TEXT(Table1[[#This Row],[Purchased]],"mmmm")</f>
        <v>January</v>
      </c>
      <c r="AP216" s="10" t="str">
        <f>TEXT(Table1[[#This Row],[Purchased]],"yyyy")</f>
        <v>1900</v>
      </c>
      <c r="AQ216" s="10"/>
    </row>
    <row r="217" spans="1:43" s="37" customFormat="1" x14ac:dyDescent="0.25">
      <c r="A217" s="37" t="str">
        <f t="shared" si="14"/>
        <v>2015Domaine LafageBastide Miraflors Vieilles Vignes</v>
      </c>
      <c r="B217" s="8">
        <v>2015</v>
      </c>
      <c r="C217" s="37" t="s">
        <v>671</v>
      </c>
      <c r="D217" s="37" t="s">
        <v>672</v>
      </c>
      <c r="E217" s="67" t="s">
        <v>1172</v>
      </c>
      <c r="F217" s="37" t="s">
        <v>742</v>
      </c>
      <c r="G217" s="37" t="s">
        <v>766</v>
      </c>
      <c r="H217" s="37" t="s">
        <v>767</v>
      </c>
      <c r="I217" s="37">
        <v>1</v>
      </c>
      <c r="J217" s="37">
        <v>750</v>
      </c>
      <c r="K217" s="8" t="s">
        <v>929</v>
      </c>
      <c r="L217" s="10">
        <f>COUNTIF(Drank!A:A,Table1[[#This Row],[ID]])</f>
        <v>3</v>
      </c>
      <c r="M217" s="37" t="s">
        <v>202</v>
      </c>
      <c r="N217" s="37" t="s">
        <v>207</v>
      </c>
      <c r="O217" s="37">
        <v>1</v>
      </c>
      <c r="P217" s="10">
        <v>2017</v>
      </c>
      <c r="Q217" s="37">
        <v>2021</v>
      </c>
      <c r="R217" s="10">
        <f>IF(IFERROR(VLOOKUP(A217,Drank!A:S,15,FALSE),"")=0,"",IFERROR(VLOOKUP(A217,Drank!A:S,15,FALSE),""))</f>
        <v>2020</v>
      </c>
      <c r="S217" s="10">
        <f>IF(IFERROR(VLOOKUP(A217,Drank!A:S,16,FALSE),"")=0,"",IFERROR(VLOOKUP(A217,Drank!A:S,16,FALSE),""))</f>
        <v>2025</v>
      </c>
      <c r="T217" s="10"/>
      <c r="U217" s="37">
        <v>94</v>
      </c>
      <c r="V217" s="18">
        <f>IF(IFERROR(VLOOKUP(A217,Drank!A:T,19,FALSE),"")=0,"",IFERROR(VLOOKUP(A217,Drank!A:T,19,FALSE),""))</f>
        <v>91.333333333333329</v>
      </c>
      <c r="W217" s="1">
        <f>IF(IFERROR(VLOOKUP(A217,Drank!A:T,20,FALSE),"")=0,"",IFERROR(VLOOKUP(A217,Drank!A:T,20,FALSE),""))</f>
        <v>43966</v>
      </c>
      <c r="X217" s="10">
        <f>SUMIF(A:A,A217,I:I)</f>
        <v>8</v>
      </c>
      <c r="Y217" s="10">
        <f>IF(Table1[[#This Row],[Drank]]&gt;0,VLOOKUP(Table1[[#This Row],[ID]],Drank!A:P,16,FALSE),IF(Table1[[#This Row],[WALDD]]&gt;0,VLOOKUP(Table1[[#This Row],[ID]],Wine1!A:Q,17,FALSE),Table1[[#This Row],[EP]]))</f>
        <v>2025</v>
      </c>
      <c r="Z217" s="18">
        <f>IF(Table1[[#This Row],[My Rating]]="",IF(Table1[[#This Row],[WA Rating Clean]]="","",Table1[[#This Row],[WA Rating Clean]]),Table1[[#This Row],[My Rating]])</f>
        <v>91.333333333333329</v>
      </c>
      <c r="AA217" s="8">
        <v>2021</v>
      </c>
      <c r="AB217" s="128">
        <v>14.99</v>
      </c>
      <c r="AC217" s="2">
        <f t="shared" si="15"/>
        <v>14.99</v>
      </c>
      <c r="AD217" s="8">
        <v>0</v>
      </c>
      <c r="AE217" s="10">
        <f>IF(Table1[[#This Row],[P/750]]&lt;20,1,IF(Table1[[#This Row],[P/750]]&lt;50,2,3))</f>
        <v>1</v>
      </c>
      <c r="AF217" s="10">
        <f>IF(Table1[[#This Row],[P/750]]&lt;Expenses!$C$30,1,IF(Table1[[#This Row],[P/750]]&lt;Expenses!$C$31,2,IF(Table1[[#This Row],[P/750]]&lt;Expenses!$C$32,3,4)))</f>
        <v>1</v>
      </c>
      <c r="AH217" s="37" t="s">
        <v>674</v>
      </c>
      <c r="AI217" s="11">
        <f>Table1[[#This Row],[Price]]/Table1[[#This Row],[Size (ml)]]*750</f>
        <v>14.99</v>
      </c>
      <c r="AJ217" s="37">
        <v>94</v>
      </c>
      <c r="AK217" s="37">
        <f>COUNTIF(UniqueID!A:A,Table1[[#This Row],[ID]])</f>
        <v>1</v>
      </c>
      <c r="AL217" s="37" t="str">
        <f>VLOOKUP(Table1[[#This Row],[Cellar Location]],Location!A:F,6,FALSE)</f>
        <v>C</v>
      </c>
      <c r="AO217" s="37" t="str">
        <f>TEXT(Table1[[#This Row],[Purchased]],"mmmm")</f>
        <v>January</v>
      </c>
      <c r="AP217" s="10" t="str">
        <f>TEXT(Table1[[#This Row],[Purchased]],"yyyy")</f>
        <v>1900</v>
      </c>
      <c r="AQ217" s="10"/>
    </row>
    <row r="218" spans="1:43" s="37" customFormat="1" x14ac:dyDescent="0.25">
      <c r="A218" s="37" t="str">
        <f t="shared" si="14"/>
        <v>2018Cave Les Vignerons de Tavel &amp; LiracLirac Domaine de l'Eyrolle</v>
      </c>
      <c r="B218" s="8">
        <v>2018</v>
      </c>
      <c r="C218" s="37" t="s">
        <v>1424</v>
      </c>
      <c r="D218" s="19" t="s">
        <v>1425</v>
      </c>
      <c r="E218" s="69" t="s">
        <v>286</v>
      </c>
      <c r="F218" s="37" t="s">
        <v>742</v>
      </c>
      <c r="G218" s="37" t="s">
        <v>759</v>
      </c>
      <c r="H218" s="37" t="s">
        <v>1426</v>
      </c>
      <c r="I218" s="8">
        <v>1</v>
      </c>
      <c r="J218" s="37">
        <v>750</v>
      </c>
      <c r="K218" s="8" t="s">
        <v>652</v>
      </c>
      <c r="L218" s="10">
        <f>COUNTIF(Drank!A:A,Table1[[#This Row],[ID]])</f>
        <v>2</v>
      </c>
      <c r="M218" s="37" t="s">
        <v>202</v>
      </c>
      <c r="N218" s="37" t="s">
        <v>207</v>
      </c>
      <c r="O218" s="37">
        <v>1</v>
      </c>
      <c r="P218" s="37">
        <v>2019</v>
      </c>
      <c r="Q218" s="37">
        <v>2025</v>
      </c>
      <c r="R218" s="10">
        <f>IF(IFERROR(VLOOKUP(A218,Drank!A:S,15,FALSE),"")=0,"",IFERROR(VLOOKUP(A218,Drank!A:S,15,FALSE),""))</f>
        <v>2020</v>
      </c>
      <c r="S218" s="10">
        <f>IF(IFERROR(VLOOKUP(A218,Drank!A:S,16,FALSE),"")=0,"",IFERROR(VLOOKUP(A218,Drank!A:S,16,FALSE),""))</f>
        <v>2025</v>
      </c>
      <c r="T218" s="10"/>
      <c r="U218" s="37">
        <v>92</v>
      </c>
      <c r="V218" s="18">
        <f>IF(IFERROR(VLOOKUP(A218,Drank!A:T,19,FALSE),"")=0,"",IFERROR(VLOOKUP(A218,Drank!A:T,19,FALSE),""))</f>
        <v>91.5</v>
      </c>
      <c r="W218" s="1">
        <f>IF(IFERROR(VLOOKUP(A218,Drank!A:T,20,FALSE),"")=0,"",IFERROR(VLOOKUP(A218,Drank!A:T,20,FALSE),""))</f>
        <v>44009</v>
      </c>
      <c r="X218" s="10">
        <f>SUMIF(A:A,A218,I:I)</f>
        <v>10</v>
      </c>
      <c r="Y218" s="10">
        <f>IF(Table1[[#This Row],[Drank]]&gt;0,VLOOKUP(Table1[[#This Row],[ID]],Drank!A:P,16,FALSE),IF(Table1[[#This Row],[WALDD]]&gt;0,VLOOKUP(Table1[[#This Row],[ID]],Wine1!A:Q,17,FALSE),Table1[[#This Row],[EP]]))</f>
        <v>2025</v>
      </c>
      <c r="Z218" s="18">
        <f>IF(Table1[[#This Row],[My Rating]]="",IF(Table1[[#This Row],[WA Rating Clean]]="","",Table1[[#This Row],[WA Rating Clean]]),Table1[[#This Row],[My Rating]])</f>
        <v>91.5</v>
      </c>
      <c r="AA218" s="37">
        <v>2021</v>
      </c>
      <c r="AB218" s="128">
        <v>14.11</v>
      </c>
      <c r="AC218" s="2">
        <f t="shared" si="15"/>
        <v>14.11</v>
      </c>
      <c r="AD218" s="8">
        <v>0</v>
      </c>
      <c r="AE218" s="10">
        <f>IF(Table1[[#This Row],[P/750]]&lt;20,1,IF(Table1[[#This Row],[P/750]]&lt;50,2,3))</f>
        <v>1</v>
      </c>
      <c r="AF218" s="10">
        <f>IF(Table1[[#This Row],[P/750]]&lt;Expenses!$C$30,1,IF(Table1[[#This Row],[P/750]]&lt;Expenses!$C$31,2,IF(Table1[[#This Row],[P/750]]&lt;Expenses!$C$32,3,4)))</f>
        <v>1</v>
      </c>
      <c r="AH218" s="37" t="s">
        <v>384</v>
      </c>
      <c r="AI218" s="11">
        <f>Table1[[#This Row],[Price]]/Table1[[#This Row],[Size (ml)]]*750</f>
        <v>14.109999999999998</v>
      </c>
      <c r="AJ218" s="37">
        <v>92</v>
      </c>
      <c r="AK218" s="10">
        <f>COUNTIF(UniqueID!A:A,Table1[[#This Row],[ID]])</f>
        <v>0</v>
      </c>
      <c r="AL218" s="10" t="str">
        <f>VLOOKUP(Table1[[#This Row],[Cellar Location]],Location!A:F,6,FALSE)</f>
        <v>C</v>
      </c>
      <c r="AN218" s="1">
        <v>43986</v>
      </c>
      <c r="AO218" s="10" t="str">
        <f>TEXT(Table1[[#This Row],[Purchased]],"mmmm")</f>
        <v>June</v>
      </c>
      <c r="AP218" s="10" t="str">
        <f>TEXT(Table1[[#This Row],[Purchased]],"yyyy")</f>
        <v>2020</v>
      </c>
      <c r="AQ218" s="10"/>
    </row>
    <row r="219" spans="1:43" s="37" customFormat="1" x14ac:dyDescent="0.25">
      <c r="A219" s="37" t="str">
        <f t="shared" si="14"/>
        <v>2017SichelSichel</v>
      </c>
      <c r="B219" s="8">
        <v>2017</v>
      </c>
      <c r="C219" s="37" t="s">
        <v>409</v>
      </c>
      <c r="D219" s="37" t="s">
        <v>409</v>
      </c>
      <c r="E219" s="37" t="s">
        <v>1200</v>
      </c>
      <c r="F219" s="37" t="s">
        <v>742</v>
      </c>
      <c r="G219" s="37" t="s">
        <v>748</v>
      </c>
      <c r="H219" s="37" t="s">
        <v>260</v>
      </c>
      <c r="I219" s="37">
        <v>1</v>
      </c>
      <c r="J219" s="37">
        <v>375</v>
      </c>
      <c r="K219" s="8" t="s">
        <v>253</v>
      </c>
      <c r="L219" s="37">
        <f>COUNTIF(Drank!A:A,Table1[[#This Row],[ID]])</f>
        <v>10</v>
      </c>
      <c r="M219" s="37" t="s">
        <v>201</v>
      </c>
      <c r="N219" s="37" t="s">
        <v>206</v>
      </c>
      <c r="O219" s="37">
        <v>1</v>
      </c>
      <c r="R219" s="10">
        <f>IF(IFERROR(VLOOKUP(A219,Drank!A:S,15,FALSE),"")=0,"",IFERROR(VLOOKUP(A219,Drank!A:S,15,FALSE),""))</f>
        <v>2020</v>
      </c>
      <c r="S219" s="10">
        <f>IF(IFERROR(VLOOKUP(A219,Drank!A:S,16,FALSE),"")=0,"",IFERROR(VLOOKUP(A219,Drank!A:S,16,FALSE),""))</f>
        <v>2025</v>
      </c>
      <c r="T219" s="10"/>
      <c r="V219" s="18">
        <f>IF(IFERROR(VLOOKUP(A219,Drank!A:T,19,FALSE),"")=0,"",IFERROR(VLOOKUP(A219,Drank!A:T,19,FALSE),""))</f>
        <v>89.7</v>
      </c>
      <c r="W219" s="1">
        <f>IF(IFERROR(VLOOKUP(A219,Drank!A:T,20,FALSE),"")=0,"",IFERROR(VLOOKUP(A219,Drank!A:T,20,FALSE),""))</f>
        <v>44002</v>
      </c>
      <c r="X219" s="10">
        <f>SUMIF(A:A,A219,I:I)</f>
        <v>20</v>
      </c>
      <c r="Y219" s="37">
        <f>IF(Table1[[#This Row],[Drank]]&gt;0,VLOOKUP(Table1[[#This Row],[ID]],Drank!A:P,16,FALSE),IF(Table1[[#This Row],[WALDD]]&gt;0,VLOOKUP(Table1[[#This Row],[ID]],Wine1!A:Q,17,FALSE),Table1[[#This Row],[EP]]))</f>
        <v>2025</v>
      </c>
      <c r="Z219" s="18">
        <f>IF(Table1[[#This Row],[My Rating]]="",IF(Table1[[#This Row],[WA Rating Clean]]="","",Table1[[#This Row],[WA Rating Clean]]),Table1[[#This Row],[My Rating]])</f>
        <v>89.7</v>
      </c>
      <c r="AA219" s="37">
        <v>2021</v>
      </c>
      <c r="AB219" s="128">
        <v>12</v>
      </c>
      <c r="AC219" s="2">
        <f t="shared" si="15"/>
        <v>12</v>
      </c>
      <c r="AD219" s="8">
        <v>0</v>
      </c>
      <c r="AE219" s="37">
        <f>IF(Table1[[#This Row],[P/750]]&lt;20,1,IF(Table1[[#This Row],[P/750]]&lt;50,2,3))</f>
        <v>2</v>
      </c>
      <c r="AF219" s="37">
        <f>IF(Table1[[#This Row],[P/750]]&lt;Expenses!$C$30,1,IF(Table1[[#This Row],[P/750]]&lt;Expenses!$C$31,2,IF(Table1[[#This Row],[P/750]]&lt;Expenses!$C$32,3,4)))</f>
        <v>2</v>
      </c>
      <c r="AH219" s="37" t="s">
        <v>385</v>
      </c>
      <c r="AI219" s="11">
        <f>Table1[[#This Row],[Price]]/Table1[[#This Row],[Size (ml)]]*750</f>
        <v>24</v>
      </c>
      <c r="AK219" s="37">
        <f>COUNTIF(UniqueID!A:A,Table1[[#This Row],[ID]])</f>
        <v>1</v>
      </c>
      <c r="AL219" s="37" t="str">
        <f>VLOOKUP(Table1[[#This Row],[Cellar Location]],Location!A:F,6,FALSE)</f>
        <v>C</v>
      </c>
      <c r="AN219" s="1">
        <v>43845</v>
      </c>
      <c r="AO219" s="37" t="str">
        <f>TEXT(Table1[[#This Row],[Purchased]],"mmmm")</f>
        <v>January</v>
      </c>
      <c r="AP219" s="10" t="str">
        <f>TEXT(Table1[[#This Row],[Purchased]],"yyyy")</f>
        <v>2020</v>
      </c>
      <c r="AQ219" s="10"/>
    </row>
    <row r="220" spans="1:43" s="37" customFormat="1" x14ac:dyDescent="0.25">
      <c r="A220" s="37" t="str">
        <f t="shared" si="14"/>
        <v>2018Cave Les Vignerons de Tavel &amp; LiracLirac Domaine de l'Eyrolle</v>
      </c>
      <c r="B220" s="8">
        <v>2018</v>
      </c>
      <c r="C220" s="37" t="s">
        <v>1424</v>
      </c>
      <c r="D220" s="19" t="s">
        <v>1425</v>
      </c>
      <c r="E220" s="69" t="s">
        <v>286</v>
      </c>
      <c r="F220" s="37" t="s">
        <v>742</v>
      </c>
      <c r="G220" s="37" t="s">
        <v>759</v>
      </c>
      <c r="H220" s="37" t="s">
        <v>1426</v>
      </c>
      <c r="I220" s="8">
        <v>1</v>
      </c>
      <c r="J220" s="37">
        <v>750</v>
      </c>
      <c r="K220" s="8" t="s">
        <v>652</v>
      </c>
      <c r="L220" s="10">
        <f>COUNTIF(Drank!A:A,Table1[[#This Row],[ID]])</f>
        <v>2</v>
      </c>
      <c r="M220" s="37" t="s">
        <v>202</v>
      </c>
      <c r="N220" s="37" t="s">
        <v>207</v>
      </c>
      <c r="O220" s="37">
        <v>1</v>
      </c>
      <c r="P220" s="37">
        <v>2019</v>
      </c>
      <c r="Q220" s="37">
        <v>2025</v>
      </c>
      <c r="R220" s="10">
        <f>IF(IFERROR(VLOOKUP(A220,Drank!A:S,15,FALSE),"")=0,"",IFERROR(VLOOKUP(A220,Drank!A:S,15,FALSE),""))</f>
        <v>2020</v>
      </c>
      <c r="S220" s="10">
        <f>IF(IFERROR(VLOOKUP(A220,Drank!A:S,16,FALSE),"")=0,"",IFERROR(VLOOKUP(A220,Drank!A:S,16,FALSE),""))</f>
        <v>2025</v>
      </c>
      <c r="T220" s="10"/>
      <c r="U220" s="37">
        <v>92</v>
      </c>
      <c r="V220" s="18">
        <f>IF(IFERROR(VLOOKUP(A220,Drank!A:T,19,FALSE),"")=0,"",IFERROR(VLOOKUP(A220,Drank!A:T,19,FALSE),""))</f>
        <v>91.5</v>
      </c>
      <c r="W220" s="1">
        <f>IF(IFERROR(VLOOKUP(A220,Drank!A:T,20,FALSE),"")=0,"",IFERROR(VLOOKUP(A220,Drank!A:T,20,FALSE),""))</f>
        <v>44009</v>
      </c>
      <c r="X220" s="10">
        <f>SUMIF(A:A,A220,I:I)</f>
        <v>10</v>
      </c>
      <c r="Y220" s="10">
        <f>IF(Table1[[#This Row],[Drank]]&gt;0,VLOOKUP(Table1[[#This Row],[ID]],Drank!A:P,16,FALSE),IF(Table1[[#This Row],[WALDD]]&gt;0,VLOOKUP(Table1[[#This Row],[ID]],Wine1!A:Q,17,FALSE),Table1[[#This Row],[EP]]))</f>
        <v>2025</v>
      </c>
      <c r="Z220" s="18">
        <f>IF(Table1[[#This Row],[My Rating]]="",IF(Table1[[#This Row],[WA Rating Clean]]="","",Table1[[#This Row],[WA Rating Clean]]),Table1[[#This Row],[My Rating]])</f>
        <v>91.5</v>
      </c>
      <c r="AA220" s="37">
        <v>2021</v>
      </c>
      <c r="AB220" s="128">
        <v>14.11</v>
      </c>
      <c r="AC220" s="2">
        <f t="shared" si="15"/>
        <v>14.11</v>
      </c>
      <c r="AD220" s="8">
        <v>0</v>
      </c>
      <c r="AE220" s="10">
        <f>IF(Table1[[#This Row],[P/750]]&lt;20,1,IF(Table1[[#This Row],[P/750]]&lt;50,2,3))</f>
        <v>1</v>
      </c>
      <c r="AF220" s="10">
        <f>IF(Table1[[#This Row],[P/750]]&lt;Expenses!$C$30,1,IF(Table1[[#This Row],[P/750]]&lt;Expenses!$C$31,2,IF(Table1[[#This Row],[P/750]]&lt;Expenses!$C$32,3,4)))</f>
        <v>1</v>
      </c>
      <c r="AH220" s="37" t="s">
        <v>384</v>
      </c>
      <c r="AI220" s="11">
        <f>Table1[[#This Row],[Price]]/Table1[[#This Row],[Size (ml)]]*750</f>
        <v>14.109999999999998</v>
      </c>
      <c r="AJ220" s="37">
        <v>92</v>
      </c>
      <c r="AK220" s="10">
        <f>COUNTIF(UniqueID!A:A,Table1[[#This Row],[ID]])</f>
        <v>0</v>
      </c>
      <c r="AL220" s="10" t="str">
        <f>VLOOKUP(Table1[[#This Row],[Cellar Location]],Location!A:F,6,FALSE)</f>
        <v>C</v>
      </c>
      <c r="AN220" s="1">
        <v>43986</v>
      </c>
      <c r="AO220" s="10" t="str">
        <f>TEXT(Table1[[#This Row],[Purchased]],"mmmm")</f>
        <v>June</v>
      </c>
      <c r="AP220" s="10" t="str">
        <f>TEXT(Table1[[#This Row],[Purchased]],"yyyy")</f>
        <v>2020</v>
      </c>
      <c r="AQ220" s="10"/>
    </row>
    <row r="221" spans="1:43" s="37" customFormat="1" x14ac:dyDescent="0.25">
      <c r="A221" s="37" t="str">
        <f t="shared" si="14"/>
        <v>2017SichelSichel</v>
      </c>
      <c r="B221" s="8">
        <v>2017</v>
      </c>
      <c r="C221" s="9" t="s">
        <v>409</v>
      </c>
      <c r="D221" s="9" t="s">
        <v>409</v>
      </c>
      <c r="E221" s="37" t="s">
        <v>1200</v>
      </c>
      <c r="F221" s="37" t="s">
        <v>742</v>
      </c>
      <c r="G221" s="37" t="s">
        <v>748</v>
      </c>
      <c r="H221" s="37" t="s">
        <v>260</v>
      </c>
      <c r="I221" s="37">
        <v>1</v>
      </c>
      <c r="J221" s="37">
        <v>375</v>
      </c>
      <c r="K221" s="8" t="s">
        <v>253</v>
      </c>
      <c r="L221" s="37">
        <f>COUNTIF(Drank!A:A,Table1[[#This Row],[ID]])</f>
        <v>10</v>
      </c>
      <c r="M221" s="37" t="s">
        <v>201</v>
      </c>
      <c r="N221" s="37" t="s">
        <v>206</v>
      </c>
      <c r="O221" s="37">
        <v>1</v>
      </c>
      <c r="R221" s="10">
        <f>IF(IFERROR(VLOOKUP(A221,Drank!A:S,15,FALSE),"")=0,"",IFERROR(VLOOKUP(A221,Drank!A:S,15,FALSE),""))</f>
        <v>2020</v>
      </c>
      <c r="S221" s="10">
        <f>IF(IFERROR(VLOOKUP(A221,Drank!A:S,16,FALSE),"")=0,"",IFERROR(VLOOKUP(A221,Drank!A:S,16,FALSE),""))</f>
        <v>2025</v>
      </c>
      <c r="T221" s="10"/>
      <c r="V221" s="18">
        <f>IF(IFERROR(VLOOKUP(A221,Drank!A:T,19,FALSE),"")=0,"",IFERROR(VLOOKUP(A221,Drank!A:T,19,FALSE),""))</f>
        <v>89.7</v>
      </c>
      <c r="W221" s="1">
        <f>IF(IFERROR(VLOOKUP(A221,Drank!A:T,20,FALSE),"")=0,"",IFERROR(VLOOKUP(A221,Drank!A:T,20,FALSE),""))</f>
        <v>44002</v>
      </c>
      <c r="X221" s="10">
        <f>SUMIF(A:A,A221,I:I)</f>
        <v>20</v>
      </c>
      <c r="Y221" s="37">
        <f>IF(Table1[[#This Row],[Drank]]&gt;0,VLOOKUP(Table1[[#This Row],[ID]],Drank!A:P,16,FALSE),IF(Table1[[#This Row],[WALDD]]&gt;0,VLOOKUP(Table1[[#This Row],[ID]],Wine1!A:Q,17,FALSE),Table1[[#This Row],[EP]]))</f>
        <v>2025</v>
      </c>
      <c r="Z221" s="18">
        <f>IF(Table1[[#This Row],[My Rating]]="",IF(Table1[[#This Row],[WA Rating Clean]]="","",Table1[[#This Row],[WA Rating Clean]]),Table1[[#This Row],[My Rating]])</f>
        <v>89.7</v>
      </c>
      <c r="AA221" s="37">
        <v>2021</v>
      </c>
      <c r="AB221" s="128">
        <v>12</v>
      </c>
      <c r="AC221" s="2">
        <f t="shared" si="15"/>
        <v>12</v>
      </c>
      <c r="AD221" s="8">
        <v>0</v>
      </c>
      <c r="AE221" s="37">
        <f>IF(Table1[[#This Row],[P/750]]&lt;20,1,IF(Table1[[#This Row],[P/750]]&lt;50,2,3))</f>
        <v>2</v>
      </c>
      <c r="AF221" s="37">
        <f>IF(Table1[[#This Row],[P/750]]&lt;Expenses!$C$30,1,IF(Table1[[#This Row],[P/750]]&lt;Expenses!$C$31,2,IF(Table1[[#This Row],[P/750]]&lt;Expenses!$C$32,3,4)))</f>
        <v>2</v>
      </c>
      <c r="AH221" s="37" t="s">
        <v>385</v>
      </c>
      <c r="AI221" s="11">
        <f>Table1[[#This Row],[Price]]/Table1[[#This Row],[Size (ml)]]*750</f>
        <v>24</v>
      </c>
      <c r="AK221" s="37">
        <f>COUNTIF(UniqueID!A:A,Table1[[#This Row],[ID]])</f>
        <v>1</v>
      </c>
      <c r="AL221" s="37" t="str">
        <f>VLOOKUP(Table1[[#This Row],[Cellar Location]],Location!A:F,6,FALSE)</f>
        <v>C</v>
      </c>
      <c r="AN221" s="1">
        <v>43845</v>
      </c>
      <c r="AO221" s="37" t="str">
        <f>TEXT(Table1[[#This Row],[Purchased]],"mmmm")</f>
        <v>January</v>
      </c>
      <c r="AP221" s="10" t="str">
        <f>TEXT(Table1[[#This Row],[Purchased]],"yyyy")</f>
        <v>2020</v>
      </c>
      <c r="AQ221" s="10"/>
    </row>
    <row r="222" spans="1:43" s="37" customFormat="1" x14ac:dyDescent="0.25">
      <c r="A222" s="8" t="str">
        <f t="shared" si="14"/>
        <v>2017Diez-CaballeroCrianza</v>
      </c>
      <c r="B222" s="8">
        <v>2017</v>
      </c>
      <c r="C222" s="8" t="s">
        <v>1216</v>
      </c>
      <c r="D222" s="37" t="s">
        <v>108</v>
      </c>
      <c r="E222" s="67" t="s">
        <v>1220</v>
      </c>
      <c r="F222" s="37" t="s">
        <v>729</v>
      </c>
      <c r="G222" s="37" t="s">
        <v>823</v>
      </c>
      <c r="I222" s="8">
        <v>1</v>
      </c>
      <c r="J222" s="37">
        <v>750</v>
      </c>
      <c r="K222" s="8" t="s">
        <v>253</v>
      </c>
      <c r="L222" s="10">
        <f>COUNTIF(Drank!A:A,Table1[[#This Row],[ID]])</f>
        <v>3</v>
      </c>
      <c r="M222" s="37" t="s">
        <v>202</v>
      </c>
      <c r="N222" s="37" t="s">
        <v>207</v>
      </c>
      <c r="O222" s="37">
        <v>1</v>
      </c>
      <c r="P222" s="37">
        <v>2019</v>
      </c>
      <c r="Q222" s="37">
        <v>2024</v>
      </c>
      <c r="R222" s="10">
        <f>IF(IFERROR(VLOOKUP(A222,Drank!A:S,15,FALSE),"")=0,"",IFERROR(VLOOKUP(A222,Drank!A:S,15,FALSE),""))</f>
        <v>2021</v>
      </c>
      <c r="S222" s="10">
        <f>IF(IFERROR(VLOOKUP(A222,Drank!A:S,16,FALSE),"")=0,"",IFERROR(VLOOKUP(A222,Drank!A:S,16,FALSE),""))</f>
        <v>2025</v>
      </c>
      <c r="T222" s="10"/>
      <c r="U222" s="37">
        <v>90</v>
      </c>
      <c r="V222" s="18">
        <f>IF(IFERROR(VLOOKUP(A222,Drank!A:T,19,FALSE),"")=0,"",IFERROR(VLOOKUP(A222,Drank!A:T,19,FALSE),""))</f>
        <v>90.666666666666671</v>
      </c>
      <c r="W222" s="1">
        <f>IF(IFERROR(VLOOKUP(A222,Drank!A:T,20,FALSE),"")=0,"",IFERROR(VLOOKUP(A222,Drank!A:T,20,FALSE),""))</f>
        <v>44015</v>
      </c>
      <c r="X222" s="10">
        <f>SUMIF(A:A,A222,I:I)</f>
        <v>21</v>
      </c>
      <c r="Y222" s="10">
        <f>IF(Table1[[#This Row],[Drank]]&gt;0,VLOOKUP(Table1[[#This Row],[ID]],Drank!A:P,16,FALSE),IF(Table1[[#This Row],[WALDD]]&gt;0,VLOOKUP(Table1[[#This Row],[ID]],Wine1!A:Q,17,FALSE),Table1[[#This Row],[EP]]))</f>
        <v>2025</v>
      </c>
      <c r="Z222" s="18">
        <f>IF(Table1[[#This Row],[My Rating]]="",IF(Table1[[#This Row],[WA Rating Clean]]="","",Table1[[#This Row],[WA Rating Clean]]),Table1[[#This Row],[My Rating]])</f>
        <v>90.666666666666671</v>
      </c>
      <c r="AA222" s="37">
        <v>2021</v>
      </c>
      <c r="AB222" s="128">
        <v>14.11</v>
      </c>
      <c r="AC222" s="2">
        <f t="shared" si="15"/>
        <v>14.11</v>
      </c>
      <c r="AD222" s="8">
        <v>0</v>
      </c>
      <c r="AE222" s="10">
        <f>IF(Table1[[#This Row],[P/750]]&lt;20,1,IF(Table1[[#This Row],[P/750]]&lt;50,2,3))</f>
        <v>1</v>
      </c>
      <c r="AF222" s="10">
        <f>IF(Table1[[#This Row],[P/750]]&lt;Expenses!$C$30,1,IF(Table1[[#This Row],[P/750]]&lt;Expenses!$C$31,2,IF(Table1[[#This Row],[P/750]]&lt;Expenses!$C$32,3,4)))</f>
        <v>1</v>
      </c>
      <c r="AH222" s="37" t="s">
        <v>384</v>
      </c>
      <c r="AI222" s="11">
        <f>Table1[[#This Row],[Price]]/Table1[[#This Row],[Size (ml)]]*750</f>
        <v>14.109999999999998</v>
      </c>
      <c r="AJ222" s="37">
        <v>90</v>
      </c>
      <c r="AK222" s="10">
        <f>COUNTIF(UniqueID!A:A,Table1[[#This Row],[ID]])</f>
        <v>0</v>
      </c>
      <c r="AL222" s="10" t="str">
        <f>VLOOKUP(Table1[[#This Row],[Cellar Location]],Location!A:F,6,FALSE)</f>
        <v>C</v>
      </c>
      <c r="AN222" s="1">
        <v>43993</v>
      </c>
      <c r="AO222" s="10" t="str">
        <f>TEXT(Table1[[#This Row],[Purchased]],"mmmm")</f>
        <v>June</v>
      </c>
      <c r="AP222" s="10" t="str">
        <f>TEXT(Table1[[#This Row],[Purchased]],"yyyy")</f>
        <v>2020</v>
      </c>
      <c r="AQ222" s="10"/>
    </row>
    <row r="223" spans="1:43" s="37" customFormat="1" x14ac:dyDescent="0.25">
      <c r="A223" s="37" t="str">
        <f t="shared" si="14"/>
        <v>2017SichelSichel</v>
      </c>
      <c r="B223" s="8">
        <v>2017</v>
      </c>
      <c r="C223" s="9" t="s">
        <v>409</v>
      </c>
      <c r="D223" s="9" t="s">
        <v>409</v>
      </c>
      <c r="E223" s="37" t="s">
        <v>1200</v>
      </c>
      <c r="F223" s="37" t="s">
        <v>742</v>
      </c>
      <c r="G223" s="37" t="s">
        <v>748</v>
      </c>
      <c r="H223" s="37" t="s">
        <v>260</v>
      </c>
      <c r="I223" s="37">
        <v>1</v>
      </c>
      <c r="J223" s="37">
        <v>375</v>
      </c>
      <c r="K223" s="8" t="s">
        <v>658</v>
      </c>
      <c r="L223" s="37">
        <f>COUNTIF(Drank!A:A,Table1[[#This Row],[ID]])</f>
        <v>10</v>
      </c>
      <c r="M223" s="37" t="s">
        <v>201</v>
      </c>
      <c r="N223" s="37" t="s">
        <v>206</v>
      </c>
      <c r="O223" s="37">
        <v>1</v>
      </c>
      <c r="R223" s="10">
        <f>IF(IFERROR(VLOOKUP(A223,Drank!A:S,15,FALSE),"")=0,"",IFERROR(VLOOKUP(A223,Drank!A:S,15,FALSE),""))</f>
        <v>2020</v>
      </c>
      <c r="S223" s="10">
        <f>IF(IFERROR(VLOOKUP(A223,Drank!A:S,16,FALSE),"")=0,"",IFERROR(VLOOKUP(A223,Drank!A:S,16,FALSE),""))</f>
        <v>2025</v>
      </c>
      <c r="T223" s="10"/>
      <c r="V223" s="18">
        <f>IF(IFERROR(VLOOKUP(A223,Drank!A:T,19,FALSE),"")=0,"",IFERROR(VLOOKUP(A223,Drank!A:T,19,FALSE),""))</f>
        <v>89.7</v>
      </c>
      <c r="W223" s="1">
        <f>IF(IFERROR(VLOOKUP(A223,Drank!A:T,20,FALSE),"")=0,"",IFERROR(VLOOKUP(A223,Drank!A:T,20,FALSE),""))</f>
        <v>44002</v>
      </c>
      <c r="X223" s="10">
        <f>SUMIF(A:A,A223,I:I)</f>
        <v>20</v>
      </c>
      <c r="Y223" s="37">
        <f>IF(Table1[[#This Row],[Drank]]&gt;0,VLOOKUP(Table1[[#This Row],[ID]],Drank!A:P,16,FALSE),IF(Table1[[#This Row],[WALDD]]&gt;0,VLOOKUP(Table1[[#This Row],[ID]],Wine1!A:Q,17,FALSE),Table1[[#This Row],[EP]]))</f>
        <v>2025</v>
      </c>
      <c r="Z223" s="18">
        <f>IF(Table1[[#This Row],[My Rating]]="",IF(Table1[[#This Row],[WA Rating Clean]]="","",Table1[[#This Row],[WA Rating Clean]]),Table1[[#This Row],[My Rating]])</f>
        <v>89.7</v>
      </c>
      <c r="AA223" s="37">
        <v>2021</v>
      </c>
      <c r="AB223" s="128">
        <v>12</v>
      </c>
      <c r="AC223" s="2">
        <f t="shared" si="15"/>
        <v>12</v>
      </c>
      <c r="AD223" s="8">
        <v>0</v>
      </c>
      <c r="AE223" s="37">
        <f>IF(Table1[[#This Row],[P/750]]&lt;20,1,IF(Table1[[#This Row],[P/750]]&lt;50,2,3))</f>
        <v>2</v>
      </c>
      <c r="AF223" s="37">
        <f>IF(Table1[[#This Row],[P/750]]&lt;Expenses!$C$30,1,IF(Table1[[#This Row],[P/750]]&lt;Expenses!$C$31,2,IF(Table1[[#This Row],[P/750]]&lt;Expenses!$C$32,3,4)))</f>
        <v>2</v>
      </c>
      <c r="AH223" s="37" t="s">
        <v>385</v>
      </c>
      <c r="AI223" s="11">
        <f>Table1[[#This Row],[Price]]/Table1[[#This Row],[Size (ml)]]*750</f>
        <v>24</v>
      </c>
      <c r="AK223" s="37">
        <f>COUNTIF(UniqueID!A:A,Table1[[#This Row],[ID]])</f>
        <v>1</v>
      </c>
      <c r="AL223" s="37" t="str">
        <f>VLOOKUP(Table1[[#This Row],[Cellar Location]],Location!A:F,6,FALSE)</f>
        <v>C</v>
      </c>
      <c r="AN223" s="1">
        <v>43845</v>
      </c>
      <c r="AO223" s="37" t="str">
        <f>TEXT(Table1[[#This Row],[Purchased]],"mmmm")</f>
        <v>January</v>
      </c>
      <c r="AP223" s="10" t="str">
        <f>TEXT(Table1[[#This Row],[Purchased]],"yyyy")</f>
        <v>2020</v>
      </c>
      <c r="AQ223" s="10"/>
    </row>
    <row r="224" spans="1:43" s="37" customFormat="1" x14ac:dyDescent="0.25">
      <c r="A224" s="37" t="str">
        <f t="shared" si="14"/>
        <v>2017AaltoAalto</v>
      </c>
      <c r="B224" s="37">
        <v>2017</v>
      </c>
      <c r="C224" s="37" t="s">
        <v>1184</v>
      </c>
      <c r="D224" s="37" t="s">
        <v>1184</v>
      </c>
      <c r="E224" s="67" t="s">
        <v>1220</v>
      </c>
      <c r="F224" s="37" t="s">
        <v>729</v>
      </c>
      <c r="G224" s="37" t="s">
        <v>1718</v>
      </c>
      <c r="H224" s="37" t="s">
        <v>818</v>
      </c>
      <c r="I224" s="8">
        <v>1</v>
      </c>
      <c r="J224" s="38">
        <v>750</v>
      </c>
      <c r="K224" s="38" t="s">
        <v>435</v>
      </c>
      <c r="L224" s="10">
        <f>COUNTIF(Drank!A:A,Table1[[#This Row],[ID]])</f>
        <v>0</v>
      </c>
      <c r="M224" s="37" t="s">
        <v>202</v>
      </c>
      <c r="N224" s="37" t="s">
        <v>207</v>
      </c>
      <c r="O224" s="37">
        <v>1</v>
      </c>
      <c r="P224" s="10">
        <v>2020</v>
      </c>
      <c r="Q224" s="37">
        <v>2025</v>
      </c>
      <c r="R224" s="10" t="str">
        <f>IF(IFERROR(VLOOKUP(A224,Drank!A:S,15,FALSE),"")=0,"",IFERROR(VLOOKUP(A224,Drank!A:S,15,FALSE),""))</f>
        <v/>
      </c>
      <c r="S224" s="10" t="str">
        <f>IF(IFERROR(VLOOKUP(A224,Drank!A:S,16,FALSE),"")=0,"",IFERROR(VLOOKUP(A224,Drank!A:S,16,FALSE),""))</f>
        <v/>
      </c>
      <c r="T224" s="10"/>
      <c r="U224" s="37">
        <v>94</v>
      </c>
      <c r="V224" s="18" t="str">
        <f>IF(IFERROR(VLOOKUP(A224,Drank!A:T,19,FALSE),"")=0,"",IFERROR(VLOOKUP(A224,Drank!A:T,19,FALSE),""))</f>
        <v/>
      </c>
      <c r="W224" s="1" t="str">
        <f>IF(IFERROR(VLOOKUP(A224,Drank!A:T,20,FALSE),"")=0,"",IFERROR(VLOOKUP(A224,Drank!A:T,20,FALSE),""))</f>
        <v/>
      </c>
      <c r="X224" s="10">
        <f>SUMIF(A:A,A224,I:I)</f>
        <v>5</v>
      </c>
      <c r="Y224" s="10">
        <f>IF(Table1[[#This Row],[Drank]]&gt;0,VLOOKUP(Table1[[#This Row],[ID]],Drank!A:P,16,FALSE),IF(Table1[[#This Row],[WALDD]]&gt;0,VLOOKUP(Table1[[#This Row],[ID]],Wine1!A:Q,17,FALSE),Table1[[#This Row],[EP]]))</f>
        <v>2025</v>
      </c>
      <c r="Z224" s="18">
        <f>IF(Table1[[#This Row],[My Rating]]="",IF(Table1[[#This Row],[WA Rating Clean]]="","",Table1[[#This Row],[WA Rating Clean]]),Table1[[#This Row],[My Rating]])</f>
        <v>94</v>
      </c>
      <c r="AA224" s="37">
        <v>2021</v>
      </c>
      <c r="AB224" s="128">
        <v>44.99</v>
      </c>
      <c r="AC224" s="2">
        <f t="shared" si="15"/>
        <v>44.99</v>
      </c>
      <c r="AD224" s="8">
        <v>1</v>
      </c>
      <c r="AE224" s="10">
        <f>IF(Table1[[#This Row],[P/750]]&lt;20,1,IF(Table1[[#This Row],[P/750]]&lt;50,2,3))</f>
        <v>2</v>
      </c>
      <c r="AF224" s="10">
        <f>IF(Table1[[#This Row],[P/750]]&lt;Expenses!$C$30,1,IF(Table1[[#This Row],[P/750]]&lt;Expenses!$C$31,2,IF(Table1[[#This Row],[P/750]]&lt;Expenses!$C$32,3,4)))</f>
        <v>3</v>
      </c>
      <c r="AH224" s="37" t="s">
        <v>1744</v>
      </c>
      <c r="AI224" s="11">
        <f>Table1[[#This Row],[Price]]/Table1[[#This Row],[Size (ml)]]*750</f>
        <v>44.99</v>
      </c>
      <c r="AJ224" s="37">
        <v>94</v>
      </c>
      <c r="AK224" s="10">
        <f>COUNTIF(UniqueID!A:A,Table1[[#This Row],[ID]])</f>
        <v>0</v>
      </c>
      <c r="AL224" s="10" t="str">
        <f>VLOOKUP(Table1[[#This Row],[Cellar Location]],Location!A:F,6,FALSE)</f>
        <v>W</v>
      </c>
      <c r="AN224" s="1">
        <v>44063</v>
      </c>
      <c r="AO224" s="10" t="str">
        <f>TEXT(Table1[[#This Row],[Purchased]],"mmmm")</f>
        <v>August</v>
      </c>
      <c r="AP224" s="10" t="str">
        <f>TEXT(Table1[[#This Row],[Purchased]],"yyyy")</f>
        <v>2020</v>
      </c>
      <c r="AQ224" s="1">
        <v>44114</v>
      </c>
    </row>
    <row r="225" spans="1:43" s="37" customFormat="1" x14ac:dyDescent="0.25">
      <c r="A225" s="37" t="str">
        <f t="shared" si="14"/>
        <v>2017Abbazia di NovacellaMoscato Rosa Praepositus</v>
      </c>
      <c r="B225" s="37">
        <v>2017</v>
      </c>
      <c r="C225" s="37" t="s">
        <v>1751</v>
      </c>
      <c r="D225" s="37" t="s">
        <v>1753</v>
      </c>
      <c r="E225" s="69" t="s">
        <v>1757</v>
      </c>
      <c r="F225" s="37" t="s">
        <v>728</v>
      </c>
      <c r="G225" s="37" t="s">
        <v>1752</v>
      </c>
      <c r="H225" s="37" t="s">
        <v>1754</v>
      </c>
      <c r="I225" s="37">
        <v>1</v>
      </c>
      <c r="J225" s="37">
        <v>375</v>
      </c>
      <c r="K225" s="8" t="s">
        <v>236</v>
      </c>
      <c r="L225" s="10">
        <f>COUNTIF(Drank!A:A,Table1[[#This Row],[ID]])</f>
        <v>0</v>
      </c>
      <c r="M225" s="37" t="s">
        <v>202</v>
      </c>
      <c r="N225" s="37" t="s">
        <v>206</v>
      </c>
      <c r="O225" s="37">
        <v>0</v>
      </c>
      <c r="R225" s="10" t="str">
        <f>IF(IFERROR(VLOOKUP(A225,Drank!A:S,15,FALSE),"")=0,"",IFERROR(VLOOKUP(A225,Drank!A:S,15,FALSE),""))</f>
        <v/>
      </c>
      <c r="S225" s="10" t="str">
        <f>IF(IFERROR(VLOOKUP(A225,Drank!A:S,16,FALSE),"")=0,"",IFERROR(VLOOKUP(A225,Drank!A:S,16,FALSE),""))</f>
        <v/>
      </c>
      <c r="T225" s="10">
        <v>2025</v>
      </c>
      <c r="V225" s="18" t="str">
        <f>IF(IFERROR(VLOOKUP(A225,Drank!A:T,19,FALSE),"")=0,"",IFERROR(VLOOKUP(A225,Drank!A:T,19,FALSE),""))</f>
        <v/>
      </c>
      <c r="W225" s="1" t="str">
        <f>IF(IFERROR(VLOOKUP(A225,Drank!A:T,20,FALSE),"")=0,"",IFERROR(VLOOKUP(A225,Drank!A:T,20,FALSE),""))</f>
        <v/>
      </c>
      <c r="X225" s="10">
        <f>SUMIF(A:A,A225,I:I)</f>
        <v>1</v>
      </c>
      <c r="Y225" s="10">
        <f>IF(Table1[[#This Row],[Drank]]&gt;0,VLOOKUP(Table1[[#This Row],[ID]],Drank!A:P,16,FALSE),IF(Table1[[#This Row],[WALDD]]&gt;0,VLOOKUP(Table1[[#This Row],[ID]],Wine1!A:Q,17,FALSE),Table1[[#This Row],[EP]]))</f>
        <v>2025</v>
      </c>
      <c r="Z225" s="18" t="str">
        <f>IF(Table1[[#This Row],[My Rating]]="",IF(Table1[[#This Row],[WA Rating Clean]]="","",Table1[[#This Row],[WA Rating Clean]]),Table1[[#This Row],[My Rating]])</f>
        <v/>
      </c>
      <c r="AA225" s="8">
        <v>2021</v>
      </c>
      <c r="AB225" s="128">
        <v>38.78</v>
      </c>
      <c r="AC225" s="2">
        <f t="shared" si="15"/>
        <v>38.78</v>
      </c>
      <c r="AD225" s="8">
        <v>1</v>
      </c>
      <c r="AE225" s="10">
        <f>IF(Table1[[#This Row],[P/750]]&lt;20,1,IF(Table1[[#This Row],[P/750]]&lt;50,2,3))</f>
        <v>3</v>
      </c>
      <c r="AF225" s="10">
        <f>IF(Table1[[#This Row],[P/750]]&lt;Expenses!$C$30,1,IF(Table1[[#This Row],[P/750]]&lt;Expenses!$C$31,2,IF(Table1[[#This Row],[P/750]]&lt;Expenses!$C$32,3,4)))</f>
        <v>4</v>
      </c>
      <c r="AH225" s="37" t="s">
        <v>1749</v>
      </c>
      <c r="AI225" s="11">
        <f>Table1[[#This Row],[Price]]/Table1[[#This Row],[Size (ml)]]*750</f>
        <v>77.56</v>
      </c>
      <c r="AK225" s="10">
        <f>COUNTIF(UniqueID!A:A,Table1[[#This Row],[ID]])</f>
        <v>0</v>
      </c>
      <c r="AL225" s="10" t="str">
        <f>VLOOKUP(Table1[[#This Row],[Cellar Location]],Location!A:F,6,FALSE)</f>
        <v>C</v>
      </c>
      <c r="AN225" s="1">
        <v>44063</v>
      </c>
      <c r="AO225" s="10" t="str">
        <f>TEXT(Table1[[#This Row],[Purchased]],"mmmm")</f>
        <v>August</v>
      </c>
      <c r="AP225" s="10" t="str">
        <f>TEXT(Table1[[#This Row],[Purchased]],"yyyy")</f>
        <v>2020</v>
      </c>
      <c r="AQ225" s="10"/>
    </row>
    <row r="226" spans="1:43" s="37" customFormat="1" x14ac:dyDescent="0.25">
      <c r="A226" s="37" t="str">
        <f t="shared" si="14"/>
        <v>2013Santa VittoriaVin Santo</v>
      </c>
      <c r="B226" s="37">
        <v>2013</v>
      </c>
      <c r="C226" s="37" t="s">
        <v>1766</v>
      </c>
      <c r="D226" s="37" t="s">
        <v>1768</v>
      </c>
      <c r="E226" s="69" t="s">
        <v>1767</v>
      </c>
      <c r="F226" s="37" t="s">
        <v>728</v>
      </c>
      <c r="G226" s="37" t="s">
        <v>790</v>
      </c>
      <c r="H226" s="37" t="s">
        <v>1769</v>
      </c>
      <c r="I226" s="37">
        <v>1</v>
      </c>
      <c r="J226" s="37">
        <v>375</v>
      </c>
      <c r="K226" s="8" t="s">
        <v>236</v>
      </c>
      <c r="L226" s="10">
        <f>COUNTIF(Drank!A:A,Table1[[#This Row],[ID]])</f>
        <v>0</v>
      </c>
      <c r="M226" s="37" t="s">
        <v>201</v>
      </c>
      <c r="N226" s="37" t="s">
        <v>206</v>
      </c>
      <c r="O226" s="37">
        <v>0</v>
      </c>
      <c r="R226" s="10" t="str">
        <f>IF(IFERROR(VLOOKUP(A226,Drank!A:S,15,FALSE),"")=0,"",IFERROR(VLOOKUP(A226,Drank!A:S,15,FALSE),""))</f>
        <v/>
      </c>
      <c r="S226" s="10" t="str">
        <f>IF(IFERROR(VLOOKUP(A226,Drank!A:S,16,FALSE),"")=0,"",IFERROR(VLOOKUP(A226,Drank!A:S,16,FALSE),""))</f>
        <v/>
      </c>
      <c r="T226" s="10">
        <v>2025</v>
      </c>
      <c r="V226" s="18" t="str">
        <f>IF(IFERROR(VLOOKUP(A226,Drank!A:T,19,FALSE),"")=0,"",IFERROR(VLOOKUP(A226,Drank!A:T,19,FALSE),""))</f>
        <v/>
      </c>
      <c r="W226" s="1" t="str">
        <f>IF(IFERROR(VLOOKUP(A226,Drank!A:T,20,FALSE),"")=0,"",IFERROR(VLOOKUP(A226,Drank!A:T,20,FALSE),""))</f>
        <v/>
      </c>
      <c r="X226" s="10">
        <f>SUMIF(A:A,A226,I:I)</f>
        <v>1</v>
      </c>
      <c r="Y226" s="10">
        <f>IF(Table1[[#This Row],[Drank]]&gt;0,VLOOKUP(Table1[[#This Row],[ID]],Drank!A:P,16,FALSE),IF(Table1[[#This Row],[WALDD]]&gt;0,VLOOKUP(Table1[[#This Row],[ID]],Wine1!A:Q,17,FALSE),Table1[[#This Row],[EP]]))</f>
        <v>2025</v>
      </c>
      <c r="Z226" s="18" t="str">
        <f>IF(Table1[[#This Row],[My Rating]]="",IF(Table1[[#This Row],[WA Rating Clean]]="","",Table1[[#This Row],[WA Rating Clean]]),Table1[[#This Row],[My Rating]])</f>
        <v/>
      </c>
      <c r="AA226" s="8">
        <v>2021</v>
      </c>
      <c r="AB226" s="128">
        <v>29.43</v>
      </c>
      <c r="AC226" s="2">
        <f t="shared" si="15"/>
        <v>29.43</v>
      </c>
      <c r="AD226" s="8">
        <v>1</v>
      </c>
      <c r="AE226" s="10">
        <f>IF(Table1[[#This Row],[P/750]]&lt;20,1,IF(Table1[[#This Row],[P/750]]&lt;50,2,3))</f>
        <v>3</v>
      </c>
      <c r="AF226" s="10">
        <f>IF(Table1[[#This Row],[P/750]]&lt;Expenses!$C$30,1,IF(Table1[[#This Row],[P/750]]&lt;Expenses!$C$31,2,IF(Table1[[#This Row],[P/750]]&lt;Expenses!$C$32,3,4)))</f>
        <v>3</v>
      </c>
      <c r="AH226" s="37" t="s">
        <v>1749</v>
      </c>
      <c r="AI226" s="11">
        <f>Table1[[#This Row],[Price]]/Table1[[#This Row],[Size (ml)]]*750</f>
        <v>58.859999999999992</v>
      </c>
      <c r="AK226" s="10">
        <f>COUNTIF(UniqueID!A:A,Table1[[#This Row],[ID]])</f>
        <v>0</v>
      </c>
      <c r="AL226" s="10" t="str">
        <f>VLOOKUP(Table1[[#This Row],[Cellar Location]],Location!A:F,6,FALSE)</f>
        <v>C</v>
      </c>
      <c r="AN226" s="1">
        <v>44063</v>
      </c>
      <c r="AO226" s="10" t="str">
        <f>TEXT(Table1[[#This Row],[Purchased]],"mmmm")</f>
        <v>August</v>
      </c>
      <c r="AP226" s="10" t="str">
        <f>TEXT(Table1[[#This Row],[Purchased]],"yyyy")</f>
        <v>2020</v>
      </c>
      <c r="AQ226" s="10"/>
    </row>
    <row r="227" spans="1:43" s="37" customFormat="1" x14ac:dyDescent="0.25">
      <c r="A227" s="37" t="str">
        <f t="shared" si="14"/>
        <v>2017Domaine de l'AmandineCotes du Rhone Villages Seguret</v>
      </c>
      <c r="B227" s="8">
        <v>2017</v>
      </c>
      <c r="C227" s="8" t="s">
        <v>361</v>
      </c>
      <c r="D227" s="37" t="s">
        <v>362</v>
      </c>
      <c r="E227" s="37" t="s">
        <v>1197</v>
      </c>
      <c r="F227" s="37" t="s">
        <v>742</v>
      </c>
      <c r="G227" s="37" t="s">
        <v>759</v>
      </c>
      <c r="H227" s="37" t="s">
        <v>760</v>
      </c>
      <c r="I227" s="37">
        <v>1</v>
      </c>
      <c r="J227" s="37">
        <v>750</v>
      </c>
      <c r="K227" s="8" t="s">
        <v>102</v>
      </c>
      <c r="L227" s="10">
        <f>COUNTIF(Drank!A:A,Table1[[#This Row],[ID]])</f>
        <v>17</v>
      </c>
      <c r="M227" s="37" t="s">
        <v>202</v>
      </c>
      <c r="N227" s="37" t="s">
        <v>207</v>
      </c>
      <c r="O227" s="37">
        <v>1</v>
      </c>
      <c r="P227" s="37">
        <v>2018</v>
      </c>
      <c r="Q227" s="37">
        <v>2025</v>
      </c>
      <c r="R227" s="10">
        <f>IF(IFERROR(VLOOKUP(A227,Drank!A:S,15,FALSE),"")=0,"",IFERROR(VLOOKUP(A227,Drank!A:S,15,FALSE),""))</f>
        <v>2020</v>
      </c>
      <c r="S227" s="10">
        <f>IF(IFERROR(VLOOKUP(A227,Drank!A:S,16,FALSE),"")=0,"",IFERROR(VLOOKUP(A227,Drank!A:S,16,FALSE),""))</f>
        <v>2025</v>
      </c>
      <c r="T227" s="10"/>
      <c r="U227" s="37">
        <v>93</v>
      </c>
      <c r="V227" s="18">
        <f>IF(IFERROR(VLOOKUP(A227,Drank!A:T,19,FALSE),"")=0,"",IFERROR(VLOOKUP(A227,Drank!A:T,19,FALSE),""))</f>
        <v>92.470588235294116</v>
      </c>
      <c r="W227" s="1">
        <f>IF(IFERROR(VLOOKUP(A227,Drank!A:T,20,FALSE),"")=0,"",IFERROR(VLOOKUP(A227,Drank!A:T,20,FALSE),""))</f>
        <v>44030</v>
      </c>
      <c r="X227" s="10">
        <f>SUMIF(A:A,A227,I:I)</f>
        <v>20</v>
      </c>
      <c r="Y227" s="10">
        <f>IF(Table1[[#This Row],[Drank]]&gt;0,VLOOKUP(Table1[[#This Row],[ID]],Drank!A:P,16,FALSE),IF(Table1[[#This Row],[WALDD]]&gt;0,VLOOKUP(Table1[[#This Row],[ID]],Wine1!A:Q,17,FALSE),Table1[[#This Row],[EP]]))</f>
        <v>2025</v>
      </c>
      <c r="Z227" s="18">
        <f>IF(Table1[[#This Row],[My Rating]]="",IF(Table1[[#This Row],[WA Rating Clean]]="","",Table1[[#This Row],[WA Rating Clean]]),Table1[[#This Row],[My Rating]])</f>
        <v>92.470588235294116</v>
      </c>
      <c r="AA227" s="8">
        <v>2021</v>
      </c>
      <c r="AB227" s="128">
        <v>16.28</v>
      </c>
      <c r="AC227" s="2">
        <f t="shared" si="15"/>
        <v>16.28</v>
      </c>
      <c r="AD227" s="8">
        <v>0</v>
      </c>
      <c r="AE227" s="37">
        <f>IF(Table1[[#This Row],[P/750]]&lt;20,1,IF(Table1[[#This Row],[P/750]]&lt;50,2,3))</f>
        <v>1</v>
      </c>
      <c r="AF227" s="37">
        <f>IF(Table1[[#This Row],[P/750]]&lt;Expenses!$C$30,1,IF(Table1[[#This Row],[P/750]]&lt;Expenses!$C$31,2,IF(Table1[[#This Row],[P/750]]&lt;Expenses!$C$32,3,4)))</f>
        <v>1</v>
      </c>
      <c r="AH227" s="37" t="s">
        <v>384</v>
      </c>
      <c r="AI227" s="11">
        <f>Table1[[#This Row],[Price]]/Table1[[#This Row],[Size (ml)]]*750</f>
        <v>16.28</v>
      </c>
      <c r="AJ227" s="37">
        <v>93</v>
      </c>
      <c r="AK227" s="37">
        <f>COUNTIF(UniqueID!A:A,Table1[[#This Row],[ID]])</f>
        <v>1</v>
      </c>
      <c r="AL227" s="37" t="str">
        <f>VLOOKUP(Table1[[#This Row],[Cellar Location]],Location!A:F,6,FALSE)</f>
        <v>K</v>
      </c>
      <c r="AN227" s="1">
        <v>43885</v>
      </c>
      <c r="AO227" s="37" t="str">
        <f>TEXT(Table1[[#This Row],[Purchased]],"mmmm")</f>
        <v>February</v>
      </c>
      <c r="AP227" s="10" t="str">
        <f>TEXT(Table1[[#This Row],[Purchased]],"yyyy")</f>
        <v>2020</v>
      </c>
      <c r="AQ227" s="10"/>
    </row>
    <row r="228" spans="1:43" s="37" customFormat="1" x14ac:dyDescent="0.25">
      <c r="A228" s="37" t="str">
        <f t="shared" si="14"/>
        <v>2017Domaine de l'AmandineCotes du Rhone Villages Seguret</v>
      </c>
      <c r="B228" s="8">
        <v>2017</v>
      </c>
      <c r="C228" s="71" t="s">
        <v>361</v>
      </c>
      <c r="D228" s="37" t="s">
        <v>362</v>
      </c>
      <c r="E228" s="37" t="s">
        <v>1197</v>
      </c>
      <c r="F228" s="37" t="s">
        <v>742</v>
      </c>
      <c r="G228" s="37" t="s">
        <v>759</v>
      </c>
      <c r="H228" s="37" t="s">
        <v>760</v>
      </c>
      <c r="I228" s="37">
        <v>1</v>
      </c>
      <c r="J228" s="9">
        <v>750</v>
      </c>
      <c r="K228" s="8" t="s">
        <v>102</v>
      </c>
      <c r="L228" s="10">
        <f>COUNTIF(Drank!A:A,Table1[[#This Row],[ID]])</f>
        <v>17</v>
      </c>
      <c r="M228" s="37" t="s">
        <v>202</v>
      </c>
      <c r="N228" s="37" t="s">
        <v>207</v>
      </c>
      <c r="O228" s="37">
        <v>1</v>
      </c>
      <c r="P228" s="37">
        <v>2018</v>
      </c>
      <c r="Q228" s="37">
        <v>2025</v>
      </c>
      <c r="R228" s="10">
        <f>IF(IFERROR(VLOOKUP(A228,Drank!A:S,15,FALSE),"")=0,"",IFERROR(VLOOKUP(A228,Drank!A:S,15,FALSE),""))</f>
        <v>2020</v>
      </c>
      <c r="S228" s="10">
        <f>IF(IFERROR(VLOOKUP(A228,Drank!A:S,16,FALSE),"")=0,"",IFERROR(VLOOKUP(A228,Drank!A:S,16,FALSE),""))</f>
        <v>2025</v>
      </c>
      <c r="T228" s="10"/>
      <c r="U228" s="37">
        <v>93</v>
      </c>
      <c r="V228" s="18">
        <f>IF(IFERROR(VLOOKUP(A228,Drank!A:T,19,FALSE),"")=0,"",IFERROR(VLOOKUP(A228,Drank!A:T,19,FALSE),""))</f>
        <v>92.470588235294116</v>
      </c>
      <c r="W228" s="1">
        <f>IF(IFERROR(VLOOKUP(A228,Drank!A:T,20,FALSE),"")=0,"",IFERROR(VLOOKUP(A228,Drank!A:T,20,FALSE),""))</f>
        <v>44030</v>
      </c>
      <c r="X228" s="10">
        <f>SUMIF(A:A,A228,I:I)</f>
        <v>20</v>
      </c>
      <c r="Y228" s="10">
        <f>IF(Table1[[#This Row],[Drank]]&gt;0,VLOOKUP(Table1[[#This Row],[ID]],Drank!A:P,16,FALSE),IF(Table1[[#This Row],[WALDD]]&gt;0,VLOOKUP(Table1[[#This Row],[ID]],Wine1!A:Q,17,FALSE),Table1[[#This Row],[EP]]))</f>
        <v>2025</v>
      </c>
      <c r="Z228" s="18">
        <f>IF(Table1[[#This Row],[My Rating]]="",IF(Table1[[#This Row],[WA Rating Clean]]="","",Table1[[#This Row],[WA Rating Clean]]),Table1[[#This Row],[My Rating]])</f>
        <v>92.470588235294116</v>
      </c>
      <c r="AA228" s="8">
        <v>2021</v>
      </c>
      <c r="AB228" s="128">
        <v>16.28</v>
      </c>
      <c r="AC228" s="2">
        <f t="shared" si="15"/>
        <v>16.28</v>
      </c>
      <c r="AD228" s="8">
        <v>0</v>
      </c>
      <c r="AE228" s="37">
        <f>IF(Table1[[#This Row],[P/750]]&lt;20,1,IF(Table1[[#This Row],[P/750]]&lt;50,2,3))</f>
        <v>1</v>
      </c>
      <c r="AF228" s="37">
        <f>IF(Table1[[#This Row],[P/750]]&lt;Expenses!$C$30,1,IF(Table1[[#This Row],[P/750]]&lt;Expenses!$C$31,2,IF(Table1[[#This Row],[P/750]]&lt;Expenses!$C$32,3,4)))</f>
        <v>1</v>
      </c>
      <c r="AH228" s="37" t="s">
        <v>384</v>
      </c>
      <c r="AI228" s="11">
        <f>Table1[[#This Row],[Price]]/Table1[[#This Row],[Size (ml)]]*750</f>
        <v>16.28</v>
      </c>
      <c r="AJ228" s="37">
        <v>93</v>
      </c>
      <c r="AK228" s="37">
        <f>COUNTIF(UniqueID!A:A,Table1[[#This Row],[ID]])</f>
        <v>1</v>
      </c>
      <c r="AL228" s="37" t="str">
        <f>VLOOKUP(Table1[[#This Row],[Cellar Location]],Location!A:F,6,FALSE)</f>
        <v>K</v>
      </c>
      <c r="AN228" s="1">
        <v>43885</v>
      </c>
      <c r="AO228" s="37" t="str">
        <f>TEXT(Table1[[#This Row],[Purchased]],"mmmm")</f>
        <v>February</v>
      </c>
      <c r="AP228" s="10" t="str">
        <f>TEXT(Table1[[#This Row],[Purchased]],"yyyy")</f>
        <v>2020</v>
      </c>
      <c r="AQ228" s="10"/>
    </row>
    <row r="229" spans="1:43" s="37" customFormat="1" x14ac:dyDescent="0.25">
      <c r="A229" s="37" t="str">
        <f t="shared" si="14"/>
        <v>2017Domaine de l'AmandineCotes du Rhone Villages Seguret</v>
      </c>
      <c r="B229" s="8">
        <v>2017</v>
      </c>
      <c r="C229" s="71" t="s">
        <v>361</v>
      </c>
      <c r="D229" s="37" t="s">
        <v>362</v>
      </c>
      <c r="E229" s="37" t="s">
        <v>1197</v>
      </c>
      <c r="F229" s="37" t="s">
        <v>742</v>
      </c>
      <c r="G229" s="37" t="s">
        <v>759</v>
      </c>
      <c r="H229" s="37" t="s">
        <v>760</v>
      </c>
      <c r="I229" s="37">
        <v>1</v>
      </c>
      <c r="J229" s="37">
        <v>750</v>
      </c>
      <c r="K229" s="8" t="s">
        <v>102</v>
      </c>
      <c r="L229" s="10">
        <f>COUNTIF(Drank!A:A,Table1[[#This Row],[ID]])</f>
        <v>17</v>
      </c>
      <c r="M229" s="37" t="s">
        <v>202</v>
      </c>
      <c r="N229" s="37" t="s">
        <v>207</v>
      </c>
      <c r="O229" s="37">
        <v>1</v>
      </c>
      <c r="P229" s="37">
        <v>2018</v>
      </c>
      <c r="Q229" s="37">
        <v>2025</v>
      </c>
      <c r="R229" s="10">
        <f>IF(IFERROR(VLOOKUP(A229,Drank!A:S,15,FALSE),"")=0,"",IFERROR(VLOOKUP(A229,Drank!A:S,15,FALSE),""))</f>
        <v>2020</v>
      </c>
      <c r="S229" s="10">
        <f>IF(IFERROR(VLOOKUP(A229,Drank!A:S,16,FALSE),"")=0,"",IFERROR(VLOOKUP(A229,Drank!A:S,16,FALSE),""))</f>
        <v>2025</v>
      </c>
      <c r="T229" s="10"/>
      <c r="U229" s="37">
        <v>93</v>
      </c>
      <c r="V229" s="18">
        <f>IF(IFERROR(VLOOKUP(A229,Drank!A:T,19,FALSE),"")=0,"",IFERROR(VLOOKUP(A229,Drank!A:T,19,FALSE),""))</f>
        <v>92.470588235294116</v>
      </c>
      <c r="W229" s="1">
        <f>IF(IFERROR(VLOOKUP(A229,Drank!A:T,20,FALSE),"")=0,"",IFERROR(VLOOKUP(A229,Drank!A:T,20,FALSE),""))</f>
        <v>44030</v>
      </c>
      <c r="X229" s="10">
        <f>SUMIF(A:A,A229,I:I)</f>
        <v>20</v>
      </c>
      <c r="Y229" s="10">
        <f>IF(Table1[[#This Row],[Drank]]&gt;0,VLOOKUP(Table1[[#This Row],[ID]],Drank!A:P,16,FALSE),IF(Table1[[#This Row],[WALDD]]&gt;0,VLOOKUP(Table1[[#This Row],[ID]],Wine1!A:Q,17,FALSE),Table1[[#This Row],[EP]]))</f>
        <v>2025</v>
      </c>
      <c r="Z229" s="18">
        <f>IF(Table1[[#This Row],[My Rating]]="",IF(Table1[[#This Row],[WA Rating Clean]]="","",Table1[[#This Row],[WA Rating Clean]]),Table1[[#This Row],[My Rating]])</f>
        <v>92.470588235294116</v>
      </c>
      <c r="AA229" s="8">
        <v>2021</v>
      </c>
      <c r="AB229" s="128">
        <v>16.28</v>
      </c>
      <c r="AC229" s="2">
        <f t="shared" si="15"/>
        <v>16.28</v>
      </c>
      <c r="AD229" s="8">
        <v>0</v>
      </c>
      <c r="AE229" s="37">
        <f>IF(Table1[[#This Row],[P/750]]&lt;20,1,IF(Table1[[#This Row],[P/750]]&lt;50,2,3))</f>
        <v>1</v>
      </c>
      <c r="AF229" s="37">
        <f>IF(Table1[[#This Row],[P/750]]&lt;Expenses!$C$30,1,IF(Table1[[#This Row],[P/750]]&lt;Expenses!$C$31,2,IF(Table1[[#This Row],[P/750]]&lt;Expenses!$C$32,3,4)))</f>
        <v>1</v>
      </c>
      <c r="AH229" s="37" t="s">
        <v>384</v>
      </c>
      <c r="AI229" s="11">
        <f>Table1[[#This Row],[Price]]/Table1[[#This Row],[Size (ml)]]*750</f>
        <v>16.28</v>
      </c>
      <c r="AJ229" s="37">
        <v>93</v>
      </c>
      <c r="AK229" s="37">
        <f>COUNTIF(UniqueID!A:A,Table1[[#This Row],[ID]])</f>
        <v>1</v>
      </c>
      <c r="AL229" s="37" t="str">
        <f>VLOOKUP(Table1[[#This Row],[Cellar Location]],Location!A:F,6,FALSE)</f>
        <v>K</v>
      </c>
      <c r="AN229" s="1">
        <v>43885</v>
      </c>
      <c r="AO229" s="37" t="str">
        <f>TEXT(Table1[[#This Row],[Purchased]],"mmmm")</f>
        <v>February</v>
      </c>
      <c r="AP229" s="10" t="str">
        <f>TEXT(Table1[[#This Row],[Purchased]],"yyyy")</f>
        <v>2020</v>
      </c>
      <c r="AQ229" s="10"/>
    </row>
    <row r="230" spans="1:43" s="37" customFormat="1" x14ac:dyDescent="0.25">
      <c r="A230" s="37" t="str">
        <f t="shared" si="14"/>
        <v>2017Domaine de l'AmandineCotes du Rhone Villages Seguret</v>
      </c>
      <c r="B230" s="8">
        <v>2017</v>
      </c>
      <c r="C230" s="71" t="s">
        <v>361</v>
      </c>
      <c r="D230" s="37" t="s">
        <v>362</v>
      </c>
      <c r="E230" s="37" t="s">
        <v>1197</v>
      </c>
      <c r="F230" s="37" t="s">
        <v>742</v>
      </c>
      <c r="G230" s="37" t="s">
        <v>759</v>
      </c>
      <c r="H230" s="37" t="s">
        <v>760</v>
      </c>
      <c r="I230" s="37">
        <v>1</v>
      </c>
      <c r="J230" s="37">
        <v>750</v>
      </c>
      <c r="K230" s="8" t="s">
        <v>102</v>
      </c>
      <c r="L230" s="10">
        <f>COUNTIF(Drank!A:A,Table1[[#This Row],[ID]])</f>
        <v>17</v>
      </c>
      <c r="M230" s="37" t="s">
        <v>202</v>
      </c>
      <c r="N230" s="37" t="s">
        <v>207</v>
      </c>
      <c r="O230" s="37">
        <v>1</v>
      </c>
      <c r="P230" s="37">
        <v>2018</v>
      </c>
      <c r="Q230" s="37">
        <v>2025</v>
      </c>
      <c r="R230" s="10">
        <f>IF(IFERROR(VLOOKUP(A230,Drank!A:S,15,FALSE),"")=0,"",IFERROR(VLOOKUP(A230,Drank!A:S,15,FALSE),""))</f>
        <v>2020</v>
      </c>
      <c r="S230" s="10">
        <f>IF(IFERROR(VLOOKUP(A230,Drank!A:S,16,FALSE),"")=0,"",IFERROR(VLOOKUP(A230,Drank!A:S,16,FALSE),""))</f>
        <v>2025</v>
      </c>
      <c r="T230" s="10"/>
      <c r="U230" s="37">
        <v>93</v>
      </c>
      <c r="V230" s="18">
        <f>IF(IFERROR(VLOOKUP(A230,Drank!A:T,19,FALSE),"")=0,"",IFERROR(VLOOKUP(A230,Drank!A:T,19,FALSE),""))</f>
        <v>92.470588235294116</v>
      </c>
      <c r="W230" s="1">
        <f>IF(IFERROR(VLOOKUP(A230,Drank!A:T,20,FALSE),"")=0,"",IFERROR(VLOOKUP(A230,Drank!A:T,20,FALSE),""))</f>
        <v>44030</v>
      </c>
      <c r="X230" s="10">
        <f>SUMIF(A:A,A230,I:I)</f>
        <v>20</v>
      </c>
      <c r="Y230" s="10">
        <f>IF(Table1[[#This Row],[Drank]]&gt;0,VLOOKUP(Table1[[#This Row],[ID]],Drank!A:P,16,FALSE),IF(Table1[[#This Row],[WALDD]]&gt;0,VLOOKUP(Table1[[#This Row],[ID]],Wine1!A:Q,17,FALSE),Table1[[#This Row],[EP]]))</f>
        <v>2025</v>
      </c>
      <c r="Z230" s="18">
        <f>IF(Table1[[#This Row],[My Rating]]="",IF(Table1[[#This Row],[WA Rating Clean]]="","",Table1[[#This Row],[WA Rating Clean]]),Table1[[#This Row],[My Rating]])</f>
        <v>92.470588235294116</v>
      </c>
      <c r="AA230" s="8">
        <v>2021</v>
      </c>
      <c r="AB230" s="128">
        <v>16.28</v>
      </c>
      <c r="AC230" s="2">
        <f t="shared" si="15"/>
        <v>16.28</v>
      </c>
      <c r="AD230" s="8">
        <v>0</v>
      </c>
      <c r="AE230" s="37">
        <f>IF(Table1[[#This Row],[P/750]]&lt;20,1,IF(Table1[[#This Row],[P/750]]&lt;50,2,3))</f>
        <v>1</v>
      </c>
      <c r="AF230" s="37">
        <f>IF(Table1[[#This Row],[P/750]]&lt;Expenses!$C$30,1,IF(Table1[[#This Row],[P/750]]&lt;Expenses!$C$31,2,IF(Table1[[#This Row],[P/750]]&lt;Expenses!$C$32,3,4)))</f>
        <v>1</v>
      </c>
      <c r="AH230" s="37" t="s">
        <v>384</v>
      </c>
      <c r="AI230" s="11">
        <f>Table1[[#This Row],[Price]]/Table1[[#This Row],[Size (ml)]]*750</f>
        <v>16.28</v>
      </c>
      <c r="AJ230" s="37">
        <v>93</v>
      </c>
      <c r="AK230" s="37">
        <f>COUNTIF(UniqueID!A:A,Table1[[#This Row],[ID]])</f>
        <v>1</v>
      </c>
      <c r="AL230" s="37" t="str">
        <f>VLOOKUP(Table1[[#This Row],[Cellar Location]],Location!A:F,6,FALSE)</f>
        <v>K</v>
      </c>
      <c r="AN230" s="1">
        <v>43885</v>
      </c>
      <c r="AO230" s="37" t="str">
        <f>TEXT(Table1[[#This Row],[Purchased]],"mmmm")</f>
        <v>February</v>
      </c>
      <c r="AP230" s="10" t="str">
        <f>TEXT(Table1[[#This Row],[Purchased]],"yyyy")</f>
        <v>2020</v>
      </c>
      <c r="AQ230" s="10"/>
    </row>
    <row r="231" spans="1:43" s="37" customFormat="1" x14ac:dyDescent="0.25">
      <c r="A231" s="37" t="str">
        <f t="shared" si="14"/>
        <v>2016Romain DuvernayCotes du Rhone Villages Domaine de Pentelines</v>
      </c>
      <c r="B231" s="8">
        <v>2016</v>
      </c>
      <c r="C231" s="37" t="s">
        <v>1428</v>
      </c>
      <c r="D231" s="19" t="s">
        <v>1429</v>
      </c>
      <c r="E231" s="69" t="s">
        <v>417</v>
      </c>
      <c r="F231" s="8" t="s">
        <v>742</v>
      </c>
      <c r="G231" s="37" t="s">
        <v>759</v>
      </c>
      <c r="H231" s="37" t="s">
        <v>760</v>
      </c>
      <c r="I231" s="8">
        <v>1</v>
      </c>
      <c r="J231" s="37">
        <v>750</v>
      </c>
      <c r="K231" s="8" t="s">
        <v>1316</v>
      </c>
      <c r="L231" s="10">
        <f>COUNTIF(Drank!A:A,Table1[[#This Row],[ID]])</f>
        <v>2</v>
      </c>
      <c r="M231" s="37" t="s">
        <v>202</v>
      </c>
      <c r="N231" s="37" t="s">
        <v>207</v>
      </c>
      <c r="O231" s="37">
        <v>1</v>
      </c>
      <c r="P231" s="37">
        <v>2017</v>
      </c>
      <c r="Q231" s="37">
        <v>2025</v>
      </c>
      <c r="R231" s="10">
        <f>IF(IFERROR(VLOOKUP(A231,Drank!A:S,15,FALSE),"")=0,"",IFERROR(VLOOKUP(A231,Drank!A:S,15,FALSE),""))</f>
        <v>2021</v>
      </c>
      <c r="S231" s="10">
        <f>IF(IFERROR(VLOOKUP(A231,Drank!A:S,16,FALSE),"")=0,"",IFERROR(VLOOKUP(A231,Drank!A:S,16,FALSE),""))</f>
        <v>2026</v>
      </c>
      <c r="T231" s="10"/>
      <c r="U231" s="37">
        <v>92</v>
      </c>
      <c r="V231" s="18">
        <f>IF(IFERROR(VLOOKUP(A231,Drank!A:T,19,FALSE),"")=0,"",IFERROR(VLOOKUP(A231,Drank!A:T,19,FALSE),""))</f>
        <v>90.5</v>
      </c>
      <c r="W231" s="1">
        <f>IF(IFERROR(VLOOKUP(A231,Drank!A:T,20,FALSE),"")=0,"",IFERROR(VLOOKUP(A231,Drank!A:T,20,FALSE),""))</f>
        <v>44015</v>
      </c>
      <c r="X231" s="10">
        <f>SUMIF(A:A,A231,I:I)</f>
        <v>10</v>
      </c>
      <c r="Y231" s="10">
        <f>IF(Table1[[#This Row],[Drank]]&gt;0,VLOOKUP(Table1[[#This Row],[ID]],Drank!A:P,16,FALSE),IF(Table1[[#This Row],[WALDD]]&gt;0,VLOOKUP(Table1[[#This Row],[ID]],Wine1!A:Q,17,FALSE),Table1[[#This Row],[EP]]))</f>
        <v>2026</v>
      </c>
      <c r="Z231" s="18">
        <f>IF(Table1[[#This Row],[My Rating]]="",IF(Table1[[#This Row],[WA Rating Clean]]="","",Table1[[#This Row],[WA Rating Clean]]),Table1[[#This Row],[My Rating]])</f>
        <v>90.5</v>
      </c>
      <c r="AA231" s="37">
        <v>2021</v>
      </c>
      <c r="AB231" s="128">
        <v>15.2</v>
      </c>
      <c r="AC231" s="2">
        <f t="shared" si="15"/>
        <v>15.2</v>
      </c>
      <c r="AD231" s="8">
        <v>0</v>
      </c>
      <c r="AE231" s="10">
        <f>IF(Table1[[#This Row],[P/750]]&lt;20,1,IF(Table1[[#This Row],[P/750]]&lt;50,2,3))</f>
        <v>1</v>
      </c>
      <c r="AF231" s="10">
        <f>IF(Table1[[#This Row],[P/750]]&lt;Expenses!$C$30,1,IF(Table1[[#This Row],[P/750]]&lt;Expenses!$C$31,2,IF(Table1[[#This Row],[P/750]]&lt;Expenses!$C$32,3,4)))</f>
        <v>1</v>
      </c>
      <c r="AH231" s="37" t="s">
        <v>384</v>
      </c>
      <c r="AI231" s="11">
        <f>Table1[[#This Row],[Price]]/Table1[[#This Row],[Size (ml)]]*750</f>
        <v>15.2</v>
      </c>
      <c r="AJ231" s="37">
        <v>92</v>
      </c>
      <c r="AK231" s="10">
        <f>COUNTIF(UniqueID!A:A,Table1[[#This Row],[ID]])</f>
        <v>0</v>
      </c>
      <c r="AL231" s="10" t="str">
        <f>VLOOKUP(Table1[[#This Row],[Cellar Location]],Location!A:F,6,FALSE)</f>
        <v>C</v>
      </c>
      <c r="AN231" s="1">
        <v>43992</v>
      </c>
      <c r="AO231" s="10" t="str">
        <f>TEXT(Table1[[#This Row],[Purchased]],"mmmm")</f>
        <v>June</v>
      </c>
      <c r="AP231" s="10" t="str">
        <f>TEXT(Table1[[#This Row],[Purchased]],"yyyy")</f>
        <v>2020</v>
      </c>
      <c r="AQ231" s="10"/>
    </row>
    <row r="232" spans="1:43" s="37" customFormat="1" x14ac:dyDescent="0.25">
      <c r="A232" s="37" t="str">
        <f t="shared" si="14"/>
        <v>2016Romain DuvernayCotes du Rhone Villages Domaine de Pentelines</v>
      </c>
      <c r="B232" s="8">
        <v>2016</v>
      </c>
      <c r="C232" s="37" t="s">
        <v>1428</v>
      </c>
      <c r="D232" s="19" t="s">
        <v>1429</v>
      </c>
      <c r="E232" s="69" t="s">
        <v>417</v>
      </c>
      <c r="F232" s="8" t="s">
        <v>742</v>
      </c>
      <c r="G232" s="37" t="s">
        <v>759</v>
      </c>
      <c r="H232" s="37" t="s">
        <v>760</v>
      </c>
      <c r="I232" s="8">
        <v>1</v>
      </c>
      <c r="J232" s="37">
        <v>750</v>
      </c>
      <c r="K232" s="8" t="s">
        <v>1316</v>
      </c>
      <c r="L232" s="10">
        <f>COUNTIF(Drank!A:A,Table1[[#This Row],[ID]])</f>
        <v>2</v>
      </c>
      <c r="M232" s="37" t="s">
        <v>202</v>
      </c>
      <c r="N232" s="37" t="s">
        <v>207</v>
      </c>
      <c r="O232" s="37">
        <v>1</v>
      </c>
      <c r="P232" s="37">
        <v>2017</v>
      </c>
      <c r="Q232" s="37">
        <v>2025</v>
      </c>
      <c r="R232" s="10">
        <f>IF(IFERROR(VLOOKUP(A232,Drank!A:S,15,FALSE),"")=0,"",IFERROR(VLOOKUP(A232,Drank!A:S,15,FALSE),""))</f>
        <v>2021</v>
      </c>
      <c r="S232" s="10">
        <f>IF(IFERROR(VLOOKUP(A232,Drank!A:S,16,FALSE),"")=0,"",IFERROR(VLOOKUP(A232,Drank!A:S,16,FALSE),""))</f>
        <v>2026</v>
      </c>
      <c r="T232" s="10"/>
      <c r="U232" s="37">
        <v>92</v>
      </c>
      <c r="V232" s="18">
        <f>IF(IFERROR(VLOOKUP(A232,Drank!A:T,19,FALSE),"")=0,"",IFERROR(VLOOKUP(A232,Drank!A:T,19,FALSE),""))</f>
        <v>90.5</v>
      </c>
      <c r="W232" s="1">
        <f>IF(IFERROR(VLOOKUP(A232,Drank!A:T,20,FALSE),"")=0,"",IFERROR(VLOOKUP(A232,Drank!A:T,20,FALSE),""))</f>
        <v>44015</v>
      </c>
      <c r="X232" s="10">
        <f>SUMIF(A:A,A232,I:I)</f>
        <v>10</v>
      </c>
      <c r="Y232" s="10">
        <f>IF(Table1[[#This Row],[Drank]]&gt;0,VLOOKUP(Table1[[#This Row],[ID]],Drank!A:P,16,FALSE),IF(Table1[[#This Row],[WALDD]]&gt;0,VLOOKUP(Table1[[#This Row],[ID]],Wine1!A:Q,17,FALSE),Table1[[#This Row],[EP]]))</f>
        <v>2026</v>
      </c>
      <c r="Z232" s="18">
        <f>IF(Table1[[#This Row],[My Rating]]="",IF(Table1[[#This Row],[WA Rating Clean]]="","",Table1[[#This Row],[WA Rating Clean]]),Table1[[#This Row],[My Rating]])</f>
        <v>90.5</v>
      </c>
      <c r="AA232" s="37">
        <v>2021</v>
      </c>
      <c r="AB232" s="128">
        <v>15.2</v>
      </c>
      <c r="AC232" s="2">
        <f t="shared" si="15"/>
        <v>15.2</v>
      </c>
      <c r="AD232" s="8">
        <v>0</v>
      </c>
      <c r="AE232" s="10">
        <f>IF(Table1[[#This Row],[P/750]]&lt;20,1,IF(Table1[[#This Row],[P/750]]&lt;50,2,3))</f>
        <v>1</v>
      </c>
      <c r="AF232" s="10">
        <f>IF(Table1[[#This Row],[P/750]]&lt;Expenses!$C$30,1,IF(Table1[[#This Row],[P/750]]&lt;Expenses!$C$31,2,IF(Table1[[#This Row],[P/750]]&lt;Expenses!$C$32,3,4)))</f>
        <v>1</v>
      </c>
      <c r="AH232" s="37" t="s">
        <v>384</v>
      </c>
      <c r="AI232" s="11">
        <f>Table1[[#This Row],[Price]]/Table1[[#This Row],[Size (ml)]]*750</f>
        <v>15.2</v>
      </c>
      <c r="AJ232" s="37">
        <v>92</v>
      </c>
      <c r="AK232" s="10">
        <f>COUNTIF(UniqueID!A:A,Table1[[#This Row],[ID]])</f>
        <v>0</v>
      </c>
      <c r="AL232" s="10" t="str">
        <f>VLOOKUP(Table1[[#This Row],[Cellar Location]],Location!A:F,6,FALSE)</f>
        <v>C</v>
      </c>
      <c r="AN232" s="1">
        <v>43992</v>
      </c>
      <c r="AO232" s="10" t="str">
        <f>TEXT(Table1[[#This Row],[Purchased]],"mmmm")</f>
        <v>June</v>
      </c>
      <c r="AP232" s="10" t="str">
        <f>TEXT(Table1[[#This Row],[Purchased]],"yyyy")</f>
        <v>2020</v>
      </c>
      <c r="AQ232" s="10"/>
    </row>
    <row r="233" spans="1:43" s="37" customFormat="1" x14ac:dyDescent="0.25">
      <c r="A233" s="37" t="str">
        <f t="shared" si="14"/>
        <v>2015Domaine du Saint GensGigondas</v>
      </c>
      <c r="B233" s="37">
        <v>2015</v>
      </c>
      <c r="C233" s="37" t="s">
        <v>226</v>
      </c>
      <c r="D233" s="25" t="s">
        <v>227</v>
      </c>
      <c r="E233" s="64" t="s">
        <v>227</v>
      </c>
      <c r="F233" s="37" t="s">
        <v>742</v>
      </c>
      <c r="G233" s="37" t="s">
        <v>759</v>
      </c>
      <c r="H233" s="37" t="s">
        <v>764</v>
      </c>
      <c r="I233" s="37">
        <v>1</v>
      </c>
      <c r="J233" s="37">
        <v>750</v>
      </c>
      <c r="K233" s="8" t="s">
        <v>589</v>
      </c>
      <c r="L233" s="37">
        <f>COUNTIF(Drank!A:A,Table1[[#This Row],[ID]])</f>
        <v>1</v>
      </c>
      <c r="M233" s="37" t="s">
        <v>202</v>
      </c>
      <c r="N233" s="37" t="s">
        <v>207</v>
      </c>
      <c r="O233" s="37">
        <v>1</v>
      </c>
      <c r="P233" s="37">
        <v>2017</v>
      </c>
      <c r="Q233" s="37">
        <v>2025</v>
      </c>
      <c r="R233" s="37">
        <f>IF(IFERROR(VLOOKUP(A233,Drank!A:S,15,FALSE),"")=0,"",IFERROR(VLOOKUP(A233,Drank!A:S,15,FALSE),""))</f>
        <v>2022</v>
      </c>
      <c r="S233" s="37">
        <f>IF(IFERROR(VLOOKUP(A233,Drank!A:S,16,FALSE),"")=0,"",IFERROR(VLOOKUP(A233,Drank!A:S,16,FALSE),""))</f>
        <v>2026</v>
      </c>
      <c r="U233" s="37">
        <v>93</v>
      </c>
      <c r="V233" s="18">
        <f>IF(IFERROR(VLOOKUP(A233,Drank!A:T,19,FALSE),"")=0,"",IFERROR(VLOOKUP(A233,Drank!A:T,19,FALSE),""))</f>
        <v>93</v>
      </c>
      <c r="W233" s="1">
        <f>IF(IFERROR(VLOOKUP(A233,Drank!A:T,20,FALSE),"")=0,"",IFERROR(VLOOKUP(A233,Drank!A:T,20,FALSE),""))</f>
        <v>43597</v>
      </c>
      <c r="X233" s="37">
        <f>SUMIF(A:A,A233,I:I)</f>
        <v>3</v>
      </c>
      <c r="Y233" s="37">
        <f>IF(Table1[[#This Row],[Drank]]&gt;0,VLOOKUP(Table1[[#This Row],[ID]],Drank!A:P,16,FALSE),IF(Table1[[#This Row],[WALDD]]&gt;0,VLOOKUP(Table1[[#This Row],[ID]],Wine1!A:Q,17,FALSE),Table1[[#This Row],[EP]]))</f>
        <v>2026</v>
      </c>
      <c r="Z233" s="18">
        <f>IF(Table1[[#This Row],[My Rating]]="",IF(Table1[[#This Row],[WA Rating Clean]]="","",Table1[[#This Row],[WA Rating Clean]]),Table1[[#This Row],[My Rating]])</f>
        <v>93</v>
      </c>
      <c r="AA233" s="37">
        <v>2021</v>
      </c>
      <c r="AB233" s="128">
        <v>21.99</v>
      </c>
      <c r="AC233" s="2">
        <f t="shared" si="15"/>
        <v>21.99</v>
      </c>
      <c r="AD233" s="8">
        <v>0</v>
      </c>
      <c r="AE233" s="37">
        <f>IF(Table1[[#This Row],[P/750]]&lt;20,1,IF(Table1[[#This Row],[P/750]]&lt;50,2,3))</f>
        <v>2</v>
      </c>
      <c r="AF233" s="37">
        <f>IF(Table1[[#This Row],[P/750]]&lt;Expenses!$C$30,1,IF(Table1[[#This Row],[P/750]]&lt;Expenses!$C$31,2,IF(Table1[[#This Row],[P/750]]&lt;Expenses!$C$32,3,4)))</f>
        <v>2</v>
      </c>
      <c r="AH233" s="37" t="s">
        <v>384</v>
      </c>
      <c r="AI233" s="11">
        <f>Table1[[#This Row],[Price]]/Table1[[#This Row],[Size (ml)]]*750</f>
        <v>21.99</v>
      </c>
      <c r="AJ233" s="37">
        <v>93</v>
      </c>
      <c r="AK233" s="37">
        <f>COUNTIF(UniqueID!A:A,Table1[[#This Row],[ID]])</f>
        <v>1</v>
      </c>
      <c r="AL233" s="37" t="str">
        <f>VLOOKUP(Table1[[#This Row],[Cellar Location]],Location!A:F,6,FALSE)</f>
        <v>C</v>
      </c>
      <c r="AO233" s="37" t="str">
        <f>TEXT(Table1[[#This Row],[Purchased]],"mmmm")</f>
        <v>January</v>
      </c>
      <c r="AP233" s="10" t="str">
        <f>TEXT(Table1[[#This Row],[Purchased]],"yyyy")</f>
        <v>1900</v>
      </c>
      <c r="AQ233" s="10"/>
    </row>
    <row r="234" spans="1:43" s="37" customFormat="1" x14ac:dyDescent="0.25">
      <c r="A234" s="37" t="str">
        <f t="shared" si="14"/>
        <v>2009Hermanos Perez PascuasEl Pedrosal Reserva</v>
      </c>
      <c r="B234" s="37">
        <v>2009</v>
      </c>
      <c r="C234" s="9" t="s">
        <v>1543</v>
      </c>
      <c r="D234" s="9" t="s">
        <v>1544</v>
      </c>
      <c r="E234" s="69" t="s">
        <v>276</v>
      </c>
      <c r="F234" s="37" t="s">
        <v>729</v>
      </c>
      <c r="G234" s="37" t="s">
        <v>1718</v>
      </c>
      <c r="H234" s="37" t="s">
        <v>818</v>
      </c>
      <c r="I234" s="37">
        <v>1</v>
      </c>
      <c r="J234" s="37">
        <v>750</v>
      </c>
      <c r="K234" s="8" t="s">
        <v>1833</v>
      </c>
      <c r="L234" s="10">
        <f>COUNTIF(Drank!A:A,Table1[[#This Row],[ID]])</f>
        <v>2</v>
      </c>
      <c r="M234" s="37" t="s">
        <v>202</v>
      </c>
      <c r="N234" s="37" t="s">
        <v>207</v>
      </c>
      <c r="O234" s="37">
        <v>1</v>
      </c>
      <c r="P234" s="37">
        <v>2020</v>
      </c>
      <c r="Q234" s="37">
        <v>2029</v>
      </c>
      <c r="R234" s="10">
        <f>IF(IFERROR(VLOOKUP(A234,Drank!A:S,15,FALSE),"")=0,"",IFERROR(VLOOKUP(A234,Drank!A:S,15,FALSE),""))</f>
        <v>2020</v>
      </c>
      <c r="S234" s="10">
        <f>IF(IFERROR(VLOOKUP(A234,Drank!A:S,16,FALSE),"")=0,"",IFERROR(VLOOKUP(A234,Drank!A:S,16,FALSE),""))</f>
        <v>2027</v>
      </c>
      <c r="T234" s="10"/>
      <c r="U234" s="37">
        <v>95</v>
      </c>
      <c r="V234" s="18">
        <f>IF(IFERROR(VLOOKUP(A234,Drank!A:T,19,FALSE),"")=0,"",IFERROR(VLOOKUP(A234,Drank!A:T,19,FALSE),""))</f>
        <v>94.5</v>
      </c>
      <c r="W234" s="1">
        <f>IF(IFERROR(VLOOKUP(A234,Drank!A:T,20,FALSE),"")=0,"",IFERROR(VLOOKUP(A234,Drank!A:T,20,FALSE),""))</f>
        <v>44079</v>
      </c>
      <c r="X234" s="10">
        <f>SUMIF(A:A,A234,I:I)</f>
        <v>17</v>
      </c>
      <c r="Y234" s="10">
        <f>IF(Table1[[#This Row],[Drank]]&gt;0,VLOOKUP(Table1[[#This Row],[ID]],Drank!A:P,16,FALSE),IF(Table1[[#This Row],[WALDD]]&gt;0,VLOOKUP(Table1[[#This Row],[ID]],Wine1!A:Q,17,FALSE),Table1[[#This Row],[EP]]))</f>
        <v>2027</v>
      </c>
      <c r="Z234" s="18">
        <f>IF(Table1[[#This Row],[My Rating]]="",IF(Table1[[#This Row],[WA Rating Clean]]="","",Table1[[#This Row],[WA Rating Clean]]),Table1[[#This Row],[My Rating]])</f>
        <v>94.5</v>
      </c>
      <c r="AA234" s="37">
        <v>2021</v>
      </c>
      <c r="AB234" s="128">
        <v>29.61</v>
      </c>
      <c r="AC234" s="2">
        <f t="shared" si="15"/>
        <v>29.61</v>
      </c>
      <c r="AD234" s="8"/>
      <c r="AE234" s="10">
        <f>IF(Table1[[#This Row],[P/750]]&lt;20,1,IF(Table1[[#This Row],[P/750]]&lt;50,2,3))</f>
        <v>2</v>
      </c>
      <c r="AF234" s="10">
        <f>IF(Table1[[#This Row],[P/750]]&lt;Expenses!$C$30,1,IF(Table1[[#This Row],[P/750]]&lt;Expenses!$C$31,2,IF(Table1[[#This Row],[P/750]]&lt;Expenses!$C$32,3,4)))</f>
        <v>2</v>
      </c>
      <c r="AH234" s="37" t="s">
        <v>1545</v>
      </c>
      <c r="AI234" s="11">
        <f>Table1[[#This Row],[Price]]/Table1[[#This Row],[Size (ml)]]*750</f>
        <v>29.61</v>
      </c>
      <c r="AJ234" s="37">
        <v>95</v>
      </c>
      <c r="AK234" s="10">
        <f>COUNTIF(UniqueID!A:A,Table1[[#This Row],[ID]])</f>
        <v>0</v>
      </c>
      <c r="AL234" s="10" t="str">
        <f>VLOOKUP(Table1[[#This Row],[Cellar Location]],Location!A:F,6,FALSE)</f>
        <v>C</v>
      </c>
      <c r="AN234" s="1">
        <v>44065</v>
      </c>
      <c r="AO234" s="10" t="str">
        <f>TEXT(Table1[[#This Row],[Purchased]],"mmmm")</f>
        <v>August</v>
      </c>
      <c r="AP234" s="10" t="str">
        <f>TEXT(Table1[[#This Row],[Purchased]],"yyyy")</f>
        <v>2020</v>
      </c>
      <c r="AQ234" s="10"/>
    </row>
    <row r="235" spans="1:43" s="37" customFormat="1" x14ac:dyDescent="0.25">
      <c r="A235" s="37" t="str">
        <f t="shared" si="14"/>
        <v>2009Hermanos Perez PascuasEl Pedrosal Reserva</v>
      </c>
      <c r="B235" s="37">
        <v>2009</v>
      </c>
      <c r="C235" s="9" t="s">
        <v>1543</v>
      </c>
      <c r="D235" s="9" t="s">
        <v>1544</v>
      </c>
      <c r="E235" s="69" t="s">
        <v>276</v>
      </c>
      <c r="F235" s="37" t="s">
        <v>729</v>
      </c>
      <c r="G235" s="37" t="s">
        <v>1718</v>
      </c>
      <c r="H235" s="37" t="s">
        <v>818</v>
      </c>
      <c r="I235" s="37">
        <v>1</v>
      </c>
      <c r="J235" s="37">
        <v>750</v>
      </c>
      <c r="K235" s="8" t="s">
        <v>1833</v>
      </c>
      <c r="L235" s="10">
        <f>COUNTIF(Drank!A:A,Table1[[#This Row],[ID]])</f>
        <v>2</v>
      </c>
      <c r="M235" s="37" t="s">
        <v>202</v>
      </c>
      <c r="N235" s="37" t="s">
        <v>207</v>
      </c>
      <c r="O235" s="37">
        <v>1</v>
      </c>
      <c r="P235" s="37">
        <v>2020</v>
      </c>
      <c r="Q235" s="37">
        <v>2029</v>
      </c>
      <c r="R235" s="10">
        <f>IF(IFERROR(VLOOKUP(A235,Drank!A:S,15,FALSE),"")=0,"",IFERROR(VLOOKUP(A235,Drank!A:S,15,FALSE),""))</f>
        <v>2020</v>
      </c>
      <c r="S235" s="10">
        <f>IF(IFERROR(VLOOKUP(A235,Drank!A:S,16,FALSE),"")=0,"",IFERROR(VLOOKUP(A235,Drank!A:S,16,FALSE),""))</f>
        <v>2027</v>
      </c>
      <c r="T235" s="10"/>
      <c r="U235" s="37">
        <v>95</v>
      </c>
      <c r="V235" s="18">
        <f>IF(IFERROR(VLOOKUP(A235,Drank!A:T,19,FALSE),"")=0,"",IFERROR(VLOOKUP(A235,Drank!A:T,19,FALSE),""))</f>
        <v>94.5</v>
      </c>
      <c r="W235" s="1">
        <f>IF(IFERROR(VLOOKUP(A235,Drank!A:T,20,FALSE),"")=0,"",IFERROR(VLOOKUP(A235,Drank!A:T,20,FALSE),""))</f>
        <v>44079</v>
      </c>
      <c r="X235" s="10">
        <f>SUMIF(A:A,A235,I:I)</f>
        <v>17</v>
      </c>
      <c r="Y235" s="10">
        <f>IF(Table1[[#This Row],[Drank]]&gt;0,VLOOKUP(Table1[[#This Row],[ID]],Drank!A:P,16,FALSE),IF(Table1[[#This Row],[WALDD]]&gt;0,VLOOKUP(Table1[[#This Row],[ID]],Wine1!A:Q,17,FALSE),Table1[[#This Row],[EP]]))</f>
        <v>2027</v>
      </c>
      <c r="Z235" s="18">
        <f>IF(Table1[[#This Row],[My Rating]]="",IF(Table1[[#This Row],[WA Rating Clean]]="","",Table1[[#This Row],[WA Rating Clean]]),Table1[[#This Row],[My Rating]])</f>
        <v>94.5</v>
      </c>
      <c r="AA235" s="37">
        <v>2021</v>
      </c>
      <c r="AB235" s="128">
        <v>29.61</v>
      </c>
      <c r="AC235" s="2">
        <f t="shared" si="15"/>
        <v>29.61</v>
      </c>
      <c r="AD235" s="8"/>
      <c r="AE235" s="10">
        <f>IF(Table1[[#This Row],[P/750]]&lt;20,1,IF(Table1[[#This Row],[P/750]]&lt;50,2,3))</f>
        <v>2</v>
      </c>
      <c r="AF235" s="10">
        <f>IF(Table1[[#This Row],[P/750]]&lt;Expenses!$C$30,1,IF(Table1[[#This Row],[P/750]]&lt;Expenses!$C$31,2,IF(Table1[[#This Row],[P/750]]&lt;Expenses!$C$32,3,4)))</f>
        <v>2</v>
      </c>
      <c r="AH235" s="37" t="s">
        <v>1545</v>
      </c>
      <c r="AI235" s="11">
        <f>Table1[[#This Row],[Price]]/Table1[[#This Row],[Size (ml)]]*750</f>
        <v>29.61</v>
      </c>
      <c r="AJ235" s="37">
        <v>95</v>
      </c>
      <c r="AK235" s="10">
        <f>COUNTIF(UniqueID!A:A,Table1[[#This Row],[ID]])</f>
        <v>0</v>
      </c>
      <c r="AL235" s="10" t="str">
        <f>VLOOKUP(Table1[[#This Row],[Cellar Location]],Location!A:F,6,FALSE)</f>
        <v>C</v>
      </c>
      <c r="AN235" s="1">
        <v>44065</v>
      </c>
      <c r="AO235" s="10" t="str">
        <f>TEXT(Table1[[#This Row],[Purchased]],"mmmm")</f>
        <v>August</v>
      </c>
      <c r="AP235" s="10" t="str">
        <f>TEXT(Table1[[#This Row],[Purchased]],"yyyy")</f>
        <v>2020</v>
      </c>
      <c r="AQ235" s="10"/>
    </row>
    <row r="236" spans="1:43" s="37" customFormat="1" x14ac:dyDescent="0.25">
      <c r="A236" s="37" t="str">
        <f t="shared" si="14"/>
        <v>2009Hermanos Perez PascuasEl Pedrosal Reserva</v>
      </c>
      <c r="B236" s="37">
        <v>2009</v>
      </c>
      <c r="C236" s="9" t="s">
        <v>1543</v>
      </c>
      <c r="D236" s="9" t="s">
        <v>1544</v>
      </c>
      <c r="E236" s="69" t="s">
        <v>276</v>
      </c>
      <c r="F236" s="37" t="s">
        <v>729</v>
      </c>
      <c r="G236" s="37" t="s">
        <v>1718</v>
      </c>
      <c r="H236" s="37" t="s">
        <v>818</v>
      </c>
      <c r="I236" s="37">
        <v>1</v>
      </c>
      <c r="J236" s="37">
        <v>750</v>
      </c>
      <c r="K236" s="8" t="s">
        <v>1833</v>
      </c>
      <c r="L236" s="10">
        <f>COUNTIF(Drank!A:A,Table1[[#This Row],[ID]])</f>
        <v>2</v>
      </c>
      <c r="M236" s="37" t="s">
        <v>202</v>
      </c>
      <c r="N236" s="37" t="s">
        <v>207</v>
      </c>
      <c r="O236" s="37">
        <v>1</v>
      </c>
      <c r="P236" s="37">
        <v>2020</v>
      </c>
      <c r="Q236" s="37">
        <v>2029</v>
      </c>
      <c r="R236" s="10">
        <f>IF(IFERROR(VLOOKUP(A236,Drank!A:S,15,FALSE),"")=0,"",IFERROR(VLOOKUP(A236,Drank!A:S,15,FALSE),""))</f>
        <v>2020</v>
      </c>
      <c r="S236" s="10">
        <f>IF(IFERROR(VLOOKUP(A236,Drank!A:S,16,FALSE),"")=0,"",IFERROR(VLOOKUP(A236,Drank!A:S,16,FALSE),""))</f>
        <v>2027</v>
      </c>
      <c r="T236" s="10"/>
      <c r="U236" s="37">
        <v>95</v>
      </c>
      <c r="V236" s="18">
        <f>IF(IFERROR(VLOOKUP(A236,Drank!A:T,19,FALSE),"")=0,"",IFERROR(VLOOKUP(A236,Drank!A:T,19,FALSE),""))</f>
        <v>94.5</v>
      </c>
      <c r="W236" s="1">
        <f>IF(IFERROR(VLOOKUP(A236,Drank!A:T,20,FALSE),"")=0,"",IFERROR(VLOOKUP(A236,Drank!A:T,20,FALSE),""))</f>
        <v>44079</v>
      </c>
      <c r="X236" s="10">
        <f>SUMIF(A:A,A236,I:I)</f>
        <v>17</v>
      </c>
      <c r="Y236" s="10">
        <f>IF(Table1[[#This Row],[Drank]]&gt;0,VLOOKUP(Table1[[#This Row],[ID]],Drank!A:P,16,FALSE),IF(Table1[[#This Row],[WALDD]]&gt;0,VLOOKUP(Table1[[#This Row],[ID]],Wine1!A:Q,17,FALSE),Table1[[#This Row],[EP]]))</f>
        <v>2027</v>
      </c>
      <c r="Z236" s="18">
        <f>IF(Table1[[#This Row],[My Rating]]="",IF(Table1[[#This Row],[WA Rating Clean]]="","",Table1[[#This Row],[WA Rating Clean]]),Table1[[#This Row],[My Rating]])</f>
        <v>94.5</v>
      </c>
      <c r="AA236" s="37">
        <v>2021</v>
      </c>
      <c r="AB236" s="128">
        <v>29.61</v>
      </c>
      <c r="AC236" s="2">
        <f t="shared" si="15"/>
        <v>29.61</v>
      </c>
      <c r="AD236" s="8"/>
      <c r="AE236" s="10">
        <f>IF(Table1[[#This Row],[P/750]]&lt;20,1,IF(Table1[[#This Row],[P/750]]&lt;50,2,3))</f>
        <v>2</v>
      </c>
      <c r="AF236" s="10">
        <f>IF(Table1[[#This Row],[P/750]]&lt;Expenses!$C$30,1,IF(Table1[[#This Row],[P/750]]&lt;Expenses!$C$31,2,IF(Table1[[#This Row],[P/750]]&lt;Expenses!$C$32,3,4)))</f>
        <v>2</v>
      </c>
      <c r="AH236" s="37" t="s">
        <v>1545</v>
      </c>
      <c r="AI236" s="11">
        <f>Table1[[#This Row],[Price]]/Table1[[#This Row],[Size (ml)]]*750</f>
        <v>29.61</v>
      </c>
      <c r="AJ236" s="37">
        <v>95</v>
      </c>
      <c r="AK236" s="10">
        <f>COUNTIF(UniqueID!A:A,Table1[[#This Row],[ID]])</f>
        <v>0</v>
      </c>
      <c r="AL236" s="10" t="str">
        <f>VLOOKUP(Table1[[#This Row],[Cellar Location]],Location!A:F,6,FALSE)</f>
        <v>C</v>
      </c>
      <c r="AN236" s="1">
        <v>44065</v>
      </c>
      <c r="AO236" s="10" t="str">
        <f>TEXT(Table1[[#This Row],[Purchased]],"mmmm")</f>
        <v>August</v>
      </c>
      <c r="AP236" s="10" t="str">
        <f>TEXT(Table1[[#This Row],[Purchased]],"yyyy")</f>
        <v>2020</v>
      </c>
      <c r="AQ236" s="10"/>
    </row>
    <row r="237" spans="1:43" s="37" customFormat="1" x14ac:dyDescent="0.25">
      <c r="A237" s="37" t="str">
        <f t="shared" si="14"/>
        <v>2012Bodegas Castilejo de RobledoAltos de Valdoso Reserva</v>
      </c>
      <c r="B237" s="8">
        <v>2012</v>
      </c>
      <c r="C237" s="37" t="s">
        <v>1565</v>
      </c>
      <c r="D237" s="32" t="s">
        <v>1566</v>
      </c>
      <c r="E237" s="67" t="s">
        <v>1220</v>
      </c>
      <c r="F237" s="37" t="s">
        <v>729</v>
      </c>
      <c r="G237" s="37" t="s">
        <v>1718</v>
      </c>
      <c r="H237" s="37" t="s">
        <v>818</v>
      </c>
      <c r="I237" s="37">
        <v>1</v>
      </c>
      <c r="J237" s="38">
        <v>750</v>
      </c>
      <c r="K237" s="38" t="s">
        <v>384</v>
      </c>
      <c r="L237" s="10">
        <f>COUNTIF(Drank!A:A,Table1[[#This Row],[ID]])</f>
        <v>0</v>
      </c>
      <c r="M237" s="37" t="s">
        <v>202</v>
      </c>
      <c r="N237" s="37" t="s">
        <v>207</v>
      </c>
      <c r="O237" s="37">
        <v>0</v>
      </c>
      <c r="R237" s="10" t="str">
        <f>IF(IFERROR(VLOOKUP(A237,Drank!A:S,15,FALSE),"")=0,"",IFERROR(VLOOKUP(A237,Drank!A:S,15,FALSE),""))</f>
        <v/>
      </c>
      <c r="S237" s="10" t="str">
        <f>IF(IFERROR(VLOOKUP(A237,Drank!A:S,16,FALSE),"")=0,"",IFERROR(VLOOKUP(A237,Drank!A:S,16,FALSE),""))</f>
        <v/>
      </c>
      <c r="T237" s="10">
        <v>2027</v>
      </c>
      <c r="V237" s="18" t="str">
        <f>IF(IFERROR(VLOOKUP(A237,Drank!A:T,19,FALSE),"")=0,"",IFERROR(VLOOKUP(A237,Drank!A:T,19,FALSE),""))</f>
        <v/>
      </c>
      <c r="W237" s="1" t="str">
        <f>IF(IFERROR(VLOOKUP(A237,Drank!A:T,20,FALSE),"")=0,"",IFERROR(VLOOKUP(A237,Drank!A:T,20,FALSE),""))</f>
        <v/>
      </c>
      <c r="X237" s="10">
        <f>SUMIF(A:A,A237,I:I)</f>
        <v>4</v>
      </c>
      <c r="Y237" s="10">
        <f>IF(Table1[[#This Row],[Drank]]&gt;0,VLOOKUP(Table1[[#This Row],[ID]],Drank!A:P,16,FALSE),IF(Table1[[#This Row],[WALDD]]&gt;0,VLOOKUP(Table1[[#This Row],[ID]],Wine1!A:Q,17,FALSE),Table1[[#This Row],[EP]]))</f>
        <v>2027</v>
      </c>
      <c r="Z237" s="18" t="str">
        <f>IF(Table1[[#This Row],[My Rating]]="",IF(Table1[[#This Row],[WA Rating Clean]]="","",Table1[[#This Row],[WA Rating Clean]]),Table1[[#This Row],[My Rating]])</f>
        <v/>
      </c>
      <c r="AA237" s="37">
        <v>2021</v>
      </c>
      <c r="AB237" s="128">
        <v>21.72</v>
      </c>
      <c r="AC237" s="2">
        <f t="shared" si="15"/>
        <v>21.72</v>
      </c>
      <c r="AD237" s="8">
        <v>1</v>
      </c>
      <c r="AE237" s="10">
        <f>IF(Table1[[#This Row],[P/750]]&lt;20,1,IF(Table1[[#This Row],[P/750]]&lt;50,2,3))</f>
        <v>2</v>
      </c>
      <c r="AF237" s="10">
        <f>IF(Table1[[#This Row],[P/750]]&lt;Expenses!$C$30,1,IF(Table1[[#This Row],[P/750]]&lt;Expenses!$C$31,2,IF(Table1[[#This Row],[P/750]]&lt;Expenses!$C$32,3,4)))</f>
        <v>2</v>
      </c>
      <c r="AH237" s="37" t="s">
        <v>384</v>
      </c>
      <c r="AI237" s="11">
        <f>Table1[[#This Row],[Price]]/Table1[[#This Row],[Size (ml)]]*750</f>
        <v>21.72</v>
      </c>
      <c r="AK237" s="10">
        <f>COUNTIF(UniqueID!A:A,Table1[[#This Row],[ID]])</f>
        <v>0</v>
      </c>
      <c r="AL237" s="10" t="str">
        <f>VLOOKUP(Table1[[#This Row],[Cellar Location]],Location!A:F,6,FALSE)</f>
        <v>W</v>
      </c>
      <c r="AN237" s="1">
        <v>44049</v>
      </c>
      <c r="AO237" s="10" t="str">
        <f>TEXT(Table1[[#This Row],[Purchased]],"mmmm")</f>
        <v>August</v>
      </c>
      <c r="AP237" s="10" t="str">
        <f>TEXT(Table1[[#This Row],[Purchased]],"yyyy")</f>
        <v>2020</v>
      </c>
      <c r="AQ237" s="1">
        <v>44137</v>
      </c>
    </row>
    <row r="238" spans="1:43" s="37" customFormat="1" x14ac:dyDescent="0.25">
      <c r="A238" s="37" t="str">
        <f t="shared" si="14"/>
        <v>2011AndrettaBrunello di Montalcino Riserva</v>
      </c>
      <c r="B238" s="8">
        <v>2011</v>
      </c>
      <c r="C238" s="8" t="s">
        <v>60</v>
      </c>
      <c r="D238" s="37" t="s">
        <v>13</v>
      </c>
      <c r="E238" s="64" t="s">
        <v>280</v>
      </c>
      <c r="F238" s="37" t="s">
        <v>728</v>
      </c>
      <c r="G238" s="37" t="s">
        <v>790</v>
      </c>
      <c r="H238" s="37" t="s">
        <v>19</v>
      </c>
      <c r="I238" s="37">
        <v>1</v>
      </c>
      <c r="J238" s="37">
        <v>750</v>
      </c>
      <c r="K238" s="8" t="s">
        <v>25</v>
      </c>
      <c r="L238" s="37">
        <f>COUNTIF(Drank!A:A,Table1[[#This Row],[ID]])</f>
        <v>0</v>
      </c>
      <c r="M238" s="37" t="s">
        <v>202</v>
      </c>
      <c r="N238" s="37" t="s">
        <v>207</v>
      </c>
      <c r="O238" s="37">
        <v>1</v>
      </c>
      <c r="P238" s="37">
        <v>2017</v>
      </c>
      <c r="Q238" s="37">
        <v>2027</v>
      </c>
      <c r="R238" s="37" t="str">
        <f>IF(IFERROR(VLOOKUP(A238,Drank!A:S,15,FALSE),"")=0,"",IFERROR(VLOOKUP(A238,Drank!A:S,15,FALSE),""))</f>
        <v/>
      </c>
      <c r="S238" s="37" t="str">
        <f>IF(IFERROR(VLOOKUP(A238,Drank!A:S,16,FALSE),"")=0,"",IFERROR(VLOOKUP(A238,Drank!A:S,16,FALSE),""))</f>
        <v/>
      </c>
      <c r="U238" s="37" t="s">
        <v>29</v>
      </c>
      <c r="V238" s="18" t="str">
        <f>IF(IFERROR(VLOOKUP(A238,Drank!A:T,19,FALSE),"")=0,"",IFERROR(VLOOKUP(A238,Drank!A:T,19,FALSE),""))</f>
        <v/>
      </c>
      <c r="W238" s="1" t="str">
        <f>IF(IFERROR(VLOOKUP(A238,Drank!A:T,20,FALSE),"")=0,"",IFERROR(VLOOKUP(A238,Drank!A:T,20,FALSE),""))</f>
        <v/>
      </c>
      <c r="X238" s="37">
        <f>SUMIF(A:A,A238,I:I)</f>
        <v>2</v>
      </c>
      <c r="Y238" s="37">
        <f>IF(Table1[[#This Row],[Drank]]&gt;0,VLOOKUP(Table1[[#This Row],[ID]],Drank!A:P,16,FALSE),IF(Table1[[#This Row],[WALDD]]&gt;0,VLOOKUP(Table1[[#This Row],[ID]],Wine1!A:Q,17,FALSE),Table1[[#This Row],[EP]]))</f>
        <v>2027</v>
      </c>
      <c r="Z238" s="18">
        <f>IF(Table1[[#This Row],[My Rating]]="",IF(Table1[[#This Row],[WA Rating Clean]]="","",Table1[[#This Row],[WA Rating Clean]]),Table1[[#This Row],[My Rating]])</f>
        <v>92</v>
      </c>
      <c r="AA238" s="8">
        <v>2021</v>
      </c>
      <c r="AB238" s="14">
        <v>39.99</v>
      </c>
      <c r="AC238" s="2">
        <f t="shared" si="15"/>
        <v>39.99</v>
      </c>
      <c r="AD238" s="8">
        <v>0</v>
      </c>
      <c r="AE238" s="37">
        <f>IF(Table1[[#This Row],[P/750]]&lt;20,1,IF(Table1[[#This Row],[P/750]]&lt;50,2,3))</f>
        <v>2</v>
      </c>
      <c r="AF238" s="37">
        <f>IF(Table1[[#This Row],[P/750]]&lt;Expenses!$C$30,1,IF(Table1[[#This Row],[P/750]]&lt;Expenses!$C$31,2,IF(Table1[[#This Row],[P/750]]&lt;Expenses!$C$32,3,4)))</f>
        <v>3</v>
      </c>
      <c r="AH238" s="37" t="s">
        <v>384</v>
      </c>
      <c r="AI238" s="11">
        <f>Table1[[#This Row],[Price]]/Table1[[#This Row],[Size (ml)]]*750</f>
        <v>39.99</v>
      </c>
      <c r="AJ238" s="37">
        <v>92</v>
      </c>
      <c r="AK238" s="37">
        <f>COUNTIF(UniqueID!A:A,Table1[[#This Row],[ID]])</f>
        <v>1</v>
      </c>
      <c r="AL238" s="37" t="str">
        <f>VLOOKUP(Table1[[#This Row],[Cellar Location]],Location!A:F,6,FALSE)</f>
        <v>K</v>
      </c>
      <c r="AO238" s="37" t="str">
        <f>TEXT(Table1[[#This Row],[Purchased]],"mmmm")</f>
        <v>January</v>
      </c>
      <c r="AP238" s="10" t="str">
        <f>TEXT(Table1[[#This Row],[Purchased]],"yyyy")</f>
        <v>1900</v>
      </c>
      <c r="AQ238" s="10"/>
    </row>
    <row r="239" spans="1:43" s="37" customFormat="1" x14ac:dyDescent="0.25">
      <c r="A239" s="37" t="str">
        <f t="shared" si="14"/>
        <v>2016Domaine La Grangette Saint JosephGigondas la Grangette des Garrigues</v>
      </c>
      <c r="B239" s="37">
        <v>2016</v>
      </c>
      <c r="C239" s="103" t="s">
        <v>420</v>
      </c>
      <c r="D239" s="116" t="s">
        <v>421</v>
      </c>
      <c r="E239" s="69" t="s">
        <v>1225</v>
      </c>
      <c r="F239" s="37" t="s">
        <v>742</v>
      </c>
      <c r="G239" s="37" t="s">
        <v>759</v>
      </c>
      <c r="H239" s="37" t="s">
        <v>764</v>
      </c>
      <c r="I239" s="37">
        <v>1</v>
      </c>
      <c r="J239" s="37">
        <v>750</v>
      </c>
      <c r="K239" s="8" t="s">
        <v>102</v>
      </c>
      <c r="L239" s="37">
        <f>COUNTIF(Drank!A:A,Table1[[#This Row],[ID]])</f>
        <v>1</v>
      </c>
      <c r="M239" s="37" t="s">
        <v>202</v>
      </c>
      <c r="N239" s="37" t="s">
        <v>207</v>
      </c>
      <c r="O239" s="37">
        <v>1</v>
      </c>
      <c r="P239" s="37">
        <v>2018</v>
      </c>
      <c r="Q239" s="37">
        <v>2028</v>
      </c>
      <c r="R239" s="10">
        <f>IF(IFERROR(VLOOKUP(A239,Drank!A:S,15,FALSE),"")=0,"",IFERROR(VLOOKUP(A239,Drank!A:S,15,FALSE),""))</f>
        <v>2021</v>
      </c>
      <c r="S239" s="10">
        <f>IF(IFERROR(VLOOKUP(A239,Drank!A:S,16,FALSE),"")=0,"",IFERROR(VLOOKUP(A239,Drank!A:S,16,FALSE),""))</f>
        <v>2027</v>
      </c>
      <c r="T239" s="10"/>
      <c r="U239" s="37">
        <v>94</v>
      </c>
      <c r="V239" s="18">
        <f>IF(IFERROR(VLOOKUP(A239,Drank!A:T,19,FALSE),"")=0,"",IFERROR(VLOOKUP(A239,Drank!A:T,19,FALSE),""))</f>
        <v>92</v>
      </c>
      <c r="W239" s="1">
        <f>IF(IFERROR(VLOOKUP(A239,Drank!A:T,20,FALSE),"")=0,"",IFERROR(VLOOKUP(A239,Drank!A:T,20,FALSE),""))</f>
        <v>43834</v>
      </c>
      <c r="X239" s="10">
        <f>SUMIF(A:A,A239,I:I)</f>
        <v>11</v>
      </c>
      <c r="Y239" s="37">
        <f>IF(Table1[[#This Row],[Drank]]&gt;0,VLOOKUP(Table1[[#This Row],[ID]],Drank!A:P,16,FALSE),IF(Table1[[#This Row],[WALDD]]&gt;0,VLOOKUP(Table1[[#This Row],[ID]],Wine1!A:Q,17,FALSE),Table1[[#This Row],[EP]]))</f>
        <v>2027</v>
      </c>
      <c r="Z239" s="18">
        <f>IF(Table1[[#This Row],[My Rating]]="",IF(Table1[[#This Row],[WA Rating Clean]]="","",Table1[[#This Row],[WA Rating Clean]]),Table1[[#This Row],[My Rating]])</f>
        <v>92</v>
      </c>
      <c r="AA239" s="37">
        <v>2021</v>
      </c>
      <c r="AB239" s="128">
        <v>23</v>
      </c>
      <c r="AC239" s="2">
        <f t="shared" si="15"/>
        <v>23</v>
      </c>
      <c r="AD239" s="8">
        <v>0</v>
      </c>
      <c r="AE239" s="37">
        <f>IF(Table1[[#This Row],[P/750]]&lt;20,1,IF(Table1[[#This Row],[P/750]]&lt;50,2,3))</f>
        <v>2</v>
      </c>
      <c r="AF239" s="37">
        <f>IF(Table1[[#This Row],[P/750]]&lt;Expenses!$C$30,1,IF(Table1[[#This Row],[P/750]]&lt;Expenses!$C$31,2,IF(Table1[[#This Row],[P/750]]&lt;Expenses!$C$32,3,4)))</f>
        <v>2</v>
      </c>
      <c r="AH239" s="37" t="s">
        <v>384</v>
      </c>
      <c r="AI239" s="11">
        <f>Table1[[#This Row],[Price]]/Table1[[#This Row],[Size (ml)]]*750</f>
        <v>23</v>
      </c>
      <c r="AJ239" s="37">
        <v>94</v>
      </c>
      <c r="AK239" s="37">
        <f>COUNTIF(UniqueID!A:A,Table1[[#This Row],[ID]])</f>
        <v>1</v>
      </c>
      <c r="AL239" s="37" t="str">
        <f>VLOOKUP(Table1[[#This Row],[Cellar Location]],Location!A:F,6,FALSE)</f>
        <v>K</v>
      </c>
      <c r="AO239" s="37" t="str">
        <f>TEXT(Table1[[#This Row],[Purchased]],"mmmm")</f>
        <v>January</v>
      </c>
      <c r="AP239" s="10" t="str">
        <f>TEXT(Table1[[#This Row],[Purchased]],"yyyy")</f>
        <v>1900</v>
      </c>
      <c r="AQ239" s="10"/>
    </row>
    <row r="240" spans="1:43" s="37" customFormat="1" x14ac:dyDescent="0.25">
      <c r="A240" s="37" t="str">
        <f t="shared" ref="A240:A245" si="16">CONCATENATE(B240,C240,D240)</f>
        <v>2004Feudi di San GregorioSerpico IGT</v>
      </c>
      <c r="B240" s="37">
        <v>2004</v>
      </c>
      <c r="C240" s="37" t="s">
        <v>1409</v>
      </c>
      <c r="D240" s="37" t="s">
        <v>1410</v>
      </c>
      <c r="E240" s="37" t="s">
        <v>1411</v>
      </c>
      <c r="F240" s="37" t="s">
        <v>728</v>
      </c>
      <c r="G240" s="37" t="s">
        <v>771</v>
      </c>
      <c r="I240" s="37">
        <v>1</v>
      </c>
      <c r="J240" s="38">
        <v>750</v>
      </c>
      <c r="K240" s="38" t="s">
        <v>415</v>
      </c>
      <c r="L240" s="10">
        <f>COUNTIF(Drank!A:A,Table1[[#This Row],[ID]])</f>
        <v>1</v>
      </c>
      <c r="M240" s="37" t="s">
        <v>202</v>
      </c>
      <c r="N240" s="37" t="s">
        <v>207</v>
      </c>
      <c r="O240" s="37">
        <v>1</v>
      </c>
      <c r="P240" s="37">
        <v>2010</v>
      </c>
      <c r="Q240" s="37">
        <v>2020</v>
      </c>
      <c r="R240" s="10" t="str">
        <f>IF(IFERROR(VLOOKUP(A240,Drank!A:S,15,FALSE),"")=0,"",IFERROR(VLOOKUP(A240,Drank!A:S,15,FALSE),""))</f>
        <v/>
      </c>
      <c r="S240" s="10">
        <f>IF(IFERROR(VLOOKUP(A240,Drank!A:S,16,FALSE),"")=0,"",IFERROR(VLOOKUP(A240,Drank!A:S,16,FALSE),""))</f>
        <v>2022</v>
      </c>
      <c r="T240" s="10"/>
      <c r="U240" s="37">
        <v>91</v>
      </c>
      <c r="V240" s="18">
        <f>IF(IFERROR(VLOOKUP(A240,Drank!A:T,19,FALSE),"")=0,"",IFERROR(VLOOKUP(A240,Drank!A:T,19,FALSE),""))</f>
        <v>93</v>
      </c>
      <c r="W240" s="1">
        <f>IF(IFERROR(VLOOKUP(A240,Drank!A:T,20,FALSE),"")=0,"",IFERROR(VLOOKUP(A240,Drank!A:T,20,FALSE),""))</f>
        <v>44067</v>
      </c>
      <c r="X240" s="10">
        <f>SUMIF(A:A,A240,I:I)</f>
        <v>2</v>
      </c>
      <c r="Y240" s="10">
        <f>IF(Table1[[#This Row],[Drank]]&gt;0,VLOOKUP(Table1[[#This Row],[ID]],Drank!A:P,16,FALSE),IF(Table1[[#This Row],[WALDD]]&gt;0,VLOOKUP(Table1[[#This Row],[ID]],Wine1!A:Q,17,FALSE),Table1[[#This Row],[EP]]))</f>
        <v>2022</v>
      </c>
      <c r="Z240" s="18">
        <f>IF(Table1[[#This Row],[My Rating]]="",IF(Table1[[#This Row],[WA Rating Clean]]="","",Table1[[#This Row],[WA Rating Clean]]),Table1[[#This Row],[My Rating]])</f>
        <v>93</v>
      </c>
      <c r="AA240" s="37">
        <v>2021</v>
      </c>
      <c r="AB240" s="128">
        <v>49.49</v>
      </c>
      <c r="AC240" s="2">
        <f t="shared" ref="AC240:AC245" si="17">AB240*I240</f>
        <v>49.49</v>
      </c>
      <c r="AD240" s="8"/>
      <c r="AE240" s="10">
        <f>IF(Table1[[#This Row],[P/750]]&lt;20,1,IF(Table1[[#This Row],[P/750]]&lt;50,2,3))</f>
        <v>2</v>
      </c>
      <c r="AF240" s="10">
        <f>IF(Table1[[#This Row],[P/750]]&lt;Expenses!$C$30,1,IF(Table1[[#This Row],[P/750]]&lt;Expenses!$C$31,2,IF(Table1[[#This Row],[P/750]]&lt;Expenses!$C$32,3,4)))</f>
        <v>3</v>
      </c>
      <c r="AH240" s="37" t="s">
        <v>415</v>
      </c>
      <c r="AI240" s="11">
        <f>Table1[[#This Row],[Price]]/Table1[[#This Row],[Size (ml)]]*750</f>
        <v>49.49</v>
      </c>
      <c r="AJ240" s="37">
        <v>91</v>
      </c>
      <c r="AK240" s="10">
        <f>COUNTIF(UniqueID!A:A,Table1[[#This Row],[ID]])</f>
        <v>0</v>
      </c>
      <c r="AL240" s="10" t="str">
        <f>VLOOKUP(Table1[[#This Row],[Cellar Location]],Location!A:F,6,FALSE)</f>
        <v>W</v>
      </c>
      <c r="AN240" s="1">
        <v>44081</v>
      </c>
      <c r="AO240" s="10" t="str">
        <f>TEXT(Table1[[#This Row],[Purchased]],"mmmm")</f>
        <v>September</v>
      </c>
      <c r="AP240" s="10" t="str">
        <f>TEXT(Table1[[#This Row],[Purchased]],"yyyy")</f>
        <v>2020</v>
      </c>
      <c r="AQ240" s="1">
        <v>44114</v>
      </c>
    </row>
    <row r="241" spans="1:43" s="37" customFormat="1" x14ac:dyDescent="0.25">
      <c r="A241" s="37" t="str">
        <f>CONCATENATE(B241,C241,D241)</f>
        <v>2004Feudi di San GregorioSerpico IGT</v>
      </c>
      <c r="B241" s="37">
        <v>2004</v>
      </c>
      <c r="C241" s="37" t="s">
        <v>1409</v>
      </c>
      <c r="D241" s="37" t="s">
        <v>1410</v>
      </c>
      <c r="E241" s="37" t="s">
        <v>1411</v>
      </c>
      <c r="F241" s="37" t="s">
        <v>728</v>
      </c>
      <c r="G241" s="37" t="s">
        <v>771</v>
      </c>
      <c r="I241" s="37">
        <v>1</v>
      </c>
      <c r="J241" s="38">
        <v>750</v>
      </c>
      <c r="K241" s="38" t="s">
        <v>415</v>
      </c>
      <c r="L241" s="10">
        <f>COUNTIF(Drank!A:A,Table1[[#This Row],[ID]])</f>
        <v>1</v>
      </c>
      <c r="M241" s="37" t="s">
        <v>202</v>
      </c>
      <c r="N241" s="37" t="s">
        <v>207</v>
      </c>
      <c r="O241" s="37">
        <v>1</v>
      </c>
      <c r="P241" s="37">
        <v>2010</v>
      </c>
      <c r="Q241" s="37">
        <v>2020</v>
      </c>
      <c r="R241" s="10" t="str">
        <f>IF(IFERROR(VLOOKUP(A241,Drank!A:S,15,FALSE),"")=0,"",IFERROR(VLOOKUP(A241,Drank!A:S,15,FALSE),""))</f>
        <v/>
      </c>
      <c r="S241" s="10">
        <f>IF(IFERROR(VLOOKUP(A241,Drank!A:S,16,FALSE),"")=0,"",IFERROR(VLOOKUP(A241,Drank!A:S,16,FALSE),""))</f>
        <v>2022</v>
      </c>
      <c r="T241" s="10"/>
      <c r="U241" s="37">
        <v>91</v>
      </c>
      <c r="V241" s="18">
        <f>IF(IFERROR(VLOOKUP(A241,Drank!A:T,19,FALSE),"")=0,"",IFERROR(VLOOKUP(A241,Drank!A:T,19,FALSE),""))</f>
        <v>93</v>
      </c>
      <c r="W241" s="1">
        <f>IF(IFERROR(VLOOKUP(A241,Drank!A:T,20,FALSE),"")=0,"",IFERROR(VLOOKUP(A241,Drank!A:T,20,FALSE),""))</f>
        <v>44067</v>
      </c>
      <c r="X241" s="10">
        <f>SUMIF(A:A,A241,I:I)</f>
        <v>2</v>
      </c>
      <c r="Y241" s="10">
        <f>IF(Table1[[#This Row],[Drank]]&gt;0,VLOOKUP(Table1[[#This Row],[ID]],Drank!A:P,16,FALSE),IF(Table1[[#This Row],[WALDD]]&gt;0,VLOOKUP(Table1[[#This Row],[ID]],Wine1!A:Q,17,FALSE),Table1[[#This Row],[EP]]))</f>
        <v>2022</v>
      </c>
      <c r="Z241" s="18">
        <f>IF(Table1[[#This Row],[My Rating]]="",IF(Table1[[#This Row],[WA Rating Clean]]="","",Table1[[#This Row],[WA Rating Clean]]),Table1[[#This Row],[My Rating]])</f>
        <v>93</v>
      </c>
      <c r="AA241" s="37">
        <v>2022</v>
      </c>
      <c r="AB241" s="128">
        <v>49.49</v>
      </c>
      <c r="AC241" s="2">
        <f>AB241*I241</f>
        <v>49.49</v>
      </c>
      <c r="AD241" s="8"/>
      <c r="AE241" s="10">
        <f>IF(Table1[[#This Row],[P/750]]&lt;20,1,IF(Table1[[#This Row],[P/750]]&lt;50,2,3))</f>
        <v>2</v>
      </c>
      <c r="AF241" s="10">
        <f>IF(Table1[[#This Row],[P/750]]&lt;Expenses!$C$30,1,IF(Table1[[#This Row],[P/750]]&lt;Expenses!$C$31,2,IF(Table1[[#This Row],[P/750]]&lt;Expenses!$C$32,3,4)))</f>
        <v>3</v>
      </c>
      <c r="AH241" s="37" t="s">
        <v>415</v>
      </c>
      <c r="AI241" s="11">
        <f>Table1[[#This Row],[Price]]/Table1[[#This Row],[Size (ml)]]*750</f>
        <v>49.49</v>
      </c>
      <c r="AJ241" s="37">
        <v>91</v>
      </c>
      <c r="AK241" s="10">
        <f>COUNTIF(UniqueID!A:A,Table1[[#This Row],[ID]])</f>
        <v>0</v>
      </c>
      <c r="AL241" s="10" t="str">
        <f>VLOOKUP(Table1[[#This Row],[Cellar Location]],Location!A:F,6,FALSE)</f>
        <v>W</v>
      </c>
      <c r="AN241" s="1">
        <v>44081</v>
      </c>
      <c r="AO241" s="10" t="str">
        <f>TEXT(Table1[[#This Row],[Purchased]],"mmmm")</f>
        <v>September</v>
      </c>
      <c r="AP241" s="10" t="str">
        <f>TEXT(Table1[[#This Row],[Purchased]],"yyyy")</f>
        <v>2020</v>
      </c>
      <c r="AQ241" s="1">
        <v>44114</v>
      </c>
    </row>
    <row r="242" spans="1:43" s="37" customFormat="1" x14ac:dyDescent="0.25">
      <c r="A242" s="37" t="str">
        <f t="shared" si="16"/>
        <v>1996Domaine Albert MorotBeaune 1er Cru Les Toussaints</v>
      </c>
      <c r="B242" s="37">
        <v>1996</v>
      </c>
      <c r="C242" s="8" t="s">
        <v>1896</v>
      </c>
      <c r="D242" s="141" t="s">
        <v>1897</v>
      </c>
      <c r="E242" s="67" t="s">
        <v>1462</v>
      </c>
      <c r="F242" s="37" t="s">
        <v>742</v>
      </c>
      <c r="G242" s="37" t="s">
        <v>754</v>
      </c>
      <c r="H242" s="37" t="s">
        <v>1898</v>
      </c>
      <c r="I242" s="37">
        <v>1</v>
      </c>
      <c r="J242" s="38">
        <v>750</v>
      </c>
      <c r="K242" s="38" t="s">
        <v>415</v>
      </c>
      <c r="L242" s="10">
        <f>COUNTIF(Drank!A:A,Table1[[#This Row],[ID]])</f>
        <v>0</v>
      </c>
      <c r="M242" s="37" t="s">
        <v>202</v>
      </c>
      <c r="N242" s="37" t="s">
        <v>207</v>
      </c>
      <c r="O242" s="37">
        <v>1</v>
      </c>
      <c r="P242" s="37">
        <v>1999</v>
      </c>
      <c r="Q242" s="37">
        <v>2005</v>
      </c>
      <c r="R242" s="10" t="str">
        <f>IF(IFERROR(VLOOKUP(A242,Drank!A:S,15,FALSE),"")=0,"",IFERROR(VLOOKUP(A242,Drank!A:S,15,FALSE),""))</f>
        <v/>
      </c>
      <c r="S242" s="10" t="str">
        <f>IF(IFERROR(VLOOKUP(A242,Drank!A:S,16,FALSE),"")=0,"",IFERROR(VLOOKUP(A242,Drank!A:S,16,FALSE),""))</f>
        <v/>
      </c>
      <c r="T242" s="10"/>
      <c r="U242" s="37" t="s">
        <v>1899</v>
      </c>
      <c r="V242" s="18" t="str">
        <f>IF(IFERROR(VLOOKUP(A242,Drank!A:T,19,FALSE),"")=0,"",IFERROR(VLOOKUP(A242,Drank!A:T,19,FALSE),""))</f>
        <v/>
      </c>
      <c r="W242" s="1" t="str">
        <f>IF(IFERROR(VLOOKUP(A242,Drank!A:T,20,FALSE),"")=0,"",IFERROR(VLOOKUP(A242,Drank!A:T,20,FALSE),""))</f>
        <v/>
      </c>
      <c r="X242" s="10">
        <f>SUMIF(A:A,A242,I:I)</f>
        <v>1</v>
      </c>
      <c r="Y242" s="10">
        <f>IF(Table1[[#This Row],[Drank]]&gt;0,VLOOKUP(Table1[[#This Row],[ID]],Drank!A:P,16,FALSE),IF(Table1[[#This Row],[WALDD]]&gt;0,VLOOKUP(Table1[[#This Row],[ID]],Wine1!A:Q,17,FALSE),Table1[[#This Row],[EP]]))</f>
        <v>2005</v>
      </c>
      <c r="Z242" s="18">
        <f>IF(Table1[[#This Row],[My Rating]]="",IF(Table1[[#This Row],[WA Rating Clean]]="","",Table1[[#This Row],[WA Rating Clean]]),Table1[[#This Row],[My Rating]])</f>
        <v>90</v>
      </c>
      <c r="AA242" s="37">
        <v>2021</v>
      </c>
      <c r="AB242" s="128">
        <v>51.29</v>
      </c>
      <c r="AC242" s="2">
        <f t="shared" si="17"/>
        <v>51.29</v>
      </c>
      <c r="AD242" s="8"/>
      <c r="AE242" s="10">
        <f>IF(Table1[[#This Row],[P/750]]&lt;20,1,IF(Table1[[#This Row],[P/750]]&lt;50,2,3))</f>
        <v>3</v>
      </c>
      <c r="AF242" s="10">
        <f>IF(Table1[[#This Row],[P/750]]&lt;Expenses!$C$30,1,IF(Table1[[#This Row],[P/750]]&lt;Expenses!$C$31,2,IF(Table1[[#This Row],[P/750]]&lt;Expenses!$C$32,3,4)))</f>
        <v>3</v>
      </c>
      <c r="AH242" s="37" t="s">
        <v>415</v>
      </c>
      <c r="AI242" s="11">
        <f>Table1[[#This Row],[Price]]/Table1[[#This Row],[Size (ml)]]*750</f>
        <v>51.29</v>
      </c>
      <c r="AJ242" s="37">
        <v>90</v>
      </c>
      <c r="AK242" s="10">
        <f>COUNTIF(UniqueID!A:A,Table1[[#This Row],[ID]])</f>
        <v>0</v>
      </c>
      <c r="AL242" s="10" t="str">
        <f>VLOOKUP(Table1[[#This Row],[Cellar Location]],Location!A:F,6,FALSE)</f>
        <v>W</v>
      </c>
      <c r="AN242" s="1">
        <v>44081</v>
      </c>
      <c r="AO242" s="10" t="str">
        <f>TEXT(Table1[[#This Row],[Purchased]],"mmmm")</f>
        <v>September</v>
      </c>
      <c r="AP242" s="10" t="str">
        <f>TEXT(Table1[[#This Row],[Purchased]],"yyyy")</f>
        <v>2020</v>
      </c>
      <c r="AQ242" s="1">
        <v>44114</v>
      </c>
    </row>
    <row r="243" spans="1:43" s="37" customFormat="1" x14ac:dyDescent="0.25">
      <c r="A243" s="37" t="str">
        <f t="shared" si="16"/>
        <v>2006UccellieraBrunello di Montalcino</v>
      </c>
      <c r="B243" s="37">
        <v>2006</v>
      </c>
      <c r="C243" s="8" t="s">
        <v>1470</v>
      </c>
      <c r="D243" s="141" t="s">
        <v>19</v>
      </c>
      <c r="E243" s="67" t="s">
        <v>1250</v>
      </c>
      <c r="F243" s="37" t="s">
        <v>728</v>
      </c>
      <c r="G243" s="37" t="s">
        <v>790</v>
      </c>
      <c r="H243" s="37" t="s">
        <v>19</v>
      </c>
      <c r="I243" s="37">
        <v>1</v>
      </c>
      <c r="J243" s="38">
        <v>750</v>
      </c>
      <c r="K243" s="38" t="s">
        <v>415</v>
      </c>
      <c r="L243" s="10">
        <f>COUNTIF(Drank!A:A,Table1[[#This Row],[ID]])</f>
        <v>0</v>
      </c>
      <c r="M243" s="37" t="s">
        <v>202</v>
      </c>
      <c r="N243" s="37" t="s">
        <v>207</v>
      </c>
      <c r="O243" s="37">
        <v>1</v>
      </c>
      <c r="P243" s="37">
        <v>2014</v>
      </c>
      <c r="Q243" s="37">
        <v>2026</v>
      </c>
      <c r="R243" s="10" t="str">
        <f>IF(IFERROR(VLOOKUP(A243,Drank!A:S,15,FALSE),"")=0,"",IFERROR(VLOOKUP(A243,Drank!A:S,15,FALSE),""))</f>
        <v/>
      </c>
      <c r="S243" s="10" t="str">
        <f>IF(IFERROR(VLOOKUP(A243,Drank!A:S,16,FALSE),"")=0,"",IFERROR(VLOOKUP(A243,Drank!A:S,16,FALSE),""))</f>
        <v/>
      </c>
      <c r="T243" s="10"/>
      <c r="U243" s="37">
        <v>96</v>
      </c>
      <c r="V243" s="18" t="str">
        <f>IF(IFERROR(VLOOKUP(A243,Drank!A:T,19,FALSE),"")=0,"",IFERROR(VLOOKUP(A243,Drank!A:T,19,FALSE),""))</f>
        <v/>
      </c>
      <c r="W243" s="1" t="str">
        <f>IF(IFERROR(VLOOKUP(A243,Drank!A:T,20,FALSE),"")=0,"",IFERROR(VLOOKUP(A243,Drank!A:T,20,FALSE),""))</f>
        <v/>
      </c>
      <c r="X243" s="10">
        <f>SUMIF(A:A,A243,I:I)</f>
        <v>2</v>
      </c>
      <c r="Y243" s="10">
        <f>IF(Table1[[#This Row],[Drank]]&gt;0,VLOOKUP(Table1[[#This Row],[ID]],Drank!A:P,16,FALSE),IF(Table1[[#This Row],[WALDD]]&gt;0,VLOOKUP(Table1[[#This Row],[ID]],Wine1!A:Q,17,FALSE),Table1[[#This Row],[EP]]))</f>
        <v>2026</v>
      </c>
      <c r="Z243" s="18">
        <f>IF(Table1[[#This Row],[My Rating]]="",IF(Table1[[#This Row],[WA Rating Clean]]="","",Table1[[#This Row],[WA Rating Clean]]),Table1[[#This Row],[My Rating]])</f>
        <v>96</v>
      </c>
      <c r="AA243" s="37">
        <v>2024</v>
      </c>
      <c r="AB243" s="128">
        <v>80.989999999999995</v>
      </c>
      <c r="AC243" s="2">
        <f t="shared" si="17"/>
        <v>80.989999999999995</v>
      </c>
      <c r="AD243" s="8"/>
      <c r="AE243" s="10">
        <f>IF(Table1[[#This Row],[P/750]]&lt;20,1,IF(Table1[[#This Row],[P/750]]&lt;50,2,3))</f>
        <v>3</v>
      </c>
      <c r="AF243" s="10">
        <f>IF(Table1[[#This Row],[P/750]]&lt;Expenses!$C$30,1,IF(Table1[[#This Row],[P/750]]&lt;Expenses!$C$31,2,IF(Table1[[#This Row],[P/750]]&lt;Expenses!$C$32,3,4)))</f>
        <v>4</v>
      </c>
      <c r="AH243" s="37" t="s">
        <v>415</v>
      </c>
      <c r="AI243" s="11">
        <f>Table1[[#This Row],[Price]]/Table1[[#This Row],[Size (ml)]]*750</f>
        <v>80.989999999999995</v>
      </c>
      <c r="AJ243" s="37">
        <v>96</v>
      </c>
      <c r="AK243" s="10">
        <f>COUNTIF(UniqueID!A:A,Table1[[#This Row],[ID]])</f>
        <v>0</v>
      </c>
      <c r="AL243" s="10" t="str">
        <f>VLOOKUP(Table1[[#This Row],[Cellar Location]],Location!A:F,6,FALSE)</f>
        <v>W</v>
      </c>
      <c r="AN243" s="1">
        <v>44081</v>
      </c>
      <c r="AO243" s="10" t="str">
        <f>TEXT(Table1[[#This Row],[Purchased]],"mmmm")</f>
        <v>September</v>
      </c>
      <c r="AP243" s="10" t="str">
        <f>TEXT(Table1[[#This Row],[Purchased]],"yyyy")</f>
        <v>2020</v>
      </c>
      <c r="AQ243" s="1">
        <v>44114</v>
      </c>
    </row>
    <row r="244" spans="1:43" s="37" customFormat="1" x14ac:dyDescent="0.25">
      <c r="A244" s="37" t="str">
        <f t="shared" si="16"/>
        <v>2001Clos des PapesChateauneuf du Pape</v>
      </c>
      <c r="B244" s="37">
        <v>2001</v>
      </c>
      <c r="C244" s="8" t="s">
        <v>1900</v>
      </c>
      <c r="D244" s="141" t="s">
        <v>1106</v>
      </c>
      <c r="E244" s="67" t="s">
        <v>1901</v>
      </c>
      <c r="F244" s="37" t="s">
        <v>742</v>
      </c>
      <c r="G244" s="37" t="s">
        <v>759</v>
      </c>
      <c r="H244" s="37" t="s">
        <v>762</v>
      </c>
      <c r="I244" s="37">
        <v>1</v>
      </c>
      <c r="J244" s="38">
        <v>750</v>
      </c>
      <c r="K244" s="38" t="s">
        <v>415</v>
      </c>
      <c r="L244" s="10">
        <f>COUNTIF(Drank!A:A,Table1[[#This Row],[ID]])</f>
        <v>0</v>
      </c>
      <c r="M244" s="37" t="s">
        <v>202</v>
      </c>
      <c r="N244" s="37" t="s">
        <v>207</v>
      </c>
      <c r="O244" s="37">
        <v>1</v>
      </c>
      <c r="P244" s="37">
        <v>2015</v>
      </c>
      <c r="Q244" s="37">
        <v>2026</v>
      </c>
      <c r="R244" s="10" t="str">
        <f>IF(IFERROR(VLOOKUP(A244,Drank!A:S,15,FALSE),"")=0,"",IFERROR(VLOOKUP(A244,Drank!A:S,15,FALSE),""))</f>
        <v/>
      </c>
      <c r="S244" s="10" t="str">
        <f>IF(IFERROR(VLOOKUP(A244,Drank!A:S,16,FALSE),"")=0,"",IFERROR(VLOOKUP(A244,Drank!A:S,16,FALSE),""))</f>
        <v/>
      </c>
      <c r="T244" s="10"/>
      <c r="U244" s="37">
        <v>95</v>
      </c>
      <c r="V244" s="18" t="str">
        <f>IF(IFERROR(VLOOKUP(A244,Drank!A:T,19,FALSE),"")=0,"",IFERROR(VLOOKUP(A244,Drank!A:T,19,FALSE),""))</f>
        <v/>
      </c>
      <c r="W244" s="1" t="str">
        <f>IF(IFERROR(VLOOKUP(A244,Drank!A:T,20,FALSE),"")=0,"",IFERROR(VLOOKUP(A244,Drank!A:T,20,FALSE),""))</f>
        <v/>
      </c>
      <c r="X244" s="10">
        <f>SUMIF(A:A,A244,I:I)</f>
        <v>1</v>
      </c>
      <c r="Y244" s="10">
        <f>IF(Table1[[#This Row],[Drank]]&gt;0,VLOOKUP(Table1[[#This Row],[ID]],Drank!A:P,16,FALSE),IF(Table1[[#This Row],[WALDD]]&gt;0,VLOOKUP(Table1[[#This Row],[ID]],Wine1!A:Q,17,FALSE),Table1[[#This Row],[EP]]))</f>
        <v>2026</v>
      </c>
      <c r="Z244" s="18">
        <f>IF(Table1[[#This Row],[My Rating]]="",IF(Table1[[#This Row],[WA Rating Clean]]="","",Table1[[#This Row],[WA Rating Clean]]),Table1[[#This Row],[My Rating]])</f>
        <v>95</v>
      </c>
      <c r="AA244" s="37">
        <v>2023</v>
      </c>
      <c r="AB244" s="128">
        <v>89.99</v>
      </c>
      <c r="AC244" s="2">
        <f t="shared" si="17"/>
        <v>89.99</v>
      </c>
      <c r="AD244" s="8"/>
      <c r="AE244" s="10">
        <f>IF(Table1[[#This Row],[P/750]]&lt;20,1,IF(Table1[[#This Row],[P/750]]&lt;50,2,3))</f>
        <v>3</v>
      </c>
      <c r="AF244" s="10">
        <f>IF(Table1[[#This Row],[P/750]]&lt;Expenses!$C$30,1,IF(Table1[[#This Row],[P/750]]&lt;Expenses!$C$31,2,IF(Table1[[#This Row],[P/750]]&lt;Expenses!$C$32,3,4)))</f>
        <v>4</v>
      </c>
      <c r="AH244" s="37" t="s">
        <v>415</v>
      </c>
      <c r="AI244" s="11">
        <f>Table1[[#This Row],[Price]]/Table1[[#This Row],[Size (ml)]]*750</f>
        <v>89.99</v>
      </c>
      <c r="AJ244" s="37">
        <v>95</v>
      </c>
      <c r="AK244" s="10">
        <f>COUNTIF(UniqueID!A:A,Table1[[#This Row],[ID]])</f>
        <v>0</v>
      </c>
      <c r="AL244" s="10" t="str">
        <f>VLOOKUP(Table1[[#This Row],[Cellar Location]],Location!A:F,6,FALSE)</f>
        <v>W</v>
      </c>
      <c r="AN244" s="1">
        <v>44081</v>
      </c>
      <c r="AO244" s="10" t="str">
        <f>TEXT(Table1[[#This Row],[Purchased]],"mmmm")</f>
        <v>September</v>
      </c>
      <c r="AP244" s="10" t="str">
        <f>TEXT(Table1[[#This Row],[Purchased]],"yyyy")</f>
        <v>2020</v>
      </c>
      <c r="AQ244" s="1">
        <v>44114</v>
      </c>
    </row>
    <row r="245" spans="1:43" s="37" customFormat="1" x14ac:dyDescent="0.25">
      <c r="A245" s="37" t="str">
        <f t="shared" si="16"/>
        <v>2000Pierre UsseglioChateauneuf du Pape Cuvee de Mon Aieul</v>
      </c>
      <c r="B245" s="37">
        <v>2000</v>
      </c>
      <c r="C245" s="8" t="s">
        <v>1126</v>
      </c>
      <c r="D245" s="141" t="s">
        <v>1902</v>
      </c>
      <c r="E245" s="67" t="s">
        <v>1903</v>
      </c>
      <c r="F245" s="37" t="s">
        <v>742</v>
      </c>
      <c r="G245" s="37" t="s">
        <v>759</v>
      </c>
      <c r="H245" s="37" t="s">
        <v>762</v>
      </c>
      <c r="I245" s="37">
        <v>1</v>
      </c>
      <c r="J245" s="38">
        <v>750</v>
      </c>
      <c r="K245" s="38" t="s">
        <v>415</v>
      </c>
      <c r="L245" s="10">
        <f>COUNTIF(Drank!A:A,Table1[[#This Row],[ID]])</f>
        <v>0</v>
      </c>
      <c r="M245" s="37" t="s">
        <v>202</v>
      </c>
      <c r="N245" s="37" t="s">
        <v>207</v>
      </c>
      <c r="O245" s="37">
        <v>1</v>
      </c>
      <c r="P245" s="37">
        <v>2015</v>
      </c>
      <c r="Q245" s="37">
        <v>2025</v>
      </c>
      <c r="R245" s="10" t="str">
        <f>IF(IFERROR(VLOOKUP(A245,Drank!A:S,15,FALSE),"")=0,"",IFERROR(VLOOKUP(A245,Drank!A:S,15,FALSE),""))</f>
        <v/>
      </c>
      <c r="S245" s="10" t="str">
        <f>IF(IFERROR(VLOOKUP(A245,Drank!A:S,16,FALSE),"")=0,"",IFERROR(VLOOKUP(A245,Drank!A:S,16,FALSE),""))</f>
        <v/>
      </c>
      <c r="T245" s="10"/>
      <c r="U245" s="37">
        <v>97</v>
      </c>
      <c r="V245" s="18" t="str">
        <f>IF(IFERROR(VLOOKUP(A245,Drank!A:T,19,FALSE),"")=0,"",IFERROR(VLOOKUP(A245,Drank!A:T,19,FALSE),""))</f>
        <v/>
      </c>
      <c r="W245" s="1" t="str">
        <f>IF(IFERROR(VLOOKUP(A245,Drank!A:T,20,FALSE),"")=0,"",IFERROR(VLOOKUP(A245,Drank!A:T,20,FALSE),""))</f>
        <v/>
      </c>
      <c r="X245" s="10">
        <f>SUMIF(A:A,A245,I:I)</f>
        <v>1</v>
      </c>
      <c r="Y245" s="10">
        <f>IF(Table1[[#This Row],[Drank]]&gt;0,VLOOKUP(Table1[[#This Row],[ID]],Drank!A:P,16,FALSE),IF(Table1[[#This Row],[WALDD]]&gt;0,VLOOKUP(Table1[[#This Row],[ID]],Wine1!A:Q,17,FALSE),Table1[[#This Row],[EP]]))</f>
        <v>2025</v>
      </c>
      <c r="Z245" s="18">
        <f>IF(Table1[[#This Row],[My Rating]]="",IF(Table1[[#This Row],[WA Rating Clean]]="","",Table1[[#This Row],[WA Rating Clean]]),Table1[[#This Row],[My Rating]])</f>
        <v>97</v>
      </c>
      <c r="AA245" s="37">
        <v>2021</v>
      </c>
      <c r="AB245" s="128">
        <v>116.99</v>
      </c>
      <c r="AC245" s="2">
        <f t="shared" si="17"/>
        <v>116.99</v>
      </c>
      <c r="AD245" s="8"/>
      <c r="AE245" s="10">
        <f>IF(Table1[[#This Row],[P/750]]&lt;20,1,IF(Table1[[#This Row],[P/750]]&lt;50,2,3))</f>
        <v>3</v>
      </c>
      <c r="AF245" s="10">
        <f>IF(Table1[[#This Row],[P/750]]&lt;Expenses!$C$30,1,IF(Table1[[#This Row],[P/750]]&lt;Expenses!$C$31,2,IF(Table1[[#This Row],[P/750]]&lt;Expenses!$C$32,3,4)))</f>
        <v>4</v>
      </c>
      <c r="AH245" s="37" t="s">
        <v>415</v>
      </c>
      <c r="AI245" s="11">
        <f>Table1[[#This Row],[Price]]/Table1[[#This Row],[Size (ml)]]*750</f>
        <v>116.99</v>
      </c>
      <c r="AJ245" s="37">
        <v>97</v>
      </c>
      <c r="AK245" s="10">
        <f>COUNTIF(UniqueID!A:A,Table1[[#This Row],[ID]])</f>
        <v>0</v>
      </c>
      <c r="AL245" s="10" t="str">
        <f>VLOOKUP(Table1[[#This Row],[Cellar Location]],Location!A:F,6,FALSE)</f>
        <v>W</v>
      </c>
      <c r="AN245" s="1">
        <v>44081</v>
      </c>
      <c r="AO245" s="10" t="str">
        <f>TEXT(Table1[[#This Row],[Purchased]],"mmmm")</f>
        <v>September</v>
      </c>
      <c r="AP245" s="10" t="str">
        <f>TEXT(Table1[[#This Row],[Purchased]],"yyyy")</f>
        <v>2020</v>
      </c>
      <c r="AQ245" s="1">
        <v>44114</v>
      </c>
    </row>
    <row r="246" spans="1:43" s="37" customFormat="1" x14ac:dyDescent="0.25">
      <c r="A246" s="37" t="str">
        <f t="shared" ref="A246:A289" si="18">CONCATENATE(B246,C246,D246)</f>
        <v>2008PoesiaBodegas Poesia</v>
      </c>
      <c r="B246" s="37">
        <v>2008</v>
      </c>
      <c r="C246" s="8" t="s">
        <v>1552</v>
      </c>
      <c r="D246" s="37" t="s">
        <v>730</v>
      </c>
      <c r="E246" s="64" t="s">
        <v>274</v>
      </c>
      <c r="F246" s="37" t="s">
        <v>731</v>
      </c>
      <c r="G246" s="37" t="s">
        <v>732</v>
      </c>
      <c r="I246" s="37">
        <v>1</v>
      </c>
      <c r="J246" s="37">
        <v>750</v>
      </c>
      <c r="K246" s="8" t="s">
        <v>25</v>
      </c>
      <c r="L246" s="37">
        <f>COUNTIF(Drank!A:A,Table1[[#This Row],[ID]])</f>
        <v>0</v>
      </c>
      <c r="M246" s="37" t="s">
        <v>202</v>
      </c>
      <c r="N246" s="37" t="s">
        <v>207</v>
      </c>
      <c r="O246" s="37">
        <v>1</v>
      </c>
      <c r="P246" s="37">
        <v>2014</v>
      </c>
      <c r="Q246" s="37">
        <v>2028</v>
      </c>
      <c r="R246" s="10" t="str">
        <f>IF(IFERROR(VLOOKUP(A246,Drank!A:S,15,FALSE),"")=0,"",IFERROR(VLOOKUP(A246,Drank!A:S,15,FALSE),""))</f>
        <v/>
      </c>
      <c r="S246" s="10" t="str">
        <f>IF(IFERROR(VLOOKUP(A246,Drank!A:S,16,FALSE),"")=0,"",IFERROR(VLOOKUP(A246,Drank!A:S,16,FALSE),""))</f>
        <v/>
      </c>
      <c r="T246" s="10"/>
      <c r="U246" s="37">
        <v>91</v>
      </c>
      <c r="V246" s="18" t="str">
        <f>IF(IFERROR(VLOOKUP(A246,Drank!A:T,19,FALSE),"")=0,"",IFERROR(VLOOKUP(A246,Drank!A:T,19,FALSE),""))</f>
        <v/>
      </c>
      <c r="W246" s="1" t="str">
        <f>IF(IFERROR(VLOOKUP(A246,Drank!A:T,20,FALSE),"")=0,"",IFERROR(VLOOKUP(A246,Drank!A:T,20,FALSE),""))</f>
        <v/>
      </c>
      <c r="X246" s="10">
        <f>SUMIF(A:A,A246,I:I)</f>
        <v>2</v>
      </c>
      <c r="Y246" s="37">
        <f>IF(Table1[[#This Row],[Drank]]&gt;0,VLOOKUP(Table1[[#This Row],[ID]],Drank!A:P,16,FALSE),IF(Table1[[#This Row],[WALDD]]&gt;0,VLOOKUP(Table1[[#This Row],[ID]],Wine1!A:Q,17,FALSE),Table1[[#This Row],[EP]]))</f>
        <v>2028</v>
      </c>
      <c r="Z246" s="18">
        <f>IF(Table1[[#This Row],[My Rating]]="",IF(Table1[[#This Row],[WA Rating Clean]]="","",Table1[[#This Row],[WA Rating Clean]]),Table1[[#This Row],[My Rating]])</f>
        <v>91</v>
      </c>
      <c r="AA246" s="8">
        <v>2021</v>
      </c>
      <c r="AB246" s="128">
        <v>50</v>
      </c>
      <c r="AC246" s="2">
        <f t="shared" ref="AC246:AC289" si="19">AB246*I246</f>
        <v>50</v>
      </c>
      <c r="AD246" s="8">
        <v>0</v>
      </c>
      <c r="AE246" s="37">
        <f>IF(Table1[[#This Row],[P/750]]&lt;20,1,IF(Table1[[#This Row],[P/750]]&lt;50,2,3))</f>
        <v>3</v>
      </c>
      <c r="AF246" s="37">
        <f>IF(Table1[[#This Row],[P/750]]&lt;Expenses!$C$30,1,IF(Table1[[#This Row],[P/750]]&lt;Expenses!$C$31,2,IF(Table1[[#This Row],[P/750]]&lt;Expenses!$C$32,3,4)))</f>
        <v>3</v>
      </c>
      <c r="AH246" s="37" t="s">
        <v>385</v>
      </c>
      <c r="AI246" s="11">
        <f>Table1[[#This Row],[Price]]/Table1[[#This Row],[Size (ml)]]*750</f>
        <v>50</v>
      </c>
      <c r="AJ246" s="37">
        <v>91</v>
      </c>
      <c r="AK246" s="37">
        <f>COUNTIF(UniqueID!A:A,Table1[[#This Row],[ID]])</f>
        <v>0</v>
      </c>
      <c r="AL246" s="37" t="str">
        <f>VLOOKUP(Table1[[#This Row],[Cellar Location]],Location!A:F,6,FALSE)</f>
        <v>K</v>
      </c>
      <c r="AO246" s="37" t="str">
        <f>TEXT(Table1[[#This Row],[Purchased]],"mmmm")</f>
        <v>January</v>
      </c>
      <c r="AP246" s="10" t="str">
        <f>TEXT(Table1[[#This Row],[Purchased]],"yyyy")</f>
        <v>1900</v>
      </c>
      <c r="AQ246" s="10"/>
    </row>
    <row r="247" spans="1:43" s="37" customFormat="1" x14ac:dyDescent="0.25">
      <c r="A247" s="37" t="str">
        <f t="shared" si="18"/>
        <v>2013Bosco AgostinoBarolo Neirane</v>
      </c>
      <c r="B247" s="37">
        <v>2013</v>
      </c>
      <c r="C247" s="8" t="s">
        <v>1711</v>
      </c>
      <c r="D247" s="37" t="s">
        <v>1712</v>
      </c>
      <c r="E247" s="67" t="s">
        <v>1206</v>
      </c>
      <c r="F247" s="37" t="s">
        <v>728</v>
      </c>
      <c r="G247" s="37" t="s">
        <v>778</v>
      </c>
      <c r="H247" s="37" t="s">
        <v>268</v>
      </c>
      <c r="I247" s="37">
        <v>1</v>
      </c>
      <c r="J247" s="37">
        <v>750</v>
      </c>
      <c r="K247" s="8" t="s">
        <v>1795</v>
      </c>
      <c r="L247" s="10">
        <f>COUNTIF(Drank!A:A,Table1[[#This Row],[ID]])</f>
        <v>0</v>
      </c>
      <c r="M247" s="37" t="s">
        <v>202</v>
      </c>
      <c r="N247" s="37" t="s">
        <v>207</v>
      </c>
      <c r="O247" s="37">
        <v>0</v>
      </c>
      <c r="R247" s="10" t="str">
        <f>IF(IFERROR(VLOOKUP(A247,Drank!A:S,15,FALSE),"")=0,"",IFERROR(VLOOKUP(A247,Drank!A:S,15,FALSE),""))</f>
        <v/>
      </c>
      <c r="S247" s="10" t="str">
        <f>IF(IFERROR(VLOOKUP(A247,Drank!A:S,16,FALSE),"")=0,"",IFERROR(VLOOKUP(A247,Drank!A:S,16,FALSE),""))</f>
        <v/>
      </c>
      <c r="T247" s="10">
        <v>2028</v>
      </c>
      <c r="V247" s="18" t="str">
        <f>IF(IFERROR(VLOOKUP(A247,Drank!A:T,19,FALSE),"")=0,"",IFERROR(VLOOKUP(A247,Drank!A:T,19,FALSE),""))</f>
        <v/>
      </c>
      <c r="W247" s="1" t="str">
        <f>IF(IFERROR(VLOOKUP(A247,Drank!A:T,20,FALSE),"")=0,"",IFERROR(VLOOKUP(A247,Drank!A:T,20,FALSE),""))</f>
        <v/>
      </c>
      <c r="X247" s="10">
        <f>SUMIF(A:A,A247,I:I)</f>
        <v>1</v>
      </c>
      <c r="Y247" s="10">
        <f>IF(Table1[[#This Row],[Drank]]&gt;0,VLOOKUP(Table1[[#This Row],[ID]],Drank!A:P,16,FALSE),IF(Table1[[#This Row],[WALDD]]&gt;0,VLOOKUP(Table1[[#This Row],[ID]],Wine1!A:Q,17,FALSE),Table1[[#This Row],[EP]]))</f>
        <v>2028</v>
      </c>
      <c r="Z247" s="18" t="str">
        <f>IF(Table1[[#This Row],[My Rating]]="",IF(Table1[[#This Row],[WA Rating Clean]]="","",Table1[[#This Row],[WA Rating Clean]]),Table1[[#This Row],[My Rating]])</f>
        <v/>
      </c>
      <c r="AA247" s="8">
        <v>2021</v>
      </c>
      <c r="AB247" s="128">
        <v>53.23</v>
      </c>
      <c r="AC247" s="2">
        <f t="shared" si="19"/>
        <v>53.23</v>
      </c>
      <c r="AD247" s="8">
        <v>0</v>
      </c>
      <c r="AE247" s="10">
        <f>IF(Table1[[#This Row],[P/750]]&lt;20,1,IF(Table1[[#This Row],[P/750]]&lt;50,2,3))</f>
        <v>3</v>
      </c>
      <c r="AF247" s="10">
        <f>IF(Table1[[#This Row],[P/750]]&lt;Expenses!$C$30,1,IF(Table1[[#This Row],[P/750]]&lt;Expenses!$C$31,2,IF(Table1[[#This Row],[P/750]]&lt;Expenses!$C$32,3,4)))</f>
        <v>3</v>
      </c>
      <c r="AH247" s="37" t="s">
        <v>1709</v>
      </c>
      <c r="AI247" s="11">
        <f>Table1[[#This Row],[Price]]/Table1[[#This Row],[Size (ml)]]*750</f>
        <v>53.23</v>
      </c>
      <c r="AK247" s="10">
        <f>COUNTIF(UniqueID!A:A,Table1[[#This Row],[ID]])</f>
        <v>0</v>
      </c>
      <c r="AL247" s="10" t="str">
        <f>VLOOKUP(Table1[[#This Row],[Cellar Location]],Location!A:F,6,FALSE)</f>
        <v>C</v>
      </c>
      <c r="AN247" s="1">
        <v>44062</v>
      </c>
      <c r="AO247" s="10" t="str">
        <f>TEXT(Table1[[#This Row],[Purchased]],"mmmm")</f>
        <v>August</v>
      </c>
      <c r="AP247" s="10" t="str">
        <f>TEXT(Table1[[#This Row],[Purchased]],"yyyy")</f>
        <v>2020</v>
      </c>
      <c r="AQ247" s="10"/>
    </row>
    <row r="248" spans="1:43" s="37" customFormat="1" x14ac:dyDescent="0.25">
      <c r="A248" s="37" t="str">
        <f t="shared" si="18"/>
        <v>2008Tua RitaGiusto di Notri</v>
      </c>
      <c r="B248" s="37">
        <v>2008</v>
      </c>
      <c r="C248" s="37" t="s">
        <v>859</v>
      </c>
      <c r="D248" s="37" t="s">
        <v>860</v>
      </c>
      <c r="E248" s="67" t="s">
        <v>1563</v>
      </c>
      <c r="F248" s="37" t="s">
        <v>728</v>
      </c>
      <c r="G248" s="37" t="s">
        <v>790</v>
      </c>
      <c r="H248" s="37" t="s">
        <v>796</v>
      </c>
      <c r="I248" s="8">
        <v>1</v>
      </c>
      <c r="J248" s="38">
        <v>750</v>
      </c>
      <c r="K248" s="38" t="s">
        <v>1564</v>
      </c>
      <c r="L248" s="10">
        <f>COUNTIF(Drank!A:A,Table1[[#This Row],[ID]])</f>
        <v>0</v>
      </c>
      <c r="M248" s="37" t="s">
        <v>202</v>
      </c>
      <c r="N248" s="37" t="s">
        <v>207</v>
      </c>
      <c r="O248" s="37">
        <v>1</v>
      </c>
      <c r="P248" s="10">
        <v>2016</v>
      </c>
      <c r="Q248" s="37">
        <v>2028</v>
      </c>
      <c r="R248" s="10" t="str">
        <f>IF(IFERROR(VLOOKUP(A248,Drank!A:S,15,FALSE),"")=0,"",IFERROR(VLOOKUP(A248,Drank!A:S,15,FALSE),""))</f>
        <v/>
      </c>
      <c r="S248" s="10" t="str">
        <f>IF(IFERROR(VLOOKUP(A248,Drank!A:S,16,FALSE),"")=0,"",IFERROR(VLOOKUP(A248,Drank!A:S,16,FALSE),""))</f>
        <v/>
      </c>
      <c r="T248" s="10"/>
      <c r="U248" s="37">
        <v>94</v>
      </c>
      <c r="V248" s="18" t="str">
        <f>IF(IFERROR(VLOOKUP(A248,Drank!A:T,19,FALSE),"")=0,"",IFERROR(VLOOKUP(A248,Drank!A:T,19,FALSE),""))</f>
        <v/>
      </c>
      <c r="W248" s="1" t="str">
        <f>IF(IFERROR(VLOOKUP(A248,Drank!A:T,20,FALSE),"")=0,"",IFERROR(VLOOKUP(A248,Drank!A:T,20,FALSE),""))</f>
        <v/>
      </c>
      <c r="X248" s="10">
        <f>SUMIF(A:A,A248,I:I)</f>
        <v>12</v>
      </c>
      <c r="Y248" s="10">
        <f>IF(Table1[[#This Row],[Drank]]&gt;0,VLOOKUP(Table1[[#This Row],[ID]],Drank!A:P,16,FALSE),IF(Table1[[#This Row],[WALDD]]&gt;0,VLOOKUP(Table1[[#This Row],[ID]],Wine1!A:Q,17,FALSE),Table1[[#This Row],[EP]]))</f>
        <v>2028</v>
      </c>
      <c r="Z248" s="18">
        <f>IF(Table1[[#This Row],[My Rating]]="",IF(Table1[[#This Row],[WA Rating Clean]]="","",Table1[[#This Row],[WA Rating Clean]]),Table1[[#This Row],[My Rating]])</f>
        <v>94</v>
      </c>
      <c r="AA248" s="37">
        <v>2021</v>
      </c>
      <c r="AB248" s="128">
        <v>54.41</v>
      </c>
      <c r="AC248" s="2">
        <f t="shared" si="19"/>
        <v>54.41</v>
      </c>
      <c r="AD248" s="8">
        <v>1</v>
      </c>
      <c r="AE248" s="10">
        <f>IF(Table1[[#This Row],[P/750]]&lt;20,1,IF(Table1[[#This Row],[P/750]]&lt;50,2,3))</f>
        <v>3</v>
      </c>
      <c r="AF248" s="10">
        <f>IF(Table1[[#This Row],[P/750]]&lt;Expenses!$C$30,1,IF(Table1[[#This Row],[P/750]]&lt;Expenses!$C$31,2,IF(Table1[[#This Row],[P/750]]&lt;Expenses!$C$32,3,4)))</f>
        <v>3</v>
      </c>
      <c r="AH248" s="37" t="s">
        <v>1564</v>
      </c>
      <c r="AI248" s="11">
        <f>Table1[[#This Row],[Price]]/Table1[[#This Row],[Size (ml)]]*750</f>
        <v>54.41</v>
      </c>
      <c r="AJ248" s="37">
        <v>94</v>
      </c>
      <c r="AK248" s="10">
        <f>COUNTIF(UniqueID!A:A,Table1[[#This Row],[ID]])</f>
        <v>0</v>
      </c>
      <c r="AL248" s="10" t="str">
        <f>VLOOKUP(Table1[[#This Row],[Cellar Location]],Location!A:F,6,FALSE)</f>
        <v>W</v>
      </c>
      <c r="AN248" s="1">
        <v>44045</v>
      </c>
      <c r="AO248" s="10" t="str">
        <f>TEXT(Table1[[#This Row],[Purchased]],"mmmm")</f>
        <v>August</v>
      </c>
      <c r="AP248" s="10" t="str">
        <f>TEXT(Table1[[#This Row],[Purchased]],"yyyy")</f>
        <v>2020</v>
      </c>
      <c r="AQ248" s="1">
        <v>44094</v>
      </c>
    </row>
    <row r="249" spans="1:43" s="37" customFormat="1" x14ac:dyDescent="0.25">
      <c r="A249" s="37" t="str">
        <f t="shared" si="18"/>
        <v>2012Xavier VignonChateauneuf du Pape Cuvee Anonyme</v>
      </c>
      <c r="B249" s="37">
        <v>2012</v>
      </c>
      <c r="C249" s="37" t="s">
        <v>405</v>
      </c>
      <c r="D249" s="37" t="s">
        <v>454</v>
      </c>
      <c r="E249" s="69" t="s">
        <v>1904</v>
      </c>
      <c r="F249" s="37" t="s">
        <v>742</v>
      </c>
      <c r="G249" s="37" t="s">
        <v>759</v>
      </c>
      <c r="H249" s="37" t="s">
        <v>762</v>
      </c>
      <c r="I249" s="8">
        <v>1</v>
      </c>
      <c r="J249" s="38">
        <v>750</v>
      </c>
      <c r="K249" s="38" t="s">
        <v>385</v>
      </c>
      <c r="L249" s="10">
        <f>COUNTIF(Drank!A:A,Table1[[#This Row],[ID]])</f>
        <v>0</v>
      </c>
      <c r="M249" s="37" t="s">
        <v>202</v>
      </c>
      <c r="N249" s="37" t="s">
        <v>207</v>
      </c>
      <c r="O249" s="37">
        <v>1</v>
      </c>
      <c r="P249" s="10">
        <v>2015</v>
      </c>
      <c r="Q249" s="37">
        <v>2027</v>
      </c>
      <c r="R249" s="10" t="str">
        <f>IF(IFERROR(VLOOKUP(A249,Drank!A:S,15,FALSE),"")=0,"",IFERROR(VLOOKUP(A249,Drank!A:S,15,FALSE),""))</f>
        <v/>
      </c>
      <c r="S249" s="10" t="str">
        <f>IF(IFERROR(VLOOKUP(A249,Drank!A:S,16,FALSE),"")=0,"",IFERROR(VLOOKUP(A249,Drank!A:S,16,FALSE),""))</f>
        <v/>
      </c>
      <c r="T249" s="10"/>
      <c r="U249" s="37">
        <v>95</v>
      </c>
      <c r="V249" s="18" t="str">
        <f>IF(IFERROR(VLOOKUP(A249,Drank!A:T,19,FALSE),"")=0,"",IFERROR(VLOOKUP(A249,Drank!A:T,19,FALSE),""))</f>
        <v/>
      </c>
      <c r="W249" s="1" t="str">
        <f>IF(IFERROR(VLOOKUP(A249,Drank!A:T,20,FALSE),"")=0,"",IFERROR(VLOOKUP(A249,Drank!A:T,20,FALSE),""))</f>
        <v/>
      </c>
      <c r="X249" s="10">
        <f>SUMIF(A:A,A249,I:I)</f>
        <v>4</v>
      </c>
      <c r="Y249" s="10">
        <f>IF(Table1[[#This Row],[Drank]]&gt;0,VLOOKUP(Table1[[#This Row],[ID]],Drank!A:P,16,FALSE),IF(Table1[[#This Row],[WALDD]]&gt;0,VLOOKUP(Table1[[#This Row],[ID]],Wine1!A:Q,17,FALSE),Table1[[#This Row],[EP]]))</f>
        <v>2027</v>
      </c>
      <c r="Z249" s="18">
        <f>IF(Table1[[#This Row],[My Rating]]="",IF(Table1[[#This Row],[WA Rating Clean]]="","",Table1[[#This Row],[WA Rating Clean]]),Table1[[#This Row],[My Rating]])</f>
        <v>95</v>
      </c>
      <c r="AA249" s="37">
        <v>2021</v>
      </c>
      <c r="AB249" s="128">
        <v>42.6</v>
      </c>
      <c r="AC249" s="2">
        <f t="shared" si="19"/>
        <v>42.6</v>
      </c>
      <c r="AD249" s="8"/>
      <c r="AE249" s="10">
        <f>IF(Table1[[#This Row],[P/750]]&lt;20,1,IF(Table1[[#This Row],[P/750]]&lt;50,2,3))</f>
        <v>2</v>
      </c>
      <c r="AF249" s="10">
        <f>IF(Table1[[#This Row],[P/750]]&lt;Expenses!$C$30,1,IF(Table1[[#This Row],[P/750]]&lt;Expenses!$C$31,2,IF(Table1[[#This Row],[P/750]]&lt;Expenses!$C$32,3,4)))</f>
        <v>3</v>
      </c>
      <c r="AH249" s="37" t="s">
        <v>385</v>
      </c>
      <c r="AI249" s="11">
        <f>Table1[[#This Row],[Price]]/Table1[[#This Row],[Size (ml)]]*750</f>
        <v>42.6</v>
      </c>
      <c r="AJ249" s="37">
        <v>95</v>
      </c>
      <c r="AK249" s="10">
        <f>COUNTIF(UniqueID!A:A,Table1[[#This Row],[ID]])</f>
        <v>0</v>
      </c>
      <c r="AL249" s="10" t="str">
        <f>VLOOKUP(Table1[[#This Row],[Cellar Location]],Location!A:F,6,FALSE)</f>
        <v>W</v>
      </c>
      <c r="AN249" s="1">
        <v>44081</v>
      </c>
      <c r="AO249" s="10" t="str">
        <f>TEXT(Table1[[#This Row],[Purchased]],"mmmm")</f>
        <v>September</v>
      </c>
      <c r="AP249" s="10" t="str">
        <f>TEXT(Table1[[#This Row],[Purchased]],"yyyy")</f>
        <v>2020</v>
      </c>
      <c r="AQ249" s="1">
        <v>44114</v>
      </c>
    </row>
    <row r="250" spans="1:43" s="37" customFormat="1" x14ac:dyDescent="0.25">
      <c r="A250" s="37" t="str">
        <f t="shared" si="18"/>
        <v>2012Xavier VignonChateauneuf du Pape Cuvee Anonyme</v>
      </c>
      <c r="B250" s="37">
        <v>2012</v>
      </c>
      <c r="C250" s="37" t="s">
        <v>405</v>
      </c>
      <c r="D250" s="37" t="s">
        <v>454</v>
      </c>
      <c r="E250" s="69" t="s">
        <v>1904</v>
      </c>
      <c r="F250" s="37" t="s">
        <v>742</v>
      </c>
      <c r="G250" s="37" t="s">
        <v>759</v>
      </c>
      <c r="H250" s="37" t="s">
        <v>762</v>
      </c>
      <c r="I250" s="8">
        <v>1</v>
      </c>
      <c r="J250" s="38">
        <v>750</v>
      </c>
      <c r="K250" s="38" t="s">
        <v>385</v>
      </c>
      <c r="L250" s="10">
        <f>COUNTIF(Drank!A:A,Table1[[#This Row],[ID]])</f>
        <v>0</v>
      </c>
      <c r="M250" s="37" t="s">
        <v>202</v>
      </c>
      <c r="N250" s="37" t="s">
        <v>207</v>
      </c>
      <c r="O250" s="37">
        <v>1</v>
      </c>
      <c r="P250" s="10">
        <v>2015</v>
      </c>
      <c r="Q250" s="37">
        <v>2027</v>
      </c>
      <c r="R250" s="10" t="str">
        <f>IF(IFERROR(VLOOKUP(A250,Drank!A:S,15,FALSE),"")=0,"",IFERROR(VLOOKUP(A250,Drank!A:S,15,FALSE),""))</f>
        <v/>
      </c>
      <c r="S250" s="10" t="str">
        <f>IF(IFERROR(VLOOKUP(A250,Drank!A:S,16,FALSE),"")=0,"",IFERROR(VLOOKUP(A250,Drank!A:S,16,FALSE),""))</f>
        <v/>
      </c>
      <c r="T250" s="10"/>
      <c r="U250" s="37">
        <v>95</v>
      </c>
      <c r="V250" s="18" t="str">
        <f>IF(IFERROR(VLOOKUP(A250,Drank!A:T,19,FALSE),"")=0,"",IFERROR(VLOOKUP(A250,Drank!A:T,19,FALSE),""))</f>
        <v/>
      </c>
      <c r="W250" s="1" t="str">
        <f>IF(IFERROR(VLOOKUP(A250,Drank!A:T,20,FALSE),"")=0,"",IFERROR(VLOOKUP(A250,Drank!A:T,20,FALSE),""))</f>
        <v/>
      </c>
      <c r="X250" s="10">
        <f>SUMIF(A:A,A250,I:I)</f>
        <v>4</v>
      </c>
      <c r="Y250" s="10">
        <f>IF(Table1[[#This Row],[Drank]]&gt;0,VLOOKUP(Table1[[#This Row],[ID]],Drank!A:P,16,FALSE),IF(Table1[[#This Row],[WALDD]]&gt;0,VLOOKUP(Table1[[#This Row],[ID]],Wine1!A:Q,17,FALSE),Table1[[#This Row],[EP]]))</f>
        <v>2027</v>
      </c>
      <c r="Z250" s="18">
        <f>IF(Table1[[#This Row],[My Rating]]="",IF(Table1[[#This Row],[WA Rating Clean]]="","",Table1[[#This Row],[WA Rating Clean]]),Table1[[#This Row],[My Rating]])</f>
        <v>95</v>
      </c>
      <c r="AA250" s="37">
        <v>2023</v>
      </c>
      <c r="AB250" s="128">
        <v>42.6</v>
      </c>
      <c r="AC250" s="2">
        <f t="shared" si="19"/>
        <v>42.6</v>
      </c>
      <c r="AD250" s="8"/>
      <c r="AE250" s="10">
        <f>IF(Table1[[#This Row],[P/750]]&lt;20,1,IF(Table1[[#This Row],[P/750]]&lt;50,2,3))</f>
        <v>2</v>
      </c>
      <c r="AF250" s="10">
        <f>IF(Table1[[#This Row],[P/750]]&lt;Expenses!$C$30,1,IF(Table1[[#This Row],[P/750]]&lt;Expenses!$C$31,2,IF(Table1[[#This Row],[P/750]]&lt;Expenses!$C$32,3,4)))</f>
        <v>3</v>
      </c>
      <c r="AH250" s="37" t="s">
        <v>385</v>
      </c>
      <c r="AI250" s="11">
        <f>Table1[[#This Row],[Price]]/Table1[[#This Row],[Size (ml)]]*750</f>
        <v>42.6</v>
      </c>
      <c r="AJ250" s="37">
        <v>95</v>
      </c>
      <c r="AK250" s="10">
        <f>COUNTIF(UniqueID!A:A,Table1[[#This Row],[ID]])</f>
        <v>0</v>
      </c>
      <c r="AL250" s="10" t="str">
        <f>VLOOKUP(Table1[[#This Row],[Cellar Location]],Location!A:F,6,FALSE)</f>
        <v>W</v>
      </c>
      <c r="AN250" s="1">
        <v>44081</v>
      </c>
      <c r="AO250" s="10" t="str">
        <f>TEXT(Table1[[#This Row],[Purchased]],"mmmm")</f>
        <v>September</v>
      </c>
      <c r="AP250" s="10" t="str">
        <f>TEXT(Table1[[#This Row],[Purchased]],"yyyy")</f>
        <v>2020</v>
      </c>
      <c r="AQ250" s="1">
        <v>44114</v>
      </c>
    </row>
    <row r="251" spans="1:43" s="37" customFormat="1" x14ac:dyDescent="0.25">
      <c r="A251" s="37" t="str">
        <f t="shared" si="18"/>
        <v>2012Xavier VignonChateauneuf du Pape Cuvee Anonyme</v>
      </c>
      <c r="B251" s="37">
        <v>2012</v>
      </c>
      <c r="C251" s="37" t="s">
        <v>405</v>
      </c>
      <c r="D251" s="37" t="s">
        <v>454</v>
      </c>
      <c r="E251" s="69" t="s">
        <v>1904</v>
      </c>
      <c r="F251" s="37" t="s">
        <v>742</v>
      </c>
      <c r="G251" s="37" t="s">
        <v>759</v>
      </c>
      <c r="H251" s="37" t="s">
        <v>762</v>
      </c>
      <c r="I251" s="8">
        <v>1</v>
      </c>
      <c r="J251" s="38">
        <v>750</v>
      </c>
      <c r="K251" s="38" t="s">
        <v>385</v>
      </c>
      <c r="L251" s="10">
        <f>COUNTIF(Drank!A:A,Table1[[#This Row],[ID]])</f>
        <v>0</v>
      </c>
      <c r="M251" s="37" t="s">
        <v>202</v>
      </c>
      <c r="N251" s="37" t="s">
        <v>207</v>
      </c>
      <c r="O251" s="37">
        <v>1</v>
      </c>
      <c r="P251" s="10">
        <v>2015</v>
      </c>
      <c r="Q251" s="37">
        <v>2027</v>
      </c>
      <c r="R251" s="10" t="str">
        <f>IF(IFERROR(VLOOKUP(A251,Drank!A:S,15,FALSE),"")=0,"",IFERROR(VLOOKUP(A251,Drank!A:S,15,FALSE),""))</f>
        <v/>
      </c>
      <c r="S251" s="10" t="str">
        <f>IF(IFERROR(VLOOKUP(A251,Drank!A:S,16,FALSE),"")=0,"",IFERROR(VLOOKUP(A251,Drank!A:S,16,FALSE),""))</f>
        <v/>
      </c>
      <c r="T251" s="10"/>
      <c r="U251" s="37">
        <v>95</v>
      </c>
      <c r="V251" s="18" t="str">
        <f>IF(IFERROR(VLOOKUP(A251,Drank!A:T,19,FALSE),"")=0,"",IFERROR(VLOOKUP(A251,Drank!A:T,19,FALSE),""))</f>
        <v/>
      </c>
      <c r="W251" s="1" t="str">
        <f>IF(IFERROR(VLOOKUP(A251,Drank!A:T,20,FALSE),"")=0,"",IFERROR(VLOOKUP(A251,Drank!A:T,20,FALSE),""))</f>
        <v/>
      </c>
      <c r="X251" s="10">
        <f>SUMIF(A:A,A251,I:I)</f>
        <v>4</v>
      </c>
      <c r="Y251" s="10">
        <f>IF(Table1[[#This Row],[Drank]]&gt;0,VLOOKUP(Table1[[#This Row],[ID]],Drank!A:P,16,FALSE),IF(Table1[[#This Row],[WALDD]]&gt;0,VLOOKUP(Table1[[#This Row],[ID]],Wine1!A:Q,17,FALSE),Table1[[#This Row],[EP]]))</f>
        <v>2027</v>
      </c>
      <c r="Z251" s="18">
        <f>IF(Table1[[#This Row],[My Rating]]="",IF(Table1[[#This Row],[WA Rating Clean]]="","",Table1[[#This Row],[WA Rating Clean]]),Table1[[#This Row],[My Rating]])</f>
        <v>95</v>
      </c>
      <c r="AA251" s="37">
        <v>2025</v>
      </c>
      <c r="AB251" s="128">
        <v>42.6</v>
      </c>
      <c r="AC251" s="2">
        <f t="shared" si="19"/>
        <v>42.6</v>
      </c>
      <c r="AD251" s="8"/>
      <c r="AE251" s="10">
        <f>IF(Table1[[#This Row],[P/750]]&lt;20,1,IF(Table1[[#This Row],[P/750]]&lt;50,2,3))</f>
        <v>2</v>
      </c>
      <c r="AF251" s="10">
        <f>IF(Table1[[#This Row],[P/750]]&lt;Expenses!$C$30,1,IF(Table1[[#This Row],[P/750]]&lt;Expenses!$C$31,2,IF(Table1[[#This Row],[P/750]]&lt;Expenses!$C$32,3,4)))</f>
        <v>3</v>
      </c>
      <c r="AH251" s="37" t="s">
        <v>385</v>
      </c>
      <c r="AI251" s="11">
        <f>Table1[[#This Row],[Price]]/Table1[[#This Row],[Size (ml)]]*750</f>
        <v>42.6</v>
      </c>
      <c r="AJ251" s="37">
        <v>95</v>
      </c>
      <c r="AK251" s="10">
        <f>COUNTIF(UniqueID!A:A,Table1[[#This Row],[ID]])</f>
        <v>0</v>
      </c>
      <c r="AL251" s="10" t="str">
        <f>VLOOKUP(Table1[[#This Row],[Cellar Location]],Location!A:F,6,FALSE)</f>
        <v>W</v>
      </c>
      <c r="AN251" s="1">
        <v>44081</v>
      </c>
      <c r="AO251" s="10" t="str">
        <f>TEXT(Table1[[#This Row],[Purchased]],"mmmm")</f>
        <v>September</v>
      </c>
      <c r="AP251" s="10" t="str">
        <f>TEXT(Table1[[#This Row],[Purchased]],"yyyy")</f>
        <v>2020</v>
      </c>
      <c r="AQ251" s="1">
        <v>44114</v>
      </c>
    </row>
    <row r="252" spans="1:43" s="37" customFormat="1" x14ac:dyDescent="0.25">
      <c r="A252" s="37" t="str">
        <f t="shared" si="18"/>
        <v>2012Xavier VignonChateauneuf du Pape Cuvee Anonyme</v>
      </c>
      <c r="B252" s="37">
        <v>2012</v>
      </c>
      <c r="C252" s="37" t="s">
        <v>405</v>
      </c>
      <c r="D252" s="37" t="s">
        <v>454</v>
      </c>
      <c r="E252" s="69" t="s">
        <v>1904</v>
      </c>
      <c r="F252" s="37" t="s">
        <v>742</v>
      </c>
      <c r="G252" s="37" t="s">
        <v>759</v>
      </c>
      <c r="H252" s="37" t="s">
        <v>762</v>
      </c>
      <c r="I252" s="8">
        <v>1</v>
      </c>
      <c r="J252" s="38">
        <v>750</v>
      </c>
      <c r="K252" s="38" t="s">
        <v>385</v>
      </c>
      <c r="L252" s="10">
        <f>COUNTIF(Drank!A:A,Table1[[#This Row],[ID]])</f>
        <v>0</v>
      </c>
      <c r="M252" s="37" t="s">
        <v>202</v>
      </c>
      <c r="N252" s="37" t="s">
        <v>207</v>
      </c>
      <c r="O252" s="37">
        <v>1</v>
      </c>
      <c r="P252" s="10">
        <v>2015</v>
      </c>
      <c r="Q252" s="37">
        <v>2027</v>
      </c>
      <c r="R252" s="10" t="str">
        <f>IF(IFERROR(VLOOKUP(A252,Drank!A:S,15,FALSE),"")=0,"",IFERROR(VLOOKUP(A252,Drank!A:S,15,FALSE),""))</f>
        <v/>
      </c>
      <c r="S252" s="10" t="str">
        <f>IF(IFERROR(VLOOKUP(A252,Drank!A:S,16,FALSE),"")=0,"",IFERROR(VLOOKUP(A252,Drank!A:S,16,FALSE),""))</f>
        <v/>
      </c>
      <c r="T252" s="10"/>
      <c r="U252" s="37">
        <v>95</v>
      </c>
      <c r="V252" s="18" t="str">
        <f>IF(IFERROR(VLOOKUP(A252,Drank!A:T,19,FALSE),"")=0,"",IFERROR(VLOOKUP(A252,Drank!A:T,19,FALSE),""))</f>
        <v/>
      </c>
      <c r="W252" s="1" t="str">
        <f>IF(IFERROR(VLOOKUP(A252,Drank!A:T,20,FALSE),"")=0,"",IFERROR(VLOOKUP(A252,Drank!A:T,20,FALSE),""))</f>
        <v/>
      </c>
      <c r="X252" s="10">
        <f>SUMIF(A:A,A252,I:I)</f>
        <v>4</v>
      </c>
      <c r="Y252" s="10">
        <f>IF(Table1[[#This Row],[Drank]]&gt;0,VLOOKUP(Table1[[#This Row],[ID]],Drank!A:P,16,FALSE),IF(Table1[[#This Row],[WALDD]]&gt;0,VLOOKUP(Table1[[#This Row],[ID]],Wine1!A:Q,17,FALSE),Table1[[#This Row],[EP]]))</f>
        <v>2027</v>
      </c>
      <c r="Z252" s="18">
        <f>IF(Table1[[#This Row],[My Rating]]="",IF(Table1[[#This Row],[WA Rating Clean]]="","",Table1[[#This Row],[WA Rating Clean]]),Table1[[#This Row],[My Rating]])</f>
        <v>95</v>
      </c>
      <c r="AA252" s="37">
        <v>2026</v>
      </c>
      <c r="AB252" s="128">
        <v>42.6</v>
      </c>
      <c r="AC252" s="2">
        <f t="shared" si="19"/>
        <v>42.6</v>
      </c>
      <c r="AD252" s="8"/>
      <c r="AE252" s="10">
        <f>IF(Table1[[#This Row],[P/750]]&lt;20,1,IF(Table1[[#This Row],[P/750]]&lt;50,2,3))</f>
        <v>2</v>
      </c>
      <c r="AF252" s="10">
        <f>IF(Table1[[#This Row],[P/750]]&lt;Expenses!$C$30,1,IF(Table1[[#This Row],[P/750]]&lt;Expenses!$C$31,2,IF(Table1[[#This Row],[P/750]]&lt;Expenses!$C$32,3,4)))</f>
        <v>3</v>
      </c>
      <c r="AH252" s="37" t="s">
        <v>385</v>
      </c>
      <c r="AI252" s="11">
        <f>Table1[[#This Row],[Price]]/Table1[[#This Row],[Size (ml)]]*750</f>
        <v>42.6</v>
      </c>
      <c r="AJ252" s="37">
        <v>95</v>
      </c>
      <c r="AK252" s="10">
        <f>COUNTIF(UniqueID!A:A,Table1[[#This Row],[ID]])</f>
        <v>0</v>
      </c>
      <c r="AL252" s="10" t="str">
        <f>VLOOKUP(Table1[[#This Row],[Cellar Location]],Location!A:F,6,FALSE)</f>
        <v>W</v>
      </c>
      <c r="AN252" s="1">
        <v>44081</v>
      </c>
      <c r="AO252" s="10" t="str">
        <f>TEXT(Table1[[#This Row],[Purchased]],"mmmm")</f>
        <v>September</v>
      </c>
      <c r="AP252" s="10" t="str">
        <f>TEXT(Table1[[#This Row],[Purchased]],"yyyy")</f>
        <v>2020</v>
      </c>
      <c r="AQ252" s="1">
        <v>44114</v>
      </c>
    </row>
    <row r="253" spans="1:43" s="37" customFormat="1" x14ac:dyDescent="0.25">
      <c r="A253" s="37" t="str">
        <f t="shared" si="18"/>
        <v>2015Giuseppe CampagnolaAmarone della Valpolicella Classico Vigneti Vallata di Marano</v>
      </c>
      <c r="B253" s="37">
        <v>2015</v>
      </c>
      <c r="C253" s="37" t="s">
        <v>311</v>
      </c>
      <c r="D253" s="37" t="s">
        <v>592</v>
      </c>
      <c r="E253" s="64" t="s">
        <v>313</v>
      </c>
      <c r="F253" s="37" t="s">
        <v>728</v>
      </c>
      <c r="G253" s="37" t="s">
        <v>799</v>
      </c>
      <c r="H253" s="37" t="s">
        <v>800</v>
      </c>
      <c r="I253" s="8">
        <v>1</v>
      </c>
      <c r="J253" s="38">
        <v>750</v>
      </c>
      <c r="K253" s="38" t="s">
        <v>384</v>
      </c>
      <c r="L253" s="10">
        <f>COUNTIF(Drank!A:A,Table1[[#This Row],[ID]])</f>
        <v>1</v>
      </c>
      <c r="M253" s="37" t="s">
        <v>202</v>
      </c>
      <c r="N253" s="37" t="s">
        <v>207</v>
      </c>
      <c r="O253" s="37">
        <v>1</v>
      </c>
      <c r="P253" s="10">
        <v>2019</v>
      </c>
      <c r="Q253" s="37">
        <v>2028</v>
      </c>
      <c r="R253" s="10">
        <f>IF(IFERROR(VLOOKUP(A253,Drank!A:S,15,FALSE),"")=0,"",IFERROR(VLOOKUP(A253,Drank!A:S,15,FALSE),""))</f>
        <v>2025</v>
      </c>
      <c r="S253" s="10">
        <f>IF(IFERROR(VLOOKUP(A253,Drank!A:S,16,FALSE),"")=0,"",IFERROR(VLOOKUP(A253,Drank!A:S,16,FALSE),""))</f>
        <v>2028</v>
      </c>
      <c r="T253" s="10"/>
      <c r="U253" s="37">
        <v>91</v>
      </c>
      <c r="V253" s="18">
        <f>IF(IFERROR(VLOOKUP(A253,Drank!A:T,19,FALSE),"")=0,"",IFERROR(VLOOKUP(A253,Drank!A:T,19,FALSE),""))</f>
        <v>92</v>
      </c>
      <c r="W253" s="1">
        <f>IF(IFERROR(VLOOKUP(A253,Drank!A:T,20,FALSE),"")=0,"",IFERROR(VLOOKUP(A253,Drank!A:T,20,FALSE),""))</f>
        <v>43890</v>
      </c>
      <c r="X253" s="10">
        <f>SUMIF(A:A,A253,I:I)</f>
        <v>8</v>
      </c>
      <c r="Y253" s="10">
        <f>IF(Table1[[#This Row],[Drank]]&gt;0,VLOOKUP(Table1[[#This Row],[ID]],Drank!A:P,16,FALSE),IF(Table1[[#This Row],[WALDD]]&gt;0,VLOOKUP(Table1[[#This Row],[ID]],Wine1!A:Q,17,FALSE),Table1[[#This Row],[EP]]))</f>
        <v>2028</v>
      </c>
      <c r="Z253" s="18">
        <f>IF(Table1[[#This Row],[My Rating]]="",IF(Table1[[#This Row],[WA Rating Clean]]="","",Table1[[#This Row],[WA Rating Clean]]),Table1[[#This Row],[My Rating]])</f>
        <v>92</v>
      </c>
      <c r="AA253" s="37">
        <v>2021</v>
      </c>
      <c r="AB253" s="128">
        <v>32.58</v>
      </c>
      <c r="AC253" s="2">
        <f t="shared" si="19"/>
        <v>32.58</v>
      </c>
      <c r="AD253" s="8">
        <v>1</v>
      </c>
      <c r="AE253" s="10">
        <f>IF(Table1[[#This Row],[P/750]]&lt;20,1,IF(Table1[[#This Row],[P/750]]&lt;50,2,3))</f>
        <v>2</v>
      </c>
      <c r="AF253" s="10">
        <f>IF(Table1[[#This Row],[P/750]]&lt;Expenses!$C$30,1,IF(Table1[[#This Row],[P/750]]&lt;Expenses!$C$31,2,IF(Table1[[#This Row],[P/750]]&lt;Expenses!$C$32,3,4)))</f>
        <v>3</v>
      </c>
      <c r="AH253" s="37" t="s">
        <v>384</v>
      </c>
      <c r="AI253" s="11">
        <f>Table1[[#This Row],[Price]]/Table1[[#This Row],[Size (ml)]]*750</f>
        <v>32.58</v>
      </c>
      <c r="AJ253" s="37">
        <v>91</v>
      </c>
      <c r="AK253" s="10">
        <f>COUNTIF(UniqueID!A:A,Table1[[#This Row],[ID]])</f>
        <v>1</v>
      </c>
      <c r="AL253" s="10" t="str">
        <f>VLOOKUP(Table1[[#This Row],[Cellar Location]],Location!A:F,6,FALSE)</f>
        <v>W</v>
      </c>
      <c r="AN253" s="1">
        <v>44063</v>
      </c>
      <c r="AO253" s="10" t="str">
        <f>TEXT(Table1[[#This Row],[Purchased]],"mmmm")</f>
        <v>August</v>
      </c>
      <c r="AP253" s="10" t="str">
        <f>TEXT(Table1[[#This Row],[Purchased]],"yyyy")</f>
        <v>2020</v>
      </c>
      <c r="AQ253" s="1">
        <v>44137</v>
      </c>
    </row>
    <row r="254" spans="1:43" s="37" customFormat="1" x14ac:dyDescent="0.25">
      <c r="A254" s="37" t="str">
        <f t="shared" si="18"/>
        <v>Schloss VollradsRiesling Spatlese</v>
      </c>
      <c r="C254" s="37" t="s">
        <v>1604</v>
      </c>
      <c r="D254" s="37" t="s">
        <v>1694</v>
      </c>
      <c r="E254" s="69" t="s">
        <v>1608</v>
      </c>
      <c r="F254" s="37" t="s">
        <v>1606</v>
      </c>
      <c r="G254" s="69" t="s">
        <v>1607</v>
      </c>
      <c r="I254" s="8">
        <v>1</v>
      </c>
      <c r="J254" s="38">
        <v>750</v>
      </c>
      <c r="K254" s="38" t="s">
        <v>1687</v>
      </c>
      <c r="L254" s="10">
        <f>COUNTIF(Drank!A:A,Table1[[#This Row],[ID]])</f>
        <v>0</v>
      </c>
      <c r="M254" s="37" t="s">
        <v>201</v>
      </c>
      <c r="N254" s="37" t="s">
        <v>207</v>
      </c>
      <c r="O254" s="37">
        <v>0</v>
      </c>
      <c r="R254" s="10" t="str">
        <f>IF(IFERROR(VLOOKUP(A254,Drank!A:S,15,FALSE),"")=0,"",IFERROR(VLOOKUP(A254,Drank!A:S,15,FALSE),""))</f>
        <v/>
      </c>
      <c r="S254" s="10" t="str">
        <f>IF(IFERROR(VLOOKUP(A254,Drank!A:S,16,FALSE),"")=0,"",IFERROR(VLOOKUP(A254,Drank!A:S,16,FALSE),""))</f>
        <v/>
      </c>
      <c r="T254" s="10">
        <v>2028</v>
      </c>
      <c r="V254" s="18" t="str">
        <f>IF(IFERROR(VLOOKUP(A254,Drank!A:T,19,FALSE),"")=0,"",IFERROR(VLOOKUP(A254,Drank!A:T,19,FALSE),""))</f>
        <v/>
      </c>
      <c r="W254" s="1" t="str">
        <f>IF(IFERROR(VLOOKUP(A254,Drank!A:T,20,FALSE),"")=0,"",IFERROR(VLOOKUP(A254,Drank!A:T,20,FALSE),""))</f>
        <v/>
      </c>
      <c r="X254" s="10">
        <f>SUMIF(A:A,A254,I:I)</f>
        <v>2</v>
      </c>
      <c r="Y254" s="10">
        <f>IF(Table1[[#This Row],[Drank]]&gt;0,VLOOKUP(Table1[[#This Row],[ID]],Drank!A:P,16,FALSE),IF(Table1[[#This Row],[WALDD]]&gt;0,VLOOKUP(Table1[[#This Row],[ID]],Wine1!A:Q,17,FALSE),Table1[[#This Row],[EP]]))</f>
        <v>2028</v>
      </c>
      <c r="Z254" s="18" t="str">
        <f>IF(Table1[[#This Row],[My Rating]]="",IF(Table1[[#This Row],[WA Rating Clean]]="","",Table1[[#This Row],[WA Rating Clean]]),Table1[[#This Row],[My Rating]])</f>
        <v/>
      </c>
      <c r="AA254" s="8">
        <v>2021</v>
      </c>
      <c r="AB254" s="128">
        <v>34.33</v>
      </c>
      <c r="AC254" s="2">
        <f t="shared" si="19"/>
        <v>34.33</v>
      </c>
      <c r="AD254" s="8">
        <v>1</v>
      </c>
      <c r="AE254" s="10">
        <f>IF(Table1[[#This Row],[P/750]]&lt;20,1,IF(Table1[[#This Row],[P/750]]&lt;50,2,3))</f>
        <v>2</v>
      </c>
      <c r="AF254" s="10">
        <f>IF(Table1[[#This Row],[P/750]]&lt;Expenses!$C$30,1,IF(Table1[[#This Row],[P/750]]&lt;Expenses!$C$31,2,IF(Table1[[#This Row],[P/750]]&lt;Expenses!$C$32,3,4)))</f>
        <v>3</v>
      </c>
      <c r="AH254" s="37" t="s">
        <v>1189</v>
      </c>
      <c r="AI254" s="11">
        <f>Table1[[#This Row],[Price]]/Table1[[#This Row],[Size (ml)]]*750</f>
        <v>34.33</v>
      </c>
      <c r="AK254" s="10">
        <f>COUNTIF(UniqueID!A:A,Table1[[#This Row],[ID]])</f>
        <v>0</v>
      </c>
      <c r="AL254" s="10" t="str">
        <f>VLOOKUP(Table1[[#This Row],[Cellar Location]],Location!A:F,6,FALSE)</f>
        <v>W</v>
      </c>
      <c r="AN254" s="1">
        <v>44061</v>
      </c>
      <c r="AO254" s="10" t="str">
        <f>TEXT(Table1[[#This Row],[Purchased]],"mmmm")</f>
        <v>August</v>
      </c>
      <c r="AP254" s="10" t="str">
        <f>TEXT(Table1[[#This Row],[Purchased]],"yyyy")</f>
        <v>2020</v>
      </c>
      <c r="AQ254" s="1">
        <v>44137</v>
      </c>
    </row>
    <row r="255" spans="1:43" s="37" customFormat="1" x14ac:dyDescent="0.25">
      <c r="A255" s="20" t="str">
        <f t="shared" si="18"/>
        <v>2017Richard RottiersMoulin-Ã -Vent Foudres</v>
      </c>
      <c r="B255" s="8">
        <v>2017</v>
      </c>
      <c r="C255" s="37" t="s">
        <v>445</v>
      </c>
      <c r="D255" s="37" t="s">
        <v>446</v>
      </c>
      <c r="E255" s="69" t="s">
        <v>336</v>
      </c>
      <c r="F255" s="37" t="s">
        <v>742</v>
      </c>
      <c r="G255" s="37" t="s">
        <v>745</v>
      </c>
      <c r="H255" s="37" t="s">
        <v>746</v>
      </c>
      <c r="I255" s="37">
        <v>1</v>
      </c>
      <c r="J255" s="107">
        <v>750</v>
      </c>
      <c r="K255" s="8" t="s">
        <v>640</v>
      </c>
      <c r="L255" s="10">
        <f>COUNTIF(Drank!A:A,Table1[[#This Row],[ID]])</f>
        <v>2</v>
      </c>
      <c r="M255" s="37" t="s">
        <v>202</v>
      </c>
      <c r="N255" s="37" t="s">
        <v>207</v>
      </c>
      <c r="O255" s="37">
        <v>1</v>
      </c>
      <c r="P255" s="10">
        <v>2019</v>
      </c>
      <c r="Q255" s="37">
        <v>2029</v>
      </c>
      <c r="R255" s="10">
        <f>IF(IFERROR(VLOOKUP(A255,Drank!A:S,15,FALSE),"")=0,"",IFERROR(VLOOKUP(A255,Drank!A:S,15,FALSE),""))</f>
        <v>2021</v>
      </c>
      <c r="S255" s="10">
        <f>IF(IFERROR(VLOOKUP(A255,Drank!A:S,16,FALSE),"")=0,"",IFERROR(VLOOKUP(A255,Drank!A:S,16,FALSE),""))</f>
        <v>2029</v>
      </c>
      <c r="T255" s="10"/>
      <c r="U255" s="37">
        <v>92</v>
      </c>
      <c r="V255" s="18">
        <f>IF(IFERROR(VLOOKUP(A255,Drank!A:T,19,FALSE),"")=0,"",IFERROR(VLOOKUP(A255,Drank!A:T,19,FALSE),""))</f>
        <v>90</v>
      </c>
      <c r="W255" s="1">
        <f>IF(IFERROR(VLOOKUP(A255,Drank!A:T,20,FALSE),"")=0,"",IFERROR(VLOOKUP(A255,Drank!A:T,20,FALSE),""))</f>
        <v>43835</v>
      </c>
      <c r="X255" s="10">
        <f>SUMIF(A:A,A255,I:I)</f>
        <v>10</v>
      </c>
      <c r="Y255" s="10">
        <f>IF(Table1[[#This Row],[Drank]]&gt;0,VLOOKUP(Table1[[#This Row],[ID]],Drank!A:P,16,FALSE),IF(Table1[[#This Row],[WALDD]]&gt;0,VLOOKUP(Table1[[#This Row],[ID]],Wine1!A:Q,17,FALSE),Table1[[#This Row],[EP]]))</f>
        <v>2029</v>
      </c>
      <c r="Z255" s="18">
        <f>IF(Table1[[#This Row],[My Rating]]="",IF(Table1[[#This Row],[WA Rating Clean]]="","",Table1[[#This Row],[WA Rating Clean]]),Table1[[#This Row],[My Rating]])</f>
        <v>90</v>
      </c>
      <c r="AA255" s="8">
        <v>2021</v>
      </c>
      <c r="AB255" s="128">
        <v>14.99</v>
      </c>
      <c r="AC255" s="2">
        <f t="shared" si="19"/>
        <v>14.99</v>
      </c>
      <c r="AD255" s="8">
        <v>0</v>
      </c>
      <c r="AE255" s="10">
        <f>IF(Table1[[#This Row],[P/750]]&lt;20,1,IF(Table1[[#This Row],[P/750]]&lt;50,2,3))</f>
        <v>1</v>
      </c>
      <c r="AF255" s="10">
        <f>IF(Table1[[#This Row],[P/750]]&lt;Expenses!$C$30,1,IF(Table1[[#This Row],[P/750]]&lt;Expenses!$C$31,2,IF(Table1[[#This Row],[P/750]]&lt;Expenses!$C$32,3,4)))</f>
        <v>1</v>
      </c>
      <c r="AH255" s="37" t="s">
        <v>384</v>
      </c>
      <c r="AI255" s="11">
        <f>Table1[[#This Row],[Price]]/Table1[[#This Row],[Size (ml)]]*750</f>
        <v>14.99</v>
      </c>
      <c r="AJ255" s="37">
        <v>92</v>
      </c>
      <c r="AK255" s="37">
        <f>COUNTIF(UniqueID!A:A,Table1[[#This Row],[ID]])</f>
        <v>1</v>
      </c>
      <c r="AL255" s="37" t="str">
        <f>VLOOKUP(Table1[[#This Row],[Cellar Location]],Location!A:F,6,FALSE)</f>
        <v>S</v>
      </c>
      <c r="AN255" s="1">
        <v>44062</v>
      </c>
      <c r="AO255" s="37" t="str">
        <f>TEXT(Table1[[#This Row],[Purchased]],"mmmm")</f>
        <v>August</v>
      </c>
      <c r="AP255" s="10" t="str">
        <f>TEXT(Table1[[#This Row],[Purchased]],"yyyy")</f>
        <v>2020</v>
      </c>
      <c r="AQ255" s="10"/>
    </row>
    <row r="256" spans="1:43" s="37" customFormat="1" x14ac:dyDescent="0.25">
      <c r="A256" s="37" t="str">
        <f t="shared" si="18"/>
        <v>2017Altos Las HormigasMalbec Appellation Gualtallary</v>
      </c>
      <c r="B256" s="37">
        <v>2017</v>
      </c>
      <c r="C256" s="37" t="s">
        <v>232</v>
      </c>
      <c r="D256" s="9" t="s">
        <v>233</v>
      </c>
      <c r="E256" s="67" t="s">
        <v>1207</v>
      </c>
      <c r="F256" s="37" t="s">
        <v>731</v>
      </c>
      <c r="G256" s="37" t="s">
        <v>732</v>
      </c>
      <c r="H256" s="37" t="s">
        <v>1190</v>
      </c>
      <c r="I256" s="8">
        <v>1</v>
      </c>
      <c r="J256" s="37">
        <v>750</v>
      </c>
      <c r="K256" s="8" t="s">
        <v>25</v>
      </c>
      <c r="L256" s="10">
        <f>COUNTIF(Drank!A:A,Table1[[#This Row],[ID]])</f>
        <v>1</v>
      </c>
      <c r="M256" s="37" t="s">
        <v>202</v>
      </c>
      <c r="N256" s="37" t="s">
        <v>207</v>
      </c>
      <c r="O256" s="37">
        <v>1</v>
      </c>
      <c r="P256" s="10">
        <v>2019</v>
      </c>
      <c r="Q256" s="37">
        <v>2030</v>
      </c>
      <c r="R256" s="10">
        <f>IF(IFERROR(VLOOKUP(A256,Drank!A:S,15,FALSE),"")=0,"",IFERROR(VLOOKUP(A256,Drank!A:S,15,FALSE),""))</f>
        <v>2022</v>
      </c>
      <c r="S256" s="10">
        <f>IF(IFERROR(VLOOKUP(A256,Drank!A:S,16,FALSE),"")=0,"",IFERROR(VLOOKUP(A256,Drank!A:S,16,FALSE),""))</f>
        <v>2030</v>
      </c>
      <c r="T256" s="10"/>
      <c r="U256" s="37" t="s">
        <v>1180</v>
      </c>
      <c r="V256" s="18">
        <f>IF(IFERROR(VLOOKUP(A256,Drank!A:T,19,FALSE),"")=0,"",IFERROR(VLOOKUP(A256,Drank!A:T,19,FALSE),""))</f>
        <v>94</v>
      </c>
      <c r="W256" s="1">
        <f>IF(IFERROR(VLOOKUP(A256,Drank!A:T,20,FALSE),"")=0,"",IFERROR(VLOOKUP(A256,Drank!A:T,20,FALSE),""))</f>
        <v>43953</v>
      </c>
      <c r="X256" s="10">
        <f>SUMIF(A:A,A256,I:I)</f>
        <v>38</v>
      </c>
      <c r="Y256" s="10">
        <f>IF(Table1[[#This Row],[Drank]]&gt;0,VLOOKUP(Table1[[#This Row],[ID]],Drank!A:P,16,FALSE),IF(Table1[[#This Row],[WALDD]]&gt;0,VLOOKUP(Table1[[#This Row],[ID]],Wine1!A:Q,17,FALSE),Table1[[#This Row],[EP]]))</f>
        <v>2030</v>
      </c>
      <c r="Z256" s="18">
        <f>IF(Table1[[#This Row],[My Rating]]="",IF(Table1[[#This Row],[WA Rating Clean]]="","",Table1[[#This Row],[WA Rating Clean]]),Table1[[#This Row],[My Rating]])</f>
        <v>94</v>
      </c>
      <c r="AA256" s="37">
        <v>2021</v>
      </c>
      <c r="AB256" s="128">
        <v>35.85</v>
      </c>
      <c r="AC256" s="2">
        <f t="shared" si="19"/>
        <v>35.85</v>
      </c>
      <c r="AD256" s="8">
        <v>1</v>
      </c>
      <c r="AE256" s="10">
        <f>IF(Table1[[#This Row],[P/750]]&lt;20,1,IF(Table1[[#This Row],[P/750]]&lt;50,2,3))</f>
        <v>2</v>
      </c>
      <c r="AF256" s="10">
        <f>IF(Table1[[#This Row],[P/750]]&lt;Expenses!$C$30,1,IF(Table1[[#This Row],[P/750]]&lt;Expenses!$C$31,2,IF(Table1[[#This Row],[P/750]]&lt;Expenses!$C$32,3,4)))</f>
        <v>3</v>
      </c>
      <c r="AH256" s="37" t="s">
        <v>1128</v>
      </c>
      <c r="AI256" s="11">
        <f>Table1[[#This Row],[Price]]/Table1[[#This Row],[Size (ml)]]*750</f>
        <v>35.85</v>
      </c>
      <c r="AJ256" s="37">
        <v>96</v>
      </c>
      <c r="AK256" s="10">
        <f>COUNTIF(UniqueID!A:A,Table1[[#This Row],[ID]])</f>
        <v>1</v>
      </c>
      <c r="AL256" s="10" t="str">
        <f>VLOOKUP(Table1[[#This Row],[Cellar Location]],Location!A:F,6,FALSE)</f>
        <v>K</v>
      </c>
      <c r="AN256" s="1">
        <v>44070</v>
      </c>
      <c r="AO256" s="10" t="str">
        <f>TEXT(Table1[[#This Row],[Purchased]],"mmmm")</f>
        <v>August</v>
      </c>
      <c r="AP256" s="10" t="str">
        <f>TEXT(Table1[[#This Row],[Purchased]],"yyyy")</f>
        <v>2020</v>
      </c>
      <c r="AQ256" s="1"/>
    </row>
    <row r="257" spans="1:43" s="37" customFormat="1" x14ac:dyDescent="0.25">
      <c r="A257" s="37" t="str">
        <f t="shared" si="18"/>
        <v>2017Altos Las HormigasMalbec Appellation Gualtallary</v>
      </c>
      <c r="B257" s="37">
        <v>2017</v>
      </c>
      <c r="C257" s="37" t="s">
        <v>232</v>
      </c>
      <c r="D257" s="9" t="s">
        <v>233</v>
      </c>
      <c r="E257" s="67" t="s">
        <v>1207</v>
      </c>
      <c r="F257" s="37" t="s">
        <v>731</v>
      </c>
      <c r="G257" s="37" t="s">
        <v>732</v>
      </c>
      <c r="H257" s="37" t="s">
        <v>1190</v>
      </c>
      <c r="I257" s="8">
        <v>1</v>
      </c>
      <c r="J257" s="37">
        <v>750</v>
      </c>
      <c r="K257" s="8" t="s">
        <v>25</v>
      </c>
      <c r="L257" s="10">
        <f>COUNTIF(Drank!A:A,Table1[[#This Row],[ID]])</f>
        <v>1</v>
      </c>
      <c r="M257" s="37" t="s">
        <v>202</v>
      </c>
      <c r="N257" s="37" t="s">
        <v>207</v>
      </c>
      <c r="O257" s="37">
        <v>1</v>
      </c>
      <c r="P257" s="10">
        <v>2019</v>
      </c>
      <c r="Q257" s="37">
        <v>2030</v>
      </c>
      <c r="R257" s="10">
        <f>IF(IFERROR(VLOOKUP(A257,Drank!A:S,15,FALSE),"")=0,"",IFERROR(VLOOKUP(A257,Drank!A:S,15,FALSE),""))</f>
        <v>2022</v>
      </c>
      <c r="S257" s="10">
        <f>IF(IFERROR(VLOOKUP(A257,Drank!A:S,16,FALSE),"")=0,"",IFERROR(VLOOKUP(A257,Drank!A:S,16,FALSE),""))</f>
        <v>2030</v>
      </c>
      <c r="T257" s="10"/>
      <c r="U257" s="37" t="s">
        <v>1180</v>
      </c>
      <c r="V257" s="18">
        <f>IF(IFERROR(VLOOKUP(A257,Drank!A:T,19,FALSE),"")=0,"",IFERROR(VLOOKUP(A257,Drank!A:T,19,FALSE),""))</f>
        <v>94</v>
      </c>
      <c r="W257" s="1">
        <f>IF(IFERROR(VLOOKUP(A257,Drank!A:T,20,FALSE),"")=0,"",IFERROR(VLOOKUP(A257,Drank!A:T,20,FALSE),""))</f>
        <v>43953</v>
      </c>
      <c r="X257" s="10">
        <f>SUMIF(A:A,A257,I:I)</f>
        <v>38</v>
      </c>
      <c r="Y257" s="10">
        <f>IF(Table1[[#This Row],[Drank]]&gt;0,VLOOKUP(Table1[[#This Row],[ID]],Drank!A:P,16,FALSE),IF(Table1[[#This Row],[WALDD]]&gt;0,VLOOKUP(Table1[[#This Row],[ID]],Wine1!A:Q,17,FALSE),Table1[[#This Row],[EP]]))</f>
        <v>2030</v>
      </c>
      <c r="Z257" s="18">
        <f>IF(Table1[[#This Row],[My Rating]]="",IF(Table1[[#This Row],[WA Rating Clean]]="","",Table1[[#This Row],[WA Rating Clean]]),Table1[[#This Row],[My Rating]])</f>
        <v>94</v>
      </c>
      <c r="AA257" s="37">
        <v>2021</v>
      </c>
      <c r="AB257" s="128">
        <v>35.85</v>
      </c>
      <c r="AC257" s="2">
        <f t="shared" si="19"/>
        <v>35.85</v>
      </c>
      <c r="AD257" s="8">
        <v>1</v>
      </c>
      <c r="AE257" s="10">
        <f>IF(Table1[[#This Row],[P/750]]&lt;20,1,IF(Table1[[#This Row],[P/750]]&lt;50,2,3))</f>
        <v>2</v>
      </c>
      <c r="AF257" s="10">
        <f>IF(Table1[[#This Row],[P/750]]&lt;Expenses!$C$30,1,IF(Table1[[#This Row],[P/750]]&lt;Expenses!$C$31,2,IF(Table1[[#This Row],[P/750]]&lt;Expenses!$C$32,3,4)))</f>
        <v>3</v>
      </c>
      <c r="AH257" s="37" t="s">
        <v>1128</v>
      </c>
      <c r="AI257" s="11">
        <f>Table1[[#This Row],[Price]]/Table1[[#This Row],[Size (ml)]]*750</f>
        <v>35.85</v>
      </c>
      <c r="AJ257" s="37">
        <v>96</v>
      </c>
      <c r="AK257" s="10">
        <f>COUNTIF(UniqueID!A:A,Table1[[#This Row],[ID]])</f>
        <v>1</v>
      </c>
      <c r="AL257" s="10" t="str">
        <f>VLOOKUP(Table1[[#This Row],[Cellar Location]],Location!A:F,6,FALSE)</f>
        <v>K</v>
      </c>
      <c r="AN257" s="1">
        <v>44070</v>
      </c>
      <c r="AO257" s="10" t="str">
        <f>TEXT(Table1[[#This Row],[Purchased]],"mmmm")</f>
        <v>August</v>
      </c>
      <c r="AP257" s="10" t="str">
        <f>TEXT(Table1[[#This Row],[Purchased]],"yyyy")</f>
        <v>2020</v>
      </c>
      <c r="AQ257" s="1"/>
    </row>
    <row r="258" spans="1:43" s="37" customFormat="1" x14ac:dyDescent="0.25">
      <c r="A258" s="37" t="str">
        <f t="shared" si="18"/>
        <v>2017Altos Las HormigasMalbec Appellation Gualtallary</v>
      </c>
      <c r="B258" s="37">
        <v>2017</v>
      </c>
      <c r="C258" s="37" t="s">
        <v>232</v>
      </c>
      <c r="D258" s="9" t="s">
        <v>233</v>
      </c>
      <c r="E258" s="67" t="s">
        <v>1207</v>
      </c>
      <c r="F258" s="37" t="s">
        <v>731</v>
      </c>
      <c r="G258" s="37" t="s">
        <v>732</v>
      </c>
      <c r="H258" s="37" t="s">
        <v>1190</v>
      </c>
      <c r="I258" s="8">
        <v>1</v>
      </c>
      <c r="J258" s="37">
        <v>750</v>
      </c>
      <c r="K258" s="8" t="s">
        <v>25</v>
      </c>
      <c r="L258" s="10">
        <f>COUNTIF(Drank!A:A,Table1[[#This Row],[ID]])</f>
        <v>1</v>
      </c>
      <c r="M258" s="37" t="s">
        <v>202</v>
      </c>
      <c r="N258" s="37" t="s">
        <v>207</v>
      </c>
      <c r="O258" s="37">
        <v>1</v>
      </c>
      <c r="P258" s="10">
        <v>2019</v>
      </c>
      <c r="Q258" s="37">
        <v>2030</v>
      </c>
      <c r="R258" s="10">
        <f>IF(IFERROR(VLOOKUP(A258,Drank!A:S,15,FALSE),"")=0,"",IFERROR(VLOOKUP(A258,Drank!A:S,15,FALSE),""))</f>
        <v>2022</v>
      </c>
      <c r="S258" s="10">
        <f>IF(IFERROR(VLOOKUP(A258,Drank!A:S,16,FALSE),"")=0,"",IFERROR(VLOOKUP(A258,Drank!A:S,16,FALSE),""))</f>
        <v>2030</v>
      </c>
      <c r="T258" s="10"/>
      <c r="U258" s="37" t="s">
        <v>1180</v>
      </c>
      <c r="V258" s="18">
        <f>IF(IFERROR(VLOOKUP(A258,Drank!A:T,19,FALSE),"")=0,"",IFERROR(VLOOKUP(A258,Drank!A:T,19,FALSE),""))</f>
        <v>94</v>
      </c>
      <c r="W258" s="1">
        <f>IF(IFERROR(VLOOKUP(A258,Drank!A:T,20,FALSE),"")=0,"",IFERROR(VLOOKUP(A258,Drank!A:T,20,FALSE),""))</f>
        <v>43953</v>
      </c>
      <c r="X258" s="10">
        <f>SUMIF(A:A,A258,I:I)</f>
        <v>38</v>
      </c>
      <c r="Y258" s="10">
        <f>IF(Table1[[#This Row],[Drank]]&gt;0,VLOOKUP(Table1[[#This Row],[ID]],Drank!A:P,16,FALSE),IF(Table1[[#This Row],[WALDD]]&gt;0,VLOOKUP(Table1[[#This Row],[ID]],Wine1!A:Q,17,FALSE),Table1[[#This Row],[EP]]))</f>
        <v>2030</v>
      </c>
      <c r="Z258" s="18">
        <f>IF(Table1[[#This Row],[My Rating]]="",IF(Table1[[#This Row],[WA Rating Clean]]="","",Table1[[#This Row],[WA Rating Clean]]),Table1[[#This Row],[My Rating]])</f>
        <v>94</v>
      </c>
      <c r="AA258" s="37">
        <v>2021</v>
      </c>
      <c r="AB258" s="128">
        <v>35.85</v>
      </c>
      <c r="AC258" s="2">
        <f t="shared" si="19"/>
        <v>35.85</v>
      </c>
      <c r="AD258" s="8">
        <v>1</v>
      </c>
      <c r="AE258" s="10">
        <f>IF(Table1[[#This Row],[P/750]]&lt;20,1,IF(Table1[[#This Row],[P/750]]&lt;50,2,3))</f>
        <v>2</v>
      </c>
      <c r="AF258" s="10">
        <f>IF(Table1[[#This Row],[P/750]]&lt;Expenses!$C$30,1,IF(Table1[[#This Row],[P/750]]&lt;Expenses!$C$31,2,IF(Table1[[#This Row],[P/750]]&lt;Expenses!$C$32,3,4)))</f>
        <v>3</v>
      </c>
      <c r="AH258" s="37" t="s">
        <v>1128</v>
      </c>
      <c r="AI258" s="11">
        <f>Table1[[#This Row],[Price]]/Table1[[#This Row],[Size (ml)]]*750</f>
        <v>35.85</v>
      </c>
      <c r="AJ258" s="37">
        <v>96</v>
      </c>
      <c r="AK258" s="10">
        <f>COUNTIF(UniqueID!A:A,Table1[[#This Row],[ID]])</f>
        <v>1</v>
      </c>
      <c r="AL258" s="10" t="str">
        <f>VLOOKUP(Table1[[#This Row],[Cellar Location]],Location!A:F,6,FALSE)</f>
        <v>K</v>
      </c>
      <c r="AN258" s="1">
        <v>44070</v>
      </c>
      <c r="AO258" s="10" t="str">
        <f>TEXT(Table1[[#This Row],[Purchased]],"mmmm")</f>
        <v>August</v>
      </c>
      <c r="AP258" s="10" t="str">
        <f>TEXT(Table1[[#This Row],[Purchased]],"yyyy")</f>
        <v>2020</v>
      </c>
      <c r="AQ258" s="1"/>
    </row>
    <row r="259" spans="1:43" s="37" customFormat="1" x14ac:dyDescent="0.25">
      <c r="A259" s="37" t="str">
        <f t="shared" si="18"/>
        <v>2015Tenuta VitanzaBrunello di Montalcino</v>
      </c>
      <c r="B259" s="37">
        <v>2015</v>
      </c>
      <c r="C259" s="19" t="s">
        <v>214</v>
      </c>
      <c r="D259" s="9" t="s">
        <v>19</v>
      </c>
      <c r="E259" s="68" t="s">
        <v>1250</v>
      </c>
      <c r="F259" s="37" t="s">
        <v>728</v>
      </c>
      <c r="G259" s="37" t="s">
        <v>790</v>
      </c>
      <c r="H259" s="37" t="s">
        <v>19</v>
      </c>
      <c r="I259" s="37">
        <v>1</v>
      </c>
      <c r="J259" s="38">
        <v>750</v>
      </c>
      <c r="K259" s="38" t="s">
        <v>384</v>
      </c>
      <c r="L259" s="10">
        <f>COUNTIF(Drank!A:A,Table1[[#This Row],[ID]])</f>
        <v>0</v>
      </c>
      <c r="M259" s="37" t="s">
        <v>202</v>
      </c>
      <c r="N259" s="37" t="s">
        <v>207</v>
      </c>
      <c r="O259" s="37">
        <v>0</v>
      </c>
      <c r="R259" s="10" t="str">
        <f>IF(IFERROR(VLOOKUP(A259,Drank!A:S,15,FALSE),"")=0,"",IFERROR(VLOOKUP(A259,Drank!A:S,15,FALSE),""))</f>
        <v/>
      </c>
      <c r="S259" s="10" t="str">
        <f>IF(IFERROR(VLOOKUP(A259,Drank!A:S,16,FALSE),"")=0,"",IFERROR(VLOOKUP(A259,Drank!A:S,16,FALSE),""))</f>
        <v/>
      </c>
      <c r="T259" s="10">
        <v>2030</v>
      </c>
      <c r="V259" s="18" t="str">
        <f>IF(IFERROR(VLOOKUP(A259,Drank!A:T,19,FALSE),"")=0,"",IFERROR(VLOOKUP(A259,Drank!A:T,19,FALSE),""))</f>
        <v/>
      </c>
      <c r="W259" s="1" t="str">
        <f>IF(IFERROR(VLOOKUP(A259,Drank!A:T,20,FALSE),"")=0,"",IFERROR(VLOOKUP(A259,Drank!A:T,20,FALSE),""))</f>
        <v/>
      </c>
      <c r="X259" s="10">
        <f>SUMIF(A:A,A259,I:I)</f>
        <v>4</v>
      </c>
      <c r="Y259" s="10">
        <f>IF(Table1[[#This Row],[Drank]]&gt;0,VLOOKUP(Table1[[#This Row],[ID]],Drank!A:P,16,FALSE),IF(Table1[[#This Row],[WALDD]]&gt;0,VLOOKUP(Table1[[#This Row],[ID]],Wine1!A:Q,17,FALSE),Table1[[#This Row],[EP]]))</f>
        <v>2030</v>
      </c>
      <c r="Z259" s="18" t="str">
        <f>IF(Table1[[#This Row],[My Rating]]="",IF(Table1[[#This Row],[WA Rating Clean]]="","",Table1[[#This Row],[WA Rating Clean]]),Table1[[#This Row],[My Rating]])</f>
        <v/>
      </c>
      <c r="AA259" s="37">
        <v>2021</v>
      </c>
      <c r="AB259" s="128">
        <v>32.58</v>
      </c>
      <c r="AC259" s="2">
        <f t="shared" si="19"/>
        <v>32.58</v>
      </c>
      <c r="AD259" s="8">
        <v>1</v>
      </c>
      <c r="AE259" s="10">
        <f>IF(Table1[[#This Row],[P/750]]&lt;20,1,IF(Table1[[#This Row],[P/750]]&lt;50,2,3))</f>
        <v>2</v>
      </c>
      <c r="AF259" s="10">
        <f>IF(Table1[[#This Row],[P/750]]&lt;Expenses!$C$30,1,IF(Table1[[#This Row],[P/750]]&lt;Expenses!$C$31,2,IF(Table1[[#This Row],[P/750]]&lt;Expenses!$C$32,3,4)))</f>
        <v>3</v>
      </c>
      <c r="AH259" s="37" t="s">
        <v>384</v>
      </c>
      <c r="AI259" s="11">
        <f>Table1[[#This Row],[Price]]/Table1[[#This Row],[Size (ml)]]*750</f>
        <v>32.58</v>
      </c>
      <c r="AK259" s="10">
        <f>COUNTIF(UniqueID!A:A,Table1[[#This Row],[ID]])</f>
        <v>0</v>
      </c>
      <c r="AL259" s="10" t="str">
        <f>VLOOKUP(Table1[[#This Row],[Cellar Location]],Location!A:F,6,FALSE)</f>
        <v>W</v>
      </c>
      <c r="AN259" s="1">
        <v>44023</v>
      </c>
      <c r="AO259" s="10" t="str">
        <f>TEXT(Table1[[#This Row],[Purchased]],"mmmm")</f>
        <v>July</v>
      </c>
      <c r="AP259" s="10" t="str">
        <f>TEXT(Table1[[#This Row],[Purchased]],"yyyy")</f>
        <v>2020</v>
      </c>
      <c r="AQ259" s="1">
        <v>44137</v>
      </c>
    </row>
    <row r="260" spans="1:43" s="37" customFormat="1" x14ac:dyDescent="0.25">
      <c r="A260" s="37" t="str">
        <f t="shared" si="18"/>
        <v>2015Fattoria le PupillePoggio Valente</v>
      </c>
      <c r="B260" s="37">
        <v>2015</v>
      </c>
      <c r="C260" s="37" t="s">
        <v>1474</v>
      </c>
      <c r="D260" s="37" t="s">
        <v>1475</v>
      </c>
      <c r="E260" s="9" t="s">
        <v>1250</v>
      </c>
      <c r="F260" s="37" t="s">
        <v>728</v>
      </c>
      <c r="G260" s="37" t="s">
        <v>790</v>
      </c>
      <c r="H260" s="37" t="s">
        <v>796</v>
      </c>
      <c r="I260" s="37">
        <v>1</v>
      </c>
      <c r="J260" s="38">
        <v>750</v>
      </c>
      <c r="K260" s="38" t="s">
        <v>415</v>
      </c>
      <c r="L260" s="10">
        <f>COUNTIF(Drank!A:A,Table1[[#This Row],[ID]])</f>
        <v>0</v>
      </c>
      <c r="M260" s="37" t="s">
        <v>202</v>
      </c>
      <c r="N260" s="37" t="s">
        <v>207</v>
      </c>
      <c r="O260" s="37">
        <v>1</v>
      </c>
      <c r="P260" s="10">
        <v>2018</v>
      </c>
      <c r="Q260" s="37">
        <v>2030</v>
      </c>
      <c r="R260" s="10" t="str">
        <f>IF(IFERROR(VLOOKUP(A260,Drank!A:S,15,FALSE),"")=0,"",IFERROR(VLOOKUP(A260,Drank!A:S,15,FALSE),""))</f>
        <v/>
      </c>
      <c r="S260" s="10" t="str">
        <f>IF(IFERROR(VLOOKUP(A260,Drank!A:S,16,FALSE),"")=0,"",IFERROR(VLOOKUP(A260,Drank!A:S,16,FALSE),""))</f>
        <v/>
      </c>
      <c r="T260" s="10"/>
      <c r="U260" s="37">
        <v>94</v>
      </c>
      <c r="V260" s="18" t="str">
        <f>IF(IFERROR(VLOOKUP(A260,Drank!A:T,19,FALSE),"")=0,"",IFERROR(VLOOKUP(A260,Drank!A:T,19,FALSE),""))</f>
        <v/>
      </c>
      <c r="W260" s="1" t="str">
        <f>IF(IFERROR(VLOOKUP(A260,Drank!A:T,20,FALSE),"")=0,"",IFERROR(VLOOKUP(A260,Drank!A:T,20,FALSE),""))</f>
        <v/>
      </c>
      <c r="X260" s="10">
        <f>SUMIF(A:A,A260,I:I)</f>
        <v>2</v>
      </c>
      <c r="Y260" s="10">
        <f>IF(Table1[[#This Row],[Drank]]&gt;0,VLOOKUP(Table1[[#This Row],[ID]],Drank!A:P,16,FALSE),IF(Table1[[#This Row],[WALDD]]&gt;0,VLOOKUP(Table1[[#This Row],[ID]],Wine1!A:Q,17,FALSE),Table1[[#This Row],[EP]]))</f>
        <v>2030</v>
      </c>
      <c r="Z260" s="18">
        <f>IF(Table1[[#This Row],[My Rating]]="",IF(Table1[[#This Row],[WA Rating Clean]]="","",Table1[[#This Row],[WA Rating Clean]]),Table1[[#This Row],[My Rating]])</f>
        <v>94</v>
      </c>
      <c r="AA260" s="37">
        <v>2021</v>
      </c>
      <c r="AB260" s="128">
        <v>35.99</v>
      </c>
      <c r="AC260" s="2">
        <f t="shared" si="19"/>
        <v>35.99</v>
      </c>
      <c r="AD260" s="8">
        <v>1</v>
      </c>
      <c r="AE260" s="10">
        <f>IF(Table1[[#This Row],[P/750]]&lt;20,1,IF(Table1[[#This Row],[P/750]]&lt;50,2,3))</f>
        <v>2</v>
      </c>
      <c r="AF260" s="10">
        <f>IF(Table1[[#This Row],[P/750]]&lt;Expenses!$C$30,1,IF(Table1[[#This Row],[P/750]]&lt;Expenses!$C$31,2,IF(Table1[[#This Row],[P/750]]&lt;Expenses!$C$32,3,4)))</f>
        <v>3</v>
      </c>
      <c r="AH260" s="37" t="s">
        <v>415</v>
      </c>
      <c r="AI260" s="11">
        <f>Table1[[#This Row],[Price]]/Table1[[#This Row],[Size (ml)]]*750</f>
        <v>35.99</v>
      </c>
      <c r="AJ260" s="37">
        <v>94</v>
      </c>
      <c r="AK260" s="10">
        <f>COUNTIF(UniqueID!A:A,Table1[[#This Row],[ID]])</f>
        <v>0</v>
      </c>
      <c r="AL260" s="10" t="str">
        <f>VLOOKUP(Table1[[#This Row],[Cellar Location]],Location!A:F,6,FALSE)</f>
        <v>W</v>
      </c>
      <c r="AN260" s="1">
        <v>44015</v>
      </c>
      <c r="AO260" s="10" t="str">
        <f>TEXT(Table1[[#This Row],[Purchased]],"mmmm")</f>
        <v>July</v>
      </c>
      <c r="AP260" s="10" t="str">
        <f>TEXT(Table1[[#This Row],[Purchased]],"yyyy")</f>
        <v>2020</v>
      </c>
      <c r="AQ260" s="1">
        <v>44114</v>
      </c>
    </row>
    <row r="261" spans="1:43" s="37" customFormat="1" x14ac:dyDescent="0.25">
      <c r="A261" s="37" t="str">
        <f t="shared" si="18"/>
        <v>2016Domaine du Grand TinelChateauneuf du Pape Cuvee Alexis Establet</v>
      </c>
      <c r="B261" s="67">
        <v>2016</v>
      </c>
      <c r="C261" s="103" t="s">
        <v>1168</v>
      </c>
      <c r="D261" s="113" t="s">
        <v>1169</v>
      </c>
      <c r="E261" s="67" t="s">
        <v>1248</v>
      </c>
      <c r="F261" s="37" t="s">
        <v>742</v>
      </c>
      <c r="G261" s="37" t="s">
        <v>759</v>
      </c>
      <c r="H261" s="9" t="s">
        <v>762</v>
      </c>
      <c r="I261" s="37">
        <v>1</v>
      </c>
      <c r="J261" s="37">
        <v>750</v>
      </c>
      <c r="K261" s="8" t="s">
        <v>589</v>
      </c>
      <c r="L261" s="10">
        <f>COUNTIF(Drank!A:A,Table1[[#This Row],[ID]])</f>
        <v>0</v>
      </c>
      <c r="M261" s="37" t="s">
        <v>202</v>
      </c>
      <c r="N261" s="37" t="s">
        <v>207</v>
      </c>
      <c r="O261" s="37">
        <v>1</v>
      </c>
      <c r="P261" s="10">
        <v>2019</v>
      </c>
      <c r="Q261" s="37">
        <v>2030</v>
      </c>
      <c r="R261" s="10" t="str">
        <f>IF(IFERROR(VLOOKUP(A261,Drank!A:S,15,FALSE),"")=0,"",IFERROR(VLOOKUP(A261,Drank!A:S,15,FALSE),""))</f>
        <v/>
      </c>
      <c r="S261" s="10" t="str">
        <f>IF(IFERROR(VLOOKUP(A261,Drank!A:S,16,FALSE),"")=0,"",IFERROR(VLOOKUP(A261,Drank!A:S,16,FALSE),""))</f>
        <v/>
      </c>
      <c r="T261" s="10"/>
      <c r="U261" s="37" t="s">
        <v>1170</v>
      </c>
      <c r="V261" s="18" t="str">
        <f>IF(IFERROR(VLOOKUP(A261,Drank!A:T,19,FALSE),"")=0,"",IFERROR(VLOOKUP(A261,Drank!A:T,19,FALSE),""))</f>
        <v/>
      </c>
      <c r="W261" s="1" t="str">
        <f>IF(IFERROR(VLOOKUP(A261,Drank!A:T,20,FALSE),"")=0,"",IFERROR(VLOOKUP(A261,Drank!A:T,20,FALSE),""))</f>
        <v/>
      </c>
      <c r="X261" s="10">
        <f>SUMIF(A:A,A261,I:I)</f>
        <v>4</v>
      </c>
      <c r="Y261" s="10">
        <f>IF(Table1[[#This Row],[Drank]]&gt;0,VLOOKUP(Table1[[#This Row],[ID]],Drank!A:P,16,FALSE),IF(Table1[[#This Row],[WALDD]]&gt;0,VLOOKUP(Table1[[#This Row],[ID]],Wine1!A:Q,17,FALSE),Table1[[#This Row],[EP]]))</f>
        <v>2030</v>
      </c>
      <c r="Z261" s="18">
        <f>IF(Table1[[#This Row],[My Rating]]="",IF(Table1[[#This Row],[WA Rating Clean]]="","",Table1[[#This Row],[WA Rating Clean]]),Table1[[#This Row],[My Rating]])</f>
        <v>95</v>
      </c>
      <c r="AA261" s="37">
        <v>2021</v>
      </c>
      <c r="AB261" s="128">
        <v>39.99</v>
      </c>
      <c r="AC261" s="2">
        <f t="shared" si="19"/>
        <v>39.99</v>
      </c>
      <c r="AD261" s="8">
        <v>0</v>
      </c>
      <c r="AE261" s="10">
        <f>IF(Table1[[#This Row],[P/750]]&lt;20,1,IF(Table1[[#This Row],[P/750]]&lt;50,2,3))</f>
        <v>2</v>
      </c>
      <c r="AF261" s="10">
        <f>IF(Table1[[#This Row],[P/750]]&lt;Expenses!$C$30,1,IF(Table1[[#This Row],[P/750]]&lt;Expenses!$C$31,2,IF(Table1[[#This Row],[P/750]]&lt;Expenses!$C$32,3,4)))</f>
        <v>3</v>
      </c>
      <c r="AH261" s="37" t="s">
        <v>384</v>
      </c>
      <c r="AI261" s="11">
        <f>Table1[[#This Row],[Price]]/Table1[[#This Row],[Size (ml)]]*750</f>
        <v>39.99</v>
      </c>
      <c r="AJ261" s="37">
        <v>95</v>
      </c>
      <c r="AK261" s="10">
        <f>COUNTIF(UniqueID!A:A,Table1[[#This Row],[ID]])</f>
        <v>1</v>
      </c>
      <c r="AL261" s="10" t="str">
        <f>VLOOKUP(Table1[[#This Row],[Cellar Location]],Location!A:F,6,FALSE)</f>
        <v>C</v>
      </c>
      <c r="AN261" s="1">
        <v>43854</v>
      </c>
      <c r="AO261" s="37" t="str">
        <f>TEXT(Table1[[#This Row],[Purchased]],"mmmm")</f>
        <v>January</v>
      </c>
      <c r="AP261" s="10" t="str">
        <f>TEXT(Table1[[#This Row],[Purchased]],"yyyy")</f>
        <v>2020</v>
      </c>
      <c r="AQ261" s="10"/>
    </row>
    <row r="262" spans="1:43" s="37" customFormat="1" x14ac:dyDescent="0.25">
      <c r="A262" s="20" t="str">
        <f t="shared" si="18"/>
        <v>2016Quinta do ValladoTouriga Nacional</v>
      </c>
      <c r="B262" s="63">
        <v>2016</v>
      </c>
      <c r="C262" s="9" t="s">
        <v>210</v>
      </c>
      <c r="D262" s="9" t="s">
        <v>211</v>
      </c>
      <c r="E262" s="68" t="s">
        <v>1221</v>
      </c>
      <c r="F262" s="9" t="s">
        <v>804</v>
      </c>
      <c r="G262" s="9" t="s">
        <v>805</v>
      </c>
      <c r="H262" s="9"/>
      <c r="I262" s="37">
        <v>1</v>
      </c>
      <c r="J262" s="107">
        <v>750</v>
      </c>
      <c r="K262" s="8" t="s">
        <v>640</v>
      </c>
      <c r="L262" s="37">
        <f>COUNTIF(Drank!A:A,Table1[[#This Row],[ID]])</f>
        <v>4</v>
      </c>
      <c r="M262" s="37" t="s">
        <v>202</v>
      </c>
      <c r="N262" s="37" t="s">
        <v>207</v>
      </c>
      <c r="O262" s="37">
        <v>1</v>
      </c>
      <c r="P262" s="37">
        <v>2020</v>
      </c>
      <c r="Q262" s="37">
        <v>2032</v>
      </c>
      <c r="R262" s="37">
        <f>IF(IFERROR(VLOOKUP(A262,Drank!A:S,15,FALSE),"")=0,"",IFERROR(VLOOKUP(A262,Drank!A:S,15,FALSE),""))</f>
        <v>2021</v>
      </c>
      <c r="S262" s="37">
        <f>IF(IFERROR(VLOOKUP(A262,Drank!A:S,16,FALSE),"")=0,"",IFERROR(VLOOKUP(A262,Drank!A:S,16,FALSE),""))</f>
        <v>2030</v>
      </c>
      <c r="U262" s="37">
        <v>93</v>
      </c>
      <c r="V262" s="18">
        <f>IF(IFERROR(VLOOKUP(A262,Drank!A:T,19,FALSE),"")=0,"",IFERROR(VLOOKUP(A262,Drank!A:T,19,FALSE),""))</f>
        <v>92</v>
      </c>
      <c r="W262" s="1">
        <f>IF(IFERROR(VLOOKUP(A262,Drank!A:T,20,FALSE),"")=0,"",IFERROR(VLOOKUP(A262,Drank!A:T,20,FALSE),""))</f>
        <v>43847</v>
      </c>
      <c r="X262" s="37">
        <f>SUMIF(A:A,A262,I:I)</f>
        <v>7</v>
      </c>
      <c r="Y262" s="37">
        <f>IF(Table1[[#This Row],[Drank]]&gt;0,VLOOKUP(Table1[[#This Row],[ID]],Drank!A:P,16,FALSE),IF(Table1[[#This Row],[WALDD]]&gt;0,VLOOKUP(Table1[[#This Row],[ID]],Wine1!A:Q,17,FALSE),Table1[[#This Row],[EP]]))</f>
        <v>2030</v>
      </c>
      <c r="Z262" s="18">
        <f>IF(Table1[[#This Row],[My Rating]]="",IF(Table1[[#This Row],[WA Rating Clean]]="","",Table1[[#This Row],[WA Rating Clean]]),Table1[[#This Row],[My Rating]])</f>
        <v>92</v>
      </c>
      <c r="AA262" s="8">
        <v>2021</v>
      </c>
      <c r="AB262" s="128">
        <v>24.99</v>
      </c>
      <c r="AC262" s="2">
        <f t="shared" si="19"/>
        <v>24.99</v>
      </c>
      <c r="AD262" s="8">
        <v>0</v>
      </c>
      <c r="AE262" s="37">
        <f>IF(Table1[[#This Row],[P/750]]&lt;20,1,IF(Table1[[#This Row],[P/750]]&lt;50,2,3))</f>
        <v>2</v>
      </c>
      <c r="AF262" s="37">
        <f>IF(Table1[[#This Row],[P/750]]&lt;Expenses!$C$30,1,IF(Table1[[#This Row],[P/750]]&lt;Expenses!$C$31,2,IF(Table1[[#This Row],[P/750]]&lt;Expenses!$C$32,3,4)))</f>
        <v>2</v>
      </c>
      <c r="AH262" s="37" t="s">
        <v>384</v>
      </c>
      <c r="AI262" s="11">
        <f>Table1[[#This Row],[Price]]/Table1[[#This Row],[Size (ml)]]*750</f>
        <v>24.989999999999995</v>
      </c>
      <c r="AJ262" s="37">
        <v>93</v>
      </c>
      <c r="AK262" s="37">
        <f>COUNTIF(UniqueID!A:A,Table1[[#This Row],[ID]])</f>
        <v>1</v>
      </c>
      <c r="AL262" s="37" t="str">
        <f>VLOOKUP(Table1[[#This Row],[Cellar Location]],Location!A:F,6,FALSE)</f>
        <v>S</v>
      </c>
      <c r="AO262" s="37" t="str">
        <f>TEXT(Table1[[#This Row],[Purchased]],"mmmm")</f>
        <v>January</v>
      </c>
      <c r="AP262" s="10" t="str">
        <f>TEXT(Table1[[#This Row],[Purchased]],"yyyy")</f>
        <v>1900</v>
      </c>
      <c r="AQ262" s="10"/>
    </row>
    <row r="263" spans="1:43" s="37" customFormat="1" x14ac:dyDescent="0.25">
      <c r="A263" s="37" t="str">
        <f t="shared" si="18"/>
        <v>2015SubstanceCabernet Sauvignon Stoneridge Vineyard</v>
      </c>
      <c r="B263" s="136">
        <v>2015</v>
      </c>
      <c r="C263" s="103" t="s">
        <v>1329</v>
      </c>
      <c r="D263" s="37" t="s">
        <v>1330</v>
      </c>
      <c r="E263" s="69" t="s">
        <v>1331</v>
      </c>
      <c r="F263" s="67" t="s">
        <v>727</v>
      </c>
      <c r="G263" s="37" t="s">
        <v>833</v>
      </c>
      <c r="H263" s="37" t="s">
        <v>834</v>
      </c>
      <c r="I263" s="37">
        <v>1</v>
      </c>
      <c r="J263" s="37">
        <v>750</v>
      </c>
      <c r="K263" s="8" t="s">
        <v>1541</v>
      </c>
      <c r="L263" s="10">
        <f>COUNTIF(Drank!A:A,Table1[[#This Row],[ID]])</f>
        <v>0</v>
      </c>
      <c r="M263" s="37" t="s">
        <v>202</v>
      </c>
      <c r="N263" s="37" t="s">
        <v>207</v>
      </c>
      <c r="O263" s="37">
        <v>1</v>
      </c>
      <c r="P263" s="10">
        <v>2021</v>
      </c>
      <c r="Q263" s="37">
        <v>2030</v>
      </c>
      <c r="R263" s="10" t="str">
        <f>IF(IFERROR(VLOOKUP(A263,Drank!A:S,15,FALSE),"")=0,"",IFERROR(VLOOKUP(A263,Drank!A:S,15,FALSE),""))</f>
        <v/>
      </c>
      <c r="S263" s="10" t="str">
        <f>IF(IFERROR(VLOOKUP(A263,Drank!A:S,16,FALSE),"")=0,"",IFERROR(VLOOKUP(A263,Drank!A:S,16,FALSE),""))</f>
        <v/>
      </c>
      <c r="T263" s="10"/>
      <c r="U263" s="37" t="s">
        <v>29</v>
      </c>
      <c r="V263" s="18" t="str">
        <f>IF(IFERROR(VLOOKUP(A263,Drank!A:T,19,FALSE),"")=0,"",IFERROR(VLOOKUP(A263,Drank!A:T,19,FALSE),""))</f>
        <v/>
      </c>
      <c r="W263" s="1" t="str">
        <f>IF(IFERROR(VLOOKUP(A263,Drank!A:T,20,FALSE),"")=0,"",IFERROR(VLOOKUP(A263,Drank!A:T,20,FALSE),""))</f>
        <v/>
      </c>
      <c r="X263" s="10">
        <f>SUMIF(A:A,A263,I:I)</f>
        <v>2</v>
      </c>
      <c r="Y263" s="10">
        <f>IF(Table1[[#This Row],[Drank]]&gt;0,VLOOKUP(Table1[[#This Row],[ID]],Drank!A:P,16,FALSE),IF(Table1[[#This Row],[WALDD]]&gt;0,VLOOKUP(Table1[[#This Row],[ID]],Wine1!A:Q,17,FALSE),Table1[[#This Row],[EP]]))</f>
        <v>2030</v>
      </c>
      <c r="Z263" s="18">
        <f>IF(Table1[[#This Row],[My Rating]]="",IF(Table1[[#This Row],[WA Rating Clean]]="","",Table1[[#This Row],[WA Rating Clean]]),Table1[[#This Row],[My Rating]])</f>
        <v>92</v>
      </c>
      <c r="AA263" s="8">
        <v>2021</v>
      </c>
      <c r="AB263" s="128">
        <v>32.770000000000003</v>
      </c>
      <c r="AC263" s="2">
        <f t="shared" si="19"/>
        <v>32.770000000000003</v>
      </c>
      <c r="AD263" s="8">
        <v>0</v>
      </c>
      <c r="AE263" s="10">
        <f>IF(Table1[[#This Row],[P/750]]&lt;20,1,IF(Table1[[#This Row],[P/750]]&lt;50,2,3))</f>
        <v>2</v>
      </c>
      <c r="AF263" s="10">
        <f>IF(Table1[[#This Row],[P/750]]&lt;Expenses!$C$30,1,IF(Table1[[#This Row],[P/750]]&lt;Expenses!$C$31,2,IF(Table1[[#This Row],[P/750]]&lt;Expenses!$C$32,3,4)))</f>
        <v>3</v>
      </c>
      <c r="AH263" s="37" t="s">
        <v>385</v>
      </c>
      <c r="AI263" s="11">
        <f>Table1[[#This Row],[Price]]/Table1[[#This Row],[Size (ml)]]*750</f>
        <v>32.770000000000003</v>
      </c>
      <c r="AJ263" s="37">
        <v>92</v>
      </c>
      <c r="AK263" s="10">
        <f>COUNTIF(UniqueID!A:A,Table1[[#This Row],[ID]])</f>
        <v>0</v>
      </c>
      <c r="AL263" s="10" t="str">
        <f>VLOOKUP(Table1[[#This Row],[Cellar Location]],Location!A:F,6,FALSE)</f>
        <v>C</v>
      </c>
      <c r="AN263" s="1">
        <v>43923</v>
      </c>
      <c r="AO263" s="10" t="str">
        <f>TEXT(Table1[[#This Row],[Purchased]],"mmmm")</f>
        <v>April</v>
      </c>
      <c r="AP263" s="10" t="str">
        <f>TEXT(Table1[[#This Row],[Purchased]],"yyyy")</f>
        <v>2020</v>
      </c>
      <c r="AQ263" s="10"/>
    </row>
    <row r="264" spans="1:43" s="37" customFormat="1" x14ac:dyDescent="0.25">
      <c r="A264" s="20" t="str">
        <f t="shared" si="18"/>
        <v>2014Telmo RodriguezPegaso Barrancos de Pizarra</v>
      </c>
      <c r="B264" s="8">
        <v>2014</v>
      </c>
      <c r="C264" s="114" t="s">
        <v>816</v>
      </c>
      <c r="D264" s="113" t="s">
        <v>432</v>
      </c>
      <c r="E264" s="67" t="s">
        <v>1248</v>
      </c>
      <c r="F264" s="37" t="s">
        <v>729</v>
      </c>
      <c r="G264" s="37" t="s">
        <v>1718</v>
      </c>
      <c r="H264" s="37" t="s">
        <v>817</v>
      </c>
      <c r="I264" s="37">
        <v>1</v>
      </c>
      <c r="J264" s="107">
        <v>750</v>
      </c>
      <c r="K264" s="8" t="s">
        <v>640</v>
      </c>
      <c r="L264" s="37">
        <f>COUNTIF(Drank!A:A,Table1[[#This Row],[ID]])</f>
        <v>0</v>
      </c>
      <c r="M264" s="37" t="s">
        <v>202</v>
      </c>
      <c r="N264" s="37" t="s">
        <v>207</v>
      </c>
      <c r="O264" s="37">
        <v>1</v>
      </c>
      <c r="P264" s="37">
        <v>2017</v>
      </c>
      <c r="Q264" s="37">
        <v>2030</v>
      </c>
      <c r="R264" s="10" t="str">
        <f>IF(IFERROR(VLOOKUP(A264,Drank!A:S,15,FALSE),"")=0,"",IFERROR(VLOOKUP(A264,Drank!A:S,15,FALSE),""))</f>
        <v/>
      </c>
      <c r="S264" s="10" t="str">
        <f>IF(IFERROR(VLOOKUP(A264,Drank!A:S,16,FALSE),"")=0,"",IFERROR(VLOOKUP(A264,Drank!A:S,16,FALSE),""))</f>
        <v/>
      </c>
      <c r="T264" s="10"/>
      <c r="U264" s="37">
        <v>95</v>
      </c>
      <c r="V264" s="18" t="str">
        <f>IF(IFERROR(VLOOKUP(A264,Drank!A:T,19,FALSE),"")=0,"",IFERROR(VLOOKUP(A264,Drank!A:T,19,FALSE),""))</f>
        <v/>
      </c>
      <c r="W264" s="1" t="str">
        <f>IF(IFERROR(VLOOKUP(A264,Drank!A:T,20,FALSE),"")=0,"",IFERROR(VLOOKUP(A264,Drank!A:T,20,FALSE),""))</f>
        <v/>
      </c>
      <c r="X264" s="10">
        <f>SUMIF(A:A,A264,I:I)</f>
        <v>6</v>
      </c>
      <c r="Y264" s="37">
        <f>IF(Table1[[#This Row],[Drank]]&gt;0,VLOOKUP(Table1[[#This Row],[ID]],Drank!A:P,16,FALSE),IF(Table1[[#This Row],[WALDD]]&gt;0,VLOOKUP(Table1[[#This Row],[ID]],Wine1!A:Q,17,FALSE),Table1[[#This Row],[EP]]))</f>
        <v>2030</v>
      </c>
      <c r="Z264" s="18">
        <f>IF(Table1[[#This Row],[My Rating]]="",IF(Table1[[#This Row],[WA Rating Clean]]="","",Table1[[#This Row],[WA Rating Clean]]),Table1[[#This Row],[My Rating]])</f>
        <v>95</v>
      </c>
      <c r="AA264" s="8">
        <v>2021</v>
      </c>
      <c r="AB264" s="128">
        <v>25</v>
      </c>
      <c r="AC264" s="2">
        <f t="shared" si="19"/>
        <v>25</v>
      </c>
      <c r="AD264" s="8">
        <v>0</v>
      </c>
      <c r="AE264" s="37">
        <f>IF(Table1[[#This Row],[P/750]]&lt;20,1,IF(Table1[[#This Row],[P/750]]&lt;50,2,3))</f>
        <v>2</v>
      </c>
      <c r="AF264" s="37">
        <f>IF(Table1[[#This Row],[P/750]]&lt;Expenses!$C$30,1,IF(Table1[[#This Row],[P/750]]&lt;Expenses!$C$31,2,IF(Table1[[#This Row],[P/750]]&lt;Expenses!$C$32,3,4)))</f>
        <v>2</v>
      </c>
      <c r="AH264" s="37" t="s">
        <v>385</v>
      </c>
      <c r="AI264" s="11">
        <f>Table1[[#This Row],[Price]]/Table1[[#This Row],[Size (ml)]]*750</f>
        <v>25</v>
      </c>
      <c r="AJ264" s="37">
        <v>95</v>
      </c>
      <c r="AK264" s="37">
        <f>COUNTIF(UniqueID!A:A,Table1[[#This Row],[ID]])</f>
        <v>1</v>
      </c>
      <c r="AL264" s="37" t="str">
        <f>VLOOKUP(Table1[[#This Row],[Cellar Location]],Location!A:F,6,FALSE)</f>
        <v>S</v>
      </c>
      <c r="AO264" s="37" t="str">
        <f>TEXT(Table1[[#This Row],[Purchased]],"mmmm")</f>
        <v>January</v>
      </c>
      <c r="AP264" s="10" t="str">
        <f>TEXT(Table1[[#This Row],[Purchased]],"yyyy")</f>
        <v>1900</v>
      </c>
      <c r="AQ264" s="10"/>
    </row>
    <row r="265" spans="1:43" s="37" customFormat="1" x14ac:dyDescent="0.25">
      <c r="A265" s="20" t="str">
        <f t="shared" si="18"/>
        <v>2014Castellare di CastellinaI Sodi di S. NiccolÃ²</v>
      </c>
      <c r="B265" s="8">
        <v>2014</v>
      </c>
      <c r="C265" s="37" t="s">
        <v>403</v>
      </c>
      <c r="D265" s="25" t="s">
        <v>404</v>
      </c>
      <c r="E265" s="67" t="s">
        <v>1260</v>
      </c>
      <c r="F265" s="37" t="s">
        <v>728</v>
      </c>
      <c r="G265" s="37" t="s">
        <v>790</v>
      </c>
      <c r="H265" s="37" t="s">
        <v>796</v>
      </c>
      <c r="I265" s="37">
        <v>1</v>
      </c>
      <c r="J265" s="107">
        <v>750</v>
      </c>
      <c r="K265" s="8" t="s">
        <v>640</v>
      </c>
      <c r="L265" s="37">
        <f>COUNTIF(Drank!A:A,Table1[[#This Row],[ID]])</f>
        <v>0</v>
      </c>
      <c r="M265" s="37" t="s">
        <v>202</v>
      </c>
      <c r="N265" s="37" t="s">
        <v>207</v>
      </c>
      <c r="O265" s="37">
        <v>1</v>
      </c>
      <c r="P265" s="37">
        <v>2019</v>
      </c>
      <c r="Q265" s="37">
        <v>2033</v>
      </c>
      <c r="R265" s="10" t="str">
        <f>IF(IFERROR(VLOOKUP(A265,Drank!A:S,15,FALSE),"")=0,"",IFERROR(VLOOKUP(A265,Drank!A:S,15,FALSE),""))</f>
        <v/>
      </c>
      <c r="S265" s="10" t="str">
        <f>IF(IFERROR(VLOOKUP(A265,Drank!A:S,16,FALSE),"")=0,"",IFERROR(VLOOKUP(A265,Drank!A:S,16,FALSE),""))</f>
        <v/>
      </c>
      <c r="T265" s="10"/>
      <c r="U265" s="37" t="s">
        <v>17</v>
      </c>
      <c r="V265" s="18" t="str">
        <f>IF(IFERROR(VLOOKUP(A265,Drank!A:T,19,FALSE),"")=0,"",IFERROR(VLOOKUP(A265,Drank!A:T,19,FALSE),""))</f>
        <v/>
      </c>
      <c r="W265" s="1" t="str">
        <f>IF(IFERROR(VLOOKUP(A265,Drank!A:T,20,FALSE),"")=0,"",IFERROR(VLOOKUP(A265,Drank!A:T,20,FALSE),""))</f>
        <v/>
      </c>
      <c r="X265" s="10">
        <f>SUMIF(A:A,A265,I:I)</f>
        <v>4</v>
      </c>
      <c r="Y265" s="37">
        <f>IF(Table1[[#This Row],[Drank]]&gt;0,VLOOKUP(Table1[[#This Row],[ID]],Drank!A:P,16,FALSE),IF(Table1[[#This Row],[WALDD]]&gt;0,VLOOKUP(Table1[[#This Row],[ID]],Wine1!A:Q,17,FALSE),Table1[[#This Row],[EP]]))</f>
        <v>2033</v>
      </c>
      <c r="Z265" s="18">
        <f>IF(Table1[[#This Row],[My Rating]]="",IF(Table1[[#This Row],[WA Rating Clean]]="","",Table1[[#This Row],[WA Rating Clean]]),Table1[[#This Row],[My Rating]])</f>
        <v>94</v>
      </c>
      <c r="AA265" s="8">
        <v>2021</v>
      </c>
      <c r="AB265" s="128">
        <v>52</v>
      </c>
      <c r="AC265" s="2">
        <f t="shared" si="19"/>
        <v>52</v>
      </c>
      <c r="AD265" s="8">
        <v>0</v>
      </c>
      <c r="AE265" s="37">
        <f>IF(Table1[[#This Row],[P/750]]&lt;20,1,IF(Table1[[#This Row],[P/750]]&lt;50,2,3))</f>
        <v>3</v>
      </c>
      <c r="AF265" s="37">
        <f>IF(Table1[[#This Row],[P/750]]&lt;Expenses!$C$30,1,IF(Table1[[#This Row],[P/750]]&lt;Expenses!$C$31,2,IF(Table1[[#This Row],[P/750]]&lt;Expenses!$C$32,3,4)))</f>
        <v>3</v>
      </c>
      <c r="AH265" s="37" t="s">
        <v>385</v>
      </c>
      <c r="AI265" s="11">
        <f>Table1[[#This Row],[Price]]/Table1[[#This Row],[Size (ml)]]*750</f>
        <v>52</v>
      </c>
      <c r="AJ265" s="37">
        <v>94</v>
      </c>
      <c r="AK265" s="37">
        <f>COUNTIF(UniqueID!A:A,Table1[[#This Row],[ID]])</f>
        <v>1</v>
      </c>
      <c r="AL265" s="37" t="str">
        <f>VLOOKUP(Table1[[#This Row],[Cellar Location]],Location!A:F,6,FALSE)</f>
        <v>S</v>
      </c>
      <c r="AO265" s="37" t="str">
        <f>TEXT(Table1[[#This Row],[Purchased]],"mmmm")</f>
        <v>January</v>
      </c>
      <c r="AP265" s="10" t="str">
        <f>TEXT(Table1[[#This Row],[Purchased]],"yyyy")</f>
        <v>1900</v>
      </c>
      <c r="AQ265" s="10"/>
    </row>
    <row r="266" spans="1:43" s="37" customFormat="1" x14ac:dyDescent="0.25">
      <c r="A266" s="37" t="str">
        <f t="shared" si="18"/>
        <v>2015CortonesiBrunello di Montalcino La Mannella</v>
      </c>
      <c r="B266" s="37">
        <v>2015</v>
      </c>
      <c r="C266" s="37" t="s">
        <v>72</v>
      </c>
      <c r="D266" s="25" t="s">
        <v>73</v>
      </c>
      <c r="E266" s="67" t="s">
        <v>1250</v>
      </c>
      <c r="F266" s="37" t="s">
        <v>728</v>
      </c>
      <c r="G266" s="37" t="s">
        <v>790</v>
      </c>
      <c r="H266" s="37" t="s">
        <v>19</v>
      </c>
      <c r="I266" s="8">
        <v>1</v>
      </c>
      <c r="J266" s="38">
        <v>750</v>
      </c>
      <c r="K266" s="38" t="s">
        <v>384</v>
      </c>
      <c r="L266" s="10">
        <f>COUNTIF(Drank!A:A,Table1[[#This Row],[ID]])</f>
        <v>1</v>
      </c>
      <c r="M266" s="37" t="s">
        <v>202</v>
      </c>
      <c r="N266" s="37" t="s">
        <v>207</v>
      </c>
      <c r="O266" s="37">
        <v>1</v>
      </c>
      <c r="P266" s="37">
        <v>2021</v>
      </c>
      <c r="Q266" s="37">
        <v>2035</v>
      </c>
      <c r="R266" s="10">
        <f>IF(IFERROR(VLOOKUP(A266,Drank!A:S,15,FALSE),"")=0,"",IFERROR(VLOOKUP(A266,Drank!A:S,15,FALSE),""))</f>
        <v>2026</v>
      </c>
      <c r="S266" s="10">
        <f>IF(IFERROR(VLOOKUP(A266,Drank!A:S,16,FALSE),"")=0,"",IFERROR(VLOOKUP(A266,Drank!A:S,16,FALSE),""))</f>
        <v>2033</v>
      </c>
      <c r="T266" s="10"/>
      <c r="U266" s="37">
        <v>94</v>
      </c>
      <c r="V266" s="18">
        <f>IF(IFERROR(VLOOKUP(A266,Drank!A:T,19,FALSE),"")=0,"",IFERROR(VLOOKUP(A266,Drank!A:T,19,FALSE),""))</f>
        <v>94</v>
      </c>
      <c r="W266" s="1">
        <f>IF(IFERROR(VLOOKUP(A266,Drank!A:T,20,FALSE),"")=0,"",IFERROR(VLOOKUP(A266,Drank!A:T,20,FALSE),""))</f>
        <v>43995</v>
      </c>
      <c r="X266" s="10">
        <f>SUMIF(A:A,A266,I:I)</f>
        <v>23</v>
      </c>
      <c r="Y266" s="10">
        <f>IF(Table1[[#This Row],[Drank]]&gt;0,VLOOKUP(Table1[[#This Row],[ID]],Drank!A:P,16,FALSE),IF(Table1[[#This Row],[WALDD]]&gt;0,VLOOKUP(Table1[[#This Row],[ID]],Wine1!A:Q,17,FALSE),Table1[[#This Row],[EP]]))</f>
        <v>2033</v>
      </c>
      <c r="Z266" s="18">
        <f>IF(Table1[[#This Row],[My Rating]]="",IF(Table1[[#This Row],[WA Rating Clean]]="","",Table1[[#This Row],[WA Rating Clean]]),Table1[[#This Row],[My Rating]])</f>
        <v>94</v>
      </c>
      <c r="AA266" s="37">
        <v>2021</v>
      </c>
      <c r="AB266" s="128">
        <v>36.92</v>
      </c>
      <c r="AC266" s="2">
        <f t="shared" si="19"/>
        <v>36.92</v>
      </c>
      <c r="AD266" s="8">
        <v>1</v>
      </c>
      <c r="AE266" s="10">
        <f>IF(Table1[[#This Row],[P/750]]&lt;20,1,IF(Table1[[#This Row],[P/750]]&lt;50,2,3))</f>
        <v>2</v>
      </c>
      <c r="AF266" s="10">
        <f>IF(Table1[[#This Row],[P/750]]&lt;Expenses!$C$30,1,IF(Table1[[#This Row],[P/750]]&lt;Expenses!$C$31,2,IF(Table1[[#This Row],[P/750]]&lt;Expenses!$C$32,3,4)))</f>
        <v>3</v>
      </c>
      <c r="AH266" s="37" t="s">
        <v>384</v>
      </c>
      <c r="AI266" s="11">
        <f>Table1[[#This Row],[Price]]/Table1[[#This Row],[Size (ml)]]*750</f>
        <v>36.92</v>
      </c>
      <c r="AJ266" s="37">
        <v>94</v>
      </c>
      <c r="AK266" s="10">
        <f>COUNTIF(UniqueID!A:A,Table1[[#This Row],[ID]])</f>
        <v>0</v>
      </c>
      <c r="AL266" s="10" t="str">
        <f>VLOOKUP(Table1[[#This Row],[Cellar Location]],Location!A:F,6,FALSE)</f>
        <v>W</v>
      </c>
      <c r="AN266" s="1">
        <v>44045</v>
      </c>
      <c r="AO266" s="10" t="str">
        <f>TEXT(Table1[[#This Row],[Purchased]],"mmmm")</f>
        <v>August</v>
      </c>
      <c r="AP266" s="10" t="str">
        <f>TEXT(Table1[[#This Row],[Purchased]],"yyyy")</f>
        <v>2020</v>
      </c>
      <c r="AQ266" s="1">
        <v>44138</v>
      </c>
    </row>
    <row r="267" spans="1:43" s="37" customFormat="1" x14ac:dyDescent="0.25">
      <c r="A267" s="37" t="str">
        <f t="shared" ref="A267" si="20">CONCATENATE(B267,C267,D267)</f>
        <v>2015CortonesiBrunello di Montalcino La Mannella</v>
      </c>
      <c r="B267" s="37">
        <v>2015</v>
      </c>
      <c r="C267" s="37" t="s">
        <v>72</v>
      </c>
      <c r="D267" s="25" t="s">
        <v>73</v>
      </c>
      <c r="E267" s="67" t="s">
        <v>1250</v>
      </c>
      <c r="F267" s="37" t="s">
        <v>728</v>
      </c>
      <c r="G267" s="37" t="s">
        <v>790</v>
      </c>
      <c r="H267" s="37" t="s">
        <v>19</v>
      </c>
      <c r="I267" s="8">
        <v>1</v>
      </c>
      <c r="J267" s="38">
        <v>750</v>
      </c>
      <c r="K267" s="38" t="s">
        <v>384</v>
      </c>
      <c r="L267" s="10">
        <f>COUNTIF(Drank!A:A,Table1[[#This Row],[ID]])</f>
        <v>1</v>
      </c>
      <c r="M267" s="37" t="s">
        <v>202</v>
      </c>
      <c r="N267" s="37" t="s">
        <v>207</v>
      </c>
      <c r="O267" s="37">
        <v>1</v>
      </c>
      <c r="P267" s="37">
        <v>2021</v>
      </c>
      <c r="Q267" s="37">
        <v>2035</v>
      </c>
      <c r="R267" s="10">
        <f>IF(IFERROR(VLOOKUP(A267,Drank!A:S,15,FALSE),"")=0,"",IFERROR(VLOOKUP(A267,Drank!A:S,15,FALSE),""))</f>
        <v>2026</v>
      </c>
      <c r="S267" s="10">
        <f>IF(IFERROR(VLOOKUP(A267,Drank!A:S,16,FALSE),"")=0,"",IFERROR(VLOOKUP(A267,Drank!A:S,16,FALSE),""))</f>
        <v>2033</v>
      </c>
      <c r="T267" s="10"/>
      <c r="U267" s="37">
        <v>94</v>
      </c>
      <c r="V267" s="18">
        <f>IF(IFERROR(VLOOKUP(A267,Drank!A:T,19,FALSE),"")=0,"",IFERROR(VLOOKUP(A267,Drank!A:T,19,FALSE),""))</f>
        <v>94</v>
      </c>
      <c r="W267" s="1">
        <f>IF(IFERROR(VLOOKUP(A267,Drank!A:T,20,FALSE),"")=0,"",IFERROR(VLOOKUP(A267,Drank!A:T,20,FALSE),""))</f>
        <v>43995</v>
      </c>
      <c r="X267" s="10">
        <f>SUMIF(A:A,A267,I:I)</f>
        <v>23</v>
      </c>
      <c r="Y267" s="10">
        <f>IF(Table1[[#This Row],[Drank]]&gt;0,VLOOKUP(Table1[[#This Row],[ID]],Drank!A:P,16,FALSE),IF(Table1[[#This Row],[WALDD]]&gt;0,VLOOKUP(Table1[[#This Row],[ID]],Wine1!A:Q,17,FALSE),Table1[[#This Row],[EP]]))</f>
        <v>2033</v>
      </c>
      <c r="Z267" s="18">
        <f>IF(Table1[[#This Row],[My Rating]]="",IF(Table1[[#This Row],[WA Rating Clean]]="","",Table1[[#This Row],[WA Rating Clean]]),Table1[[#This Row],[My Rating]])</f>
        <v>94</v>
      </c>
      <c r="AA267" s="37">
        <v>2021</v>
      </c>
      <c r="AB267" s="128">
        <v>36.92</v>
      </c>
      <c r="AC267" s="2">
        <f t="shared" ref="AC267" si="21">AB267*I267</f>
        <v>36.92</v>
      </c>
      <c r="AD267" s="8">
        <v>1</v>
      </c>
      <c r="AE267" s="10">
        <f>IF(Table1[[#This Row],[P/750]]&lt;20,1,IF(Table1[[#This Row],[P/750]]&lt;50,2,3))</f>
        <v>2</v>
      </c>
      <c r="AF267" s="10">
        <f>IF(Table1[[#This Row],[P/750]]&lt;Expenses!$C$30,1,IF(Table1[[#This Row],[P/750]]&lt;Expenses!$C$31,2,IF(Table1[[#This Row],[P/750]]&lt;Expenses!$C$32,3,4)))</f>
        <v>3</v>
      </c>
      <c r="AH267" s="37" t="s">
        <v>384</v>
      </c>
      <c r="AI267" s="11">
        <f>Table1[[#This Row],[Price]]/Table1[[#This Row],[Size (ml)]]*750</f>
        <v>36.92</v>
      </c>
      <c r="AJ267" s="37">
        <v>94</v>
      </c>
      <c r="AK267" s="10">
        <f>COUNTIF(UniqueID!A:A,Table1[[#This Row],[ID]])</f>
        <v>0</v>
      </c>
      <c r="AL267" s="10" t="str">
        <f>VLOOKUP(Table1[[#This Row],[Cellar Location]],Location!A:F,6,FALSE)</f>
        <v>W</v>
      </c>
      <c r="AN267" s="1">
        <v>44086</v>
      </c>
      <c r="AO267" s="10" t="str">
        <f>TEXT(Table1[[#This Row],[Purchased]],"mmmm")</f>
        <v>September</v>
      </c>
      <c r="AP267" s="10" t="str">
        <f>TEXT(Table1[[#This Row],[Purchased]],"yyyy")</f>
        <v>2020</v>
      </c>
      <c r="AQ267" s="1">
        <v>44138</v>
      </c>
    </row>
    <row r="268" spans="1:43" s="37" customFormat="1" x14ac:dyDescent="0.25">
      <c r="A268" s="37" t="str">
        <f t="shared" ref="A268:A272" si="22">CONCATENATE(B268,C268,D268)</f>
        <v>2015CortonesiBrunello di Montalcino La Mannella</v>
      </c>
      <c r="B268" s="37">
        <v>2015</v>
      </c>
      <c r="C268" s="37" t="s">
        <v>72</v>
      </c>
      <c r="D268" s="25" t="s">
        <v>73</v>
      </c>
      <c r="E268" s="67" t="s">
        <v>1250</v>
      </c>
      <c r="F268" s="37" t="s">
        <v>728</v>
      </c>
      <c r="G268" s="37" t="s">
        <v>790</v>
      </c>
      <c r="H268" s="37" t="s">
        <v>19</v>
      </c>
      <c r="I268" s="8">
        <v>1</v>
      </c>
      <c r="J268" s="38">
        <v>750</v>
      </c>
      <c r="K268" s="38" t="s">
        <v>384</v>
      </c>
      <c r="L268" s="10">
        <f>COUNTIF(Drank!A:A,Table1[[#This Row],[ID]])</f>
        <v>1</v>
      </c>
      <c r="M268" s="37" t="s">
        <v>202</v>
      </c>
      <c r="N268" s="37" t="s">
        <v>207</v>
      </c>
      <c r="O268" s="37">
        <v>1</v>
      </c>
      <c r="P268" s="37">
        <v>2021</v>
      </c>
      <c r="Q268" s="37">
        <v>2035</v>
      </c>
      <c r="R268" s="10">
        <f>IF(IFERROR(VLOOKUP(A268,Drank!A:S,15,FALSE),"")=0,"",IFERROR(VLOOKUP(A268,Drank!A:S,15,FALSE),""))</f>
        <v>2026</v>
      </c>
      <c r="S268" s="10">
        <f>IF(IFERROR(VLOOKUP(A268,Drank!A:S,16,FALSE),"")=0,"",IFERROR(VLOOKUP(A268,Drank!A:S,16,FALSE),""))</f>
        <v>2033</v>
      </c>
      <c r="T268" s="10"/>
      <c r="U268" s="37">
        <v>94</v>
      </c>
      <c r="V268" s="18">
        <f>IF(IFERROR(VLOOKUP(A268,Drank!A:T,19,FALSE),"")=0,"",IFERROR(VLOOKUP(A268,Drank!A:T,19,FALSE),""))</f>
        <v>94</v>
      </c>
      <c r="W268" s="1">
        <f>IF(IFERROR(VLOOKUP(A268,Drank!A:T,20,FALSE),"")=0,"",IFERROR(VLOOKUP(A268,Drank!A:T,20,FALSE),""))</f>
        <v>43995</v>
      </c>
      <c r="X268" s="10">
        <f>SUMIF(A:A,A268,I:I)</f>
        <v>23</v>
      </c>
      <c r="Y268" s="10">
        <f>IF(Table1[[#This Row],[Drank]]&gt;0,VLOOKUP(Table1[[#This Row],[ID]],Drank!A:P,16,FALSE),IF(Table1[[#This Row],[WALDD]]&gt;0,VLOOKUP(Table1[[#This Row],[ID]],Wine1!A:Q,17,FALSE),Table1[[#This Row],[EP]]))</f>
        <v>2033</v>
      </c>
      <c r="Z268" s="18">
        <f>IF(Table1[[#This Row],[My Rating]]="",IF(Table1[[#This Row],[WA Rating Clean]]="","",Table1[[#This Row],[WA Rating Clean]]),Table1[[#This Row],[My Rating]])</f>
        <v>94</v>
      </c>
      <c r="AA268" s="37">
        <v>2022</v>
      </c>
      <c r="AB268" s="128">
        <v>36.92</v>
      </c>
      <c r="AC268" s="2">
        <f t="shared" ref="AC268:AC272" si="23">AB268*I268</f>
        <v>36.92</v>
      </c>
      <c r="AD268" s="8">
        <v>1</v>
      </c>
      <c r="AE268" s="10">
        <f>IF(Table1[[#This Row],[P/750]]&lt;20,1,IF(Table1[[#This Row],[P/750]]&lt;50,2,3))</f>
        <v>2</v>
      </c>
      <c r="AF268" s="10">
        <f>IF(Table1[[#This Row],[P/750]]&lt;Expenses!$C$30,1,IF(Table1[[#This Row],[P/750]]&lt;Expenses!$C$31,2,IF(Table1[[#This Row],[P/750]]&lt;Expenses!$C$32,3,4)))</f>
        <v>3</v>
      </c>
      <c r="AH268" s="37" t="s">
        <v>384</v>
      </c>
      <c r="AI268" s="11">
        <f>Table1[[#This Row],[Price]]/Table1[[#This Row],[Size (ml)]]*750</f>
        <v>36.92</v>
      </c>
      <c r="AJ268" s="37">
        <v>94</v>
      </c>
      <c r="AK268" s="10">
        <f>COUNTIF(UniqueID!A:A,Table1[[#This Row],[ID]])</f>
        <v>0</v>
      </c>
      <c r="AL268" s="10" t="str">
        <f>VLOOKUP(Table1[[#This Row],[Cellar Location]],Location!A:F,6,FALSE)</f>
        <v>W</v>
      </c>
      <c r="AN268" s="1">
        <v>44086</v>
      </c>
      <c r="AO268" s="10" t="str">
        <f>TEXT(Table1[[#This Row],[Purchased]],"mmmm")</f>
        <v>September</v>
      </c>
      <c r="AP268" s="10" t="str">
        <f>TEXT(Table1[[#This Row],[Purchased]],"yyyy")</f>
        <v>2020</v>
      </c>
      <c r="AQ268" s="1">
        <v>44138</v>
      </c>
    </row>
    <row r="269" spans="1:43" s="37" customFormat="1" x14ac:dyDescent="0.25">
      <c r="A269" s="37" t="str">
        <f t="shared" si="22"/>
        <v>2015CortonesiBrunello di Montalcino La Mannella</v>
      </c>
      <c r="B269" s="37">
        <v>2015</v>
      </c>
      <c r="C269" s="37" t="s">
        <v>72</v>
      </c>
      <c r="D269" s="25" t="s">
        <v>73</v>
      </c>
      <c r="E269" s="67" t="s">
        <v>1250</v>
      </c>
      <c r="F269" s="37" t="s">
        <v>728</v>
      </c>
      <c r="G269" s="37" t="s">
        <v>790</v>
      </c>
      <c r="H269" s="37" t="s">
        <v>19</v>
      </c>
      <c r="I269" s="8">
        <v>1</v>
      </c>
      <c r="J269" s="38">
        <v>750</v>
      </c>
      <c r="K269" s="38" t="s">
        <v>384</v>
      </c>
      <c r="L269" s="10">
        <f>COUNTIF(Drank!A:A,Table1[[#This Row],[ID]])</f>
        <v>1</v>
      </c>
      <c r="M269" s="37" t="s">
        <v>202</v>
      </c>
      <c r="N269" s="37" t="s">
        <v>207</v>
      </c>
      <c r="O269" s="37">
        <v>1</v>
      </c>
      <c r="P269" s="37">
        <v>2021</v>
      </c>
      <c r="Q269" s="37">
        <v>2035</v>
      </c>
      <c r="R269" s="10">
        <f>IF(IFERROR(VLOOKUP(A269,Drank!A:S,15,FALSE),"")=0,"",IFERROR(VLOOKUP(A269,Drank!A:S,15,FALSE),""))</f>
        <v>2026</v>
      </c>
      <c r="S269" s="10">
        <f>IF(IFERROR(VLOOKUP(A269,Drank!A:S,16,FALSE),"")=0,"",IFERROR(VLOOKUP(A269,Drank!A:S,16,FALSE),""))</f>
        <v>2033</v>
      </c>
      <c r="T269" s="10"/>
      <c r="U269" s="37">
        <v>94</v>
      </c>
      <c r="V269" s="18">
        <f>IF(IFERROR(VLOOKUP(A269,Drank!A:T,19,FALSE),"")=0,"",IFERROR(VLOOKUP(A269,Drank!A:T,19,FALSE),""))</f>
        <v>94</v>
      </c>
      <c r="W269" s="1">
        <f>IF(IFERROR(VLOOKUP(A269,Drank!A:T,20,FALSE),"")=0,"",IFERROR(VLOOKUP(A269,Drank!A:T,20,FALSE),""))</f>
        <v>43995</v>
      </c>
      <c r="X269" s="10">
        <f>SUMIF(A:A,A269,I:I)</f>
        <v>23</v>
      </c>
      <c r="Y269" s="10">
        <f>IF(Table1[[#This Row],[Drank]]&gt;0,VLOOKUP(Table1[[#This Row],[ID]],Drank!A:P,16,FALSE),IF(Table1[[#This Row],[WALDD]]&gt;0,VLOOKUP(Table1[[#This Row],[ID]],Wine1!A:Q,17,FALSE),Table1[[#This Row],[EP]]))</f>
        <v>2033</v>
      </c>
      <c r="Z269" s="18">
        <f>IF(Table1[[#This Row],[My Rating]]="",IF(Table1[[#This Row],[WA Rating Clean]]="","",Table1[[#This Row],[WA Rating Clean]]),Table1[[#This Row],[My Rating]])</f>
        <v>94</v>
      </c>
      <c r="AA269" s="37">
        <v>2024</v>
      </c>
      <c r="AB269" s="128">
        <v>36.92</v>
      </c>
      <c r="AC269" s="2">
        <f t="shared" si="23"/>
        <v>36.92</v>
      </c>
      <c r="AD269" s="8">
        <v>1</v>
      </c>
      <c r="AE269" s="10">
        <f>IF(Table1[[#This Row],[P/750]]&lt;20,1,IF(Table1[[#This Row],[P/750]]&lt;50,2,3))</f>
        <v>2</v>
      </c>
      <c r="AF269" s="10">
        <f>IF(Table1[[#This Row],[P/750]]&lt;Expenses!$C$30,1,IF(Table1[[#This Row],[P/750]]&lt;Expenses!$C$31,2,IF(Table1[[#This Row],[P/750]]&lt;Expenses!$C$32,3,4)))</f>
        <v>3</v>
      </c>
      <c r="AH269" s="37" t="s">
        <v>384</v>
      </c>
      <c r="AI269" s="11">
        <f>Table1[[#This Row],[Price]]/Table1[[#This Row],[Size (ml)]]*750</f>
        <v>36.92</v>
      </c>
      <c r="AJ269" s="37">
        <v>94</v>
      </c>
      <c r="AK269" s="10">
        <f>COUNTIF(UniqueID!A:A,Table1[[#This Row],[ID]])</f>
        <v>0</v>
      </c>
      <c r="AL269" s="10" t="str">
        <f>VLOOKUP(Table1[[#This Row],[Cellar Location]],Location!A:F,6,FALSE)</f>
        <v>W</v>
      </c>
      <c r="AN269" s="1">
        <v>44086</v>
      </c>
      <c r="AO269" s="10" t="str">
        <f>TEXT(Table1[[#This Row],[Purchased]],"mmmm")</f>
        <v>September</v>
      </c>
      <c r="AP269" s="10" t="str">
        <f>TEXT(Table1[[#This Row],[Purchased]],"yyyy")</f>
        <v>2020</v>
      </c>
      <c r="AQ269" s="1">
        <v>44138</v>
      </c>
    </row>
    <row r="270" spans="1:43" s="37" customFormat="1" x14ac:dyDescent="0.25">
      <c r="A270" s="37" t="str">
        <f t="shared" si="22"/>
        <v>2015CortonesiBrunello di Montalcino La Mannella</v>
      </c>
      <c r="B270" s="37">
        <v>2015</v>
      </c>
      <c r="C270" s="37" t="s">
        <v>72</v>
      </c>
      <c r="D270" s="25" t="s">
        <v>73</v>
      </c>
      <c r="E270" s="67" t="s">
        <v>1250</v>
      </c>
      <c r="F270" s="37" t="s">
        <v>728</v>
      </c>
      <c r="G270" s="37" t="s">
        <v>790</v>
      </c>
      <c r="H270" s="37" t="s">
        <v>19</v>
      </c>
      <c r="I270" s="8">
        <v>1</v>
      </c>
      <c r="J270" s="38">
        <v>750</v>
      </c>
      <c r="K270" s="38" t="s">
        <v>384</v>
      </c>
      <c r="L270" s="10">
        <f>COUNTIF(Drank!A:A,Table1[[#This Row],[ID]])</f>
        <v>1</v>
      </c>
      <c r="M270" s="37" t="s">
        <v>202</v>
      </c>
      <c r="N270" s="37" t="s">
        <v>207</v>
      </c>
      <c r="O270" s="37">
        <v>1</v>
      </c>
      <c r="P270" s="37">
        <v>2021</v>
      </c>
      <c r="Q270" s="37">
        <v>2035</v>
      </c>
      <c r="R270" s="10">
        <f>IF(IFERROR(VLOOKUP(A270,Drank!A:S,15,FALSE),"")=0,"",IFERROR(VLOOKUP(A270,Drank!A:S,15,FALSE),""))</f>
        <v>2026</v>
      </c>
      <c r="S270" s="10">
        <f>IF(IFERROR(VLOOKUP(A270,Drank!A:S,16,FALSE),"")=0,"",IFERROR(VLOOKUP(A270,Drank!A:S,16,FALSE),""))</f>
        <v>2033</v>
      </c>
      <c r="T270" s="10"/>
      <c r="U270" s="37">
        <v>94</v>
      </c>
      <c r="V270" s="18">
        <f>IF(IFERROR(VLOOKUP(A270,Drank!A:T,19,FALSE),"")=0,"",IFERROR(VLOOKUP(A270,Drank!A:T,19,FALSE),""))</f>
        <v>94</v>
      </c>
      <c r="W270" s="1">
        <f>IF(IFERROR(VLOOKUP(A270,Drank!A:T,20,FALSE),"")=0,"",IFERROR(VLOOKUP(A270,Drank!A:T,20,FALSE),""))</f>
        <v>43995</v>
      </c>
      <c r="X270" s="10">
        <f>SUMIF(A:A,A270,I:I)</f>
        <v>23</v>
      </c>
      <c r="Y270" s="10">
        <f>IF(Table1[[#This Row],[Drank]]&gt;0,VLOOKUP(Table1[[#This Row],[ID]],Drank!A:P,16,FALSE),IF(Table1[[#This Row],[WALDD]]&gt;0,VLOOKUP(Table1[[#This Row],[ID]],Wine1!A:Q,17,FALSE),Table1[[#This Row],[EP]]))</f>
        <v>2033</v>
      </c>
      <c r="Z270" s="18">
        <f>IF(Table1[[#This Row],[My Rating]]="",IF(Table1[[#This Row],[WA Rating Clean]]="","",Table1[[#This Row],[WA Rating Clean]]),Table1[[#This Row],[My Rating]])</f>
        <v>94</v>
      </c>
      <c r="AA270" s="37">
        <v>2030</v>
      </c>
      <c r="AB270" s="128">
        <v>36.92</v>
      </c>
      <c r="AC270" s="2">
        <f t="shared" si="23"/>
        <v>36.92</v>
      </c>
      <c r="AD270" s="8">
        <v>1</v>
      </c>
      <c r="AE270" s="10">
        <f>IF(Table1[[#This Row],[P/750]]&lt;20,1,IF(Table1[[#This Row],[P/750]]&lt;50,2,3))</f>
        <v>2</v>
      </c>
      <c r="AF270" s="10">
        <f>IF(Table1[[#This Row],[P/750]]&lt;Expenses!$C$30,1,IF(Table1[[#This Row],[P/750]]&lt;Expenses!$C$31,2,IF(Table1[[#This Row],[P/750]]&lt;Expenses!$C$32,3,4)))</f>
        <v>3</v>
      </c>
      <c r="AH270" s="37" t="s">
        <v>384</v>
      </c>
      <c r="AI270" s="11">
        <f>Table1[[#This Row],[Price]]/Table1[[#This Row],[Size (ml)]]*750</f>
        <v>36.92</v>
      </c>
      <c r="AJ270" s="37">
        <v>94</v>
      </c>
      <c r="AK270" s="10">
        <f>COUNTIF(UniqueID!A:A,Table1[[#This Row],[ID]])</f>
        <v>0</v>
      </c>
      <c r="AL270" s="10" t="str">
        <f>VLOOKUP(Table1[[#This Row],[Cellar Location]],Location!A:F,6,FALSE)</f>
        <v>W</v>
      </c>
      <c r="AN270" s="1">
        <v>44086</v>
      </c>
      <c r="AO270" s="10" t="str">
        <f>TEXT(Table1[[#This Row],[Purchased]],"mmmm")</f>
        <v>September</v>
      </c>
      <c r="AP270" s="10" t="str">
        <f>TEXT(Table1[[#This Row],[Purchased]],"yyyy")</f>
        <v>2020</v>
      </c>
      <c r="AQ270" s="1">
        <v>44138</v>
      </c>
    </row>
    <row r="271" spans="1:43" s="37" customFormat="1" x14ac:dyDescent="0.25">
      <c r="A271" s="37" t="str">
        <f t="shared" si="22"/>
        <v>2015CortonesiBrunello di Montalcino La Mannella</v>
      </c>
      <c r="B271" s="37">
        <v>2015</v>
      </c>
      <c r="C271" s="37" t="s">
        <v>72</v>
      </c>
      <c r="D271" s="25" t="s">
        <v>73</v>
      </c>
      <c r="E271" s="67" t="s">
        <v>1250</v>
      </c>
      <c r="F271" s="37" t="s">
        <v>728</v>
      </c>
      <c r="G271" s="37" t="s">
        <v>790</v>
      </c>
      <c r="H271" s="37" t="s">
        <v>19</v>
      </c>
      <c r="I271" s="8">
        <v>1</v>
      </c>
      <c r="J271" s="38">
        <v>750</v>
      </c>
      <c r="K271" s="38" t="s">
        <v>384</v>
      </c>
      <c r="L271" s="10">
        <f>COUNTIF(Drank!A:A,Table1[[#This Row],[ID]])</f>
        <v>1</v>
      </c>
      <c r="M271" s="37" t="s">
        <v>202</v>
      </c>
      <c r="N271" s="37" t="s">
        <v>207</v>
      </c>
      <c r="O271" s="37">
        <v>1</v>
      </c>
      <c r="P271" s="37">
        <v>2021</v>
      </c>
      <c r="Q271" s="37">
        <v>2035</v>
      </c>
      <c r="R271" s="10">
        <f>IF(IFERROR(VLOOKUP(A271,Drank!A:S,15,FALSE),"")=0,"",IFERROR(VLOOKUP(A271,Drank!A:S,15,FALSE),""))</f>
        <v>2026</v>
      </c>
      <c r="S271" s="10">
        <f>IF(IFERROR(VLOOKUP(A271,Drank!A:S,16,FALSE),"")=0,"",IFERROR(VLOOKUP(A271,Drank!A:S,16,FALSE),""))</f>
        <v>2033</v>
      </c>
      <c r="T271" s="10"/>
      <c r="U271" s="37">
        <v>94</v>
      </c>
      <c r="V271" s="18">
        <f>IF(IFERROR(VLOOKUP(A271,Drank!A:T,19,FALSE),"")=0,"",IFERROR(VLOOKUP(A271,Drank!A:T,19,FALSE),""))</f>
        <v>94</v>
      </c>
      <c r="W271" s="1">
        <f>IF(IFERROR(VLOOKUP(A271,Drank!A:T,20,FALSE),"")=0,"",IFERROR(VLOOKUP(A271,Drank!A:T,20,FALSE),""))</f>
        <v>43995</v>
      </c>
      <c r="X271" s="10">
        <f>SUMIF(A:A,A271,I:I)</f>
        <v>23</v>
      </c>
      <c r="Y271" s="10">
        <f>IF(Table1[[#This Row],[Drank]]&gt;0,VLOOKUP(Table1[[#This Row],[ID]],Drank!A:P,16,FALSE),IF(Table1[[#This Row],[WALDD]]&gt;0,VLOOKUP(Table1[[#This Row],[ID]],Wine1!A:Q,17,FALSE),Table1[[#This Row],[EP]]))</f>
        <v>2033</v>
      </c>
      <c r="Z271" s="18">
        <f>IF(Table1[[#This Row],[My Rating]]="",IF(Table1[[#This Row],[WA Rating Clean]]="","",Table1[[#This Row],[WA Rating Clean]]),Table1[[#This Row],[My Rating]])</f>
        <v>94</v>
      </c>
      <c r="AA271" s="37">
        <v>2022</v>
      </c>
      <c r="AB271" s="128">
        <v>36.92</v>
      </c>
      <c r="AC271" s="2">
        <f t="shared" si="23"/>
        <v>36.92</v>
      </c>
      <c r="AD271" s="8">
        <v>1</v>
      </c>
      <c r="AE271" s="10">
        <f>IF(Table1[[#This Row],[P/750]]&lt;20,1,IF(Table1[[#This Row],[P/750]]&lt;50,2,3))</f>
        <v>2</v>
      </c>
      <c r="AF271" s="10">
        <f>IF(Table1[[#This Row],[P/750]]&lt;Expenses!$C$30,1,IF(Table1[[#This Row],[P/750]]&lt;Expenses!$C$31,2,IF(Table1[[#This Row],[P/750]]&lt;Expenses!$C$32,3,4)))</f>
        <v>3</v>
      </c>
      <c r="AH271" s="37" t="s">
        <v>384</v>
      </c>
      <c r="AI271" s="11">
        <f>Table1[[#This Row],[Price]]/Table1[[#This Row],[Size (ml)]]*750</f>
        <v>36.92</v>
      </c>
      <c r="AJ271" s="37">
        <v>94</v>
      </c>
      <c r="AK271" s="10">
        <f>COUNTIF(UniqueID!A:A,Table1[[#This Row],[ID]])</f>
        <v>0</v>
      </c>
      <c r="AL271" s="10" t="str">
        <f>VLOOKUP(Table1[[#This Row],[Cellar Location]],Location!A:F,6,FALSE)</f>
        <v>W</v>
      </c>
      <c r="AN271" s="1">
        <v>44086</v>
      </c>
      <c r="AO271" s="10" t="str">
        <f>TEXT(Table1[[#This Row],[Purchased]],"mmmm")</f>
        <v>September</v>
      </c>
      <c r="AP271" s="10" t="str">
        <f>TEXT(Table1[[#This Row],[Purchased]],"yyyy")</f>
        <v>2020</v>
      </c>
      <c r="AQ271" s="1">
        <v>44138</v>
      </c>
    </row>
    <row r="272" spans="1:43" s="37" customFormat="1" x14ac:dyDescent="0.25">
      <c r="A272" s="37" t="str">
        <f t="shared" si="22"/>
        <v>2015CortonesiBrunello di Montalcino La Mannella</v>
      </c>
      <c r="B272" s="37">
        <v>2015</v>
      </c>
      <c r="C272" s="37" t="s">
        <v>72</v>
      </c>
      <c r="D272" s="25" t="s">
        <v>73</v>
      </c>
      <c r="E272" s="67" t="s">
        <v>1250</v>
      </c>
      <c r="F272" s="37" t="s">
        <v>728</v>
      </c>
      <c r="G272" s="37" t="s">
        <v>790</v>
      </c>
      <c r="H272" s="37" t="s">
        <v>19</v>
      </c>
      <c r="I272" s="8">
        <v>1</v>
      </c>
      <c r="J272" s="38">
        <v>750</v>
      </c>
      <c r="K272" s="38" t="s">
        <v>384</v>
      </c>
      <c r="L272" s="10">
        <f>COUNTIF(Drank!A:A,Table1[[#This Row],[ID]])</f>
        <v>1</v>
      </c>
      <c r="M272" s="37" t="s">
        <v>202</v>
      </c>
      <c r="N272" s="37" t="s">
        <v>207</v>
      </c>
      <c r="O272" s="37">
        <v>1</v>
      </c>
      <c r="P272" s="37">
        <v>2021</v>
      </c>
      <c r="Q272" s="37">
        <v>2035</v>
      </c>
      <c r="R272" s="10">
        <f>IF(IFERROR(VLOOKUP(A272,Drank!A:S,15,FALSE),"")=0,"",IFERROR(VLOOKUP(A272,Drank!A:S,15,FALSE),""))</f>
        <v>2026</v>
      </c>
      <c r="S272" s="10">
        <f>IF(IFERROR(VLOOKUP(A272,Drank!A:S,16,FALSE),"")=0,"",IFERROR(VLOOKUP(A272,Drank!A:S,16,FALSE),""))</f>
        <v>2033</v>
      </c>
      <c r="T272" s="10"/>
      <c r="U272" s="37">
        <v>94</v>
      </c>
      <c r="V272" s="18">
        <f>IF(IFERROR(VLOOKUP(A272,Drank!A:T,19,FALSE),"")=0,"",IFERROR(VLOOKUP(A272,Drank!A:T,19,FALSE),""))</f>
        <v>94</v>
      </c>
      <c r="W272" s="1">
        <f>IF(IFERROR(VLOOKUP(A272,Drank!A:T,20,FALSE),"")=0,"",IFERROR(VLOOKUP(A272,Drank!A:T,20,FALSE),""))</f>
        <v>43995</v>
      </c>
      <c r="X272" s="10">
        <f>SUMIF(A:A,A272,I:I)</f>
        <v>23</v>
      </c>
      <c r="Y272" s="10">
        <f>IF(Table1[[#This Row],[Drank]]&gt;0,VLOOKUP(Table1[[#This Row],[ID]],Drank!A:P,16,FALSE),IF(Table1[[#This Row],[WALDD]]&gt;0,VLOOKUP(Table1[[#This Row],[ID]],Wine1!A:Q,17,FALSE),Table1[[#This Row],[EP]]))</f>
        <v>2033</v>
      </c>
      <c r="Z272" s="18">
        <f>IF(Table1[[#This Row],[My Rating]]="",IF(Table1[[#This Row],[WA Rating Clean]]="","",Table1[[#This Row],[WA Rating Clean]]),Table1[[#This Row],[My Rating]])</f>
        <v>94</v>
      </c>
      <c r="AA272" s="37">
        <v>2023</v>
      </c>
      <c r="AB272" s="128">
        <v>36.92</v>
      </c>
      <c r="AC272" s="2">
        <f t="shared" si="23"/>
        <v>36.92</v>
      </c>
      <c r="AD272" s="8">
        <v>1</v>
      </c>
      <c r="AE272" s="10">
        <f>IF(Table1[[#This Row],[P/750]]&lt;20,1,IF(Table1[[#This Row],[P/750]]&lt;50,2,3))</f>
        <v>2</v>
      </c>
      <c r="AF272" s="10">
        <f>IF(Table1[[#This Row],[P/750]]&lt;Expenses!$C$30,1,IF(Table1[[#This Row],[P/750]]&lt;Expenses!$C$31,2,IF(Table1[[#This Row],[P/750]]&lt;Expenses!$C$32,3,4)))</f>
        <v>3</v>
      </c>
      <c r="AH272" s="37" t="s">
        <v>384</v>
      </c>
      <c r="AI272" s="11">
        <f>Table1[[#This Row],[Price]]/Table1[[#This Row],[Size (ml)]]*750</f>
        <v>36.92</v>
      </c>
      <c r="AJ272" s="37">
        <v>94</v>
      </c>
      <c r="AK272" s="10">
        <f>COUNTIF(UniqueID!A:A,Table1[[#This Row],[ID]])</f>
        <v>0</v>
      </c>
      <c r="AL272" s="10" t="str">
        <f>VLOOKUP(Table1[[#This Row],[Cellar Location]],Location!A:F,6,FALSE)</f>
        <v>W</v>
      </c>
      <c r="AN272" s="1">
        <v>44086</v>
      </c>
      <c r="AO272" s="10" t="str">
        <f>TEXT(Table1[[#This Row],[Purchased]],"mmmm")</f>
        <v>September</v>
      </c>
      <c r="AP272" s="10" t="str">
        <f>TEXT(Table1[[#This Row],[Purchased]],"yyyy")</f>
        <v>2020</v>
      </c>
      <c r="AQ272" s="1">
        <v>44138</v>
      </c>
    </row>
    <row r="273" spans="1:43" s="37" customFormat="1" x14ac:dyDescent="0.25">
      <c r="A273" s="37" t="str">
        <f t="shared" ref="A273:A278" si="24">CONCATENATE(B273,C273,D273)</f>
        <v>2015CortonesiBrunello di Montalcino La Mannella</v>
      </c>
      <c r="B273" s="37">
        <v>2015</v>
      </c>
      <c r="C273" s="37" t="s">
        <v>72</v>
      </c>
      <c r="D273" s="25" t="s">
        <v>73</v>
      </c>
      <c r="E273" s="67" t="s">
        <v>1250</v>
      </c>
      <c r="F273" s="37" t="s">
        <v>728</v>
      </c>
      <c r="G273" s="37" t="s">
        <v>790</v>
      </c>
      <c r="H273" s="37" t="s">
        <v>19</v>
      </c>
      <c r="I273" s="8">
        <v>1</v>
      </c>
      <c r="J273" s="38">
        <v>750</v>
      </c>
      <c r="K273" s="38" t="s">
        <v>384</v>
      </c>
      <c r="L273" s="10">
        <f>COUNTIF(Drank!A:A,Table1[[#This Row],[ID]])</f>
        <v>1</v>
      </c>
      <c r="M273" s="37" t="s">
        <v>202</v>
      </c>
      <c r="N273" s="37" t="s">
        <v>207</v>
      </c>
      <c r="O273" s="37">
        <v>1</v>
      </c>
      <c r="P273" s="37">
        <v>2021</v>
      </c>
      <c r="Q273" s="37">
        <v>2035</v>
      </c>
      <c r="R273" s="10">
        <f>IF(IFERROR(VLOOKUP(A273,Drank!A:S,15,FALSE),"")=0,"",IFERROR(VLOOKUP(A273,Drank!A:S,15,FALSE),""))</f>
        <v>2026</v>
      </c>
      <c r="S273" s="10">
        <f>IF(IFERROR(VLOOKUP(A273,Drank!A:S,16,FALSE),"")=0,"",IFERROR(VLOOKUP(A273,Drank!A:S,16,FALSE),""))</f>
        <v>2033</v>
      </c>
      <c r="T273" s="10"/>
      <c r="U273" s="37">
        <v>94</v>
      </c>
      <c r="V273" s="18">
        <f>IF(IFERROR(VLOOKUP(A273,Drank!A:T,19,FALSE),"")=0,"",IFERROR(VLOOKUP(A273,Drank!A:T,19,FALSE),""))</f>
        <v>94</v>
      </c>
      <c r="W273" s="1">
        <f>IF(IFERROR(VLOOKUP(A273,Drank!A:T,20,FALSE),"")=0,"",IFERROR(VLOOKUP(A273,Drank!A:T,20,FALSE),""))</f>
        <v>43995</v>
      </c>
      <c r="X273" s="10">
        <f>SUMIF(A:A,A273,I:I)</f>
        <v>23</v>
      </c>
      <c r="Y273" s="10">
        <f>IF(Table1[[#This Row],[Drank]]&gt;0,VLOOKUP(Table1[[#This Row],[ID]],Drank!A:P,16,FALSE),IF(Table1[[#This Row],[WALDD]]&gt;0,VLOOKUP(Table1[[#This Row],[ID]],Wine1!A:Q,17,FALSE),Table1[[#This Row],[EP]]))</f>
        <v>2033</v>
      </c>
      <c r="Z273" s="18">
        <f>IF(Table1[[#This Row],[My Rating]]="",IF(Table1[[#This Row],[WA Rating Clean]]="","",Table1[[#This Row],[WA Rating Clean]]),Table1[[#This Row],[My Rating]])</f>
        <v>94</v>
      </c>
      <c r="AA273" s="37">
        <v>2026</v>
      </c>
      <c r="AB273" s="128">
        <v>36.92</v>
      </c>
      <c r="AC273" s="2">
        <f t="shared" ref="AC273:AC278" si="25">AB273*I273</f>
        <v>36.92</v>
      </c>
      <c r="AD273" s="8">
        <v>1</v>
      </c>
      <c r="AE273" s="10">
        <f>IF(Table1[[#This Row],[P/750]]&lt;20,1,IF(Table1[[#This Row],[P/750]]&lt;50,2,3))</f>
        <v>2</v>
      </c>
      <c r="AF273" s="10">
        <f>IF(Table1[[#This Row],[P/750]]&lt;Expenses!$C$30,1,IF(Table1[[#This Row],[P/750]]&lt;Expenses!$C$31,2,IF(Table1[[#This Row],[P/750]]&lt;Expenses!$C$32,3,4)))</f>
        <v>3</v>
      </c>
      <c r="AH273" s="37" t="s">
        <v>384</v>
      </c>
      <c r="AI273" s="11">
        <f>Table1[[#This Row],[Price]]/Table1[[#This Row],[Size (ml)]]*750</f>
        <v>36.92</v>
      </c>
      <c r="AJ273" s="37">
        <v>94</v>
      </c>
      <c r="AK273" s="10">
        <f>COUNTIF(UniqueID!A:A,Table1[[#This Row],[ID]])</f>
        <v>0</v>
      </c>
      <c r="AL273" s="10" t="str">
        <f>VLOOKUP(Table1[[#This Row],[Cellar Location]],Location!A:F,6,FALSE)</f>
        <v>W</v>
      </c>
      <c r="AN273" s="1">
        <v>44086</v>
      </c>
      <c r="AO273" s="10" t="str">
        <f>TEXT(Table1[[#This Row],[Purchased]],"mmmm")</f>
        <v>September</v>
      </c>
      <c r="AP273" s="10" t="str">
        <f>TEXT(Table1[[#This Row],[Purchased]],"yyyy")</f>
        <v>2020</v>
      </c>
      <c r="AQ273" s="1">
        <v>44138</v>
      </c>
    </row>
    <row r="274" spans="1:43" s="37" customFormat="1" x14ac:dyDescent="0.25">
      <c r="A274" s="37" t="str">
        <f t="shared" si="24"/>
        <v>2015CortonesiBrunello di Montalcino La Mannella</v>
      </c>
      <c r="B274" s="37">
        <v>2015</v>
      </c>
      <c r="C274" s="37" t="s">
        <v>72</v>
      </c>
      <c r="D274" s="25" t="s">
        <v>73</v>
      </c>
      <c r="E274" s="67" t="s">
        <v>1250</v>
      </c>
      <c r="F274" s="37" t="s">
        <v>728</v>
      </c>
      <c r="G274" s="37" t="s">
        <v>790</v>
      </c>
      <c r="H274" s="37" t="s">
        <v>19</v>
      </c>
      <c r="I274" s="8">
        <v>1</v>
      </c>
      <c r="J274" s="38">
        <v>750</v>
      </c>
      <c r="K274" s="38" t="s">
        <v>384</v>
      </c>
      <c r="L274" s="10">
        <f>COUNTIF(Drank!A:A,Table1[[#This Row],[ID]])</f>
        <v>1</v>
      </c>
      <c r="M274" s="37" t="s">
        <v>202</v>
      </c>
      <c r="N274" s="37" t="s">
        <v>207</v>
      </c>
      <c r="O274" s="37">
        <v>1</v>
      </c>
      <c r="P274" s="37">
        <v>2021</v>
      </c>
      <c r="Q274" s="37">
        <v>2035</v>
      </c>
      <c r="R274" s="10">
        <f>IF(IFERROR(VLOOKUP(A274,Drank!A:S,15,FALSE),"")=0,"",IFERROR(VLOOKUP(A274,Drank!A:S,15,FALSE),""))</f>
        <v>2026</v>
      </c>
      <c r="S274" s="10">
        <f>IF(IFERROR(VLOOKUP(A274,Drank!A:S,16,FALSE),"")=0,"",IFERROR(VLOOKUP(A274,Drank!A:S,16,FALSE),""))</f>
        <v>2033</v>
      </c>
      <c r="T274" s="10"/>
      <c r="U274" s="37">
        <v>94</v>
      </c>
      <c r="V274" s="18">
        <f>IF(IFERROR(VLOOKUP(A274,Drank!A:T,19,FALSE),"")=0,"",IFERROR(VLOOKUP(A274,Drank!A:T,19,FALSE),""))</f>
        <v>94</v>
      </c>
      <c r="W274" s="1">
        <f>IF(IFERROR(VLOOKUP(A274,Drank!A:T,20,FALSE),"")=0,"",IFERROR(VLOOKUP(A274,Drank!A:T,20,FALSE),""))</f>
        <v>43995</v>
      </c>
      <c r="X274" s="10">
        <f>SUMIF(A:A,A274,I:I)</f>
        <v>23</v>
      </c>
      <c r="Y274" s="10">
        <f>IF(Table1[[#This Row],[Drank]]&gt;0,VLOOKUP(Table1[[#This Row],[ID]],Drank!A:P,16,FALSE),IF(Table1[[#This Row],[WALDD]]&gt;0,VLOOKUP(Table1[[#This Row],[ID]],Wine1!A:Q,17,FALSE),Table1[[#This Row],[EP]]))</f>
        <v>2033</v>
      </c>
      <c r="Z274" s="18">
        <f>IF(Table1[[#This Row],[My Rating]]="",IF(Table1[[#This Row],[WA Rating Clean]]="","",Table1[[#This Row],[WA Rating Clean]]),Table1[[#This Row],[My Rating]])</f>
        <v>94</v>
      </c>
      <c r="AA274" s="37">
        <v>2028</v>
      </c>
      <c r="AB274" s="128">
        <v>36.92</v>
      </c>
      <c r="AC274" s="2">
        <f t="shared" si="25"/>
        <v>36.92</v>
      </c>
      <c r="AD274" s="8">
        <v>1</v>
      </c>
      <c r="AE274" s="10">
        <f>IF(Table1[[#This Row],[P/750]]&lt;20,1,IF(Table1[[#This Row],[P/750]]&lt;50,2,3))</f>
        <v>2</v>
      </c>
      <c r="AF274" s="10">
        <f>IF(Table1[[#This Row],[P/750]]&lt;Expenses!$C$30,1,IF(Table1[[#This Row],[P/750]]&lt;Expenses!$C$31,2,IF(Table1[[#This Row],[P/750]]&lt;Expenses!$C$32,3,4)))</f>
        <v>3</v>
      </c>
      <c r="AH274" s="37" t="s">
        <v>384</v>
      </c>
      <c r="AI274" s="11">
        <f>Table1[[#This Row],[Price]]/Table1[[#This Row],[Size (ml)]]*750</f>
        <v>36.92</v>
      </c>
      <c r="AJ274" s="37">
        <v>94</v>
      </c>
      <c r="AK274" s="10">
        <f>COUNTIF(UniqueID!A:A,Table1[[#This Row],[ID]])</f>
        <v>0</v>
      </c>
      <c r="AL274" s="10" t="str">
        <f>VLOOKUP(Table1[[#This Row],[Cellar Location]],Location!A:F,6,FALSE)</f>
        <v>W</v>
      </c>
      <c r="AN274" s="1">
        <v>44086</v>
      </c>
      <c r="AO274" s="10" t="str">
        <f>TEXT(Table1[[#This Row],[Purchased]],"mmmm")</f>
        <v>September</v>
      </c>
      <c r="AP274" s="10" t="str">
        <f>TEXT(Table1[[#This Row],[Purchased]],"yyyy")</f>
        <v>2020</v>
      </c>
      <c r="AQ274" s="1">
        <v>44138</v>
      </c>
    </row>
    <row r="275" spans="1:43" s="37" customFormat="1" x14ac:dyDescent="0.25">
      <c r="A275" s="37" t="str">
        <f t="shared" si="24"/>
        <v>2015CortonesiBrunello di Montalcino La Mannella</v>
      </c>
      <c r="B275" s="37">
        <v>2015</v>
      </c>
      <c r="C275" s="37" t="s">
        <v>72</v>
      </c>
      <c r="D275" s="25" t="s">
        <v>73</v>
      </c>
      <c r="E275" s="67" t="s">
        <v>1250</v>
      </c>
      <c r="F275" s="37" t="s">
        <v>728</v>
      </c>
      <c r="G275" s="37" t="s">
        <v>790</v>
      </c>
      <c r="H275" s="37" t="s">
        <v>19</v>
      </c>
      <c r="I275" s="8">
        <v>1</v>
      </c>
      <c r="J275" s="38">
        <v>750</v>
      </c>
      <c r="K275" s="38" t="s">
        <v>384</v>
      </c>
      <c r="L275" s="10">
        <f>COUNTIF(Drank!A:A,Table1[[#This Row],[ID]])</f>
        <v>1</v>
      </c>
      <c r="M275" s="37" t="s">
        <v>202</v>
      </c>
      <c r="N275" s="37" t="s">
        <v>207</v>
      </c>
      <c r="O275" s="37">
        <v>1</v>
      </c>
      <c r="P275" s="37">
        <v>2021</v>
      </c>
      <c r="Q275" s="37">
        <v>2035</v>
      </c>
      <c r="R275" s="10">
        <f>IF(IFERROR(VLOOKUP(A275,Drank!A:S,15,FALSE),"")=0,"",IFERROR(VLOOKUP(A275,Drank!A:S,15,FALSE),""))</f>
        <v>2026</v>
      </c>
      <c r="S275" s="10">
        <f>IF(IFERROR(VLOOKUP(A275,Drank!A:S,16,FALSE),"")=0,"",IFERROR(VLOOKUP(A275,Drank!A:S,16,FALSE),""))</f>
        <v>2033</v>
      </c>
      <c r="T275" s="10"/>
      <c r="U275" s="37">
        <v>94</v>
      </c>
      <c r="V275" s="18">
        <f>IF(IFERROR(VLOOKUP(A275,Drank!A:T,19,FALSE),"")=0,"",IFERROR(VLOOKUP(A275,Drank!A:T,19,FALSE),""))</f>
        <v>94</v>
      </c>
      <c r="W275" s="1">
        <f>IF(IFERROR(VLOOKUP(A275,Drank!A:T,20,FALSE),"")=0,"",IFERROR(VLOOKUP(A275,Drank!A:T,20,FALSE),""))</f>
        <v>43995</v>
      </c>
      <c r="X275" s="10">
        <f>SUMIF(A:A,A275,I:I)</f>
        <v>23</v>
      </c>
      <c r="Y275" s="10">
        <f>IF(Table1[[#This Row],[Drank]]&gt;0,VLOOKUP(Table1[[#This Row],[ID]],Drank!A:P,16,FALSE),IF(Table1[[#This Row],[WALDD]]&gt;0,VLOOKUP(Table1[[#This Row],[ID]],Wine1!A:Q,17,FALSE),Table1[[#This Row],[EP]]))</f>
        <v>2033</v>
      </c>
      <c r="Z275" s="18">
        <f>IF(Table1[[#This Row],[My Rating]]="",IF(Table1[[#This Row],[WA Rating Clean]]="","",Table1[[#This Row],[WA Rating Clean]]),Table1[[#This Row],[My Rating]])</f>
        <v>94</v>
      </c>
      <c r="AA275" s="37">
        <v>2029</v>
      </c>
      <c r="AB275" s="128">
        <v>36.92</v>
      </c>
      <c r="AC275" s="2">
        <f t="shared" si="25"/>
        <v>36.92</v>
      </c>
      <c r="AD275" s="8">
        <v>1</v>
      </c>
      <c r="AE275" s="10">
        <f>IF(Table1[[#This Row],[P/750]]&lt;20,1,IF(Table1[[#This Row],[P/750]]&lt;50,2,3))</f>
        <v>2</v>
      </c>
      <c r="AF275" s="10">
        <f>IF(Table1[[#This Row],[P/750]]&lt;Expenses!$C$30,1,IF(Table1[[#This Row],[P/750]]&lt;Expenses!$C$31,2,IF(Table1[[#This Row],[P/750]]&lt;Expenses!$C$32,3,4)))</f>
        <v>3</v>
      </c>
      <c r="AH275" s="37" t="s">
        <v>384</v>
      </c>
      <c r="AI275" s="11">
        <f>Table1[[#This Row],[Price]]/Table1[[#This Row],[Size (ml)]]*750</f>
        <v>36.92</v>
      </c>
      <c r="AJ275" s="37">
        <v>94</v>
      </c>
      <c r="AK275" s="10">
        <f>COUNTIF(UniqueID!A:A,Table1[[#This Row],[ID]])</f>
        <v>0</v>
      </c>
      <c r="AL275" s="10" t="str">
        <f>VLOOKUP(Table1[[#This Row],[Cellar Location]],Location!A:F,6,FALSE)</f>
        <v>W</v>
      </c>
      <c r="AN275" s="1">
        <v>44086</v>
      </c>
      <c r="AO275" s="10" t="str">
        <f>TEXT(Table1[[#This Row],[Purchased]],"mmmm")</f>
        <v>September</v>
      </c>
      <c r="AP275" s="10" t="str">
        <f>TEXT(Table1[[#This Row],[Purchased]],"yyyy")</f>
        <v>2020</v>
      </c>
      <c r="AQ275" s="1">
        <v>44138</v>
      </c>
    </row>
    <row r="276" spans="1:43" s="37" customFormat="1" x14ac:dyDescent="0.25">
      <c r="A276" s="37" t="str">
        <f t="shared" si="24"/>
        <v>2015CortonesiBrunello di Montalcino La Mannella</v>
      </c>
      <c r="B276" s="37">
        <v>2015</v>
      </c>
      <c r="C276" s="37" t="s">
        <v>72</v>
      </c>
      <c r="D276" s="25" t="s">
        <v>73</v>
      </c>
      <c r="E276" s="67" t="s">
        <v>1250</v>
      </c>
      <c r="F276" s="37" t="s">
        <v>728</v>
      </c>
      <c r="G276" s="37" t="s">
        <v>790</v>
      </c>
      <c r="H276" s="37" t="s">
        <v>19</v>
      </c>
      <c r="I276" s="8">
        <v>1</v>
      </c>
      <c r="J276" s="38">
        <v>750</v>
      </c>
      <c r="K276" s="38" t="s">
        <v>384</v>
      </c>
      <c r="L276" s="10">
        <f>COUNTIF(Drank!A:A,Table1[[#This Row],[ID]])</f>
        <v>1</v>
      </c>
      <c r="M276" s="37" t="s">
        <v>202</v>
      </c>
      <c r="N276" s="37" t="s">
        <v>207</v>
      </c>
      <c r="O276" s="37">
        <v>1</v>
      </c>
      <c r="P276" s="37">
        <v>2021</v>
      </c>
      <c r="Q276" s="37">
        <v>2035</v>
      </c>
      <c r="R276" s="10">
        <f>IF(IFERROR(VLOOKUP(A276,Drank!A:S,15,FALSE),"")=0,"",IFERROR(VLOOKUP(A276,Drank!A:S,15,FALSE),""))</f>
        <v>2026</v>
      </c>
      <c r="S276" s="10">
        <f>IF(IFERROR(VLOOKUP(A276,Drank!A:S,16,FALSE),"")=0,"",IFERROR(VLOOKUP(A276,Drank!A:S,16,FALSE),""))</f>
        <v>2033</v>
      </c>
      <c r="T276" s="10"/>
      <c r="U276" s="37">
        <v>94</v>
      </c>
      <c r="V276" s="18">
        <f>IF(IFERROR(VLOOKUP(A276,Drank!A:T,19,FALSE),"")=0,"",IFERROR(VLOOKUP(A276,Drank!A:T,19,FALSE),""))</f>
        <v>94</v>
      </c>
      <c r="W276" s="1">
        <f>IF(IFERROR(VLOOKUP(A276,Drank!A:T,20,FALSE),"")=0,"",IFERROR(VLOOKUP(A276,Drank!A:T,20,FALSE),""))</f>
        <v>43995</v>
      </c>
      <c r="X276" s="10">
        <f>SUMIF(A:A,A276,I:I)</f>
        <v>23</v>
      </c>
      <c r="Y276" s="10">
        <f>IF(Table1[[#This Row],[Drank]]&gt;0,VLOOKUP(Table1[[#This Row],[ID]],Drank!A:P,16,FALSE),IF(Table1[[#This Row],[WALDD]]&gt;0,VLOOKUP(Table1[[#This Row],[ID]],Wine1!A:Q,17,FALSE),Table1[[#This Row],[EP]]))</f>
        <v>2033</v>
      </c>
      <c r="Z276" s="18">
        <f>IF(Table1[[#This Row],[My Rating]]="",IF(Table1[[#This Row],[WA Rating Clean]]="","",Table1[[#This Row],[WA Rating Clean]]),Table1[[#This Row],[My Rating]])</f>
        <v>94</v>
      </c>
      <c r="AA276" s="37">
        <v>2031</v>
      </c>
      <c r="AB276" s="128">
        <v>36.92</v>
      </c>
      <c r="AC276" s="2">
        <f t="shared" si="25"/>
        <v>36.92</v>
      </c>
      <c r="AD276" s="8">
        <v>1</v>
      </c>
      <c r="AE276" s="10">
        <f>IF(Table1[[#This Row],[P/750]]&lt;20,1,IF(Table1[[#This Row],[P/750]]&lt;50,2,3))</f>
        <v>2</v>
      </c>
      <c r="AF276" s="10">
        <f>IF(Table1[[#This Row],[P/750]]&lt;Expenses!$C$30,1,IF(Table1[[#This Row],[P/750]]&lt;Expenses!$C$31,2,IF(Table1[[#This Row],[P/750]]&lt;Expenses!$C$32,3,4)))</f>
        <v>3</v>
      </c>
      <c r="AH276" s="37" t="s">
        <v>384</v>
      </c>
      <c r="AI276" s="11">
        <f>Table1[[#This Row],[Price]]/Table1[[#This Row],[Size (ml)]]*750</f>
        <v>36.92</v>
      </c>
      <c r="AJ276" s="37">
        <v>94</v>
      </c>
      <c r="AK276" s="10">
        <f>COUNTIF(UniqueID!A:A,Table1[[#This Row],[ID]])</f>
        <v>0</v>
      </c>
      <c r="AL276" s="10" t="str">
        <f>VLOOKUP(Table1[[#This Row],[Cellar Location]],Location!A:F,6,FALSE)</f>
        <v>W</v>
      </c>
      <c r="AN276" s="1">
        <v>44086</v>
      </c>
      <c r="AO276" s="10" t="str">
        <f>TEXT(Table1[[#This Row],[Purchased]],"mmmm")</f>
        <v>September</v>
      </c>
      <c r="AP276" s="10" t="str">
        <f>TEXT(Table1[[#This Row],[Purchased]],"yyyy")</f>
        <v>2020</v>
      </c>
      <c r="AQ276" s="1">
        <v>44138</v>
      </c>
    </row>
    <row r="277" spans="1:43" s="37" customFormat="1" x14ac:dyDescent="0.25">
      <c r="A277" s="37" t="str">
        <f t="shared" si="24"/>
        <v>2015CortonesiBrunello di Montalcino La Mannella</v>
      </c>
      <c r="B277" s="37">
        <v>2015</v>
      </c>
      <c r="C277" s="37" t="s">
        <v>72</v>
      </c>
      <c r="D277" s="25" t="s">
        <v>73</v>
      </c>
      <c r="E277" s="67" t="s">
        <v>1250</v>
      </c>
      <c r="F277" s="37" t="s">
        <v>728</v>
      </c>
      <c r="G277" s="37" t="s">
        <v>790</v>
      </c>
      <c r="H277" s="37" t="s">
        <v>19</v>
      </c>
      <c r="I277" s="8">
        <v>1</v>
      </c>
      <c r="J277" s="38">
        <v>750</v>
      </c>
      <c r="K277" s="38" t="s">
        <v>384</v>
      </c>
      <c r="L277" s="10">
        <f>COUNTIF(Drank!A:A,Table1[[#This Row],[ID]])</f>
        <v>1</v>
      </c>
      <c r="M277" s="37" t="s">
        <v>202</v>
      </c>
      <c r="N277" s="37" t="s">
        <v>207</v>
      </c>
      <c r="O277" s="37">
        <v>1</v>
      </c>
      <c r="P277" s="37">
        <v>2021</v>
      </c>
      <c r="Q277" s="37">
        <v>2035</v>
      </c>
      <c r="R277" s="10">
        <f>IF(IFERROR(VLOOKUP(A277,Drank!A:S,15,FALSE),"")=0,"",IFERROR(VLOOKUP(A277,Drank!A:S,15,FALSE),""))</f>
        <v>2026</v>
      </c>
      <c r="S277" s="10">
        <f>IF(IFERROR(VLOOKUP(A277,Drank!A:S,16,FALSE),"")=0,"",IFERROR(VLOOKUP(A277,Drank!A:S,16,FALSE),""))</f>
        <v>2033</v>
      </c>
      <c r="T277" s="10"/>
      <c r="U277" s="37">
        <v>94</v>
      </c>
      <c r="V277" s="18">
        <f>IF(IFERROR(VLOOKUP(A277,Drank!A:T,19,FALSE),"")=0,"",IFERROR(VLOOKUP(A277,Drank!A:T,19,FALSE),""))</f>
        <v>94</v>
      </c>
      <c r="W277" s="1">
        <f>IF(IFERROR(VLOOKUP(A277,Drank!A:T,20,FALSE),"")=0,"",IFERROR(VLOOKUP(A277,Drank!A:T,20,FALSE),""))</f>
        <v>43995</v>
      </c>
      <c r="X277" s="10">
        <f>SUMIF(A:A,A277,I:I)</f>
        <v>23</v>
      </c>
      <c r="Y277" s="10">
        <f>IF(Table1[[#This Row],[Drank]]&gt;0,VLOOKUP(Table1[[#This Row],[ID]],Drank!A:P,16,FALSE),IF(Table1[[#This Row],[WALDD]]&gt;0,VLOOKUP(Table1[[#This Row],[ID]],Wine1!A:Q,17,FALSE),Table1[[#This Row],[EP]]))</f>
        <v>2033</v>
      </c>
      <c r="Z277" s="18">
        <f>IF(Table1[[#This Row],[My Rating]]="",IF(Table1[[#This Row],[WA Rating Clean]]="","",Table1[[#This Row],[WA Rating Clean]]),Table1[[#This Row],[My Rating]])</f>
        <v>94</v>
      </c>
      <c r="AA277" s="37">
        <v>2033</v>
      </c>
      <c r="AB277" s="128">
        <v>36.92</v>
      </c>
      <c r="AC277" s="2">
        <f t="shared" si="25"/>
        <v>36.92</v>
      </c>
      <c r="AD277" s="8">
        <v>1</v>
      </c>
      <c r="AE277" s="10">
        <f>IF(Table1[[#This Row],[P/750]]&lt;20,1,IF(Table1[[#This Row],[P/750]]&lt;50,2,3))</f>
        <v>2</v>
      </c>
      <c r="AF277" s="10">
        <f>IF(Table1[[#This Row],[P/750]]&lt;Expenses!$C$30,1,IF(Table1[[#This Row],[P/750]]&lt;Expenses!$C$31,2,IF(Table1[[#This Row],[P/750]]&lt;Expenses!$C$32,3,4)))</f>
        <v>3</v>
      </c>
      <c r="AH277" s="37" t="s">
        <v>384</v>
      </c>
      <c r="AI277" s="11">
        <f>Table1[[#This Row],[Price]]/Table1[[#This Row],[Size (ml)]]*750</f>
        <v>36.92</v>
      </c>
      <c r="AJ277" s="37">
        <v>94</v>
      </c>
      <c r="AK277" s="10">
        <f>COUNTIF(UniqueID!A:A,Table1[[#This Row],[ID]])</f>
        <v>0</v>
      </c>
      <c r="AL277" s="10" t="str">
        <f>VLOOKUP(Table1[[#This Row],[Cellar Location]],Location!A:F,6,FALSE)</f>
        <v>W</v>
      </c>
      <c r="AN277" s="1">
        <v>44086</v>
      </c>
      <c r="AO277" s="10" t="str">
        <f>TEXT(Table1[[#This Row],[Purchased]],"mmmm")</f>
        <v>September</v>
      </c>
      <c r="AP277" s="10" t="str">
        <f>TEXT(Table1[[#This Row],[Purchased]],"yyyy")</f>
        <v>2020</v>
      </c>
      <c r="AQ277" s="1">
        <v>44138</v>
      </c>
    </row>
    <row r="278" spans="1:43" s="37" customFormat="1" x14ac:dyDescent="0.25">
      <c r="A278" s="37" t="str">
        <f t="shared" si="24"/>
        <v>2015CortonesiBrunello di Montalcino La Mannella</v>
      </c>
      <c r="B278" s="37">
        <v>2015</v>
      </c>
      <c r="C278" s="37" t="s">
        <v>72</v>
      </c>
      <c r="D278" s="25" t="s">
        <v>73</v>
      </c>
      <c r="E278" s="67" t="s">
        <v>1250</v>
      </c>
      <c r="F278" s="37" t="s">
        <v>728</v>
      </c>
      <c r="G278" s="37" t="s">
        <v>790</v>
      </c>
      <c r="H278" s="37" t="s">
        <v>19</v>
      </c>
      <c r="I278" s="8">
        <v>1</v>
      </c>
      <c r="J278" s="38">
        <v>750</v>
      </c>
      <c r="K278" s="38" t="s">
        <v>384</v>
      </c>
      <c r="L278" s="10">
        <f>COUNTIF(Drank!A:A,Table1[[#This Row],[ID]])</f>
        <v>1</v>
      </c>
      <c r="M278" s="37" t="s">
        <v>202</v>
      </c>
      <c r="N278" s="37" t="s">
        <v>207</v>
      </c>
      <c r="O278" s="37">
        <v>1</v>
      </c>
      <c r="P278" s="37">
        <v>2021</v>
      </c>
      <c r="Q278" s="37">
        <v>2035</v>
      </c>
      <c r="R278" s="10">
        <f>IF(IFERROR(VLOOKUP(A278,Drank!A:S,15,FALSE),"")=0,"",IFERROR(VLOOKUP(A278,Drank!A:S,15,FALSE),""))</f>
        <v>2026</v>
      </c>
      <c r="S278" s="10">
        <f>IF(IFERROR(VLOOKUP(A278,Drank!A:S,16,FALSE),"")=0,"",IFERROR(VLOOKUP(A278,Drank!A:S,16,FALSE),""))</f>
        <v>2033</v>
      </c>
      <c r="T278" s="10"/>
      <c r="U278" s="37">
        <v>94</v>
      </c>
      <c r="V278" s="18">
        <f>IF(IFERROR(VLOOKUP(A278,Drank!A:T,19,FALSE),"")=0,"",IFERROR(VLOOKUP(A278,Drank!A:T,19,FALSE),""))</f>
        <v>94</v>
      </c>
      <c r="W278" s="1">
        <f>IF(IFERROR(VLOOKUP(A278,Drank!A:T,20,FALSE),"")=0,"",IFERROR(VLOOKUP(A278,Drank!A:T,20,FALSE),""))</f>
        <v>43995</v>
      </c>
      <c r="X278" s="10">
        <f>SUMIF(A:A,A278,I:I)</f>
        <v>23</v>
      </c>
      <c r="Y278" s="10">
        <f>IF(Table1[[#This Row],[Drank]]&gt;0,VLOOKUP(Table1[[#This Row],[ID]],Drank!A:P,16,FALSE),IF(Table1[[#This Row],[WALDD]]&gt;0,VLOOKUP(Table1[[#This Row],[ID]],Wine1!A:Q,17,FALSE),Table1[[#This Row],[EP]]))</f>
        <v>2033</v>
      </c>
      <c r="Z278" s="18">
        <f>IF(Table1[[#This Row],[My Rating]]="",IF(Table1[[#This Row],[WA Rating Clean]]="","",Table1[[#This Row],[WA Rating Clean]]),Table1[[#This Row],[My Rating]])</f>
        <v>94</v>
      </c>
      <c r="AA278" s="37">
        <v>2034</v>
      </c>
      <c r="AB278" s="128">
        <v>36.92</v>
      </c>
      <c r="AC278" s="2">
        <f t="shared" si="25"/>
        <v>36.92</v>
      </c>
      <c r="AD278" s="8">
        <v>1</v>
      </c>
      <c r="AE278" s="10">
        <f>IF(Table1[[#This Row],[P/750]]&lt;20,1,IF(Table1[[#This Row],[P/750]]&lt;50,2,3))</f>
        <v>2</v>
      </c>
      <c r="AF278" s="10">
        <f>IF(Table1[[#This Row],[P/750]]&lt;Expenses!$C$30,1,IF(Table1[[#This Row],[P/750]]&lt;Expenses!$C$31,2,IF(Table1[[#This Row],[P/750]]&lt;Expenses!$C$32,3,4)))</f>
        <v>3</v>
      </c>
      <c r="AH278" s="37" t="s">
        <v>384</v>
      </c>
      <c r="AI278" s="11">
        <f>Table1[[#This Row],[Price]]/Table1[[#This Row],[Size (ml)]]*750</f>
        <v>36.92</v>
      </c>
      <c r="AJ278" s="37">
        <v>94</v>
      </c>
      <c r="AK278" s="10">
        <f>COUNTIF(UniqueID!A:A,Table1[[#This Row],[ID]])</f>
        <v>0</v>
      </c>
      <c r="AL278" s="10" t="str">
        <f>VLOOKUP(Table1[[#This Row],[Cellar Location]],Location!A:F,6,FALSE)</f>
        <v>W</v>
      </c>
      <c r="AN278" s="1">
        <v>44086</v>
      </c>
      <c r="AO278" s="10" t="str">
        <f>TEXT(Table1[[#This Row],[Purchased]],"mmmm")</f>
        <v>September</v>
      </c>
      <c r="AP278" s="10" t="str">
        <f>TEXT(Table1[[#This Row],[Purchased]],"yyyy")</f>
        <v>2020</v>
      </c>
      <c r="AQ278" s="1">
        <v>44138</v>
      </c>
    </row>
    <row r="279" spans="1:43" s="37" customFormat="1" x14ac:dyDescent="0.25">
      <c r="A279" s="37" t="str">
        <f t="shared" si="18"/>
        <v>2004BollingerR.D. Extra Brut</v>
      </c>
      <c r="B279" s="8">
        <v>2004</v>
      </c>
      <c r="C279" s="8" t="s">
        <v>1806</v>
      </c>
      <c r="D279" s="19" t="s">
        <v>1811</v>
      </c>
      <c r="E279" s="63" t="s">
        <v>1807</v>
      </c>
      <c r="F279" s="37" t="s">
        <v>742</v>
      </c>
      <c r="G279" s="37" t="s">
        <v>416</v>
      </c>
      <c r="I279" s="37">
        <v>1</v>
      </c>
      <c r="J279" s="37">
        <v>750</v>
      </c>
      <c r="K279" s="8" t="s">
        <v>1833</v>
      </c>
      <c r="L279" s="10">
        <f>COUNTIF(Drank!A:A,Table1[[#This Row],[ID]])</f>
        <v>0</v>
      </c>
      <c r="M279" s="37" t="s">
        <v>201</v>
      </c>
      <c r="N279" s="37" t="s">
        <v>638</v>
      </c>
      <c r="O279" s="37">
        <v>1</v>
      </c>
      <c r="P279" s="10">
        <v>2018</v>
      </c>
      <c r="Q279" s="37">
        <v>2034</v>
      </c>
      <c r="R279" s="10" t="str">
        <f>IF(IFERROR(VLOOKUP(A279,Drank!A:S,15,FALSE),"")=0,"",IFERROR(VLOOKUP(A279,Drank!A:S,15,FALSE),""))</f>
        <v/>
      </c>
      <c r="S279" s="10" t="str">
        <f>IF(IFERROR(VLOOKUP(A279,Drank!A:S,16,FALSE),"")=0,"",IFERROR(VLOOKUP(A279,Drank!A:S,16,FALSE),""))</f>
        <v/>
      </c>
      <c r="T279" s="10"/>
      <c r="U279" s="37">
        <v>97</v>
      </c>
      <c r="V279" s="18" t="str">
        <f>IF(IFERROR(VLOOKUP(A279,Drank!A:T,19,FALSE),"")=0,"",IFERROR(VLOOKUP(A279,Drank!A:T,19,FALSE),""))</f>
        <v/>
      </c>
      <c r="W279" s="1" t="str">
        <f>IF(IFERROR(VLOOKUP(A279,Drank!A:T,20,FALSE),"")=0,"",IFERROR(VLOOKUP(A279,Drank!A:T,20,FALSE),""))</f>
        <v/>
      </c>
      <c r="X279" s="10">
        <f>SUMIF(A:A,A279,I:I)</f>
        <v>1</v>
      </c>
      <c r="Y279" s="10">
        <f>IF(Table1[[#This Row],[Drank]]&gt;0,VLOOKUP(Table1[[#This Row],[ID]],Drank!A:P,16,FALSE),IF(Table1[[#This Row],[WALDD]]&gt;0,VLOOKUP(Table1[[#This Row],[ID]],Wine1!A:Q,17,FALSE),Table1[[#This Row],[EP]]))</f>
        <v>2034</v>
      </c>
      <c r="Z279" s="18">
        <f>IF(Table1[[#This Row],[My Rating]]="",IF(Table1[[#This Row],[WA Rating Clean]]="","",Table1[[#This Row],[WA Rating Clean]]),Table1[[#This Row],[My Rating]])</f>
        <v>94</v>
      </c>
      <c r="AA279" s="37">
        <v>2021</v>
      </c>
      <c r="AB279" s="128">
        <v>181.03</v>
      </c>
      <c r="AC279" s="2">
        <f t="shared" si="19"/>
        <v>181.03</v>
      </c>
      <c r="AD279" s="8"/>
      <c r="AE279" s="10">
        <f>IF(Table1[[#This Row],[P/750]]&lt;20,1,IF(Table1[[#This Row],[P/750]]&lt;50,2,3))</f>
        <v>3</v>
      </c>
      <c r="AF279" s="10">
        <f>IF(Table1[[#This Row],[P/750]]&lt;Expenses!$C$30,1,IF(Table1[[#This Row],[P/750]]&lt;Expenses!$C$31,2,IF(Table1[[#This Row],[P/750]]&lt;Expenses!$C$32,3,4)))</f>
        <v>4</v>
      </c>
      <c r="AH279" s="25" t="s">
        <v>1545</v>
      </c>
      <c r="AI279" s="11">
        <f>Table1[[#This Row],[Price]]/Table1[[#This Row],[Size (ml)]]*750</f>
        <v>181.03</v>
      </c>
      <c r="AJ279" s="37">
        <v>94</v>
      </c>
      <c r="AK279" s="10">
        <f>COUNTIF(UniqueID!A:A,Table1[[#This Row],[ID]])</f>
        <v>0</v>
      </c>
      <c r="AL279" s="10" t="str">
        <f>VLOOKUP(Table1[[#This Row],[Cellar Location]],Location!A:F,6,FALSE)</f>
        <v>C</v>
      </c>
      <c r="AN279" s="1">
        <v>44065</v>
      </c>
      <c r="AO279" s="10" t="str">
        <f>TEXT(Table1[[#This Row],[Purchased]],"mmmm")</f>
        <v>August</v>
      </c>
      <c r="AP279" s="10" t="str">
        <f>TEXT(Table1[[#This Row],[Purchased]],"yyyy")</f>
        <v>2020</v>
      </c>
      <c r="AQ279" s="10"/>
    </row>
    <row r="280" spans="1:43" s="37" customFormat="1" x14ac:dyDescent="0.25">
      <c r="A280" s="37" t="str">
        <f t="shared" si="18"/>
        <v>2016Produttori del BarbarescoBarbaresco</v>
      </c>
      <c r="B280" s="37">
        <v>2016</v>
      </c>
      <c r="C280" s="37" t="s">
        <v>248</v>
      </c>
      <c r="D280" s="37" t="s">
        <v>249</v>
      </c>
      <c r="E280" s="67" t="s">
        <v>1206</v>
      </c>
      <c r="F280" s="37" t="s">
        <v>728</v>
      </c>
      <c r="G280" s="37" t="s">
        <v>778</v>
      </c>
      <c r="H280" s="37" t="s">
        <v>249</v>
      </c>
      <c r="I280" s="37">
        <v>1</v>
      </c>
      <c r="J280" s="37">
        <v>750</v>
      </c>
      <c r="K280" s="8" t="s">
        <v>25</v>
      </c>
      <c r="L280" s="10">
        <f>COUNTIF(Drank!A:A,Table1[[#This Row],[ID]])</f>
        <v>2</v>
      </c>
      <c r="M280" s="37" t="s">
        <v>202</v>
      </c>
      <c r="N280" s="37" t="s">
        <v>207</v>
      </c>
      <c r="O280" s="37">
        <v>1</v>
      </c>
      <c r="P280" s="37">
        <v>2022</v>
      </c>
      <c r="Q280" s="37">
        <v>2040</v>
      </c>
      <c r="R280" s="10">
        <f>IF(IFERROR(VLOOKUP(A280,Drank!A:S,15,FALSE),"")=0,"",IFERROR(VLOOKUP(A280,Drank!A:S,15,FALSE),""))</f>
        <v>2021</v>
      </c>
      <c r="S280" s="10">
        <f>IF(IFERROR(VLOOKUP(A280,Drank!A:S,16,FALSE),"")=0,"",IFERROR(VLOOKUP(A280,Drank!A:S,16,FALSE),""))</f>
        <v>2032</v>
      </c>
      <c r="T280" s="10"/>
      <c r="U280" s="37">
        <v>95</v>
      </c>
      <c r="V280" s="18">
        <f>IF(IFERROR(VLOOKUP(A280,Drank!A:T,19,FALSE),"")=0,"",IFERROR(VLOOKUP(A280,Drank!A:T,19,FALSE),""))</f>
        <v>95.5</v>
      </c>
      <c r="W280" s="1">
        <f>IF(IFERROR(VLOOKUP(A280,Drank!A:T,20,FALSE),"")=0,"",IFERROR(VLOOKUP(A280,Drank!A:T,20,FALSE),""))</f>
        <v>44079</v>
      </c>
      <c r="X280" s="10">
        <f>SUMIF(A:A,A280,I:I)</f>
        <v>41</v>
      </c>
      <c r="Y280" s="10">
        <f>IF(Table1[[#This Row],[Drank]]&gt;0,VLOOKUP(Table1[[#This Row],[ID]],Drank!A:P,16,FALSE),IF(Table1[[#This Row],[WALDD]]&gt;0,VLOOKUP(Table1[[#This Row],[ID]],Wine1!A:Q,17,FALSE),Table1[[#This Row],[EP]]))</f>
        <v>2032</v>
      </c>
      <c r="Z280" s="18">
        <f>IF(Table1[[#This Row],[My Rating]]="",IF(Table1[[#This Row],[WA Rating Clean]]="","",Table1[[#This Row],[WA Rating Clean]]),Table1[[#This Row],[My Rating]])</f>
        <v>95.5</v>
      </c>
      <c r="AA280" s="37">
        <v>2021</v>
      </c>
      <c r="AB280" s="128">
        <v>42.36</v>
      </c>
      <c r="AC280" s="2">
        <f t="shared" si="19"/>
        <v>42.36</v>
      </c>
      <c r="AD280" s="8">
        <v>1</v>
      </c>
      <c r="AE280" s="10">
        <f>IF(Table1[[#This Row],[P/750]]&lt;20,1,IF(Table1[[#This Row],[P/750]]&lt;50,2,3))</f>
        <v>2</v>
      </c>
      <c r="AF280" s="10">
        <f>IF(Table1[[#This Row],[P/750]]&lt;Expenses!$C$30,1,IF(Table1[[#This Row],[P/750]]&lt;Expenses!$C$31,2,IF(Table1[[#This Row],[P/750]]&lt;Expenses!$C$32,3,4)))</f>
        <v>3</v>
      </c>
      <c r="AH280" s="37" t="s">
        <v>1128</v>
      </c>
      <c r="AI280" s="11">
        <f>Table1[[#This Row],[Price]]/Table1[[#This Row],[Size (ml)]]*750</f>
        <v>42.36</v>
      </c>
      <c r="AJ280" s="37">
        <v>95</v>
      </c>
      <c r="AK280" s="10">
        <f>COUNTIF(UniqueID!A:A,Table1[[#This Row],[ID]])</f>
        <v>1</v>
      </c>
      <c r="AL280" s="10" t="str">
        <f>VLOOKUP(Table1[[#This Row],[Cellar Location]],Location!A:F,6,FALSE)</f>
        <v>K</v>
      </c>
      <c r="AN280" s="1">
        <v>44070</v>
      </c>
      <c r="AO280" s="10" t="str">
        <f>TEXT(Table1[[#This Row],[Purchased]],"mmmm")</f>
        <v>August</v>
      </c>
      <c r="AP280" s="10" t="str">
        <f>TEXT(Table1[[#This Row],[Purchased]],"yyyy")</f>
        <v>2020</v>
      </c>
      <c r="AQ280" s="1"/>
    </row>
    <row r="281" spans="1:43" s="37" customFormat="1" x14ac:dyDescent="0.25">
      <c r="A281" s="37" t="str">
        <f t="shared" si="18"/>
        <v>2010La Rioja AltaGran Reserva 904</v>
      </c>
      <c r="B281" s="37">
        <v>2010</v>
      </c>
      <c r="C281" s="37" t="s">
        <v>221</v>
      </c>
      <c r="D281" s="37" t="s">
        <v>222</v>
      </c>
      <c r="E281" s="67" t="s">
        <v>1296</v>
      </c>
      <c r="F281" s="37" t="s">
        <v>729</v>
      </c>
      <c r="G281" s="37" t="s">
        <v>823</v>
      </c>
      <c r="H281" s="37" t="s">
        <v>824</v>
      </c>
      <c r="I281" s="37">
        <v>1</v>
      </c>
      <c r="J281" s="38">
        <v>750</v>
      </c>
      <c r="K281" s="38" t="s">
        <v>1564</v>
      </c>
      <c r="L281" s="10">
        <f>COUNTIF(Drank!A:A,Table1[[#This Row],[ID]])</f>
        <v>0</v>
      </c>
      <c r="M281" s="37" t="s">
        <v>202</v>
      </c>
      <c r="N281" s="37" t="s">
        <v>207</v>
      </c>
      <c r="O281" s="37">
        <v>1</v>
      </c>
      <c r="P281" s="10">
        <v>2019</v>
      </c>
      <c r="Q281" s="37">
        <v>2035</v>
      </c>
      <c r="R281" s="10" t="str">
        <f>IF(IFERROR(VLOOKUP(A281,Drank!A:S,15,FALSE),"")=0,"",IFERROR(VLOOKUP(A281,Drank!A:S,15,FALSE),""))</f>
        <v/>
      </c>
      <c r="S281" s="10" t="str">
        <f>IF(IFERROR(VLOOKUP(A281,Drank!A:S,16,FALSE),"")=0,"",IFERROR(VLOOKUP(A281,Drank!A:S,16,FALSE),""))</f>
        <v/>
      </c>
      <c r="T281" s="10"/>
      <c r="U281" s="37" t="s">
        <v>1180</v>
      </c>
      <c r="V281" s="18" t="str">
        <f>IF(IFERROR(VLOOKUP(A281,Drank!A:T,19,FALSE),"")=0,"",IFERROR(VLOOKUP(A281,Drank!A:T,19,FALSE),""))</f>
        <v/>
      </c>
      <c r="W281" s="1" t="str">
        <f>IF(IFERROR(VLOOKUP(A281,Drank!A:T,20,FALSE),"")=0,"",IFERROR(VLOOKUP(A281,Drank!A:T,20,FALSE),""))</f>
        <v/>
      </c>
      <c r="X281" s="10">
        <f>SUMIF(A:A,A281,I:I)</f>
        <v>9</v>
      </c>
      <c r="Y281" s="10">
        <f>IF(Table1[[#This Row],[Drank]]&gt;0,VLOOKUP(Table1[[#This Row],[ID]],Drank!A:P,16,FALSE),IF(Table1[[#This Row],[WALDD]]&gt;0,VLOOKUP(Table1[[#This Row],[ID]],Wine1!A:Q,17,FALSE),Table1[[#This Row],[EP]]))</f>
        <v>2035</v>
      </c>
      <c r="Z281" s="18">
        <f>IF(Table1[[#This Row],[My Rating]]="",IF(Table1[[#This Row],[WA Rating Clean]]="","",Table1[[#This Row],[WA Rating Clean]]),Table1[[#This Row],[My Rating]])</f>
        <v>96</v>
      </c>
      <c r="AA281" s="37">
        <v>2021</v>
      </c>
      <c r="AB281" s="128">
        <v>64.08</v>
      </c>
      <c r="AC281" s="2">
        <f t="shared" si="19"/>
        <v>64.08</v>
      </c>
      <c r="AD281" s="8">
        <v>1</v>
      </c>
      <c r="AE281" s="10">
        <f>IF(Table1[[#This Row],[P/750]]&lt;20,1,IF(Table1[[#This Row],[P/750]]&lt;50,2,3))</f>
        <v>3</v>
      </c>
      <c r="AF281" s="10">
        <f>IF(Table1[[#This Row],[P/750]]&lt;Expenses!$C$30,1,IF(Table1[[#This Row],[P/750]]&lt;Expenses!$C$31,2,IF(Table1[[#This Row],[P/750]]&lt;Expenses!$C$32,3,4)))</f>
        <v>3</v>
      </c>
      <c r="AH281" s="25" t="s">
        <v>1564</v>
      </c>
      <c r="AI281" s="11">
        <f>Table1[[#This Row],[Price]]/Table1[[#This Row],[Size (ml)]]*750</f>
        <v>64.08</v>
      </c>
      <c r="AJ281" s="37">
        <v>96</v>
      </c>
      <c r="AK281" s="10">
        <f>COUNTIF(UniqueID!A:A,Table1[[#This Row],[ID]])</f>
        <v>0</v>
      </c>
      <c r="AL281" s="10" t="str">
        <f>VLOOKUP(Table1[[#This Row],[Cellar Location]],Location!A:F,6,FALSE)</f>
        <v>W</v>
      </c>
      <c r="AN281" s="1">
        <v>44064</v>
      </c>
      <c r="AO281" s="10" t="str">
        <f>TEXT(Table1[[#This Row],[Purchased]],"mmmm")</f>
        <v>August</v>
      </c>
      <c r="AP281" s="10" t="str">
        <f>TEXT(Table1[[#This Row],[Purchased]],"yyyy")</f>
        <v>2020</v>
      </c>
      <c r="AQ281" s="1">
        <v>44114</v>
      </c>
    </row>
    <row r="282" spans="1:43" s="37" customFormat="1" x14ac:dyDescent="0.25">
      <c r="A282" s="37" t="str">
        <f t="shared" si="18"/>
        <v>2009MasiAmarone della Valpolicella Classico Campolongo di Torbe</v>
      </c>
      <c r="B282" s="8">
        <v>2009</v>
      </c>
      <c r="C282" s="38" t="s">
        <v>37</v>
      </c>
      <c r="D282" s="25" t="s">
        <v>402</v>
      </c>
      <c r="E282" s="64" t="s">
        <v>313</v>
      </c>
      <c r="F282" s="37" t="s">
        <v>728</v>
      </c>
      <c r="G282" s="37" t="s">
        <v>799</v>
      </c>
      <c r="H282" s="37" t="s">
        <v>800</v>
      </c>
      <c r="I282" s="37">
        <v>1</v>
      </c>
      <c r="J282" s="37">
        <v>750</v>
      </c>
      <c r="K282" s="8" t="s">
        <v>8</v>
      </c>
      <c r="L282" s="37">
        <f>COUNTIF(Drank!A:A,Table1[[#This Row],[ID]])</f>
        <v>0</v>
      </c>
      <c r="M282" s="37" t="s">
        <v>202</v>
      </c>
      <c r="N282" s="37" t="s">
        <v>207</v>
      </c>
      <c r="O282" s="37">
        <v>1</v>
      </c>
      <c r="P282" s="37">
        <v>2018</v>
      </c>
      <c r="Q282" s="37">
        <v>2035</v>
      </c>
      <c r="R282" s="10" t="str">
        <f>IF(IFERROR(VLOOKUP(A282,Drank!A:S,15,FALSE),"")=0,"",IFERROR(VLOOKUP(A282,Drank!A:S,15,FALSE),""))</f>
        <v/>
      </c>
      <c r="S282" s="10" t="str">
        <f>IF(IFERROR(VLOOKUP(A282,Drank!A:S,16,FALSE),"")=0,"",IFERROR(VLOOKUP(A282,Drank!A:S,16,FALSE),""))</f>
        <v/>
      </c>
      <c r="T282" s="10"/>
      <c r="U282" s="37">
        <v>97</v>
      </c>
      <c r="V282" s="18" t="str">
        <f>IF(IFERROR(VLOOKUP(A282,Drank!A:T,19,FALSE),"")=0,"",IFERROR(VLOOKUP(A282,Drank!A:T,19,FALSE),""))</f>
        <v/>
      </c>
      <c r="W282" s="1" t="str">
        <f>IF(IFERROR(VLOOKUP(A282,Drank!A:T,20,FALSE),"")=0,"",IFERROR(VLOOKUP(A282,Drank!A:T,20,FALSE),""))</f>
        <v/>
      </c>
      <c r="X282" s="10">
        <f>SUMIF(A:A,A282,I:I)</f>
        <v>2</v>
      </c>
      <c r="Y282" s="37">
        <f>IF(Table1[[#This Row],[Drank]]&gt;0,VLOOKUP(Table1[[#This Row],[ID]],Drank!A:P,16,FALSE),IF(Table1[[#This Row],[WALDD]]&gt;0,VLOOKUP(Table1[[#This Row],[ID]],Wine1!A:Q,17,FALSE),Table1[[#This Row],[EP]]))</f>
        <v>2035</v>
      </c>
      <c r="Z282" s="18">
        <f>IF(Table1[[#This Row],[My Rating]]="",IF(Table1[[#This Row],[WA Rating Clean]]="","",Table1[[#This Row],[WA Rating Clean]]),Table1[[#This Row],[My Rating]])</f>
        <v>97</v>
      </c>
      <c r="AA282" s="8">
        <v>2021</v>
      </c>
      <c r="AB282" s="128">
        <v>130</v>
      </c>
      <c r="AC282" s="2">
        <f t="shared" si="19"/>
        <v>130</v>
      </c>
      <c r="AD282" s="8">
        <v>0</v>
      </c>
      <c r="AE282" s="37">
        <f>IF(Table1[[#This Row],[P/750]]&lt;20,1,IF(Table1[[#This Row],[P/750]]&lt;50,2,3))</f>
        <v>3</v>
      </c>
      <c r="AF282" s="37">
        <f>IF(Table1[[#This Row],[P/750]]&lt;Expenses!$C$30,1,IF(Table1[[#This Row],[P/750]]&lt;Expenses!$C$31,2,IF(Table1[[#This Row],[P/750]]&lt;Expenses!$C$32,3,4)))</f>
        <v>4</v>
      </c>
      <c r="AH282" s="37" t="s">
        <v>1140</v>
      </c>
      <c r="AI282" s="11">
        <f>Table1[[#This Row],[Price]]/Table1[[#This Row],[Size (ml)]]*750</f>
        <v>130</v>
      </c>
      <c r="AJ282" s="37">
        <v>97</v>
      </c>
      <c r="AK282" s="37">
        <f>COUNTIF(UniqueID!A:A,Table1[[#This Row],[ID]])</f>
        <v>1</v>
      </c>
      <c r="AL282" s="37" t="str">
        <f>VLOOKUP(Table1[[#This Row],[Cellar Location]],Location!A:F,6,FALSE)</f>
        <v>K</v>
      </c>
      <c r="AO282" s="37" t="str">
        <f>TEXT(Table1[[#This Row],[Purchased]],"mmmm")</f>
        <v>January</v>
      </c>
      <c r="AP282" s="10" t="str">
        <f>TEXT(Table1[[#This Row],[Purchased]],"yyyy")</f>
        <v>1900</v>
      </c>
      <c r="AQ282" s="10"/>
    </row>
    <row r="283" spans="1:43" s="37" customFormat="1" x14ac:dyDescent="0.25">
      <c r="A283" s="37" t="str">
        <f t="shared" si="18"/>
        <v>2016Produttori del BarbarescoBarbaresco</v>
      </c>
      <c r="B283" s="8">
        <v>2016</v>
      </c>
      <c r="C283" s="37" t="s">
        <v>248</v>
      </c>
      <c r="D283" s="37" t="s">
        <v>249</v>
      </c>
      <c r="E283" s="67" t="s">
        <v>1206</v>
      </c>
      <c r="F283" s="37" t="s">
        <v>728</v>
      </c>
      <c r="G283" s="37" t="s">
        <v>778</v>
      </c>
      <c r="H283" s="37" t="s">
        <v>249</v>
      </c>
      <c r="I283" s="37">
        <v>1</v>
      </c>
      <c r="J283" s="37">
        <v>750</v>
      </c>
      <c r="K283" s="8" t="s">
        <v>839</v>
      </c>
      <c r="L283" s="37">
        <f>COUNTIF(Drank!A:A,Table1[[#This Row],[ID]])</f>
        <v>2</v>
      </c>
      <c r="M283" s="37" t="s">
        <v>202</v>
      </c>
      <c r="N283" s="37" t="s">
        <v>207</v>
      </c>
      <c r="O283" s="37">
        <v>1</v>
      </c>
      <c r="P283" s="37">
        <v>2022</v>
      </c>
      <c r="Q283" s="37">
        <v>2040</v>
      </c>
      <c r="R283" s="10">
        <f>IF(IFERROR(VLOOKUP(A283,Drank!A:S,15,FALSE),"")=0,"",IFERROR(VLOOKUP(A283,Drank!A:S,15,FALSE),""))</f>
        <v>2021</v>
      </c>
      <c r="S283" s="10">
        <f>IF(IFERROR(VLOOKUP(A283,Drank!A:S,16,FALSE),"")=0,"",IFERROR(VLOOKUP(A283,Drank!A:S,16,FALSE),""))</f>
        <v>2032</v>
      </c>
      <c r="T283" s="10"/>
      <c r="U283" s="37">
        <v>95</v>
      </c>
      <c r="V283" s="18">
        <f>IF(IFERROR(VLOOKUP(A283,Drank!A:T,19,FALSE),"")=0,"",IFERROR(VLOOKUP(A283,Drank!A:T,19,FALSE),""))</f>
        <v>95.5</v>
      </c>
      <c r="W283" s="1">
        <f>IF(IFERROR(VLOOKUP(A283,Drank!A:T,20,FALSE),"")=0,"",IFERROR(VLOOKUP(A283,Drank!A:T,20,FALSE),""))</f>
        <v>44079</v>
      </c>
      <c r="X283" s="10">
        <f>SUMIF(A:A,A283,I:I)</f>
        <v>41</v>
      </c>
      <c r="Y283" s="37">
        <f>IF(Table1[[#This Row],[Drank]]&gt;0,VLOOKUP(Table1[[#This Row],[ID]],Drank!A:P,16,FALSE),IF(Table1[[#This Row],[WALDD]]&gt;0,VLOOKUP(Table1[[#This Row],[ID]],Wine1!A:Q,17,FALSE),Table1[[#This Row],[EP]]))</f>
        <v>2032</v>
      </c>
      <c r="Z283" s="18">
        <f>IF(Table1[[#This Row],[My Rating]]="",IF(Table1[[#This Row],[WA Rating Clean]]="","",Table1[[#This Row],[WA Rating Clean]]),Table1[[#This Row],[My Rating]])</f>
        <v>95.5</v>
      </c>
      <c r="AA283" s="8">
        <v>2021</v>
      </c>
      <c r="AB283" s="128">
        <v>46.94</v>
      </c>
      <c r="AC283" s="2">
        <f t="shared" si="19"/>
        <v>46.94</v>
      </c>
      <c r="AD283" s="8">
        <v>0</v>
      </c>
      <c r="AE283" s="37">
        <f>IF(Table1[[#This Row],[P/750]]&lt;20,1,IF(Table1[[#This Row],[P/750]]&lt;50,2,3))</f>
        <v>2</v>
      </c>
      <c r="AF283" s="37">
        <f>IF(Table1[[#This Row],[P/750]]&lt;Expenses!$C$30,1,IF(Table1[[#This Row],[P/750]]&lt;Expenses!$C$31,2,IF(Table1[[#This Row],[P/750]]&lt;Expenses!$C$32,3,4)))</f>
        <v>3</v>
      </c>
      <c r="AH283" s="37" t="s">
        <v>1128</v>
      </c>
      <c r="AI283" s="11">
        <f>Table1[[#This Row],[Price]]/Table1[[#This Row],[Size (ml)]]*750</f>
        <v>46.94</v>
      </c>
      <c r="AJ283" s="37">
        <v>95</v>
      </c>
      <c r="AK283" s="37">
        <f>COUNTIF(UniqueID!A:A,Table1[[#This Row],[ID]])</f>
        <v>1</v>
      </c>
      <c r="AL283" s="37" t="str">
        <f>VLOOKUP(Table1[[#This Row],[Cellar Location]],Location!A:F,6,FALSE)</f>
        <v>C</v>
      </c>
      <c r="AN283" s="1">
        <v>43966</v>
      </c>
      <c r="AO283" s="37" t="str">
        <f>TEXT(Table1[[#This Row],[Purchased]],"mmmm")</f>
        <v>May</v>
      </c>
      <c r="AP283" s="10" t="str">
        <f>TEXT(Table1[[#This Row],[Purchased]],"yyyy")</f>
        <v>2020</v>
      </c>
      <c r="AQ283" s="10"/>
    </row>
    <row r="284" spans="1:43" s="37" customFormat="1" x14ac:dyDescent="0.25">
      <c r="A284" s="37" t="str">
        <f t="shared" si="18"/>
        <v>2015Siro PacentiBrunello di Montalcino Pelagrilli</v>
      </c>
      <c r="B284" s="37">
        <v>2015</v>
      </c>
      <c r="C284" s="37" t="s">
        <v>1609</v>
      </c>
      <c r="D284" s="37" t="s">
        <v>1610</v>
      </c>
      <c r="E284" s="67" t="s">
        <v>1250</v>
      </c>
      <c r="F284" s="37" t="s">
        <v>728</v>
      </c>
      <c r="G284" s="37" t="s">
        <v>790</v>
      </c>
      <c r="H284" s="37" t="s">
        <v>19</v>
      </c>
      <c r="I284" s="8">
        <v>1</v>
      </c>
      <c r="J284" s="38">
        <v>750</v>
      </c>
      <c r="K284" s="38" t="s">
        <v>1139</v>
      </c>
      <c r="L284" s="10">
        <f>COUNTIF(Drank!A:A,Table1[[#This Row],[ID]])</f>
        <v>0</v>
      </c>
      <c r="M284" s="37" t="s">
        <v>202</v>
      </c>
      <c r="N284" s="37" t="s">
        <v>207</v>
      </c>
      <c r="O284" s="37">
        <v>1</v>
      </c>
      <c r="P284" s="10">
        <v>2021</v>
      </c>
      <c r="Q284" s="37">
        <v>2035</v>
      </c>
      <c r="R284" s="10" t="str">
        <f>IF(IFERROR(VLOOKUP(A284,Drank!A:S,15,FALSE),"")=0,"",IFERROR(VLOOKUP(A284,Drank!A:S,15,FALSE),""))</f>
        <v/>
      </c>
      <c r="S284" s="10" t="str">
        <f>IF(IFERROR(VLOOKUP(A284,Drank!A:S,16,FALSE),"")=0,"",IFERROR(VLOOKUP(A284,Drank!A:S,16,FALSE),""))</f>
        <v/>
      </c>
      <c r="T284" s="10"/>
      <c r="U284" s="37">
        <v>95</v>
      </c>
      <c r="V284" s="18" t="str">
        <f>IF(IFERROR(VLOOKUP(A284,Drank!A:T,19,FALSE),"")=0,"",IFERROR(VLOOKUP(A284,Drank!A:T,19,FALSE),""))</f>
        <v/>
      </c>
      <c r="W284" s="1" t="str">
        <f>IF(IFERROR(VLOOKUP(A284,Drank!A:T,20,FALSE),"")=0,"",IFERROR(VLOOKUP(A284,Drank!A:T,20,FALSE),""))</f>
        <v/>
      </c>
      <c r="X284" s="10">
        <f>SUMIF(A:A,A284,I:I)</f>
        <v>4</v>
      </c>
      <c r="Y284" s="10">
        <f>IF(Table1[[#This Row],[Drank]]&gt;0,VLOOKUP(Table1[[#This Row],[ID]],Drank!A:P,16,FALSE),IF(Table1[[#This Row],[WALDD]]&gt;0,VLOOKUP(Table1[[#This Row],[ID]],Wine1!A:Q,17,FALSE),Table1[[#This Row],[EP]]))</f>
        <v>2035</v>
      </c>
      <c r="Z284" s="18">
        <f>IF(Table1[[#This Row],[My Rating]]="",IF(Table1[[#This Row],[WA Rating Clean]]="","",Table1[[#This Row],[WA Rating Clean]]),Table1[[#This Row],[My Rating]])</f>
        <v>95</v>
      </c>
      <c r="AA284" s="37">
        <v>2021</v>
      </c>
      <c r="AB284" s="128">
        <v>58.65</v>
      </c>
      <c r="AC284" s="2">
        <f t="shared" si="19"/>
        <v>58.65</v>
      </c>
      <c r="AD284" s="8">
        <v>1</v>
      </c>
      <c r="AE284" s="10">
        <f>IF(Table1[[#This Row],[P/750]]&lt;20,1,IF(Table1[[#This Row],[P/750]]&lt;50,2,3))</f>
        <v>3</v>
      </c>
      <c r="AF284" s="10">
        <f>IF(Table1[[#This Row],[P/750]]&lt;Expenses!$C$30,1,IF(Table1[[#This Row],[P/750]]&lt;Expenses!$C$31,2,IF(Table1[[#This Row],[P/750]]&lt;Expenses!$C$32,3,4)))</f>
        <v>3</v>
      </c>
      <c r="AH284" s="37" t="s">
        <v>1139</v>
      </c>
      <c r="AI284" s="11">
        <f>Table1[[#This Row],[Price]]/Table1[[#This Row],[Size (ml)]]*750</f>
        <v>58.649999999999991</v>
      </c>
      <c r="AJ284" s="37">
        <v>95</v>
      </c>
      <c r="AK284" s="10">
        <f>COUNTIF(UniqueID!A:A,Table1[[#This Row],[ID]])</f>
        <v>0</v>
      </c>
      <c r="AL284" s="10" t="str">
        <f>VLOOKUP(Table1[[#This Row],[Cellar Location]],Location!A:F,6,FALSE)</f>
        <v>W</v>
      </c>
      <c r="AN284" s="1">
        <v>44058</v>
      </c>
      <c r="AO284" s="10" t="str">
        <f>TEXT(Table1[[#This Row],[Purchased]],"mmmm")</f>
        <v>August</v>
      </c>
      <c r="AP284" s="10" t="str">
        <f>TEXT(Table1[[#This Row],[Purchased]],"yyyy")</f>
        <v>2020</v>
      </c>
      <c r="AQ284" s="1">
        <v>44132</v>
      </c>
    </row>
    <row r="285" spans="1:43" s="37" customFormat="1" x14ac:dyDescent="0.25">
      <c r="A285" s="37" t="str">
        <f t="shared" si="18"/>
        <v>2017DonnafugataPassito di Pantelleria Ben Rye</v>
      </c>
      <c r="B285" s="37">
        <v>2017</v>
      </c>
      <c r="C285" s="37" t="s">
        <v>1755</v>
      </c>
      <c r="D285" s="37" t="s">
        <v>1756</v>
      </c>
      <c r="E285" s="69" t="s">
        <v>1759</v>
      </c>
      <c r="F285" s="37" t="s">
        <v>728</v>
      </c>
      <c r="G285" s="37" t="s">
        <v>788</v>
      </c>
      <c r="H285" s="37" t="s">
        <v>1758</v>
      </c>
      <c r="I285" s="37">
        <v>1</v>
      </c>
      <c r="J285" s="37">
        <v>375</v>
      </c>
      <c r="K285" s="8" t="s">
        <v>236</v>
      </c>
      <c r="L285" s="10">
        <f>COUNTIF(Drank!A:A,Table1[[#This Row],[ID]])</f>
        <v>0</v>
      </c>
      <c r="M285" s="37" t="s">
        <v>201</v>
      </c>
      <c r="N285" s="37" t="s">
        <v>206</v>
      </c>
      <c r="O285" s="37">
        <v>0</v>
      </c>
      <c r="R285" s="10" t="str">
        <f>IF(IFERROR(VLOOKUP(A285,Drank!A:S,15,FALSE),"")=0,"",IFERROR(VLOOKUP(A285,Drank!A:S,15,FALSE),""))</f>
        <v/>
      </c>
      <c r="S285" s="10" t="str">
        <f>IF(IFERROR(VLOOKUP(A285,Drank!A:S,16,FALSE),"")=0,"",IFERROR(VLOOKUP(A285,Drank!A:S,16,FALSE),""))</f>
        <v/>
      </c>
      <c r="T285" s="10">
        <v>2035</v>
      </c>
      <c r="V285" s="18" t="str">
        <f>IF(IFERROR(VLOOKUP(A285,Drank!A:T,19,FALSE),"")=0,"",IFERROR(VLOOKUP(A285,Drank!A:T,19,FALSE),""))</f>
        <v/>
      </c>
      <c r="W285" s="1" t="str">
        <f>IF(IFERROR(VLOOKUP(A285,Drank!A:T,20,FALSE),"")=0,"",IFERROR(VLOOKUP(A285,Drank!A:T,20,FALSE),""))</f>
        <v/>
      </c>
      <c r="X285" s="10">
        <f>SUMIF(A:A,A285,I:I)</f>
        <v>1</v>
      </c>
      <c r="Y285" s="10">
        <f>IF(Table1[[#This Row],[Drank]]&gt;0,VLOOKUP(Table1[[#This Row],[ID]],Drank!A:P,16,FALSE),IF(Table1[[#This Row],[WALDD]]&gt;0,VLOOKUP(Table1[[#This Row],[ID]],Wine1!A:Q,17,FALSE),Table1[[#This Row],[EP]]))</f>
        <v>2035</v>
      </c>
      <c r="Z285" s="18" t="str">
        <f>IF(Table1[[#This Row],[My Rating]]="",IF(Table1[[#This Row],[WA Rating Clean]]="","",Table1[[#This Row],[WA Rating Clean]]),Table1[[#This Row],[My Rating]])</f>
        <v/>
      </c>
      <c r="AA285" s="8">
        <v>2021</v>
      </c>
      <c r="AB285" s="128">
        <v>40.630000000000003</v>
      </c>
      <c r="AC285" s="2">
        <f t="shared" si="19"/>
        <v>40.630000000000003</v>
      </c>
      <c r="AD285" s="8">
        <v>1</v>
      </c>
      <c r="AE285" s="10">
        <f>IF(Table1[[#This Row],[P/750]]&lt;20,1,IF(Table1[[#This Row],[P/750]]&lt;50,2,3))</f>
        <v>3</v>
      </c>
      <c r="AF285" s="10">
        <f>IF(Table1[[#This Row],[P/750]]&lt;Expenses!$C$30,1,IF(Table1[[#This Row],[P/750]]&lt;Expenses!$C$31,2,IF(Table1[[#This Row],[P/750]]&lt;Expenses!$C$32,3,4)))</f>
        <v>4</v>
      </c>
      <c r="AH285" s="37" t="s">
        <v>1749</v>
      </c>
      <c r="AI285" s="11">
        <f>Table1[[#This Row],[Price]]/Table1[[#This Row],[Size (ml)]]*750</f>
        <v>81.260000000000005</v>
      </c>
      <c r="AK285" s="10">
        <f>COUNTIF(UniqueID!A:A,Table1[[#This Row],[ID]])</f>
        <v>0</v>
      </c>
      <c r="AL285" s="10" t="str">
        <f>VLOOKUP(Table1[[#This Row],[Cellar Location]],Location!A:F,6,FALSE)</f>
        <v>C</v>
      </c>
      <c r="AN285" s="1">
        <v>44063</v>
      </c>
      <c r="AO285" s="10" t="str">
        <f>TEXT(Table1[[#This Row],[Purchased]],"mmmm")</f>
        <v>August</v>
      </c>
      <c r="AP285" s="10" t="str">
        <f>TEXT(Table1[[#This Row],[Purchased]],"yyyy")</f>
        <v>2020</v>
      </c>
      <c r="AQ285" s="10"/>
    </row>
    <row r="286" spans="1:43" s="37" customFormat="1" x14ac:dyDescent="0.25">
      <c r="A286" s="37" t="str">
        <f t="shared" si="18"/>
        <v>2017Quinta do ValladoTouriga Nacional</v>
      </c>
      <c r="B286" s="8">
        <v>2017</v>
      </c>
      <c r="C286" s="9" t="s">
        <v>210</v>
      </c>
      <c r="D286" s="9" t="s">
        <v>211</v>
      </c>
      <c r="E286" s="68" t="s">
        <v>1221</v>
      </c>
      <c r="F286" s="9" t="s">
        <v>804</v>
      </c>
      <c r="G286" s="9" t="s">
        <v>805</v>
      </c>
      <c r="H286" s="9"/>
      <c r="I286" s="37">
        <v>1</v>
      </c>
      <c r="J286" s="38">
        <v>750</v>
      </c>
      <c r="K286" s="38" t="s">
        <v>384</v>
      </c>
      <c r="L286" s="10">
        <f>COUNTIF(Drank!A:A,Table1[[#This Row],[ID]])</f>
        <v>0</v>
      </c>
      <c r="M286" s="37" t="s">
        <v>202</v>
      </c>
      <c r="N286" s="37" t="s">
        <v>207</v>
      </c>
      <c r="O286" s="37">
        <v>1</v>
      </c>
      <c r="P286" s="37">
        <v>2020</v>
      </c>
      <c r="Q286" s="37">
        <v>2037</v>
      </c>
      <c r="R286" s="10" t="str">
        <f>IF(IFERROR(VLOOKUP(A286,Drank!A:S,15,FALSE),"")=0,"",IFERROR(VLOOKUP(A286,Drank!A:S,15,FALSE),""))</f>
        <v/>
      </c>
      <c r="S286" s="10" t="str">
        <f>IF(IFERROR(VLOOKUP(A286,Drank!A:S,16,FALSE),"")=0,"",IFERROR(VLOOKUP(A286,Drank!A:S,16,FALSE),""))</f>
        <v/>
      </c>
      <c r="T286" s="10"/>
      <c r="U286" s="37">
        <v>94</v>
      </c>
      <c r="V286" s="18" t="str">
        <f>IF(IFERROR(VLOOKUP(A286,Drank!A:T,19,FALSE),"")=0,"",IFERROR(VLOOKUP(A286,Drank!A:T,19,FALSE),""))</f>
        <v/>
      </c>
      <c r="W286" s="1" t="str">
        <f>IF(IFERROR(VLOOKUP(A286,Drank!A:T,20,FALSE),"")=0,"",IFERROR(VLOOKUP(A286,Drank!A:T,20,FALSE),""))</f>
        <v/>
      </c>
      <c r="X286" s="10">
        <f>SUMIF(A:A,A286,I:I)</f>
        <v>4</v>
      </c>
      <c r="Y286" s="10">
        <f>IF(Table1[[#This Row],[Drank]]&gt;0,VLOOKUP(Table1[[#This Row],[ID]],Drank!A:P,16,FALSE),IF(Table1[[#This Row],[WALDD]]&gt;0,VLOOKUP(Table1[[#This Row],[ID]],Wine1!A:Q,17,FALSE),Table1[[#This Row],[EP]]))</f>
        <v>2037</v>
      </c>
      <c r="Z286" s="18">
        <f>IF(Table1[[#This Row],[My Rating]]="",IF(Table1[[#This Row],[WA Rating Clean]]="","",Table1[[#This Row],[WA Rating Clean]]),Table1[[#This Row],[My Rating]])</f>
        <v>94</v>
      </c>
      <c r="AA286" s="37">
        <v>2021</v>
      </c>
      <c r="AB286" s="128">
        <v>27.15</v>
      </c>
      <c r="AC286" s="2">
        <f t="shared" si="19"/>
        <v>27.15</v>
      </c>
      <c r="AD286" s="8">
        <v>1</v>
      </c>
      <c r="AE286" s="10">
        <f>IF(Table1[[#This Row],[P/750]]&lt;20,1,IF(Table1[[#This Row],[P/750]]&lt;50,2,3))</f>
        <v>2</v>
      </c>
      <c r="AF286" s="10">
        <f>IF(Table1[[#This Row],[P/750]]&lt;Expenses!$C$30,1,IF(Table1[[#This Row],[P/750]]&lt;Expenses!$C$31,2,IF(Table1[[#This Row],[P/750]]&lt;Expenses!$C$32,3,4)))</f>
        <v>2</v>
      </c>
      <c r="AH286" s="37" t="s">
        <v>384</v>
      </c>
      <c r="AI286" s="11">
        <f>Table1[[#This Row],[Price]]/Table1[[#This Row],[Size (ml)]]*750</f>
        <v>27.15</v>
      </c>
      <c r="AJ286" s="37">
        <v>94</v>
      </c>
      <c r="AK286" s="10">
        <f>COUNTIF(UniqueID!A:A,Table1[[#This Row],[ID]])</f>
        <v>0</v>
      </c>
      <c r="AL286" s="10" t="str">
        <f>VLOOKUP(Table1[[#This Row],[Cellar Location]],Location!A:F,6,FALSE)</f>
        <v>W</v>
      </c>
      <c r="AN286" s="1">
        <v>44027</v>
      </c>
      <c r="AO286" s="10" t="str">
        <f>TEXT(Table1[[#This Row],[Purchased]],"mmmm")</f>
        <v>July</v>
      </c>
      <c r="AP286" s="10" t="str">
        <f>TEXT(Table1[[#This Row],[Purchased]],"yyyy")</f>
        <v>2020</v>
      </c>
      <c r="AQ286" s="1">
        <v>44138</v>
      </c>
    </row>
    <row r="287" spans="1:43" s="37" customFormat="1" x14ac:dyDescent="0.25">
      <c r="A287" s="37" t="str">
        <f t="shared" si="18"/>
        <v>2015Castello RomitorioBrunello di Montalcino</v>
      </c>
      <c r="B287" s="37">
        <v>2015</v>
      </c>
      <c r="C287" s="37" t="s">
        <v>689</v>
      </c>
      <c r="D287" s="37" t="s">
        <v>19</v>
      </c>
      <c r="E287" s="67" t="s">
        <v>1250</v>
      </c>
      <c r="F287" s="37" t="s">
        <v>728</v>
      </c>
      <c r="G287" s="37" t="s">
        <v>790</v>
      </c>
      <c r="H287" s="37" t="s">
        <v>19</v>
      </c>
      <c r="I287" s="8">
        <v>1</v>
      </c>
      <c r="J287" s="38">
        <v>750</v>
      </c>
      <c r="K287" s="38" t="s">
        <v>1139</v>
      </c>
      <c r="L287" s="10">
        <f>COUNTIF(Drank!A:A,Table1[[#This Row],[ID]])</f>
        <v>0</v>
      </c>
      <c r="M287" s="37" t="s">
        <v>202</v>
      </c>
      <c r="N287" s="37" t="s">
        <v>207</v>
      </c>
      <c r="O287" s="37">
        <v>1</v>
      </c>
      <c r="P287" s="10">
        <v>2021</v>
      </c>
      <c r="Q287" s="37">
        <v>2038</v>
      </c>
      <c r="R287" s="10" t="str">
        <f>IF(IFERROR(VLOOKUP(A287,Drank!A:S,15,FALSE),"")=0,"",IFERROR(VLOOKUP(A287,Drank!A:S,15,FALSE),""))</f>
        <v/>
      </c>
      <c r="S287" s="10" t="str">
        <f>IF(IFERROR(VLOOKUP(A287,Drank!A:S,16,FALSE),"")=0,"",IFERROR(VLOOKUP(A287,Drank!A:S,16,FALSE),""))</f>
        <v/>
      </c>
      <c r="T287" s="10"/>
      <c r="U287" s="37">
        <v>95</v>
      </c>
      <c r="V287" s="18" t="str">
        <f>IF(IFERROR(VLOOKUP(A287,Drank!A:T,19,FALSE),"")=0,"",IFERROR(VLOOKUP(A287,Drank!A:T,19,FALSE),""))</f>
        <v/>
      </c>
      <c r="W287" s="1" t="str">
        <f>IF(IFERROR(VLOOKUP(A287,Drank!A:T,20,FALSE),"")=0,"",IFERROR(VLOOKUP(A287,Drank!A:T,20,FALSE),""))</f>
        <v/>
      </c>
      <c r="X287" s="10">
        <f>SUMIF(A:A,A287,I:I)</f>
        <v>4</v>
      </c>
      <c r="Y287" s="10">
        <f>IF(Table1[[#This Row],[Drank]]&gt;0,VLOOKUP(Table1[[#This Row],[ID]],Drank!A:P,16,FALSE),IF(Table1[[#This Row],[WALDD]]&gt;0,VLOOKUP(Table1[[#This Row],[ID]],Wine1!A:Q,17,FALSE),Table1[[#This Row],[EP]]))</f>
        <v>2038</v>
      </c>
      <c r="Z287" s="18">
        <f>IF(Table1[[#This Row],[My Rating]]="",IF(Table1[[#This Row],[WA Rating Clean]]="","",Table1[[#This Row],[WA Rating Clean]]),Table1[[#This Row],[My Rating]])</f>
        <v>95</v>
      </c>
      <c r="AA287" s="38">
        <v>2021</v>
      </c>
      <c r="AB287" s="128">
        <v>58.65</v>
      </c>
      <c r="AC287" s="2">
        <f t="shared" si="19"/>
        <v>58.65</v>
      </c>
      <c r="AD287" s="8">
        <v>1</v>
      </c>
      <c r="AE287" s="10">
        <f>IF(Table1[[#This Row],[P/750]]&lt;20,1,IF(Table1[[#This Row],[P/750]]&lt;50,2,3))</f>
        <v>3</v>
      </c>
      <c r="AF287" s="10">
        <f>IF(Table1[[#This Row],[P/750]]&lt;Expenses!$C$30,1,IF(Table1[[#This Row],[P/750]]&lt;Expenses!$C$31,2,IF(Table1[[#This Row],[P/750]]&lt;Expenses!$C$32,3,4)))</f>
        <v>3</v>
      </c>
      <c r="AH287" s="37" t="s">
        <v>1139</v>
      </c>
      <c r="AI287" s="11">
        <f>Table1[[#This Row],[Price]]/Table1[[#This Row],[Size (ml)]]*750</f>
        <v>58.649999999999991</v>
      </c>
      <c r="AJ287" s="37">
        <v>95</v>
      </c>
      <c r="AK287" s="10">
        <f>COUNTIF(UniqueID!A:A,Table1[[#This Row],[ID]])</f>
        <v>0</v>
      </c>
      <c r="AL287" s="10" t="str">
        <f>VLOOKUP(Table1[[#This Row],[Cellar Location]],Location!A:F,6,FALSE)</f>
        <v>W</v>
      </c>
      <c r="AN287" s="1">
        <v>44058</v>
      </c>
      <c r="AO287" s="10" t="str">
        <f>TEXT(Table1[[#This Row],[Purchased]],"mmmm")</f>
        <v>August</v>
      </c>
      <c r="AP287" s="10" t="str">
        <f>TEXT(Table1[[#This Row],[Purchased]],"yyyy")</f>
        <v>2020</v>
      </c>
      <c r="AQ287" s="1">
        <v>44132</v>
      </c>
    </row>
    <row r="288" spans="1:43" s="37" customFormat="1" x14ac:dyDescent="0.25">
      <c r="A288" s="20" t="str">
        <f t="shared" si="18"/>
        <v>2016ViettiBarolo Castiglione</v>
      </c>
      <c r="B288" s="37">
        <v>2016</v>
      </c>
      <c r="C288" s="37" t="s">
        <v>1186</v>
      </c>
      <c r="D288" s="9" t="s">
        <v>1794</v>
      </c>
      <c r="E288" s="67" t="s">
        <v>1206</v>
      </c>
      <c r="F288" s="37" t="s">
        <v>728</v>
      </c>
      <c r="G288" s="37" t="s">
        <v>778</v>
      </c>
      <c r="H288" s="37" t="s">
        <v>1692</v>
      </c>
      <c r="I288" s="37">
        <v>1</v>
      </c>
      <c r="J288" s="107">
        <v>750</v>
      </c>
      <c r="K288" s="8" t="s">
        <v>1831</v>
      </c>
      <c r="L288" s="10">
        <f>COUNTIF(Drank!A:A,Table1[[#This Row],[ID]])</f>
        <v>0</v>
      </c>
      <c r="M288" s="37" t="s">
        <v>202</v>
      </c>
      <c r="N288" s="37" t="s">
        <v>207</v>
      </c>
      <c r="O288" s="37">
        <v>1</v>
      </c>
      <c r="P288" s="10">
        <v>2022</v>
      </c>
      <c r="Q288" s="37">
        <v>2040</v>
      </c>
      <c r="R288" s="10" t="str">
        <f>IF(IFERROR(VLOOKUP(A288,Drank!A:S,15,FALSE),"")=0,"",IFERROR(VLOOKUP(A288,Drank!A:S,15,FALSE),""))</f>
        <v/>
      </c>
      <c r="S288" s="10" t="str">
        <f>IF(IFERROR(VLOOKUP(A288,Drank!A:S,16,FALSE),"")=0,"",IFERROR(VLOOKUP(A288,Drank!A:S,16,FALSE),""))</f>
        <v/>
      </c>
      <c r="T288" s="10"/>
      <c r="U288" s="37" t="s">
        <v>17</v>
      </c>
      <c r="V288" s="18" t="str">
        <f>IF(IFERROR(VLOOKUP(A288,Drank!A:T,19,FALSE),"")=0,"",IFERROR(VLOOKUP(A288,Drank!A:T,19,FALSE),""))</f>
        <v/>
      </c>
      <c r="W288" s="1" t="str">
        <f>IF(IFERROR(VLOOKUP(A288,Drank!A:T,20,FALSE),"")=0,"",IFERROR(VLOOKUP(A288,Drank!A:T,20,FALSE),""))</f>
        <v/>
      </c>
      <c r="X288" s="10">
        <f>SUMIF(A:A,A288,I:I)</f>
        <v>6</v>
      </c>
      <c r="Y288" s="10">
        <f>IF(Table1[[#This Row],[Drank]]&gt;0,VLOOKUP(Table1[[#This Row],[ID]],Drank!A:P,16,FALSE),IF(Table1[[#This Row],[WALDD]]&gt;0,VLOOKUP(Table1[[#This Row],[ID]],Wine1!A:Q,17,FALSE),Table1[[#This Row],[EP]]))</f>
        <v>2040</v>
      </c>
      <c r="Z288" s="18" t="str">
        <f>IF(Table1[[#This Row],[My Rating]]="",IF(Table1[[#This Row],[WA Rating Clean]]="","",Table1[[#This Row],[WA Rating Clean]]),Table1[[#This Row],[My Rating]])</f>
        <v>94+</v>
      </c>
      <c r="AA288" s="37">
        <v>2021</v>
      </c>
      <c r="AB288" s="128">
        <v>52.14</v>
      </c>
      <c r="AC288" s="2">
        <f t="shared" si="19"/>
        <v>52.14</v>
      </c>
      <c r="AD288" s="8">
        <v>1</v>
      </c>
      <c r="AE288" s="10">
        <f>IF(Table1[[#This Row],[P/750]]&lt;20,1,IF(Table1[[#This Row],[P/750]]&lt;50,2,3))</f>
        <v>3</v>
      </c>
      <c r="AF288" s="10">
        <f>IF(Table1[[#This Row],[P/750]]&lt;Expenses!$C$30,1,IF(Table1[[#This Row],[P/750]]&lt;Expenses!$C$31,2,IF(Table1[[#This Row],[P/750]]&lt;Expenses!$C$32,3,4)))</f>
        <v>3</v>
      </c>
      <c r="AH288" s="25" t="s">
        <v>1128</v>
      </c>
      <c r="AI288" s="11">
        <f>Table1[[#This Row],[Price]]/Table1[[#This Row],[Size (ml)]]*750</f>
        <v>52.14</v>
      </c>
      <c r="AJ288" s="37" t="s">
        <v>17</v>
      </c>
      <c r="AK288" s="10">
        <f>COUNTIF(UniqueID!A:A,Table1[[#This Row],[ID]])</f>
        <v>0</v>
      </c>
      <c r="AL288" s="10" t="str">
        <f>VLOOKUP(Table1[[#This Row],[Cellar Location]],Location!A:F,6,FALSE)</f>
        <v>S</v>
      </c>
      <c r="AN288" s="1">
        <v>44070</v>
      </c>
      <c r="AO288" s="10" t="str">
        <f>TEXT(Table1[[#This Row],[Purchased]],"mmmm")</f>
        <v>August</v>
      </c>
      <c r="AP288" s="10" t="str">
        <f>TEXT(Table1[[#This Row],[Purchased]],"yyyy")</f>
        <v>2020</v>
      </c>
      <c r="AQ288" s="1"/>
    </row>
    <row r="289" spans="1:43" s="37" customFormat="1" x14ac:dyDescent="0.25">
      <c r="A289" s="37" t="str">
        <f t="shared" si="18"/>
        <v>2015Quinta do ValladoField Blend Reserva</v>
      </c>
      <c r="B289" s="8">
        <v>2015</v>
      </c>
      <c r="C289" s="30" t="s">
        <v>210</v>
      </c>
      <c r="D289" s="9" t="s">
        <v>1423</v>
      </c>
      <c r="E289" s="65" t="s">
        <v>274</v>
      </c>
      <c r="F289" s="37" t="s">
        <v>804</v>
      </c>
      <c r="G289" s="37" t="s">
        <v>1422</v>
      </c>
      <c r="H289" s="9"/>
      <c r="I289" s="37">
        <v>1</v>
      </c>
      <c r="J289" s="38">
        <v>750</v>
      </c>
      <c r="K289" s="38" t="s">
        <v>384</v>
      </c>
      <c r="L289" s="10">
        <f>COUNTIF(Drank!A:A,Table1[[#This Row],[ID]])</f>
        <v>0</v>
      </c>
      <c r="M289" s="37" t="s">
        <v>202</v>
      </c>
      <c r="N289" s="37" t="s">
        <v>207</v>
      </c>
      <c r="O289" s="37">
        <v>1</v>
      </c>
      <c r="P289" s="37">
        <v>2019</v>
      </c>
      <c r="Q289" s="37">
        <v>2040</v>
      </c>
      <c r="R289" s="10" t="str">
        <f>IF(IFERROR(VLOOKUP(A289,Drank!A:S,15,FALSE),"")=0,"",IFERROR(VLOOKUP(A289,Drank!A:S,15,FALSE),""))</f>
        <v/>
      </c>
      <c r="S289" s="10" t="str">
        <f>IF(IFERROR(VLOOKUP(A289,Drank!A:S,16,FALSE),"")=0,"",IFERROR(VLOOKUP(A289,Drank!A:S,16,FALSE),""))</f>
        <v/>
      </c>
      <c r="T289" s="10"/>
      <c r="U289" s="37">
        <v>93</v>
      </c>
      <c r="V289" s="18" t="str">
        <f>IF(IFERROR(VLOOKUP(A289,Drank!A:T,19,FALSE),"")=0,"",IFERROR(VLOOKUP(A289,Drank!A:T,19,FALSE),""))</f>
        <v/>
      </c>
      <c r="W289" s="1" t="str">
        <f>IF(IFERROR(VLOOKUP(A289,Drank!A:T,20,FALSE),"")=0,"",IFERROR(VLOOKUP(A289,Drank!A:T,20,FALSE),""))</f>
        <v/>
      </c>
      <c r="X289" s="10">
        <f>SUMIF(A:A,A289,I:I)</f>
        <v>4</v>
      </c>
      <c r="Y289" s="10">
        <f>IF(Table1[[#This Row],[Drank]]&gt;0,VLOOKUP(Table1[[#This Row],[ID]],Drank!A:P,16,FALSE),IF(Table1[[#This Row],[WALDD]]&gt;0,VLOOKUP(Table1[[#This Row],[ID]],Wine1!A:Q,17,FALSE),Table1[[#This Row],[EP]]))</f>
        <v>2040</v>
      </c>
      <c r="Z289" s="18">
        <f>IF(Table1[[#This Row],[My Rating]]="",IF(Table1[[#This Row],[WA Rating Clean]]="","",Table1[[#This Row],[WA Rating Clean]]),Table1[[#This Row],[My Rating]])</f>
        <v>93</v>
      </c>
      <c r="AA289" s="37">
        <v>2021</v>
      </c>
      <c r="AB289" s="128">
        <v>32.58</v>
      </c>
      <c r="AC289" s="2">
        <f t="shared" si="19"/>
        <v>32.58</v>
      </c>
      <c r="AD289" s="8">
        <v>1</v>
      </c>
      <c r="AE289" s="10">
        <f>IF(Table1[[#This Row],[P/750]]&lt;20,1,IF(Table1[[#This Row],[P/750]]&lt;50,2,3))</f>
        <v>2</v>
      </c>
      <c r="AF289" s="10">
        <f>IF(Table1[[#This Row],[P/750]]&lt;Expenses!$C$30,1,IF(Table1[[#This Row],[P/750]]&lt;Expenses!$C$31,2,IF(Table1[[#This Row],[P/750]]&lt;Expenses!$C$32,3,4)))</f>
        <v>3</v>
      </c>
      <c r="AH289" s="37" t="s">
        <v>384</v>
      </c>
      <c r="AI289" s="11">
        <f>Table1[[#This Row],[Price]]/Table1[[#This Row],[Size (ml)]]*750</f>
        <v>32.58</v>
      </c>
      <c r="AJ289" s="37">
        <v>93</v>
      </c>
      <c r="AK289" s="10">
        <f>COUNTIF(UniqueID!A:A,Table1[[#This Row],[ID]])</f>
        <v>0</v>
      </c>
      <c r="AL289" s="10" t="str">
        <f>VLOOKUP(Table1[[#This Row],[Cellar Location]],Location!A:F,6,FALSE)</f>
        <v>W</v>
      </c>
      <c r="AN289" s="1">
        <v>44027</v>
      </c>
      <c r="AO289" s="10" t="str">
        <f>TEXT(Table1[[#This Row],[Purchased]],"mmmm")</f>
        <v>July</v>
      </c>
      <c r="AP289" s="10" t="str">
        <f>TEXT(Table1[[#This Row],[Purchased]],"yyyy")</f>
        <v>2020</v>
      </c>
      <c r="AQ289" s="1">
        <v>44138</v>
      </c>
    </row>
    <row r="290" spans="1:43" s="37" customFormat="1" x14ac:dyDescent="0.25">
      <c r="A290" s="37" t="str">
        <f t="shared" ref="A290:A321" si="26">CONCATENATE(B290,C290,D290)</f>
        <v>2009Chateau SuduirautChateau Suduiraut</v>
      </c>
      <c r="B290" s="37">
        <v>2009</v>
      </c>
      <c r="C290" s="37" t="s">
        <v>1742</v>
      </c>
      <c r="D290" s="37" t="s">
        <v>1742</v>
      </c>
      <c r="E290" s="67" t="s">
        <v>1743</v>
      </c>
      <c r="F290" s="37" t="s">
        <v>742</v>
      </c>
      <c r="G290" s="37" t="s">
        <v>748</v>
      </c>
      <c r="H290" s="37" t="s">
        <v>260</v>
      </c>
      <c r="I290" s="8">
        <v>1</v>
      </c>
      <c r="J290" s="38">
        <v>375</v>
      </c>
      <c r="K290" s="38" t="s">
        <v>385</v>
      </c>
      <c r="L290" s="10">
        <f>COUNTIF(Drank!A:A,Table1[[#This Row],[ID]])</f>
        <v>0</v>
      </c>
      <c r="M290" s="37" t="s">
        <v>201</v>
      </c>
      <c r="N290" s="37" t="s">
        <v>206</v>
      </c>
      <c r="O290" s="37">
        <v>1</v>
      </c>
      <c r="P290" s="37">
        <v>2019</v>
      </c>
      <c r="Q290" s="37">
        <v>2055</v>
      </c>
      <c r="R290" s="10" t="str">
        <f>IF(IFERROR(VLOOKUP(A290,Drank!A:S,15,FALSE),"")=0,"",IFERROR(VLOOKUP(A290,Drank!A:S,15,FALSE),""))</f>
        <v/>
      </c>
      <c r="S290" s="10" t="str">
        <f>IF(IFERROR(VLOOKUP(A290,Drank!A:S,16,FALSE),"")=0,"",IFERROR(VLOOKUP(A290,Drank!A:S,16,FALSE),""))</f>
        <v/>
      </c>
      <c r="T290" s="10"/>
      <c r="U290" s="37">
        <v>98</v>
      </c>
      <c r="V290" s="18" t="str">
        <f>IF(IFERROR(VLOOKUP(A290,Drank!A:T,19,FALSE),"")=0,"",IFERROR(VLOOKUP(A290,Drank!A:T,19,FALSE),""))</f>
        <v/>
      </c>
      <c r="W290" s="1" t="str">
        <f>IF(IFERROR(VLOOKUP(A290,Drank!A:T,20,FALSE),"")=0,"",IFERROR(VLOOKUP(A290,Drank!A:T,20,FALSE),""))</f>
        <v/>
      </c>
      <c r="X290" s="10">
        <f>SUMIF(A:A,A290,I:I)</f>
        <v>6</v>
      </c>
      <c r="Y290" s="10">
        <f>IF(Table1[[#This Row],[Drank]]&gt;0,VLOOKUP(Table1[[#This Row],[ID]],Drank!A:P,16,FALSE),IF(Table1[[#This Row],[WALDD]]&gt;0,VLOOKUP(Table1[[#This Row],[ID]],Wine1!A:Q,17,FALSE),Table1[[#This Row],[EP]]))</f>
        <v>2055</v>
      </c>
      <c r="Z290" s="18" t="str">
        <f>IF(Table1[[#This Row],[My Rating]]="",IF(Table1[[#This Row],[WA Rating Clean]]="","",Table1[[#This Row],[WA Rating Clean]]),Table1[[#This Row],[My Rating]])</f>
        <v/>
      </c>
      <c r="AA290" s="8">
        <v>2021</v>
      </c>
      <c r="AB290" s="128">
        <v>42.6</v>
      </c>
      <c r="AC290" s="2">
        <f t="shared" ref="AC290:AC321" si="27">AB290*I290</f>
        <v>42.6</v>
      </c>
      <c r="AD290" s="8">
        <v>1</v>
      </c>
      <c r="AE290" s="10">
        <f>IF(Table1[[#This Row],[P/750]]&lt;20,1,IF(Table1[[#This Row],[P/750]]&lt;50,2,3))</f>
        <v>3</v>
      </c>
      <c r="AF290" s="10">
        <f>IF(Table1[[#This Row],[P/750]]&lt;Expenses!$C$30,1,IF(Table1[[#This Row],[P/750]]&lt;Expenses!$C$31,2,IF(Table1[[#This Row],[P/750]]&lt;Expenses!$C$32,3,4)))</f>
        <v>4</v>
      </c>
      <c r="AH290" s="37" t="s">
        <v>385</v>
      </c>
      <c r="AI290" s="11">
        <f>Table1[[#This Row],[Price]]/Table1[[#This Row],[Size (ml)]]*750</f>
        <v>85.2</v>
      </c>
      <c r="AK290" s="10">
        <f>COUNTIF(UniqueID!A:A,Table1[[#This Row],[ID]])</f>
        <v>0</v>
      </c>
      <c r="AL290" s="10" t="str">
        <f>VLOOKUP(Table1[[#This Row],[Cellar Location]],Location!A:F,6,FALSE)</f>
        <v>W</v>
      </c>
      <c r="AN290" s="1">
        <v>44062</v>
      </c>
      <c r="AO290" s="10" t="str">
        <f>TEXT(Table1[[#This Row],[Purchased]],"mmmm")</f>
        <v>August</v>
      </c>
      <c r="AP290" s="10" t="str">
        <f>TEXT(Table1[[#This Row],[Purchased]],"yyyy")</f>
        <v>2020</v>
      </c>
      <c r="AQ290" s="1">
        <v>44114</v>
      </c>
    </row>
    <row r="291" spans="1:43" s="37" customFormat="1" x14ac:dyDescent="0.25">
      <c r="A291" s="37" t="str">
        <f t="shared" si="26"/>
        <v>2016Lafaurie-PeyragueyLafaurie-Peyraguey</v>
      </c>
      <c r="B291" s="37">
        <v>2016</v>
      </c>
      <c r="C291" s="37" t="s">
        <v>125</v>
      </c>
      <c r="D291" s="37" t="s">
        <v>125</v>
      </c>
      <c r="E291" s="67" t="s">
        <v>1205</v>
      </c>
      <c r="F291" s="37" t="s">
        <v>742</v>
      </c>
      <c r="G291" s="37" t="s">
        <v>748</v>
      </c>
      <c r="H291" s="37" t="s">
        <v>260</v>
      </c>
      <c r="I291" s="37">
        <v>1</v>
      </c>
      <c r="J291" s="37">
        <v>375</v>
      </c>
      <c r="K291" s="8" t="s">
        <v>253</v>
      </c>
      <c r="L291" s="37">
        <f>COUNTIF(Drank!A:A,Table1[[#This Row],[ID]])</f>
        <v>0</v>
      </c>
      <c r="M291" s="37" t="s">
        <v>201</v>
      </c>
      <c r="N291" s="37" t="s">
        <v>206</v>
      </c>
      <c r="O291" s="37">
        <v>1</v>
      </c>
      <c r="P291" s="10">
        <v>2021</v>
      </c>
      <c r="Q291" s="37">
        <v>2060</v>
      </c>
      <c r="R291" s="10" t="str">
        <f>IF(IFERROR(VLOOKUP(A291,Drank!A:S,15,FALSE),"")=0,"",IFERROR(VLOOKUP(A291,Drank!A:S,15,FALSE),""))</f>
        <v/>
      </c>
      <c r="S291" s="10" t="str">
        <f>IF(IFERROR(VLOOKUP(A291,Drank!A:S,16,FALSE),"")=0,"",IFERROR(VLOOKUP(A291,Drank!A:S,16,FALSE),""))</f>
        <v/>
      </c>
      <c r="T291" s="10"/>
      <c r="U291" s="37" t="s">
        <v>441</v>
      </c>
      <c r="V291" s="18" t="str">
        <f>IF(IFERROR(VLOOKUP(A291,Drank!A:T,19,FALSE),"")=0,"",IFERROR(VLOOKUP(A291,Drank!A:T,19,FALSE),""))</f>
        <v/>
      </c>
      <c r="W291" s="1" t="str">
        <f>IF(IFERROR(VLOOKUP(A291,Drank!A:T,20,FALSE),"")=0,"",IFERROR(VLOOKUP(A291,Drank!A:T,20,FALSE),""))</f>
        <v/>
      </c>
      <c r="X291" s="10">
        <f>SUMIF(A:A,A291,I:I)</f>
        <v>12</v>
      </c>
      <c r="Y291" s="10">
        <f>IF(Table1[[#This Row],[Drank]]&gt;0,VLOOKUP(Table1[[#This Row],[ID]],Drank!A:P,16,FALSE),IF(Table1[[#This Row],[WALDD]]&gt;0,VLOOKUP(Table1[[#This Row],[ID]],Wine1!A:Q,17,FALSE),Table1[[#This Row],[EP]]))</f>
        <v>2060</v>
      </c>
      <c r="Z291" s="18">
        <f>IF(Table1[[#This Row],[My Rating]]="",IF(Table1[[#This Row],[WA Rating Clean]]="","",Table1[[#This Row],[WA Rating Clean]]),Table1[[#This Row],[My Rating]])</f>
        <v>95</v>
      </c>
      <c r="AA291" s="8">
        <v>2021</v>
      </c>
      <c r="AB291" s="128">
        <v>16</v>
      </c>
      <c r="AC291" s="2">
        <f t="shared" si="27"/>
        <v>16</v>
      </c>
      <c r="AD291" s="8">
        <v>0</v>
      </c>
      <c r="AE291" s="37">
        <f>IF(Table1[[#This Row],[P/750]]&lt;20,1,IF(Table1[[#This Row],[P/750]]&lt;50,2,3))</f>
        <v>2</v>
      </c>
      <c r="AF291" s="37">
        <f>IF(Table1[[#This Row],[P/750]]&lt;Expenses!$C$30,1,IF(Table1[[#This Row],[P/750]]&lt;Expenses!$C$31,2,IF(Table1[[#This Row],[P/750]]&lt;Expenses!$C$32,3,4)))</f>
        <v>3</v>
      </c>
      <c r="AH291" s="37" t="s">
        <v>385</v>
      </c>
      <c r="AI291" s="11">
        <f>Table1[[#This Row],[Price]]/Table1[[#This Row],[Size (ml)]]*750</f>
        <v>32</v>
      </c>
      <c r="AJ291" s="37">
        <v>95</v>
      </c>
      <c r="AK291" s="37">
        <f>COUNTIF(UniqueID!A:A,Table1[[#This Row],[ID]])</f>
        <v>1</v>
      </c>
      <c r="AL291" s="37" t="str">
        <f>VLOOKUP(Table1[[#This Row],[Cellar Location]],Location!A:F,6,FALSE)</f>
        <v>C</v>
      </c>
      <c r="AO291" s="37" t="str">
        <f>TEXT(Table1[[#This Row],[Purchased]],"mmmm")</f>
        <v>January</v>
      </c>
      <c r="AP291" s="10" t="str">
        <f>TEXT(Table1[[#This Row],[Purchased]],"yyyy")</f>
        <v>1900</v>
      </c>
      <c r="AQ291" s="10"/>
    </row>
    <row r="292" spans="1:43" s="37" customFormat="1" x14ac:dyDescent="0.25">
      <c r="A292" s="37" t="str">
        <f t="shared" si="26"/>
        <v>2018Max Ferdinand RichterWehlener Sonnenurh Riesling Kabinett</v>
      </c>
      <c r="B292" s="37">
        <v>2018</v>
      </c>
      <c r="C292" s="37" t="s">
        <v>1696</v>
      </c>
      <c r="D292" s="37" t="s">
        <v>1698</v>
      </c>
      <c r="E292" s="37" t="s">
        <v>1608</v>
      </c>
      <c r="F292" s="37" t="s">
        <v>1606</v>
      </c>
      <c r="G292" s="37" t="s">
        <v>1697</v>
      </c>
      <c r="I292" s="8">
        <v>1</v>
      </c>
      <c r="J292" s="38">
        <v>750</v>
      </c>
      <c r="K292" s="38" t="s">
        <v>1687</v>
      </c>
      <c r="L292" s="10">
        <f>COUNTIF(Drank!A:A,Table1[[#This Row],[ID]])</f>
        <v>0</v>
      </c>
      <c r="M292" s="37" t="s">
        <v>202</v>
      </c>
      <c r="N292" s="37" t="s">
        <v>207</v>
      </c>
      <c r="O292" s="37">
        <v>1</v>
      </c>
      <c r="P292" s="37">
        <v>2019</v>
      </c>
      <c r="Q292" s="37">
        <v>2060</v>
      </c>
      <c r="R292" s="10" t="str">
        <f>IF(IFERROR(VLOOKUP(A292,Drank!A:S,15,FALSE),"")=0,"",IFERROR(VLOOKUP(A292,Drank!A:S,15,FALSE),""))</f>
        <v/>
      </c>
      <c r="S292" s="10" t="str">
        <f>IF(IFERROR(VLOOKUP(A292,Drank!A:S,16,FALSE),"")=0,"",IFERROR(VLOOKUP(A292,Drank!A:S,16,FALSE),""))</f>
        <v/>
      </c>
      <c r="T292" s="10"/>
      <c r="U292" s="37" t="s">
        <v>853</v>
      </c>
      <c r="V292" s="18" t="str">
        <f>IF(IFERROR(VLOOKUP(A292,Drank!A:T,19,FALSE),"")=0,"",IFERROR(VLOOKUP(A292,Drank!A:T,19,FALSE),""))</f>
        <v/>
      </c>
      <c r="W292" s="1" t="str">
        <f>IF(IFERROR(VLOOKUP(A292,Drank!A:T,20,FALSE),"")=0,"",IFERROR(VLOOKUP(A292,Drank!A:T,20,FALSE),""))</f>
        <v/>
      </c>
      <c r="X292" s="10">
        <f>SUMIF(A:A,A292,I:I)</f>
        <v>2</v>
      </c>
      <c r="Y292" s="10">
        <f>IF(Table1[[#This Row],[Drank]]&gt;0,VLOOKUP(Table1[[#This Row],[ID]],Drank!A:P,16,FALSE),IF(Table1[[#This Row],[WALDD]]&gt;0,VLOOKUP(Table1[[#This Row],[ID]],Wine1!A:Q,17,FALSE),Table1[[#This Row],[EP]]))</f>
        <v>2060</v>
      </c>
      <c r="Z292" s="18">
        <f>IF(Table1[[#This Row],[My Rating]]="",IF(Table1[[#This Row],[WA Rating Clean]]="","",Table1[[#This Row],[WA Rating Clean]]),Table1[[#This Row],[My Rating]])</f>
        <v>94</v>
      </c>
      <c r="AA292" s="8">
        <v>2021</v>
      </c>
      <c r="AB292" s="128">
        <v>25.65</v>
      </c>
      <c r="AC292" s="2">
        <f t="shared" si="27"/>
        <v>25.65</v>
      </c>
      <c r="AD292" s="8">
        <v>1</v>
      </c>
      <c r="AE292" s="10">
        <f>IF(Table1[[#This Row],[P/750]]&lt;20,1,IF(Table1[[#This Row],[P/750]]&lt;50,2,3))</f>
        <v>2</v>
      </c>
      <c r="AF292" s="10">
        <f>IF(Table1[[#This Row],[P/750]]&lt;Expenses!$C$30,1,IF(Table1[[#This Row],[P/750]]&lt;Expenses!$C$31,2,IF(Table1[[#This Row],[P/750]]&lt;Expenses!$C$32,3,4)))</f>
        <v>2</v>
      </c>
      <c r="AH292" s="37" t="s">
        <v>1189</v>
      </c>
      <c r="AI292" s="11">
        <f>Table1[[#This Row],[Price]]/Table1[[#This Row],[Size (ml)]]*750</f>
        <v>25.650000000000002</v>
      </c>
      <c r="AJ292" s="37">
        <v>94</v>
      </c>
      <c r="AK292" s="10">
        <f>COUNTIF(UniqueID!A:A,Table1[[#This Row],[ID]])</f>
        <v>0</v>
      </c>
      <c r="AL292" s="10" t="str">
        <f>VLOOKUP(Table1[[#This Row],[Cellar Location]],Location!A:F,6,FALSE)</f>
        <v>W</v>
      </c>
      <c r="AN292" s="1">
        <v>44061</v>
      </c>
      <c r="AO292" s="10" t="str">
        <f>TEXT(Table1[[#This Row],[Purchased]],"mmmm")</f>
        <v>August</v>
      </c>
      <c r="AP292" s="10" t="str">
        <f>TEXT(Table1[[#This Row],[Purchased]],"yyyy")</f>
        <v>2020</v>
      </c>
      <c r="AQ292" s="1">
        <v>44137</v>
      </c>
    </row>
    <row r="293" spans="1:43" s="37" customFormat="1" x14ac:dyDescent="0.25">
      <c r="A293" s="37" t="str">
        <f t="shared" si="26"/>
        <v>2008BollingerLa Grande Annee</v>
      </c>
      <c r="B293" s="37">
        <v>2008</v>
      </c>
      <c r="C293" s="8" t="s">
        <v>1806</v>
      </c>
      <c r="D293" s="37" t="s">
        <v>1808</v>
      </c>
      <c r="E293" s="67" t="s">
        <v>1810</v>
      </c>
      <c r="F293" s="37" t="s">
        <v>742</v>
      </c>
      <c r="G293" s="37" t="s">
        <v>416</v>
      </c>
      <c r="I293" s="8">
        <v>1</v>
      </c>
      <c r="J293" s="37">
        <v>750</v>
      </c>
      <c r="K293" s="8" t="s">
        <v>1833</v>
      </c>
      <c r="L293" s="10">
        <f>COUNTIF(Drank!A:A,Table1[[#This Row],[ID]])</f>
        <v>0</v>
      </c>
      <c r="M293" s="37" t="s">
        <v>201</v>
      </c>
      <c r="N293" s="37" t="s">
        <v>638</v>
      </c>
      <c r="O293" s="37">
        <v>1</v>
      </c>
      <c r="P293" s="10">
        <v>2022</v>
      </c>
      <c r="Q293" s="37">
        <v>2060</v>
      </c>
      <c r="R293" s="10" t="str">
        <f>IF(IFERROR(VLOOKUP(A293,Drank!A:S,15,FALSE),"")=0,"",IFERROR(VLOOKUP(A293,Drank!A:S,15,FALSE),""))</f>
        <v/>
      </c>
      <c r="S293" s="10" t="str">
        <f>IF(IFERROR(VLOOKUP(A293,Drank!A:S,16,FALSE),"")=0,"",IFERROR(VLOOKUP(A293,Drank!A:S,16,FALSE),""))</f>
        <v/>
      </c>
      <c r="T293" s="10"/>
      <c r="U293" s="37" t="s">
        <v>1809</v>
      </c>
      <c r="V293" s="18" t="str">
        <f>IF(IFERROR(VLOOKUP(A293,Drank!A:T,19,FALSE),"")=0,"",IFERROR(VLOOKUP(A293,Drank!A:T,19,FALSE),""))</f>
        <v/>
      </c>
      <c r="W293" s="1" t="str">
        <f>IF(IFERROR(VLOOKUP(A293,Drank!A:T,20,FALSE),"")=0,"",IFERROR(VLOOKUP(A293,Drank!A:T,20,FALSE),""))</f>
        <v/>
      </c>
      <c r="X293" s="10">
        <f>SUMIF(A:A,A293,I:I)</f>
        <v>2</v>
      </c>
      <c r="Y293" s="10">
        <f>IF(Table1[[#This Row],[Drank]]&gt;0,VLOOKUP(Table1[[#This Row],[ID]],Drank!A:P,16,FALSE),IF(Table1[[#This Row],[WALDD]]&gt;0,VLOOKUP(Table1[[#This Row],[ID]],Wine1!A:Q,17,FALSE),Table1[[#This Row],[EP]]))</f>
        <v>2060</v>
      </c>
      <c r="Z293" s="18">
        <f>IF(Table1[[#This Row],[My Rating]]="",IF(Table1[[#This Row],[WA Rating Clean]]="","",Table1[[#This Row],[WA Rating Clean]]),Table1[[#This Row],[My Rating]])</f>
        <v>97</v>
      </c>
      <c r="AA293" s="37">
        <v>2021</v>
      </c>
      <c r="AB293" s="128">
        <v>163.47</v>
      </c>
      <c r="AC293" s="2">
        <f t="shared" si="27"/>
        <v>163.47</v>
      </c>
      <c r="AD293" s="8"/>
      <c r="AE293" s="10">
        <f>IF(Table1[[#This Row],[P/750]]&lt;20,1,IF(Table1[[#This Row],[P/750]]&lt;50,2,3))</f>
        <v>3</v>
      </c>
      <c r="AF293" s="10">
        <f>IF(Table1[[#This Row],[P/750]]&lt;Expenses!$C$30,1,IF(Table1[[#This Row],[P/750]]&lt;Expenses!$C$31,2,IF(Table1[[#This Row],[P/750]]&lt;Expenses!$C$32,3,4)))</f>
        <v>4</v>
      </c>
      <c r="AH293" s="25" t="s">
        <v>1545</v>
      </c>
      <c r="AI293" s="11">
        <f>Table1[[#This Row],[Price]]/Table1[[#This Row],[Size (ml)]]*750</f>
        <v>163.47</v>
      </c>
      <c r="AJ293" s="37">
        <v>97</v>
      </c>
      <c r="AK293" s="10">
        <f>COUNTIF(UniqueID!A:A,Table1[[#This Row],[ID]])</f>
        <v>0</v>
      </c>
      <c r="AL293" s="10" t="str">
        <f>VLOOKUP(Table1[[#This Row],[Cellar Location]],Location!A:F,6,FALSE)</f>
        <v>C</v>
      </c>
      <c r="AN293" s="1">
        <v>44065</v>
      </c>
      <c r="AO293" s="10" t="str">
        <f>TEXT(Table1[[#This Row],[Purchased]],"mmmm")</f>
        <v>August</v>
      </c>
      <c r="AP293" s="10" t="str">
        <f>TEXT(Table1[[#This Row],[Purchased]],"yyyy")</f>
        <v>2020</v>
      </c>
      <c r="AQ293" s="10"/>
    </row>
    <row r="294" spans="1:43" s="37" customFormat="1" x14ac:dyDescent="0.25">
      <c r="A294" s="37" t="str">
        <f t="shared" si="26"/>
        <v>2016Doisy-VedrinesPetit-Vedrines</v>
      </c>
      <c r="B294" s="37">
        <v>2016</v>
      </c>
      <c r="C294" s="37" t="s">
        <v>843</v>
      </c>
      <c r="D294" s="37" t="s">
        <v>1686</v>
      </c>
      <c r="E294" s="69" t="s">
        <v>1688</v>
      </c>
      <c r="F294" s="37" t="s">
        <v>742</v>
      </c>
      <c r="G294" s="37" t="s">
        <v>748</v>
      </c>
      <c r="H294" s="37" t="s">
        <v>260</v>
      </c>
      <c r="I294" s="8">
        <v>1</v>
      </c>
      <c r="J294" s="38">
        <v>375</v>
      </c>
      <c r="K294" s="38" t="s">
        <v>1687</v>
      </c>
      <c r="L294" s="10">
        <f>COUNTIF(Drank!A:A,Table1[[#This Row],[ID]])</f>
        <v>0</v>
      </c>
      <c r="M294" s="37" t="s">
        <v>201</v>
      </c>
      <c r="N294" s="37" t="s">
        <v>206</v>
      </c>
      <c r="O294" s="37">
        <v>0</v>
      </c>
      <c r="R294" s="10" t="str">
        <f>IF(IFERROR(VLOOKUP(A294,Drank!A:S,15,FALSE),"")=0,"",IFERROR(VLOOKUP(A294,Drank!A:S,15,FALSE),""))</f>
        <v/>
      </c>
      <c r="S294" s="10" t="str">
        <f>IF(IFERROR(VLOOKUP(A294,Drank!A:S,16,FALSE),"")=0,"",IFERROR(VLOOKUP(A294,Drank!A:S,16,FALSE),""))</f>
        <v/>
      </c>
      <c r="T294" s="10"/>
      <c r="V294" s="18" t="str">
        <f>IF(IFERROR(VLOOKUP(A294,Drank!A:T,19,FALSE),"")=0,"",IFERROR(VLOOKUP(A294,Drank!A:T,19,FALSE),""))</f>
        <v/>
      </c>
      <c r="W294" s="1" t="str">
        <f>IF(IFERROR(VLOOKUP(A294,Drank!A:T,20,FALSE),"")=0,"",IFERROR(VLOOKUP(A294,Drank!A:T,20,FALSE),""))</f>
        <v/>
      </c>
      <c r="X294" s="10">
        <f>SUMIF(A:A,A294,I:I)</f>
        <v>24</v>
      </c>
      <c r="Y294" s="10">
        <f>IF(Table1[[#This Row],[Drank]]&gt;0,VLOOKUP(Table1[[#This Row],[ID]],Drank!A:P,16,FALSE),IF(Table1[[#This Row],[WALDD]]&gt;0,VLOOKUP(Table1[[#This Row],[ID]],Wine1!A:Q,17,FALSE),Table1[[#This Row],[EP]]))</f>
        <v>0</v>
      </c>
      <c r="Z294" s="18" t="str">
        <f>IF(Table1[[#This Row],[My Rating]]="",IF(Table1[[#This Row],[WA Rating Clean]]="","",Table1[[#This Row],[WA Rating Clean]]),Table1[[#This Row],[My Rating]])</f>
        <v/>
      </c>
      <c r="AA294" s="8">
        <v>2022</v>
      </c>
      <c r="AB294" s="128">
        <v>16.399999999999999</v>
      </c>
      <c r="AC294" s="2">
        <f t="shared" si="27"/>
        <v>16.399999999999999</v>
      </c>
      <c r="AD294" s="8">
        <v>1</v>
      </c>
      <c r="AE294" s="10">
        <f>IF(Table1[[#This Row],[P/750]]&lt;20,1,IF(Table1[[#This Row],[P/750]]&lt;50,2,3))</f>
        <v>2</v>
      </c>
      <c r="AF294" s="10">
        <f>IF(Table1[[#This Row],[P/750]]&lt;Expenses!$C$30,1,IF(Table1[[#This Row],[P/750]]&lt;Expenses!$C$31,2,IF(Table1[[#This Row],[P/750]]&lt;Expenses!$C$32,3,4)))</f>
        <v>3</v>
      </c>
      <c r="AH294" s="37" t="s">
        <v>1189</v>
      </c>
      <c r="AI294" s="11">
        <f>Table1[[#This Row],[Price]]/Table1[[#This Row],[Size (ml)]]*750</f>
        <v>32.799999999999997</v>
      </c>
      <c r="AK294" s="10">
        <f>COUNTIF(UniqueID!A:A,Table1[[#This Row],[ID]])</f>
        <v>0</v>
      </c>
      <c r="AL294" s="10" t="str">
        <f>VLOOKUP(Table1[[#This Row],[Cellar Location]],Location!A:F,6,FALSE)</f>
        <v>W</v>
      </c>
      <c r="AN294" s="1">
        <v>44061</v>
      </c>
      <c r="AO294" s="10" t="str">
        <f>TEXT(Table1[[#This Row],[Purchased]],"mmmm")</f>
        <v>August</v>
      </c>
      <c r="AP294" s="10" t="str">
        <f>TEXT(Table1[[#This Row],[Purchased]],"yyyy")</f>
        <v>2020</v>
      </c>
      <c r="AQ294" s="1">
        <v>44137</v>
      </c>
    </row>
    <row r="295" spans="1:43" s="37" customFormat="1" x14ac:dyDescent="0.25">
      <c r="A295" s="37" t="str">
        <f t="shared" si="26"/>
        <v>2016Doisy-VedrinesPetit-Vedrines</v>
      </c>
      <c r="B295" s="37">
        <v>2016</v>
      </c>
      <c r="C295" s="37" t="s">
        <v>843</v>
      </c>
      <c r="D295" s="37" t="s">
        <v>1686</v>
      </c>
      <c r="E295" s="69" t="s">
        <v>1688</v>
      </c>
      <c r="F295" s="37" t="s">
        <v>742</v>
      </c>
      <c r="G295" s="37" t="s">
        <v>748</v>
      </c>
      <c r="H295" s="37" t="s">
        <v>260</v>
      </c>
      <c r="I295" s="8">
        <v>1</v>
      </c>
      <c r="J295" s="38">
        <v>375</v>
      </c>
      <c r="K295" s="38" t="s">
        <v>1687</v>
      </c>
      <c r="L295" s="10">
        <f>COUNTIF(Drank!A:A,Table1[[#This Row],[ID]])</f>
        <v>0</v>
      </c>
      <c r="M295" s="37" t="s">
        <v>201</v>
      </c>
      <c r="N295" s="37" t="s">
        <v>206</v>
      </c>
      <c r="O295" s="37">
        <v>0</v>
      </c>
      <c r="R295" s="10" t="str">
        <f>IF(IFERROR(VLOOKUP(A295,Drank!A:S,15,FALSE),"")=0,"",IFERROR(VLOOKUP(A295,Drank!A:S,15,FALSE),""))</f>
        <v/>
      </c>
      <c r="S295" s="10" t="str">
        <f>IF(IFERROR(VLOOKUP(A295,Drank!A:S,16,FALSE),"")=0,"",IFERROR(VLOOKUP(A295,Drank!A:S,16,FALSE),""))</f>
        <v/>
      </c>
      <c r="T295" s="10"/>
      <c r="V295" s="18" t="str">
        <f>IF(IFERROR(VLOOKUP(A295,Drank!A:T,19,FALSE),"")=0,"",IFERROR(VLOOKUP(A295,Drank!A:T,19,FALSE),""))</f>
        <v/>
      </c>
      <c r="W295" s="1" t="str">
        <f>IF(IFERROR(VLOOKUP(A295,Drank!A:T,20,FALSE),"")=0,"",IFERROR(VLOOKUP(A295,Drank!A:T,20,FALSE),""))</f>
        <v/>
      </c>
      <c r="X295" s="10">
        <f>SUMIF(A:A,A295,I:I)</f>
        <v>24</v>
      </c>
      <c r="Y295" s="10">
        <f>IF(Table1[[#This Row],[Drank]]&gt;0,VLOOKUP(Table1[[#This Row],[ID]],Drank!A:P,16,FALSE),IF(Table1[[#This Row],[WALDD]]&gt;0,VLOOKUP(Table1[[#This Row],[ID]],Wine1!A:Q,17,FALSE),Table1[[#This Row],[EP]]))</f>
        <v>0</v>
      </c>
      <c r="Z295" s="18" t="str">
        <f>IF(Table1[[#This Row],[My Rating]]="",IF(Table1[[#This Row],[WA Rating Clean]]="","",Table1[[#This Row],[WA Rating Clean]]),Table1[[#This Row],[My Rating]])</f>
        <v/>
      </c>
      <c r="AA295" s="8">
        <v>2022</v>
      </c>
      <c r="AB295" s="128">
        <v>16.399999999999999</v>
      </c>
      <c r="AC295" s="2">
        <f t="shared" si="27"/>
        <v>16.399999999999999</v>
      </c>
      <c r="AD295" s="8">
        <v>1</v>
      </c>
      <c r="AE295" s="10">
        <f>IF(Table1[[#This Row],[P/750]]&lt;20,1,IF(Table1[[#This Row],[P/750]]&lt;50,2,3))</f>
        <v>2</v>
      </c>
      <c r="AF295" s="10">
        <f>IF(Table1[[#This Row],[P/750]]&lt;Expenses!$C$30,1,IF(Table1[[#This Row],[P/750]]&lt;Expenses!$C$31,2,IF(Table1[[#This Row],[P/750]]&lt;Expenses!$C$32,3,4)))</f>
        <v>3</v>
      </c>
      <c r="AH295" s="37" t="s">
        <v>1189</v>
      </c>
      <c r="AI295" s="11">
        <f>Table1[[#This Row],[Price]]/Table1[[#This Row],[Size (ml)]]*750</f>
        <v>32.799999999999997</v>
      </c>
      <c r="AK295" s="10">
        <f>COUNTIF(UniqueID!A:A,Table1[[#This Row],[ID]])</f>
        <v>0</v>
      </c>
      <c r="AL295" s="10" t="str">
        <f>VLOOKUP(Table1[[#This Row],[Cellar Location]],Location!A:F,6,FALSE)</f>
        <v>W</v>
      </c>
      <c r="AN295" s="1">
        <v>44061</v>
      </c>
      <c r="AO295" s="10" t="str">
        <f>TEXT(Table1[[#This Row],[Purchased]],"mmmm")</f>
        <v>August</v>
      </c>
      <c r="AP295" s="10" t="str">
        <f>TEXT(Table1[[#This Row],[Purchased]],"yyyy")</f>
        <v>2020</v>
      </c>
      <c r="AQ295" s="1">
        <v>44137</v>
      </c>
    </row>
    <row r="296" spans="1:43" s="37" customFormat="1" x14ac:dyDescent="0.25">
      <c r="A296" s="37" t="str">
        <f t="shared" si="26"/>
        <v>2010Cosimo TaurinoSalice Salentino Riserva</v>
      </c>
      <c r="B296" s="8">
        <v>2010</v>
      </c>
      <c r="C296" s="37" t="s">
        <v>56</v>
      </c>
      <c r="D296" s="8" t="s">
        <v>57</v>
      </c>
      <c r="E296" s="67" t="s">
        <v>1204</v>
      </c>
      <c r="F296" s="37" t="s">
        <v>728</v>
      </c>
      <c r="G296" s="37" t="s">
        <v>785</v>
      </c>
      <c r="H296" s="37" t="s">
        <v>769</v>
      </c>
      <c r="I296" s="37">
        <v>1</v>
      </c>
      <c r="J296" s="37">
        <v>750</v>
      </c>
      <c r="K296" s="8" t="s">
        <v>1828</v>
      </c>
      <c r="L296" s="10">
        <f>COUNTIF(Drank!A:A,Table1[[#This Row],[ID]])</f>
        <v>33</v>
      </c>
      <c r="M296" s="37" t="s">
        <v>202</v>
      </c>
      <c r="N296" s="37" t="s">
        <v>207</v>
      </c>
      <c r="O296" s="37">
        <v>1</v>
      </c>
      <c r="P296" s="10"/>
      <c r="R296" s="10">
        <f>IF(IFERROR(VLOOKUP(A296,Drank!A:S,15,FALSE),"")=0,"",IFERROR(VLOOKUP(A296,Drank!A:S,15,FALSE),""))</f>
        <v>2020</v>
      </c>
      <c r="S296" s="10">
        <f>IF(IFERROR(VLOOKUP(A296,Drank!A:S,16,FALSE),"")=0,"",IFERROR(VLOOKUP(A296,Drank!A:S,16,FALSE),""))</f>
        <v>2021</v>
      </c>
      <c r="T296" s="10"/>
      <c r="V296" s="18">
        <f>IF(IFERROR(VLOOKUP(A296,Drank!A:T,19,FALSE),"")=0,"",IFERROR(VLOOKUP(A296,Drank!A:T,19,FALSE),""))</f>
        <v>89.46875</v>
      </c>
      <c r="W296" s="1">
        <f>IF(IFERROR(VLOOKUP(A296,Drank!A:T,20,FALSE),"")=0,"",IFERROR(VLOOKUP(A296,Drank!A:T,20,FALSE),""))</f>
        <v>44092</v>
      </c>
      <c r="X296" s="10">
        <f>SUMIF(A:A,A296,I:I)</f>
        <v>19</v>
      </c>
      <c r="Y296" s="10">
        <f>IF(Table1[[#This Row],[Drank]]&gt;0,VLOOKUP(Table1[[#This Row],[ID]],Drank!A:P,16,FALSE),IF(Table1[[#This Row],[WALDD]]&gt;0,VLOOKUP(Table1[[#This Row],[ID]],Wine1!A:Q,17,FALSE),Table1[[#This Row],[EP]]))</f>
        <v>2021</v>
      </c>
      <c r="Z296" s="18">
        <f>IF(Table1[[#This Row],[My Rating]]="",IF(Table1[[#This Row],[WA Rating Clean]]="","",Table1[[#This Row],[WA Rating Clean]]),Table1[[#This Row],[My Rating]])</f>
        <v>89.46875</v>
      </c>
      <c r="AA296" s="37">
        <v>2022</v>
      </c>
      <c r="AB296" s="128">
        <v>14.65</v>
      </c>
      <c r="AC296" s="2">
        <f t="shared" si="27"/>
        <v>14.65</v>
      </c>
      <c r="AD296" s="8">
        <v>1</v>
      </c>
      <c r="AE296" s="10">
        <f>IF(Table1[[#This Row],[P/750]]&lt;20,1,IF(Table1[[#This Row],[P/750]]&lt;50,2,3))</f>
        <v>1</v>
      </c>
      <c r="AF296" s="10">
        <f>IF(Table1[[#This Row],[P/750]]&lt;Expenses!$C$30,1,IF(Table1[[#This Row],[P/750]]&lt;Expenses!$C$31,2,IF(Table1[[#This Row],[P/750]]&lt;Expenses!$C$32,3,4)))</f>
        <v>1</v>
      </c>
      <c r="AH296" s="37" t="s">
        <v>1128</v>
      </c>
      <c r="AI296" s="11">
        <f>Table1[[#This Row],[Price]]/Table1[[#This Row],[Size (ml)]]*750</f>
        <v>14.65</v>
      </c>
      <c r="AK296" s="10">
        <f>COUNTIF(UniqueID!A:A,Table1[[#This Row],[ID]])</f>
        <v>1</v>
      </c>
      <c r="AL296" s="10" t="str">
        <f>VLOOKUP(Table1[[#This Row],[Cellar Location]],Location!A:F,6,FALSE)</f>
        <v>C</v>
      </c>
      <c r="AN296" s="1">
        <v>44070</v>
      </c>
      <c r="AO296" s="10" t="str">
        <f>TEXT(Table1[[#This Row],[Purchased]],"mmmm")</f>
        <v>August</v>
      </c>
      <c r="AP296" s="10" t="str">
        <f>TEXT(Table1[[#This Row],[Purchased]],"yyyy")</f>
        <v>2020</v>
      </c>
      <c r="AQ296" s="1"/>
    </row>
    <row r="297" spans="1:43" s="37" customFormat="1" x14ac:dyDescent="0.25">
      <c r="A297" s="8" t="str">
        <f t="shared" si="26"/>
        <v>2010Diez-CaballeroReserva</v>
      </c>
      <c r="B297" s="37">
        <v>2010</v>
      </c>
      <c r="C297" s="8" t="s">
        <v>1216</v>
      </c>
      <c r="D297" s="37" t="s">
        <v>106</v>
      </c>
      <c r="E297" s="67" t="s">
        <v>1220</v>
      </c>
      <c r="F297" s="37" t="s">
        <v>729</v>
      </c>
      <c r="G297" s="37" t="s">
        <v>823</v>
      </c>
      <c r="I297" s="107">
        <v>1</v>
      </c>
      <c r="J297" s="37">
        <v>750</v>
      </c>
      <c r="K297" s="107" t="s">
        <v>653</v>
      </c>
      <c r="L297" s="10">
        <f>COUNTIF(Drank!A:A,Table1[[#This Row],[ID]])</f>
        <v>3</v>
      </c>
      <c r="M297" s="37" t="s">
        <v>202</v>
      </c>
      <c r="N297" s="37" t="s">
        <v>207</v>
      </c>
      <c r="O297" s="37">
        <v>1</v>
      </c>
      <c r="P297" s="37">
        <v>2016</v>
      </c>
      <c r="Q297" s="37">
        <v>2022</v>
      </c>
      <c r="R297" s="10">
        <f>IF(IFERROR(VLOOKUP(A297,Drank!A:S,15,FALSE),"")=0,"",IFERROR(VLOOKUP(A297,Drank!A:S,15,FALSE),""))</f>
        <v>2020</v>
      </c>
      <c r="S297" s="10">
        <f>IF(IFERROR(VLOOKUP(A297,Drank!A:S,16,FALSE),"")=0,"",IFERROR(VLOOKUP(A297,Drank!A:S,16,FALSE),""))</f>
        <v>2021</v>
      </c>
      <c r="T297" s="10"/>
      <c r="U297" s="37" t="s">
        <v>196</v>
      </c>
      <c r="V297" s="18">
        <f>IF(IFERROR(VLOOKUP(A297,Drank!A:T,19,FALSE),"")=0,"",IFERROR(VLOOKUP(A297,Drank!A:T,19,FALSE),""))</f>
        <v>91</v>
      </c>
      <c r="W297" s="1">
        <f>IF(IFERROR(VLOOKUP(A297,Drank!A:T,20,FALSE),"")=0,"",IFERROR(VLOOKUP(A297,Drank!A:T,20,FALSE),""))</f>
        <v>44009</v>
      </c>
      <c r="X297" s="10">
        <f>SUMIF(A:A,A297,I:I)</f>
        <v>9</v>
      </c>
      <c r="Y297" s="10">
        <f>IF(Table1[[#This Row],[Drank]]&gt;0,VLOOKUP(Table1[[#This Row],[ID]],Drank!A:P,16,FALSE),IF(Table1[[#This Row],[WALDD]]&gt;0,VLOOKUP(Table1[[#This Row],[ID]],Wine1!A:Q,17,FALSE),Table1[[#This Row],[EP]]))</f>
        <v>2021</v>
      </c>
      <c r="Z297" s="18">
        <f>IF(Table1[[#This Row],[My Rating]]="",IF(Table1[[#This Row],[WA Rating Clean]]="","",Table1[[#This Row],[WA Rating Clean]]),Table1[[#This Row],[My Rating]])</f>
        <v>91</v>
      </c>
      <c r="AA297" s="37">
        <v>2022</v>
      </c>
      <c r="AB297" s="128">
        <v>16.28</v>
      </c>
      <c r="AC297" s="2">
        <f t="shared" si="27"/>
        <v>16.28</v>
      </c>
      <c r="AD297" s="8">
        <v>2</v>
      </c>
      <c r="AE297" s="61">
        <f>IF(Table1[[#This Row],[P/750]]&lt;20,1,IF(Table1[[#This Row],[P/750]]&lt;50,2,3))</f>
        <v>1</v>
      </c>
      <c r="AF297" s="61">
        <f>IF(Table1[[#This Row],[P/750]]&lt;Expenses!$C$30,1,IF(Table1[[#This Row],[P/750]]&lt;Expenses!$C$31,2,IF(Table1[[#This Row],[P/750]]&lt;Expenses!$C$32,3,4)))</f>
        <v>1</v>
      </c>
      <c r="AH297" s="37" t="s">
        <v>384</v>
      </c>
      <c r="AI297" s="11">
        <f>Table1[[#This Row],[Price]]/Table1[[#This Row],[Size (ml)]]*750</f>
        <v>16.28</v>
      </c>
      <c r="AJ297" s="37">
        <v>91</v>
      </c>
      <c r="AK297" s="10">
        <f>COUNTIF(UniqueID!A:A,Table1[[#This Row],[ID]])</f>
        <v>0</v>
      </c>
      <c r="AL297" s="10" t="str">
        <f>VLOOKUP(Table1[[#This Row],[Cellar Location]],Location!A:F,6,FALSE)</f>
        <v>S</v>
      </c>
      <c r="AN297" s="1">
        <v>44000</v>
      </c>
      <c r="AO297" s="10" t="str">
        <f>TEXT(Table1[[#This Row],[Purchased]],"mmmm")</f>
        <v>June</v>
      </c>
      <c r="AP297" s="10" t="str">
        <f>TEXT(Table1[[#This Row],[Purchased]],"yyyy")</f>
        <v>2020</v>
      </c>
      <c r="AQ297" s="10"/>
    </row>
    <row r="298" spans="1:43" s="37" customFormat="1" x14ac:dyDescent="0.25">
      <c r="A298" s="37" t="str">
        <f t="shared" si="26"/>
        <v>2010Cosimo TaurinoSalice Salentino Riserva</v>
      </c>
      <c r="B298" s="8">
        <v>2010</v>
      </c>
      <c r="C298" s="37" t="s">
        <v>56</v>
      </c>
      <c r="D298" s="32" t="s">
        <v>57</v>
      </c>
      <c r="E298" s="67" t="s">
        <v>1204</v>
      </c>
      <c r="F298" s="37" t="s">
        <v>728</v>
      </c>
      <c r="G298" s="37" t="s">
        <v>785</v>
      </c>
      <c r="H298" s="37" t="s">
        <v>769</v>
      </c>
      <c r="I298" s="107">
        <v>1</v>
      </c>
      <c r="J298" s="37">
        <v>750</v>
      </c>
      <c r="K298" s="107" t="s">
        <v>642</v>
      </c>
      <c r="L298" s="37">
        <f>COUNTIF(Drank!A:A,Table1[[#This Row],[ID]])</f>
        <v>33</v>
      </c>
      <c r="M298" s="37" t="s">
        <v>202</v>
      </c>
      <c r="N298" s="37" t="s">
        <v>207</v>
      </c>
      <c r="O298" s="37">
        <v>1</v>
      </c>
      <c r="R298" s="37">
        <f>IF(IFERROR(VLOOKUP(A298,Drank!A:S,15,FALSE),"")=0,"",IFERROR(VLOOKUP(A298,Drank!A:S,15,FALSE),""))</f>
        <v>2020</v>
      </c>
      <c r="S298" s="37">
        <f>IF(IFERROR(VLOOKUP(A298,Drank!A:S,16,FALSE),"")=0,"",IFERROR(VLOOKUP(A298,Drank!A:S,16,FALSE),""))</f>
        <v>2021</v>
      </c>
      <c r="V298" s="18">
        <f>IF(IFERROR(VLOOKUP(A298,Drank!A:T,19,FALSE),"")=0,"",IFERROR(VLOOKUP(A298,Drank!A:T,19,FALSE),""))</f>
        <v>89.46875</v>
      </c>
      <c r="W298" s="1">
        <f>IF(IFERROR(VLOOKUP(A298,Drank!A:T,20,FALSE),"")=0,"",IFERROR(VLOOKUP(A298,Drank!A:T,20,FALSE),""))</f>
        <v>44092</v>
      </c>
      <c r="X298" s="37">
        <f>SUMIF(A:A,A298,I:I)</f>
        <v>19</v>
      </c>
      <c r="Y298" s="37">
        <f>IF(Table1[[#This Row],[Drank]]&gt;0,VLOOKUP(Table1[[#This Row],[ID]],Drank!A:P,16,FALSE),IF(Table1[[#This Row],[WALDD]]&gt;0,VLOOKUP(Table1[[#This Row],[ID]],Wine1!A:Q,17,FALSE),Table1[[#This Row],[EP]]))</f>
        <v>2021</v>
      </c>
      <c r="Z298" s="18">
        <f>IF(Table1[[#This Row],[My Rating]]="",IF(Table1[[#This Row],[WA Rating Clean]]="","",Table1[[#This Row],[WA Rating Clean]]),Table1[[#This Row],[My Rating]])</f>
        <v>89.46875</v>
      </c>
      <c r="AA298" s="37">
        <v>2022</v>
      </c>
      <c r="AB298" s="14">
        <v>11.69</v>
      </c>
      <c r="AC298" s="2">
        <f t="shared" si="27"/>
        <v>11.69</v>
      </c>
      <c r="AD298" s="8">
        <v>2</v>
      </c>
      <c r="AE298" s="37">
        <f>IF(Table1[[#This Row],[P/750]]&lt;20,1,IF(Table1[[#This Row],[P/750]]&lt;50,2,3))</f>
        <v>1</v>
      </c>
      <c r="AF298" s="37">
        <f>IF(Table1[[#This Row],[P/750]]&lt;Expenses!$C$30,1,IF(Table1[[#This Row],[P/750]]&lt;Expenses!$C$31,2,IF(Table1[[#This Row],[P/750]]&lt;Expenses!$C$32,3,4)))</f>
        <v>1</v>
      </c>
      <c r="AH298" s="37" t="s">
        <v>1128</v>
      </c>
      <c r="AI298" s="11">
        <f>Table1[[#This Row],[Price]]/Table1[[#This Row],[Size (ml)]]*750</f>
        <v>11.69</v>
      </c>
      <c r="AK298" s="37">
        <f>COUNTIF(UniqueID!A:A,Table1[[#This Row],[ID]])</f>
        <v>1</v>
      </c>
      <c r="AL298" s="37" t="str">
        <f>VLOOKUP(Table1[[#This Row],[Cellar Location]],Location!A:F,6,FALSE)</f>
        <v>S</v>
      </c>
      <c r="AO298" s="37" t="str">
        <f>TEXT(Table1[[#This Row],[Purchased]],"mmmm")</f>
        <v>January</v>
      </c>
      <c r="AP298" s="10" t="str">
        <f>TEXT(Table1[[#This Row],[Purchased]],"yyyy")</f>
        <v>1900</v>
      </c>
      <c r="AQ298" s="10"/>
    </row>
    <row r="299" spans="1:43" s="37" customFormat="1" x14ac:dyDescent="0.25">
      <c r="A299" s="37" t="str">
        <f t="shared" si="26"/>
        <v>2010Cosimo TaurinoSalice Salentino Riserva</v>
      </c>
      <c r="B299" s="8">
        <v>2010</v>
      </c>
      <c r="C299" s="37" t="s">
        <v>56</v>
      </c>
      <c r="D299" s="8" t="s">
        <v>57</v>
      </c>
      <c r="E299" s="67" t="s">
        <v>1204</v>
      </c>
      <c r="F299" s="37" t="s">
        <v>728</v>
      </c>
      <c r="G299" s="37" t="s">
        <v>785</v>
      </c>
      <c r="H299" s="37" t="s">
        <v>769</v>
      </c>
      <c r="I299" s="107">
        <v>1</v>
      </c>
      <c r="J299" s="37">
        <v>750</v>
      </c>
      <c r="K299" s="107" t="s">
        <v>643</v>
      </c>
      <c r="L299" s="37">
        <f>COUNTIF(Drank!A:A,Table1[[#This Row],[ID]])</f>
        <v>33</v>
      </c>
      <c r="M299" s="37" t="s">
        <v>202</v>
      </c>
      <c r="N299" s="37" t="s">
        <v>207</v>
      </c>
      <c r="O299" s="37">
        <v>1</v>
      </c>
      <c r="R299" s="37">
        <f>IF(IFERROR(VLOOKUP(A299,Drank!A:S,15,FALSE),"")=0,"",IFERROR(VLOOKUP(A299,Drank!A:S,15,FALSE),""))</f>
        <v>2020</v>
      </c>
      <c r="S299" s="37">
        <f>IF(IFERROR(VLOOKUP(A299,Drank!A:S,16,FALSE),"")=0,"",IFERROR(VLOOKUP(A299,Drank!A:S,16,FALSE),""))</f>
        <v>2021</v>
      </c>
      <c r="V299" s="18">
        <f>IF(IFERROR(VLOOKUP(A299,Drank!A:T,19,FALSE),"")=0,"",IFERROR(VLOOKUP(A299,Drank!A:T,19,FALSE),""))</f>
        <v>89.46875</v>
      </c>
      <c r="W299" s="1">
        <f>IF(IFERROR(VLOOKUP(A299,Drank!A:T,20,FALSE),"")=0,"",IFERROR(VLOOKUP(A299,Drank!A:T,20,FALSE),""))</f>
        <v>44092</v>
      </c>
      <c r="X299" s="37">
        <f>SUMIF(A:A,A299,I:I)</f>
        <v>19</v>
      </c>
      <c r="Y299" s="37">
        <f>IF(Table1[[#This Row],[Drank]]&gt;0,VLOOKUP(Table1[[#This Row],[ID]],Drank!A:P,16,FALSE),IF(Table1[[#This Row],[WALDD]]&gt;0,VLOOKUP(Table1[[#This Row],[ID]],Wine1!A:Q,17,FALSE),Table1[[#This Row],[EP]]))</f>
        <v>2021</v>
      </c>
      <c r="Z299" s="18">
        <f>IF(Table1[[#This Row],[My Rating]]="",IF(Table1[[#This Row],[WA Rating Clean]]="","",Table1[[#This Row],[WA Rating Clean]]),Table1[[#This Row],[My Rating]])</f>
        <v>89.46875</v>
      </c>
      <c r="AA299" s="37">
        <v>2022</v>
      </c>
      <c r="AB299" s="14">
        <v>11.69</v>
      </c>
      <c r="AC299" s="2">
        <f t="shared" si="27"/>
        <v>11.69</v>
      </c>
      <c r="AD299" s="8">
        <v>2</v>
      </c>
      <c r="AE299" s="37">
        <f>IF(Table1[[#This Row],[P/750]]&lt;20,1,IF(Table1[[#This Row],[P/750]]&lt;50,2,3))</f>
        <v>1</v>
      </c>
      <c r="AF299" s="37">
        <f>IF(Table1[[#This Row],[P/750]]&lt;Expenses!$C$30,1,IF(Table1[[#This Row],[P/750]]&lt;Expenses!$C$31,2,IF(Table1[[#This Row],[P/750]]&lt;Expenses!$C$32,3,4)))</f>
        <v>1</v>
      </c>
      <c r="AH299" s="37" t="s">
        <v>1128</v>
      </c>
      <c r="AI299" s="11">
        <f>Table1[[#This Row],[Price]]/Table1[[#This Row],[Size (ml)]]*750</f>
        <v>11.69</v>
      </c>
      <c r="AK299" s="37">
        <f>COUNTIF(UniqueID!A:A,Table1[[#This Row],[ID]])</f>
        <v>1</v>
      </c>
      <c r="AL299" s="37" t="str">
        <f>VLOOKUP(Table1[[#This Row],[Cellar Location]],Location!A:F,6,FALSE)</f>
        <v>S</v>
      </c>
      <c r="AO299" s="37" t="str">
        <f>TEXT(Table1[[#This Row],[Purchased]],"mmmm")</f>
        <v>January</v>
      </c>
      <c r="AP299" s="10" t="str">
        <f>TEXT(Table1[[#This Row],[Purchased]],"yyyy")</f>
        <v>1900</v>
      </c>
      <c r="AQ299" s="10"/>
    </row>
    <row r="300" spans="1:43" s="37" customFormat="1" x14ac:dyDescent="0.25">
      <c r="A300" s="37" t="str">
        <f t="shared" si="26"/>
        <v>2014Hacienda MonasterioRibera del Duero</v>
      </c>
      <c r="B300" s="37">
        <v>2014</v>
      </c>
      <c r="C300" s="37" t="s">
        <v>107</v>
      </c>
      <c r="D300" s="9" t="s">
        <v>1457</v>
      </c>
      <c r="E300" s="66" t="s">
        <v>1793</v>
      </c>
      <c r="F300" s="37" t="s">
        <v>729</v>
      </c>
      <c r="G300" s="37" t="s">
        <v>1718</v>
      </c>
      <c r="H300" s="37" t="s">
        <v>818</v>
      </c>
      <c r="I300" s="37">
        <v>1</v>
      </c>
      <c r="J300" s="37">
        <v>750</v>
      </c>
      <c r="K300" s="8" t="s">
        <v>8</v>
      </c>
      <c r="L300" s="10">
        <f>COUNTIF(Drank!A:A,Table1[[#This Row],[ID]])</f>
        <v>0</v>
      </c>
      <c r="M300" s="37" t="s">
        <v>202</v>
      </c>
      <c r="N300" s="37" t="s">
        <v>207</v>
      </c>
      <c r="O300" s="37">
        <v>0</v>
      </c>
      <c r="R300" s="10" t="str">
        <f>IF(IFERROR(VLOOKUP(A300,Drank!A:S,15,FALSE),"")=0,"",IFERROR(VLOOKUP(A300,Drank!A:S,15,FALSE),""))</f>
        <v/>
      </c>
      <c r="S300" s="10" t="str">
        <f>IF(IFERROR(VLOOKUP(A300,Drank!A:S,16,FALSE),"")=0,"",IFERROR(VLOOKUP(A300,Drank!A:S,16,FALSE),""))</f>
        <v/>
      </c>
      <c r="T300" s="10">
        <v>2022</v>
      </c>
      <c r="V300" s="18" t="str">
        <f>IF(IFERROR(VLOOKUP(A300,Drank!A:T,19,FALSE),"")=0,"",IFERROR(VLOOKUP(A300,Drank!A:T,19,FALSE),""))</f>
        <v/>
      </c>
      <c r="W300" s="1" t="str">
        <f>IF(IFERROR(VLOOKUP(A300,Drank!A:T,20,FALSE),"")=0,"",IFERROR(VLOOKUP(A300,Drank!A:T,20,FALSE),""))</f>
        <v/>
      </c>
      <c r="X300" s="10">
        <f>SUMIF(A:A,A300,I:I)</f>
        <v>1</v>
      </c>
      <c r="Y300" s="10">
        <f>IF(Table1[[#This Row],[Drank]]&gt;0,VLOOKUP(Table1[[#This Row],[ID]],Drank!A:P,16,FALSE),IF(Table1[[#This Row],[WALDD]]&gt;0,VLOOKUP(Table1[[#This Row],[ID]],Wine1!A:Q,17,FALSE),Table1[[#This Row],[EP]]))</f>
        <v>2022</v>
      </c>
      <c r="Z300" s="18" t="str">
        <f>IF(Table1[[#This Row],[My Rating]]="",IF(Table1[[#This Row],[WA Rating Clean]]="","",Table1[[#This Row],[WA Rating Clean]]),Table1[[#This Row],[My Rating]])</f>
        <v/>
      </c>
      <c r="AA300" s="37">
        <v>2022</v>
      </c>
      <c r="AB300" s="134">
        <v>40</v>
      </c>
      <c r="AC300" s="2">
        <f t="shared" si="27"/>
        <v>40</v>
      </c>
      <c r="AD300" s="8">
        <v>0</v>
      </c>
      <c r="AE300" s="10">
        <f>IF(Table1[[#This Row],[P/750]]&lt;20,1,IF(Table1[[#This Row],[P/750]]&lt;50,2,3))</f>
        <v>2</v>
      </c>
      <c r="AF300" s="10">
        <f>IF(Table1[[#This Row],[P/750]]&lt;Expenses!$C$30,1,IF(Table1[[#This Row],[P/750]]&lt;Expenses!$C$31,2,IF(Table1[[#This Row],[P/750]]&lt;Expenses!$C$32,3,4)))</f>
        <v>3</v>
      </c>
      <c r="AH300" s="37" t="s">
        <v>1131</v>
      </c>
      <c r="AI300" s="11">
        <f>Table1[[#This Row],[Price]]/Table1[[#This Row],[Size (ml)]]*750</f>
        <v>40</v>
      </c>
      <c r="AK300" s="10">
        <f>COUNTIF(UniqueID!A:A,Table1[[#This Row],[ID]])</f>
        <v>0</v>
      </c>
      <c r="AL300" s="10" t="str">
        <f>VLOOKUP(Table1[[#This Row],[Cellar Location]],Location!A:F,6,FALSE)</f>
        <v>K</v>
      </c>
      <c r="AO300" s="10" t="str">
        <f>TEXT(Table1[[#This Row],[Purchased]],"mmmm")</f>
        <v>January</v>
      </c>
      <c r="AP300" s="10" t="str">
        <f>TEXT(Table1[[#This Row],[Purchased]],"yyyy")</f>
        <v>1900</v>
      </c>
      <c r="AQ300" s="10"/>
    </row>
    <row r="301" spans="1:43" s="37" customFormat="1" x14ac:dyDescent="0.25">
      <c r="A301" s="8" t="str">
        <f t="shared" si="26"/>
        <v>2015Methven Family VineyardsPinot Noir Citizen's Cuvee</v>
      </c>
      <c r="B301" s="37">
        <v>2015</v>
      </c>
      <c r="C301" s="8" t="s">
        <v>1458</v>
      </c>
      <c r="D301" s="37" t="s">
        <v>1459</v>
      </c>
      <c r="E301" s="98" t="s">
        <v>1462</v>
      </c>
      <c r="F301" s="37" t="s">
        <v>727</v>
      </c>
      <c r="G301" s="37" t="s">
        <v>1460</v>
      </c>
      <c r="H301" s="37" t="s">
        <v>1461</v>
      </c>
      <c r="I301" s="107">
        <v>1</v>
      </c>
      <c r="J301" s="37">
        <v>750</v>
      </c>
      <c r="K301" s="107" t="s">
        <v>626</v>
      </c>
      <c r="L301" s="10">
        <f>COUNTIF(Drank!A:A,Table1[[#This Row],[ID]])</f>
        <v>1</v>
      </c>
      <c r="M301" s="37" t="s">
        <v>202</v>
      </c>
      <c r="N301" s="37" t="s">
        <v>207</v>
      </c>
      <c r="O301" s="37">
        <v>1</v>
      </c>
      <c r="P301" s="37">
        <v>2018</v>
      </c>
      <c r="Q301" s="37">
        <v>2022</v>
      </c>
      <c r="R301" s="10">
        <f>IF(IFERROR(VLOOKUP(A301,Drank!A:S,15,FALSE),"")=0,"",IFERROR(VLOOKUP(A301,Drank!A:S,15,FALSE),""))</f>
        <v>2020</v>
      </c>
      <c r="S301" s="10">
        <f>IF(IFERROR(VLOOKUP(A301,Drank!A:S,16,FALSE),"")=0,"",IFERROR(VLOOKUP(A301,Drank!A:S,16,FALSE),""))</f>
        <v>2022</v>
      </c>
      <c r="T301" s="10"/>
      <c r="U301" s="37">
        <v>91</v>
      </c>
      <c r="V301" s="18">
        <f>IF(IFERROR(VLOOKUP(A301,Drank!A:T,19,FALSE),"")=0,"",IFERROR(VLOOKUP(A301,Drank!A:T,19,FALSE),""))</f>
        <v>89</v>
      </c>
      <c r="W301" s="1">
        <f>IF(IFERROR(VLOOKUP(A301,Drank!A:T,20,FALSE),"")=0,"",IFERROR(VLOOKUP(A301,Drank!A:T,20,FALSE),""))</f>
        <v>44012</v>
      </c>
      <c r="X301" s="10">
        <f>SUMIF(A:A,A301,I:I)</f>
        <v>7</v>
      </c>
      <c r="Y301" s="10">
        <f>IF(Table1[[#This Row],[Drank]]&gt;0,VLOOKUP(Table1[[#This Row],[ID]],Drank!A:P,16,FALSE),IF(Table1[[#This Row],[WALDD]]&gt;0,VLOOKUP(Table1[[#This Row],[ID]],Wine1!A:Q,17,FALSE),Table1[[#This Row],[EP]]))</f>
        <v>2022</v>
      </c>
      <c r="Z301" s="18">
        <f>IF(Table1[[#This Row],[My Rating]]="",IF(Table1[[#This Row],[WA Rating Clean]]="","",Table1[[#This Row],[WA Rating Clean]]),Table1[[#This Row],[My Rating]])</f>
        <v>89</v>
      </c>
      <c r="AA301" s="37">
        <v>2022</v>
      </c>
      <c r="AB301" s="128">
        <v>16.28</v>
      </c>
      <c r="AC301" s="2">
        <f t="shared" si="27"/>
        <v>16.28</v>
      </c>
      <c r="AD301" s="8">
        <v>2</v>
      </c>
      <c r="AE301" s="61">
        <f>IF(Table1[[#This Row],[P/750]]&lt;20,1,IF(Table1[[#This Row],[P/750]]&lt;50,2,3))</f>
        <v>1</v>
      </c>
      <c r="AF301" s="61">
        <f>IF(Table1[[#This Row],[P/750]]&lt;Expenses!$C$30,1,IF(Table1[[#This Row],[P/750]]&lt;Expenses!$C$31,2,IF(Table1[[#This Row],[P/750]]&lt;Expenses!$C$32,3,4)))</f>
        <v>1</v>
      </c>
      <c r="AH301" s="37" t="s">
        <v>384</v>
      </c>
      <c r="AI301" s="11">
        <f>Table1[[#This Row],[Price]]/Table1[[#This Row],[Size (ml)]]*750</f>
        <v>16.28</v>
      </c>
      <c r="AJ301" s="37">
        <v>91</v>
      </c>
      <c r="AK301" s="10">
        <f>COUNTIF(UniqueID!A:A,Table1[[#This Row],[ID]])</f>
        <v>0</v>
      </c>
      <c r="AL301" s="10" t="str">
        <f>VLOOKUP(Table1[[#This Row],[Cellar Location]],Location!A:F,6,FALSE)</f>
        <v>S</v>
      </c>
      <c r="AN301" s="1">
        <v>44010</v>
      </c>
      <c r="AO301" s="10" t="str">
        <f>TEXT(Table1[[#This Row],[Purchased]],"mmmm")</f>
        <v>June</v>
      </c>
      <c r="AP301" s="10" t="str">
        <f>TEXT(Table1[[#This Row],[Purchased]],"yyyy")</f>
        <v>2020</v>
      </c>
      <c r="AQ301" s="10"/>
    </row>
    <row r="302" spans="1:43" s="37" customFormat="1" x14ac:dyDescent="0.25">
      <c r="A302" s="37" t="str">
        <f t="shared" si="26"/>
        <v>2016Diez-CaballeroCrianza</v>
      </c>
      <c r="B302" s="8">
        <v>2016</v>
      </c>
      <c r="C302" s="8" t="s">
        <v>1216</v>
      </c>
      <c r="D302" s="37" t="s">
        <v>108</v>
      </c>
      <c r="E302" s="67" t="s">
        <v>1220</v>
      </c>
      <c r="F302" s="37" t="s">
        <v>729</v>
      </c>
      <c r="G302" s="37" t="s">
        <v>823</v>
      </c>
      <c r="I302" s="107">
        <v>1</v>
      </c>
      <c r="J302" s="37">
        <v>750</v>
      </c>
      <c r="K302" s="107" t="s">
        <v>926</v>
      </c>
      <c r="L302" s="10">
        <f>COUNTIF(Drank!A:A,Table1[[#This Row],[ID]])</f>
        <v>1</v>
      </c>
      <c r="M302" s="37" t="s">
        <v>202</v>
      </c>
      <c r="N302" s="37" t="s">
        <v>207</v>
      </c>
      <c r="O302" s="37">
        <v>1</v>
      </c>
      <c r="R302" s="10">
        <f>IF(IFERROR(VLOOKUP(A302,Drank!A:S,15,FALSE),"")=0,"",IFERROR(VLOOKUP(A302,Drank!A:S,15,FALSE),""))</f>
        <v>2020</v>
      </c>
      <c r="S302" s="10">
        <f>IF(IFERROR(VLOOKUP(A302,Drank!A:S,16,FALSE),"")=0,"",IFERROR(VLOOKUP(A302,Drank!A:S,16,FALSE),""))</f>
        <v>2022</v>
      </c>
      <c r="T302" s="10">
        <v>2023</v>
      </c>
      <c r="V302" s="18">
        <f>IF(IFERROR(VLOOKUP(A302,Drank!A:T,19,FALSE),"")=0,"",IFERROR(VLOOKUP(A302,Drank!A:T,19,FALSE),""))</f>
        <v>90</v>
      </c>
      <c r="W302" s="1">
        <f>IF(IFERROR(VLOOKUP(A302,Drank!A:T,20,FALSE),"")=0,"",IFERROR(VLOOKUP(A302,Drank!A:T,20,FALSE),""))</f>
        <v>43823</v>
      </c>
      <c r="X302" s="10">
        <f>SUMIF(A:A,A302,I:I)</f>
        <v>3</v>
      </c>
      <c r="Y302" s="10">
        <f>IF(Table1[[#This Row],[Drank]]&gt;0,VLOOKUP(Table1[[#This Row],[ID]],Drank!A:P,16,FALSE),IF(Table1[[#This Row],[WALDD]]&gt;0,VLOOKUP(Table1[[#This Row],[ID]],Wine1!A:Q,17,FALSE),Table1[[#This Row],[EP]]))</f>
        <v>2022</v>
      </c>
      <c r="Z302" s="18">
        <f>IF(Table1[[#This Row],[My Rating]]="",IF(Table1[[#This Row],[WA Rating Clean]]="","",Table1[[#This Row],[WA Rating Clean]]),Table1[[#This Row],[My Rating]])</f>
        <v>90</v>
      </c>
      <c r="AA302" s="37">
        <v>2022</v>
      </c>
      <c r="AB302" s="128">
        <v>13.99</v>
      </c>
      <c r="AC302" s="2">
        <f t="shared" si="27"/>
        <v>13.99</v>
      </c>
      <c r="AD302" s="8">
        <v>2</v>
      </c>
      <c r="AE302" s="10">
        <f>IF(Table1[[#This Row],[P/750]]&lt;20,1,IF(Table1[[#This Row],[P/750]]&lt;50,2,3))</f>
        <v>1</v>
      </c>
      <c r="AF302" s="10">
        <f>IF(Table1[[#This Row],[P/750]]&lt;Expenses!$C$30,1,IF(Table1[[#This Row],[P/750]]&lt;Expenses!$C$31,2,IF(Table1[[#This Row],[P/750]]&lt;Expenses!$C$32,3,4)))</f>
        <v>1</v>
      </c>
      <c r="AH302" s="37" t="s">
        <v>384</v>
      </c>
      <c r="AI302" s="11">
        <f>Table1[[#This Row],[Price]]/Table1[[#This Row],[Size (ml)]]*750</f>
        <v>13.99</v>
      </c>
      <c r="AK302" s="10">
        <f>COUNTIF(UniqueID!A:A,Table1[[#This Row],[ID]])</f>
        <v>1</v>
      </c>
      <c r="AL302" s="37" t="str">
        <f>VLOOKUP(Table1[[#This Row],[Cellar Location]],Location!A:F,6,FALSE)</f>
        <v>S</v>
      </c>
      <c r="AN302" s="1">
        <v>43816</v>
      </c>
      <c r="AO302" s="37" t="str">
        <f>TEXT(Table1[[#This Row],[Purchased]],"mmmm")</f>
        <v>December</v>
      </c>
      <c r="AP302" s="10" t="str">
        <f>TEXT(Table1[[#This Row],[Purchased]],"yyyy")</f>
        <v>2019</v>
      </c>
      <c r="AQ302" s="10"/>
    </row>
    <row r="303" spans="1:43" s="37" customFormat="1" x14ac:dyDescent="0.25">
      <c r="A303" s="37" t="str">
        <f t="shared" si="26"/>
        <v>2015Condamine PaulignanMinervois</v>
      </c>
      <c r="B303" s="37">
        <v>2015</v>
      </c>
      <c r="C303" s="37" t="s">
        <v>1321</v>
      </c>
      <c r="D303" s="37" t="s">
        <v>1322</v>
      </c>
      <c r="E303" s="67" t="s">
        <v>1323</v>
      </c>
      <c r="F303" s="37" t="s">
        <v>742</v>
      </c>
      <c r="G303" s="37" t="s">
        <v>1324</v>
      </c>
      <c r="H303" s="37" t="s">
        <v>1322</v>
      </c>
      <c r="I303" s="107">
        <v>1</v>
      </c>
      <c r="J303" s="37">
        <v>750</v>
      </c>
      <c r="K303" s="107" t="s">
        <v>1406</v>
      </c>
      <c r="L303" s="10">
        <f>COUNTIF(Drank!A:A,Table1[[#This Row],[ID]])</f>
        <v>1</v>
      </c>
      <c r="M303" s="37" t="s">
        <v>202</v>
      </c>
      <c r="N303" s="37" t="s">
        <v>207</v>
      </c>
      <c r="O303" s="37">
        <v>1</v>
      </c>
      <c r="P303" s="10">
        <v>2017</v>
      </c>
      <c r="Q303" s="37">
        <v>2023</v>
      </c>
      <c r="R303" s="10">
        <f>IF(IFERROR(VLOOKUP(A303,Drank!A:S,15,FALSE),"")=0,"",IFERROR(VLOOKUP(A303,Drank!A:S,15,FALSE),""))</f>
        <v>2020</v>
      </c>
      <c r="S303" s="10">
        <f>IF(IFERROR(VLOOKUP(A303,Drank!A:S,16,FALSE),"")=0,"",IFERROR(VLOOKUP(A303,Drank!A:S,16,FALSE),""))</f>
        <v>2022</v>
      </c>
      <c r="T303" s="10"/>
      <c r="U303" s="37" t="s">
        <v>1325</v>
      </c>
      <c r="V303" s="18">
        <f>IF(IFERROR(VLOOKUP(A303,Drank!A:T,19,FALSE),"")=0,"",IFERROR(VLOOKUP(A303,Drank!A:T,19,FALSE),""))</f>
        <v>88</v>
      </c>
      <c r="W303" s="1">
        <f>IF(IFERROR(VLOOKUP(A303,Drank!A:T,20,FALSE),"")=0,"",IFERROR(VLOOKUP(A303,Drank!A:T,20,FALSE),""))</f>
        <v>43990</v>
      </c>
      <c r="X303" s="10">
        <f>SUMIF(A:A,A303,I:I)</f>
        <v>3</v>
      </c>
      <c r="Y303" s="10">
        <f>IF(Table1[[#This Row],[Drank]]&gt;0,VLOOKUP(Table1[[#This Row],[ID]],Drank!A:P,16,FALSE),IF(Table1[[#This Row],[WALDD]]&gt;0,VLOOKUP(Table1[[#This Row],[ID]],Wine1!A:Q,17,FALSE),Table1[[#This Row],[EP]]))</f>
        <v>2022</v>
      </c>
      <c r="Z303" s="18">
        <f>IF(Table1[[#This Row],[My Rating]]="",IF(Table1[[#This Row],[WA Rating Clean]]="","",Table1[[#This Row],[WA Rating Clean]]),Table1[[#This Row],[My Rating]])</f>
        <v>88</v>
      </c>
      <c r="AA303" s="37">
        <v>2022</v>
      </c>
      <c r="AB303" s="128">
        <v>13.11</v>
      </c>
      <c r="AC303" s="2">
        <f t="shared" si="27"/>
        <v>13.11</v>
      </c>
      <c r="AD303" s="8">
        <v>2</v>
      </c>
      <c r="AE303" s="10">
        <f>IF(Table1[[#This Row],[P/750]]&lt;20,1,IF(Table1[[#This Row],[P/750]]&lt;50,2,3))</f>
        <v>1</v>
      </c>
      <c r="AF303" s="10">
        <f>IF(Table1[[#This Row],[P/750]]&lt;Expenses!$C$30,1,IF(Table1[[#This Row],[P/750]]&lt;Expenses!$C$31,2,IF(Table1[[#This Row],[P/750]]&lt;Expenses!$C$32,3,4)))</f>
        <v>1</v>
      </c>
      <c r="AH303" s="37" t="s">
        <v>385</v>
      </c>
      <c r="AI303" s="11">
        <f>Table1[[#This Row],[Price]]/Table1[[#This Row],[Size (ml)]]*750</f>
        <v>13.11</v>
      </c>
      <c r="AJ303" s="37">
        <v>87</v>
      </c>
      <c r="AK303" s="10">
        <f>COUNTIF(UniqueID!A:A,Table1[[#This Row],[ID]])</f>
        <v>0</v>
      </c>
      <c r="AL303" s="10" t="str">
        <f>VLOOKUP(Table1[[#This Row],[Cellar Location]],Location!A:F,6,FALSE)</f>
        <v>S</v>
      </c>
      <c r="AN303" s="1">
        <v>43923</v>
      </c>
      <c r="AO303" s="10" t="str">
        <f>TEXT(Table1[[#This Row],[Purchased]],"mmmm")</f>
        <v>April</v>
      </c>
      <c r="AP303" s="10" t="str">
        <f>TEXT(Table1[[#This Row],[Purchased]],"yyyy")</f>
        <v>2020</v>
      </c>
      <c r="AQ303" s="10"/>
    </row>
    <row r="304" spans="1:43" s="37" customFormat="1" x14ac:dyDescent="0.25">
      <c r="A304" s="37" t="str">
        <f t="shared" si="26"/>
        <v>2015Diez-CaballeroCrianza</v>
      </c>
      <c r="B304" s="8">
        <v>2015</v>
      </c>
      <c r="C304" s="8" t="s">
        <v>1216</v>
      </c>
      <c r="D304" s="37" t="s">
        <v>108</v>
      </c>
      <c r="E304" s="67" t="s">
        <v>1220</v>
      </c>
      <c r="F304" s="37" t="s">
        <v>729</v>
      </c>
      <c r="G304" s="37" t="s">
        <v>823</v>
      </c>
      <c r="I304" s="107">
        <v>1</v>
      </c>
      <c r="J304" s="37">
        <v>750</v>
      </c>
      <c r="K304" s="108" t="s">
        <v>657</v>
      </c>
      <c r="L304" s="37">
        <f>COUNTIF(Drank!A:A,Table1[[#This Row],[ID]])</f>
        <v>18</v>
      </c>
      <c r="M304" s="37" t="s">
        <v>202</v>
      </c>
      <c r="N304" s="37" t="s">
        <v>207</v>
      </c>
      <c r="O304" s="37">
        <v>1</v>
      </c>
      <c r="P304" s="37">
        <v>2018</v>
      </c>
      <c r="Q304" s="37">
        <v>2022</v>
      </c>
      <c r="R304" s="37">
        <f>IF(IFERROR(VLOOKUP(A304,Drank!A:S,15,FALSE),"")=0,"",IFERROR(VLOOKUP(A304,Drank!A:S,15,FALSE),""))</f>
        <v>2021</v>
      </c>
      <c r="S304" s="37">
        <f>IF(IFERROR(VLOOKUP(A304,Drank!A:S,16,FALSE),"")=0,"",IFERROR(VLOOKUP(A304,Drank!A:S,16,FALSE),""))</f>
        <v>2022</v>
      </c>
      <c r="U304" s="37">
        <v>92</v>
      </c>
      <c r="V304" s="18">
        <f>IF(IFERROR(VLOOKUP(A304,Drank!A:T,19,FALSE),"")=0,"",IFERROR(VLOOKUP(A304,Drank!A:T,19,FALSE),""))</f>
        <v>91.235294117647058</v>
      </c>
      <c r="W304" s="1">
        <f>IF(IFERROR(VLOOKUP(A304,Drank!A:T,20,FALSE),"")=0,"",IFERROR(VLOOKUP(A304,Drank!A:T,20,FALSE),""))</f>
        <v>44055</v>
      </c>
      <c r="X304" s="37">
        <f>SUMIF(A:A,A304,I:I)</f>
        <v>4</v>
      </c>
      <c r="Y304" s="37">
        <f>IF(Table1[[#This Row],[Drank]]&gt;0,VLOOKUP(Table1[[#This Row],[ID]],Drank!A:P,16,FALSE),IF(Table1[[#This Row],[WALDD]]&gt;0,VLOOKUP(Table1[[#This Row],[ID]],Wine1!A:Q,17,FALSE),Table1[[#This Row],[EP]]))</f>
        <v>2022</v>
      </c>
      <c r="Z304" s="18">
        <f>IF(Table1[[#This Row],[My Rating]]="",IF(Table1[[#This Row],[WA Rating Clean]]="","",Table1[[#This Row],[WA Rating Clean]]),Table1[[#This Row],[My Rating]])</f>
        <v>91.235294117647058</v>
      </c>
      <c r="AA304" s="37">
        <v>2022</v>
      </c>
      <c r="AB304" s="14">
        <v>14</v>
      </c>
      <c r="AC304" s="2">
        <f t="shared" si="27"/>
        <v>14</v>
      </c>
      <c r="AD304" s="8">
        <v>2</v>
      </c>
      <c r="AE304" s="37">
        <f>IF(Table1[[#This Row],[P/750]]&lt;20,1,IF(Table1[[#This Row],[P/750]]&lt;50,2,3))</f>
        <v>1</v>
      </c>
      <c r="AF304" s="37">
        <f>IF(Table1[[#This Row],[P/750]]&lt;Expenses!$C$30,1,IF(Table1[[#This Row],[P/750]]&lt;Expenses!$C$31,2,IF(Table1[[#This Row],[P/750]]&lt;Expenses!$C$32,3,4)))</f>
        <v>1</v>
      </c>
      <c r="AH304" s="37" t="s">
        <v>384</v>
      </c>
      <c r="AI304" s="11">
        <f>Table1[[#This Row],[Price]]/Table1[[#This Row],[Size (ml)]]*750</f>
        <v>14.000000000000002</v>
      </c>
      <c r="AJ304" s="37">
        <v>92</v>
      </c>
      <c r="AK304" s="37">
        <f>COUNTIF(UniqueID!A:A,Table1[[#This Row],[ID]])</f>
        <v>1</v>
      </c>
      <c r="AL304" s="37" t="str">
        <f>VLOOKUP(Table1[[#This Row],[Cellar Location]],Location!A:F,6,FALSE)</f>
        <v>S</v>
      </c>
      <c r="AO304" s="37" t="str">
        <f>TEXT(Table1[[#This Row],[Purchased]],"mmmm")</f>
        <v>January</v>
      </c>
      <c r="AP304" s="10" t="str">
        <f>TEXT(Table1[[#This Row],[Purchased]],"yyyy")</f>
        <v>1900</v>
      </c>
      <c r="AQ304" s="10"/>
    </row>
    <row r="305" spans="1:43" s="37" customFormat="1" x14ac:dyDescent="0.25">
      <c r="A305" s="37" t="str">
        <f t="shared" si="26"/>
        <v>2015Diez-CaballeroCrianza</v>
      </c>
      <c r="B305" s="8">
        <v>2015</v>
      </c>
      <c r="C305" s="8" t="s">
        <v>1216</v>
      </c>
      <c r="D305" s="37" t="s">
        <v>108</v>
      </c>
      <c r="E305" s="67" t="s">
        <v>1220</v>
      </c>
      <c r="F305" s="37" t="s">
        <v>729</v>
      </c>
      <c r="G305" s="37" t="s">
        <v>823</v>
      </c>
      <c r="I305" s="107">
        <v>1</v>
      </c>
      <c r="J305" s="37">
        <v>750</v>
      </c>
      <c r="K305" s="108" t="s">
        <v>619</v>
      </c>
      <c r="L305" s="37">
        <f>COUNTIF(Drank!A:A,Table1[[#This Row],[ID]])</f>
        <v>18</v>
      </c>
      <c r="M305" s="37" t="s">
        <v>202</v>
      </c>
      <c r="N305" s="37" t="s">
        <v>207</v>
      </c>
      <c r="O305" s="37">
        <v>1</v>
      </c>
      <c r="P305" s="37">
        <v>2018</v>
      </c>
      <c r="Q305" s="37">
        <v>2022</v>
      </c>
      <c r="R305" s="37">
        <f>IF(IFERROR(VLOOKUP(A305,Drank!A:S,15,FALSE),"")=0,"",IFERROR(VLOOKUP(A305,Drank!A:S,15,FALSE),""))</f>
        <v>2021</v>
      </c>
      <c r="S305" s="37">
        <f>IF(IFERROR(VLOOKUP(A305,Drank!A:S,16,FALSE),"")=0,"",IFERROR(VLOOKUP(A305,Drank!A:S,16,FALSE),""))</f>
        <v>2022</v>
      </c>
      <c r="U305" s="37">
        <v>92</v>
      </c>
      <c r="V305" s="18">
        <f>IF(IFERROR(VLOOKUP(A305,Drank!A:T,19,FALSE),"")=0,"",IFERROR(VLOOKUP(A305,Drank!A:T,19,FALSE),""))</f>
        <v>91.235294117647058</v>
      </c>
      <c r="W305" s="1">
        <f>IF(IFERROR(VLOOKUP(A305,Drank!A:T,20,FALSE),"")=0,"",IFERROR(VLOOKUP(A305,Drank!A:T,20,FALSE),""))</f>
        <v>44055</v>
      </c>
      <c r="X305" s="37">
        <f>SUMIF(A:A,A305,I:I)</f>
        <v>4</v>
      </c>
      <c r="Y305" s="37">
        <f>IF(Table1[[#This Row],[Drank]]&gt;0,VLOOKUP(Table1[[#This Row],[ID]],Drank!A:P,16,FALSE),IF(Table1[[#This Row],[WALDD]]&gt;0,VLOOKUP(Table1[[#This Row],[ID]],Wine1!A:Q,17,FALSE),Table1[[#This Row],[EP]]))</f>
        <v>2022</v>
      </c>
      <c r="Z305" s="18">
        <f>IF(Table1[[#This Row],[My Rating]]="",IF(Table1[[#This Row],[WA Rating Clean]]="","",Table1[[#This Row],[WA Rating Clean]]),Table1[[#This Row],[My Rating]])</f>
        <v>91.235294117647058</v>
      </c>
      <c r="AA305" s="37">
        <v>2022</v>
      </c>
      <c r="AB305" s="14">
        <v>14</v>
      </c>
      <c r="AC305" s="2">
        <f t="shared" si="27"/>
        <v>14</v>
      </c>
      <c r="AD305" s="8">
        <v>2</v>
      </c>
      <c r="AE305" s="37">
        <f>IF(Table1[[#This Row],[P/750]]&lt;20,1,IF(Table1[[#This Row],[P/750]]&lt;50,2,3))</f>
        <v>1</v>
      </c>
      <c r="AF305" s="37">
        <f>IF(Table1[[#This Row],[P/750]]&lt;Expenses!$C$30,1,IF(Table1[[#This Row],[P/750]]&lt;Expenses!$C$31,2,IF(Table1[[#This Row],[P/750]]&lt;Expenses!$C$32,3,4)))</f>
        <v>1</v>
      </c>
      <c r="AH305" s="37" t="s">
        <v>384</v>
      </c>
      <c r="AI305" s="11">
        <f>Table1[[#This Row],[Price]]/Table1[[#This Row],[Size (ml)]]*750</f>
        <v>14.000000000000002</v>
      </c>
      <c r="AJ305" s="37">
        <v>92</v>
      </c>
      <c r="AK305" s="37">
        <f>COUNTIF(UniqueID!A:A,Table1[[#This Row],[ID]])</f>
        <v>1</v>
      </c>
      <c r="AL305" s="37" t="str">
        <f>VLOOKUP(Table1[[#This Row],[Cellar Location]],Location!A:F,6,FALSE)</f>
        <v>S</v>
      </c>
      <c r="AO305" s="37" t="str">
        <f>TEXT(Table1[[#This Row],[Purchased]],"mmmm")</f>
        <v>January</v>
      </c>
      <c r="AP305" s="10" t="str">
        <f>TEXT(Table1[[#This Row],[Purchased]],"yyyy")</f>
        <v>1900</v>
      </c>
      <c r="AQ305" s="10"/>
    </row>
    <row r="306" spans="1:43" s="37" customFormat="1" x14ac:dyDescent="0.25">
      <c r="A306" s="37" t="str">
        <f t="shared" si="26"/>
        <v>2012Carmelo PattiCabernet Sauvignon</v>
      </c>
      <c r="B306" s="37">
        <v>2012</v>
      </c>
      <c r="C306" s="9" t="s">
        <v>842</v>
      </c>
      <c r="D306" s="9" t="s">
        <v>32</v>
      </c>
      <c r="E306" s="64" t="s">
        <v>32</v>
      </c>
      <c r="F306" s="37" t="s">
        <v>731</v>
      </c>
      <c r="G306" s="37" t="s">
        <v>732</v>
      </c>
      <c r="H306" s="37" t="s">
        <v>849</v>
      </c>
      <c r="I306" s="107">
        <v>1</v>
      </c>
      <c r="J306" s="37">
        <v>750</v>
      </c>
      <c r="K306" s="107" t="s">
        <v>926</v>
      </c>
      <c r="L306" s="10">
        <f>COUNTIF(Drank!A:A,Table1[[#This Row],[ID]])</f>
        <v>1</v>
      </c>
      <c r="M306" s="37" t="s">
        <v>202</v>
      </c>
      <c r="N306" s="37" t="s">
        <v>207</v>
      </c>
      <c r="O306" s="37">
        <v>1</v>
      </c>
      <c r="P306" s="10">
        <v>2018</v>
      </c>
      <c r="Q306" s="37">
        <v>2024</v>
      </c>
      <c r="R306" s="10">
        <f>IF(IFERROR(VLOOKUP(A306,Drank!A:S,15,FALSE),"")=0,"",IFERROR(VLOOKUP(A306,Drank!A:S,15,FALSE),""))</f>
        <v>2022</v>
      </c>
      <c r="S306" s="10">
        <f>IF(IFERROR(VLOOKUP(A306,Drank!A:S,16,FALSE),"")=0,"",IFERROR(VLOOKUP(A306,Drank!A:S,16,FALSE),""))</f>
        <v>2022</v>
      </c>
      <c r="T306" s="10"/>
      <c r="U306" s="37">
        <v>94</v>
      </c>
      <c r="V306" s="18">
        <f>IF(IFERROR(VLOOKUP(A306,Drank!A:T,19,FALSE),"")=0,"",IFERROR(VLOOKUP(A306,Drank!A:T,19,FALSE),""))</f>
        <v>93</v>
      </c>
      <c r="W306" s="1">
        <f>IF(IFERROR(VLOOKUP(A306,Drank!A:T,20,FALSE),"")=0,"",IFERROR(VLOOKUP(A306,Drank!A:T,20,FALSE),""))</f>
        <v>44009</v>
      </c>
      <c r="X306" s="10">
        <f>SUMIF(A:A,A306,I:I)</f>
        <v>2</v>
      </c>
      <c r="Y306" s="10">
        <f>IF(Table1[[#This Row],[Drank]]&gt;0,VLOOKUP(Table1[[#This Row],[ID]],Drank!A:P,16,FALSE),IF(Table1[[#This Row],[WALDD]]&gt;0,VLOOKUP(Table1[[#This Row],[ID]],Wine1!A:Q,17,FALSE),Table1[[#This Row],[EP]]))</f>
        <v>2022</v>
      </c>
      <c r="Z306" s="18">
        <f>IF(Table1[[#This Row],[My Rating]]="",IF(Table1[[#This Row],[WA Rating Clean]]="","",Table1[[#This Row],[WA Rating Clean]]),Table1[[#This Row],[My Rating]])</f>
        <v>93</v>
      </c>
      <c r="AA306" s="37">
        <v>2022</v>
      </c>
      <c r="AB306" s="128">
        <v>37.99</v>
      </c>
      <c r="AC306" s="2">
        <f t="shared" si="27"/>
        <v>37.99</v>
      </c>
      <c r="AD306" s="8">
        <v>2</v>
      </c>
      <c r="AE306" s="10">
        <f>IF(Table1[[#This Row],[P/750]]&lt;20,1,IF(Table1[[#This Row],[P/750]]&lt;50,2,3))</f>
        <v>2</v>
      </c>
      <c r="AF306" s="10">
        <f>IF(Table1[[#This Row],[P/750]]&lt;Expenses!$C$30,1,IF(Table1[[#This Row],[P/750]]&lt;Expenses!$C$31,2,IF(Table1[[#This Row],[P/750]]&lt;Expenses!$C$32,3,4)))</f>
        <v>3</v>
      </c>
      <c r="AH306" s="37" t="s">
        <v>1139</v>
      </c>
      <c r="AI306" s="11">
        <f>Table1[[#This Row],[Price]]/Table1[[#This Row],[Size (ml)]]*750</f>
        <v>37.99</v>
      </c>
      <c r="AJ306" s="37">
        <v>94</v>
      </c>
      <c r="AK306" s="10">
        <f>COUNTIF(UniqueID!A:A,Table1[[#This Row],[ID]])</f>
        <v>1</v>
      </c>
      <c r="AL306" s="37" t="str">
        <f>VLOOKUP(Table1[[#This Row],[Cellar Location]],Location!A:F,6,FALSE)</f>
        <v>S</v>
      </c>
      <c r="AO306" s="37" t="str">
        <f>TEXT(Table1[[#This Row],[Purchased]],"mmmm")</f>
        <v>January</v>
      </c>
      <c r="AP306" s="10" t="str">
        <f>TEXT(Table1[[#This Row],[Purchased]],"yyyy")</f>
        <v>1900</v>
      </c>
      <c r="AQ306" s="10"/>
    </row>
    <row r="307" spans="1:43" s="37" customFormat="1" x14ac:dyDescent="0.25">
      <c r="A307" s="37" t="str">
        <f t="shared" si="26"/>
        <v>2017Enrique MendozaLa Tremenda</v>
      </c>
      <c r="B307" s="37">
        <v>2017</v>
      </c>
      <c r="C307" s="37" t="s">
        <v>234</v>
      </c>
      <c r="D307" s="37" t="s">
        <v>235</v>
      </c>
      <c r="E307" s="69" t="s">
        <v>1223</v>
      </c>
      <c r="F307" s="37" t="s">
        <v>729</v>
      </c>
      <c r="G307" s="37" t="s">
        <v>826</v>
      </c>
      <c r="H307" s="37" t="s">
        <v>827</v>
      </c>
      <c r="I307" s="8">
        <v>1</v>
      </c>
      <c r="J307" s="38">
        <v>750</v>
      </c>
      <c r="K307" s="38" t="s">
        <v>1687</v>
      </c>
      <c r="L307" s="10">
        <f>COUNTIF(Drank!A:A,Table1[[#This Row],[ID]])</f>
        <v>0</v>
      </c>
      <c r="M307" s="37" t="s">
        <v>202</v>
      </c>
      <c r="N307" s="37" t="s">
        <v>207</v>
      </c>
      <c r="O307" s="37">
        <v>1</v>
      </c>
      <c r="P307" s="37">
        <v>2019</v>
      </c>
      <c r="Q307" s="37">
        <v>2022</v>
      </c>
      <c r="R307" s="10" t="str">
        <f>IF(IFERROR(VLOOKUP(A307,Drank!A:S,15,FALSE),"")=0,"",IFERROR(VLOOKUP(A307,Drank!A:S,15,FALSE),""))</f>
        <v/>
      </c>
      <c r="S307" s="10" t="str">
        <f>IF(IFERROR(VLOOKUP(A307,Drank!A:S,16,FALSE),"")=0,"",IFERROR(VLOOKUP(A307,Drank!A:S,16,FALSE),""))</f>
        <v/>
      </c>
      <c r="T307" s="10"/>
      <c r="U307" s="37">
        <v>92</v>
      </c>
      <c r="V307" s="18" t="str">
        <f>IF(IFERROR(VLOOKUP(A307,Drank!A:T,19,FALSE),"")=0,"",IFERROR(VLOOKUP(A307,Drank!A:T,19,FALSE),""))</f>
        <v/>
      </c>
      <c r="W307" s="1" t="str">
        <f>IF(IFERROR(VLOOKUP(A307,Drank!A:T,20,FALSE),"")=0,"",IFERROR(VLOOKUP(A307,Drank!A:T,20,FALSE),""))</f>
        <v/>
      </c>
      <c r="X307" s="10">
        <f>SUMIF(A:A,A307,I:I)</f>
        <v>8</v>
      </c>
      <c r="Y307" s="10">
        <f>IF(Table1[[#This Row],[Drank]]&gt;0,VLOOKUP(Table1[[#This Row],[ID]],Drank!A:P,16,FALSE),IF(Table1[[#This Row],[WALDD]]&gt;0,VLOOKUP(Table1[[#This Row],[ID]],Wine1!A:Q,17,FALSE),Table1[[#This Row],[EP]]))</f>
        <v>2022</v>
      </c>
      <c r="Z307" s="18">
        <f>IF(Table1[[#This Row],[My Rating]]="",IF(Table1[[#This Row],[WA Rating Clean]]="","",Table1[[#This Row],[WA Rating Clean]]),Table1[[#This Row],[My Rating]])</f>
        <v>92</v>
      </c>
      <c r="AA307" s="8">
        <v>2022</v>
      </c>
      <c r="AB307" s="128">
        <v>12.62</v>
      </c>
      <c r="AC307" s="2">
        <f t="shared" si="27"/>
        <v>12.62</v>
      </c>
      <c r="AD307" s="8">
        <v>1</v>
      </c>
      <c r="AE307" s="10">
        <f>IF(Table1[[#This Row],[P/750]]&lt;20,1,IF(Table1[[#This Row],[P/750]]&lt;50,2,3))</f>
        <v>1</v>
      </c>
      <c r="AF307" s="10">
        <f>IF(Table1[[#This Row],[P/750]]&lt;Expenses!$C$30,1,IF(Table1[[#This Row],[P/750]]&lt;Expenses!$C$31,2,IF(Table1[[#This Row],[P/750]]&lt;Expenses!$C$32,3,4)))</f>
        <v>1</v>
      </c>
      <c r="AH307" s="37" t="s">
        <v>1189</v>
      </c>
      <c r="AI307" s="11">
        <f>Table1[[#This Row],[Price]]/Table1[[#This Row],[Size (ml)]]*750</f>
        <v>12.620000000000001</v>
      </c>
      <c r="AJ307" s="37">
        <v>92</v>
      </c>
      <c r="AK307" s="10">
        <f>COUNTIF(UniqueID!A:A,Table1[[#This Row],[ID]])</f>
        <v>0</v>
      </c>
      <c r="AL307" s="10" t="str">
        <f>VLOOKUP(Table1[[#This Row],[Cellar Location]],Location!A:F,6,FALSE)</f>
        <v>W</v>
      </c>
      <c r="AN307" s="1">
        <v>44061</v>
      </c>
      <c r="AO307" s="10" t="str">
        <f>TEXT(Table1[[#This Row],[Purchased]],"mmmm")</f>
        <v>August</v>
      </c>
      <c r="AP307" s="10" t="str">
        <f>TEXT(Table1[[#This Row],[Purchased]],"yyyy")</f>
        <v>2020</v>
      </c>
      <c r="AQ307" s="1">
        <v>44137</v>
      </c>
    </row>
    <row r="308" spans="1:43" s="37" customFormat="1" x14ac:dyDescent="0.25">
      <c r="A308" s="37" t="str">
        <f t="shared" si="26"/>
        <v>2017Enrique MendozaLa Tremenda</v>
      </c>
      <c r="B308" s="37">
        <v>2017</v>
      </c>
      <c r="C308" s="37" t="s">
        <v>234</v>
      </c>
      <c r="D308" s="37" t="s">
        <v>235</v>
      </c>
      <c r="E308" s="69" t="s">
        <v>1223</v>
      </c>
      <c r="F308" s="37" t="s">
        <v>729</v>
      </c>
      <c r="G308" s="37" t="s">
        <v>826</v>
      </c>
      <c r="H308" s="37" t="s">
        <v>827</v>
      </c>
      <c r="I308" s="8">
        <v>1</v>
      </c>
      <c r="J308" s="38">
        <v>750</v>
      </c>
      <c r="K308" s="38" t="s">
        <v>1687</v>
      </c>
      <c r="L308" s="10">
        <f>COUNTIF(Drank!A:A,Table1[[#This Row],[ID]])</f>
        <v>0</v>
      </c>
      <c r="M308" s="37" t="s">
        <v>202</v>
      </c>
      <c r="N308" s="37" t="s">
        <v>207</v>
      </c>
      <c r="O308" s="37">
        <v>1</v>
      </c>
      <c r="P308" s="37">
        <v>2019</v>
      </c>
      <c r="Q308" s="37">
        <v>2022</v>
      </c>
      <c r="R308" s="10" t="str">
        <f>IF(IFERROR(VLOOKUP(A308,Drank!A:S,15,FALSE),"")=0,"",IFERROR(VLOOKUP(A308,Drank!A:S,15,FALSE),""))</f>
        <v/>
      </c>
      <c r="S308" s="10" t="str">
        <f>IF(IFERROR(VLOOKUP(A308,Drank!A:S,16,FALSE),"")=0,"",IFERROR(VLOOKUP(A308,Drank!A:S,16,FALSE),""))</f>
        <v/>
      </c>
      <c r="T308" s="10"/>
      <c r="U308" s="37">
        <v>92</v>
      </c>
      <c r="V308" s="18" t="str">
        <f>IF(IFERROR(VLOOKUP(A308,Drank!A:T,19,FALSE),"")=0,"",IFERROR(VLOOKUP(A308,Drank!A:T,19,FALSE),""))</f>
        <v/>
      </c>
      <c r="W308" s="1" t="str">
        <f>IF(IFERROR(VLOOKUP(A308,Drank!A:T,20,FALSE),"")=0,"",IFERROR(VLOOKUP(A308,Drank!A:T,20,FALSE),""))</f>
        <v/>
      </c>
      <c r="X308" s="10">
        <f>SUMIF(A:A,A308,I:I)</f>
        <v>8</v>
      </c>
      <c r="Y308" s="10">
        <f>IF(Table1[[#This Row],[Drank]]&gt;0,VLOOKUP(Table1[[#This Row],[ID]],Drank!A:P,16,FALSE),IF(Table1[[#This Row],[WALDD]]&gt;0,VLOOKUP(Table1[[#This Row],[ID]],Wine1!A:Q,17,FALSE),Table1[[#This Row],[EP]]))</f>
        <v>2022</v>
      </c>
      <c r="Z308" s="18">
        <f>IF(Table1[[#This Row],[My Rating]]="",IF(Table1[[#This Row],[WA Rating Clean]]="","",Table1[[#This Row],[WA Rating Clean]]),Table1[[#This Row],[My Rating]])</f>
        <v>92</v>
      </c>
      <c r="AA308" s="8">
        <v>2022</v>
      </c>
      <c r="AB308" s="128">
        <v>12.62</v>
      </c>
      <c r="AC308" s="2">
        <f t="shared" si="27"/>
        <v>12.62</v>
      </c>
      <c r="AD308" s="8">
        <v>1</v>
      </c>
      <c r="AE308" s="10">
        <f>IF(Table1[[#This Row],[P/750]]&lt;20,1,IF(Table1[[#This Row],[P/750]]&lt;50,2,3))</f>
        <v>1</v>
      </c>
      <c r="AF308" s="10">
        <f>IF(Table1[[#This Row],[P/750]]&lt;Expenses!$C$30,1,IF(Table1[[#This Row],[P/750]]&lt;Expenses!$C$31,2,IF(Table1[[#This Row],[P/750]]&lt;Expenses!$C$32,3,4)))</f>
        <v>1</v>
      </c>
      <c r="AH308" s="37" t="s">
        <v>1189</v>
      </c>
      <c r="AI308" s="11">
        <f>Table1[[#This Row],[Price]]/Table1[[#This Row],[Size (ml)]]*750</f>
        <v>12.620000000000001</v>
      </c>
      <c r="AJ308" s="37">
        <v>92</v>
      </c>
      <c r="AK308" s="10">
        <f>COUNTIF(UniqueID!A:A,Table1[[#This Row],[ID]])</f>
        <v>0</v>
      </c>
      <c r="AL308" s="10" t="str">
        <f>VLOOKUP(Table1[[#This Row],[Cellar Location]],Location!A:F,6,FALSE)</f>
        <v>W</v>
      </c>
      <c r="AN308" s="1">
        <v>44061</v>
      </c>
      <c r="AO308" s="10" t="str">
        <f>TEXT(Table1[[#This Row],[Purchased]],"mmmm")</f>
        <v>August</v>
      </c>
      <c r="AP308" s="10" t="str">
        <f>TEXT(Table1[[#This Row],[Purchased]],"yyyy")</f>
        <v>2020</v>
      </c>
      <c r="AQ308" s="1">
        <v>44137</v>
      </c>
    </row>
    <row r="309" spans="1:43" s="37" customFormat="1" x14ac:dyDescent="0.25">
      <c r="A309" s="37" t="str">
        <f t="shared" si="26"/>
        <v>2017Enrique MendozaLa Tremenda</v>
      </c>
      <c r="B309" s="37">
        <v>2017</v>
      </c>
      <c r="C309" s="37" t="s">
        <v>234</v>
      </c>
      <c r="D309" s="37" t="s">
        <v>235</v>
      </c>
      <c r="E309" s="69" t="s">
        <v>1223</v>
      </c>
      <c r="F309" s="37" t="s">
        <v>729</v>
      </c>
      <c r="G309" s="37" t="s">
        <v>826</v>
      </c>
      <c r="H309" s="37" t="s">
        <v>827</v>
      </c>
      <c r="I309" s="8">
        <v>1</v>
      </c>
      <c r="J309" s="38">
        <v>750</v>
      </c>
      <c r="K309" s="38" t="s">
        <v>1687</v>
      </c>
      <c r="L309" s="10">
        <f>COUNTIF(Drank!A:A,Table1[[#This Row],[ID]])</f>
        <v>0</v>
      </c>
      <c r="M309" s="37" t="s">
        <v>202</v>
      </c>
      <c r="N309" s="37" t="s">
        <v>207</v>
      </c>
      <c r="O309" s="37">
        <v>1</v>
      </c>
      <c r="P309" s="37">
        <v>2019</v>
      </c>
      <c r="Q309" s="37">
        <v>2022</v>
      </c>
      <c r="R309" s="10" t="str">
        <f>IF(IFERROR(VLOOKUP(A309,Drank!A:S,15,FALSE),"")=0,"",IFERROR(VLOOKUP(A309,Drank!A:S,15,FALSE),""))</f>
        <v/>
      </c>
      <c r="S309" s="10" t="str">
        <f>IF(IFERROR(VLOOKUP(A309,Drank!A:S,16,FALSE),"")=0,"",IFERROR(VLOOKUP(A309,Drank!A:S,16,FALSE),""))</f>
        <v/>
      </c>
      <c r="T309" s="10"/>
      <c r="U309" s="37">
        <v>92</v>
      </c>
      <c r="V309" s="18" t="str">
        <f>IF(IFERROR(VLOOKUP(A309,Drank!A:T,19,FALSE),"")=0,"",IFERROR(VLOOKUP(A309,Drank!A:T,19,FALSE),""))</f>
        <v/>
      </c>
      <c r="W309" s="1" t="str">
        <f>IF(IFERROR(VLOOKUP(A309,Drank!A:T,20,FALSE),"")=0,"",IFERROR(VLOOKUP(A309,Drank!A:T,20,FALSE),""))</f>
        <v/>
      </c>
      <c r="X309" s="10">
        <f>SUMIF(A:A,A309,I:I)</f>
        <v>8</v>
      </c>
      <c r="Y309" s="10">
        <f>IF(Table1[[#This Row],[Drank]]&gt;0,VLOOKUP(Table1[[#This Row],[ID]],Drank!A:P,16,FALSE),IF(Table1[[#This Row],[WALDD]]&gt;0,VLOOKUP(Table1[[#This Row],[ID]],Wine1!A:Q,17,FALSE),Table1[[#This Row],[EP]]))</f>
        <v>2022</v>
      </c>
      <c r="Z309" s="18">
        <f>IF(Table1[[#This Row],[My Rating]]="",IF(Table1[[#This Row],[WA Rating Clean]]="","",Table1[[#This Row],[WA Rating Clean]]),Table1[[#This Row],[My Rating]])</f>
        <v>92</v>
      </c>
      <c r="AA309" s="8">
        <v>2022</v>
      </c>
      <c r="AB309" s="128">
        <v>12.62</v>
      </c>
      <c r="AC309" s="2">
        <f t="shared" si="27"/>
        <v>12.62</v>
      </c>
      <c r="AD309" s="8">
        <v>1</v>
      </c>
      <c r="AE309" s="10">
        <f>IF(Table1[[#This Row],[P/750]]&lt;20,1,IF(Table1[[#This Row],[P/750]]&lt;50,2,3))</f>
        <v>1</v>
      </c>
      <c r="AF309" s="10">
        <f>IF(Table1[[#This Row],[P/750]]&lt;Expenses!$C$30,1,IF(Table1[[#This Row],[P/750]]&lt;Expenses!$C$31,2,IF(Table1[[#This Row],[P/750]]&lt;Expenses!$C$32,3,4)))</f>
        <v>1</v>
      </c>
      <c r="AH309" s="37" t="s">
        <v>1189</v>
      </c>
      <c r="AI309" s="11">
        <f>Table1[[#This Row],[Price]]/Table1[[#This Row],[Size (ml)]]*750</f>
        <v>12.620000000000001</v>
      </c>
      <c r="AJ309" s="37">
        <v>92</v>
      </c>
      <c r="AK309" s="10">
        <f>COUNTIF(UniqueID!A:A,Table1[[#This Row],[ID]])</f>
        <v>0</v>
      </c>
      <c r="AL309" s="10" t="str">
        <f>VLOOKUP(Table1[[#This Row],[Cellar Location]],Location!A:F,6,FALSE)</f>
        <v>W</v>
      </c>
      <c r="AN309" s="1">
        <v>44061</v>
      </c>
      <c r="AO309" s="10" t="str">
        <f>TEXT(Table1[[#This Row],[Purchased]],"mmmm")</f>
        <v>August</v>
      </c>
      <c r="AP309" s="10" t="str">
        <f>TEXT(Table1[[#This Row],[Purchased]],"yyyy")</f>
        <v>2020</v>
      </c>
      <c r="AQ309" s="1">
        <v>44137</v>
      </c>
    </row>
    <row r="310" spans="1:43" s="37" customFormat="1" x14ac:dyDescent="0.25">
      <c r="A310" s="37" t="str">
        <f t="shared" si="26"/>
        <v>2016PlanetaCerasuolo di Vittoria Classico Dorilli</v>
      </c>
      <c r="B310" s="8">
        <v>2016</v>
      </c>
      <c r="C310" s="37" t="s">
        <v>1351</v>
      </c>
      <c r="D310" s="37" t="s">
        <v>1352</v>
      </c>
      <c r="E310" s="37" t="s">
        <v>1353</v>
      </c>
      <c r="F310" s="37" t="s">
        <v>728</v>
      </c>
      <c r="G310" s="37" t="s">
        <v>788</v>
      </c>
      <c r="H310" s="37" t="s">
        <v>1354</v>
      </c>
      <c r="I310" s="107">
        <v>1</v>
      </c>
      <c r="J310" s="37">
        <v>750</v>
      </c>
      <c r="K310" s="107" t="s">
        <v>661</v>
      </c>
      <c r="L310" s="10">
        <f>COUNTIF(Drank!A:A,Table1[[#This Row],[ID]])</f>
        <v>2</v>
      </c>
      <c r="M310" s="37" t="s">
        <v>202</v>
      </c>
      <c r="N310" s="37" t="s">
        <v>207</v>
      </c>
      <c r="O310" s="37">
        <v>1</v>
      </c>
      <c r="P310" s="37">
        <v>2018</v>
      </c>
      <c r="Q310" s="37">
        <v>2022</v>
      </c>
      <c r="R310" s="10">
        <f>IF(IFERROR(VLOOKUP(A310,Drank!A:S,15,FALSE),"")=0,"",IFERROR(VLOOKUP(A310,Drank!A:S,15,FALSE),""))</f>
        <v>2021</v>
      </c>
      <c r="S310" s="10">
        <f>IF(IFERROR(VLOOKUP(A310,Drank!A:S,16,FALSE),"")=0,"",IFERROR(VLOOKUP(A310,Drank!A:S,16,FALSE),""))</f>
        <v>2023</v>
      </c>
      <c r="T310" s="10"/>
      <c r="U310" s="37">
        <v>92</v>
      </c>
      <c r="V310" s="18">
        <f>IF(IFERROR(VLOOKUP(A310,Drank!A:T,19,FALSE),"")=0,"",IFERROR(VLOOKUP(A310,Drank!A:T,19,FALSE),""))</f>
        <v>90.5</v>
      </c>
      <c r="W310" s="1">
        <f>IF(IFERROR(VLOOKUP(A310,Drank!A:T,20,FALSE),"")=0,"",IFERROR(VLOOKUP(A310,Drank!A:T,20,FALSE),""))</f>
        <v>44060</v>
      </c>
      <c r="X310" s="10">
        <f>SUMIF(A:A,A310,I:I)</f>
        <v>2</v>
      </c>
      <c r="Y310" s="10">
        <f>IF(Table1[[#This Row],[Drank]]&gt;0,VLOOKUP(Table1[[#This Row],[ID]],Drank!A:P,16,FALSE),IF(Table1[[#This Row],[WALDD]]&gt;0,VLOOKUP(Table1[[#This Row],[ID]],Wine1!A:Q,17,FALSE),Table1[[#This Row],[EP]]))</f>
        <v>2023</v>
      </c>
      <c r="Z310" s="18">
        <f>IF(Table1[[#This Row],[My Rating]]="",IF(Table1[[#This Row],[WA Rating Clean]]="","",Table1[[#This Row],[WA Rating Clean]]),Table1[[#This Row],[My Rating]])</f>
        <v>90.5</v>
      </c>
      <c r="AA310" s="37">
        <v>2022</v>
      </c>
      <c r="AB310" s="128">
        <v>26.22</v>
      </c>
      <c r="AC310" s="2">
        <f t="shared" si="27"/>
        <v>26.22</v>
      </c>
      <c r="AD310" s="8">
        <v>2</v>
      </c>
      <c r="AE310" s="10">
        <f>IF(Table1[[#This Row],[P/750]]&lt;20,1,IF(Table1[[#This Row],[P/750]]&lt;50,2,3))</f>
        <v>2</v>
      </c>
      <c r="AF310" s="10">
        <f>IF(Table1[[#This Row],[P/750]]&lt;Expenses!$C$30,1,IF(Table1[[#This Row],[P/750]]&lt;Expenses!$C$31,2,IF(Table1[[#This Row],[P/750]]&lt;Expenses!$C$32,3,4)))</f>
        <v>2</v>
      </c>
      <c r="AH310" s="37" t="s">
        <v>385</v>
      </c>
      <c r="AI310" s="11">
        <f>Table1[[#This Row],[Price]]/Table1[[#This Row],[Size (ml)]]*750</f>
        <v>26.22</v>
      </c>
      <c r="AJ310" s="37">
        <v>92</v>
      </c>
      <c r="AK310" s="10">
        <f>COUNTIF(UniqueID!A:A,Table1[[#This Row],[ID]])</f>
        <v>0</v>
      </c>
      <c r="AL310" s="10" t="str">
        <f>VLOOKUP(Table1[[#This Row],[Cellar Location]],Location!A:F,6,FALSE)</f>
        <v>S</v>
      </c>
      <c r="AN310" s="1">
        <v>43926</v>
      </c>
      <c r="AO310" s="10" t="str">
        <f>TEXT(Table1[[#This Row],[Purchased]],"mmmm")</f>
        <v>April</v>
      </c>
      <c r="AP310" s="10" t="str">
        <f>TEXT(Table1[[#This Row],[Purchased]],"yyyy")</f>
        <v>2020</v>
      </c>
      <c r="AQ310" s="10"/>
    </row>
    <row r="311" spans="1:43" s="37" customFormat="1" x14ac:dyDescent="0.25">
      <c r="A311" s="37" t="str">
        <f t="shared" si="26"/>
        <v>2017Domaine la Bastide Saint DominiqueVentoux Reserve Saint Dominique</v>
      </c>
      <c r="B311" s="37">
        <v>2017</v>
      </c>
      <c r="C311" s="37" t="s">
        <v>605</v>
      </c>
      <c r="D311" s="37" t="s">
        <v>606</v>
      </c>
      <c r="E311" s="67" t="s">
        <v>1248</v>
      </c>
      <c r="F311" s="37" t="s">
        <v>742</v>
      </c>
      <c r="G311" s="37" t="s">
        <v>759</v>
      </c>
      <c r="H311" s="37" t="s">
        <v>763</v>
      </c>
      <c r="I311" s="107">
        <v>1</v>
      </c>
      <c r="J311" s="37">
        <v>750</v>
      </c>
      <c r="K311" s="107" t="s">
        <v>626</v>
      </c>
      <c r="L311" s="37">
        <f>COUNTIF(Drank!A:A,Table1[[#This Row],[ID]])</f>
        <v>1</v>
      </c>
      <c r="M311" s="37" t="s">
        <v>202</v>
      </c>
      <c r="N311" s="37" t="s">
        <v>207</v>
      </c>
      <c r="O311" s="37">
        <v>1</v>
      </c>
      <c r="P311" s="10">
        <v>2018</v>
      </c>
      <c r="Q311" s="37">
        <v>2023</v>
      </c>
      <c r="R311" s="10">
        <f>IF(IFERROR(VLOOKUP(A311,Drank!A:S,15,FALSE),"")=0,"",IFERROR(VLOOKUP(A311,Drank!A:S,15,FALSE),""))</f>
        <v>2020</v>
      </c>
      <c r="S311" s="10">
        <f>IF(IFERROR(VLOOKUP(A311,Drank!A:S,16,FALSE),"")=0,"",IFERROR(VLOOKUP(A311,Drank!A:S,16,FALSE),""))</f>
        <v>2023</v>
      </c>
      <c r="T311" s="10"/>
      <c r="U311" s="37">
        <v>91</v>
      </c>
      <c r="V311" s="18">
        <f>IF(IFERROR(VLOOKUP(A311,Drank!A:T,19,FALSE),"")=0,"",IFERROR(VLOOKUP(A311,Drank!A:T,19,FALSE),""))</f>
        <v>90</v>
      </c>
      <c r="W311" s="1">
        <f>IF(IFERROR(VLOOKUP(A311,Drank!A:T,20,FALSE),"")=0,"",IFERROR(VLOOKUP(A311,Drank!A:T,20,FALSE),""))</f>
        <v>43919</v>
      </c>
      <c r="X311" s="10">
        <f>SUMIF(A:A,A311,I:I)</f>
        <v>3</v>
      </c>
      <c r="Y311" s="10">
        <f>IF(Table1[[#This Row],[Drank]]&gt;0,VLOOKUP(Table1[[#This Row],[ID]],Drank!A:P,16,FALSE),IF(Table1[[#This Row],[WALDD]]&gt;0,VLOOKUP(Table1[[#This Row],[ID]],Wine1!A:Q,17,FALSE),Table1[[#This Row],[EP]]))</f>
        <v>2023</v>
      </c>
      <c r="Z311" s="18">
        <f>IF(Table1[[#This Row],[My Rating]]="",IF(Table1[[#This Row],[WA Rating Clean]]="","",Table1[[#This Row],[WA Rating Clean]]),Table1[[#This Row],[My Rating]])</f>
        <v>90</v>
      </c>
      <c r="AA311" s="37">
        <v>2022</v>
      </c>
      <c r="AB311" s="128">
        <v>9.99</v>
      </c>
      <c r="AC311" s="2">
        <f t="shared" si="27"/>
        <v>9.99</v>
      </c>
      <c r="AD311" s="8">
        <v>2</v>
      </c>
      <c r="AE311" s="10">
        <f>IF(Table1[[#This Row],[P/750]]&lt;20,1,IF(Table1[[#This Row],[P/750]]&lt;50,2,3))</f>
        <v>1</v>
      </c>
      <c r="AF311" s="10">
        <f>IF(Table1[[#This Row],[P/750]]&lt;Expenses!$C$30,1,IF(Table1[[#This Row],[P/750]]&lt;Expenses!$C$31,2,IF(Table1[[#This Row],[P/750]]&lt;Expenses!$C$32,3,4)))</f>
        <v>1</v>
      </c>
      <c r="AH311" s="37" t="s">
        <v>384</v>
      </c>
      <c r="AI311" s="11">
        <f>Table1[[#This Row],[Price]]/Table1[[#This Row],[Size (ml)]]*750</f>
        <v>9.99</v>
      </c>
      <c r="AJ311" s="37">
        <v>91</v>
      </c>
      <c r="AK311" s="37">
        <f>COUNTIF(UniqueID!A:A,Table1[[#This Row],[ID]])</f>
        <v>1</v>
      </c>
      <c r="AL311" s="37" t="str">
        <f>VLOOKUP(Table1[[#This Row],[Cellar Location]],Location!A:F,6,FALSE)</f>
        <v>S</v>
      </c>
      <c r="AN311" s="1">
        <v>43803</v>
      </c>
      <c r="AO311" s="37" t="str">
        <f>TEXT(Table1[[#This Row],[Purchased]],"mmmm")</f>
        <v>December</v>
      </c>
      <c r="AP311" s="10" t="str">
        <f>TEXT(Table1[[#This Row],[Purchased]],"yyyy")</f>
        <v>2019</v>
      </c>
      <c r="AQ311" s="10"/>
    </row>
    <row r="312" spans="1:43" s="37" customFormat="1" x14ac:dyDescent="0.25">
      <c r="A312" s="37" t="str">
        <f t="shared" si="26"/>
        <v>2009LoackerBrunello di Montalcino Corte Pavone</v>
      </c>
      <c r="B312" s="37">
        <v>2009</v>
      </c>
      <c r="C312" s="19" t="s">
        <v>42</v>
      </c>
      <c r="D312" s="9" t="s">
        <v>43</v>
      </c>
      <c r="E312" s="64" t="s">
        <v>280</v>
      </c>
      <c r="F312" s="37" t="s">
        <v>728</v>
      </c>
      <c r="G312" s="37" t="s">
        <v>790</v>
      </c>
      <c r="H312" s="37" t="s">
        <v>19</v>
      </c>
      <c r="I312" s="37">
        <v>1</v>
      </c>
      <c r="J312" s="37">
        <v>750</v>
      </c>
      <c r="K312" s="8" t="s">
        <v>25</v>
      </c>
      <c r="L312" s="37">
        <f>COUNTIF(Drank!A:A,Table1[[#This Row],[ID]])</f>
        <v>1</v>
      </c>
      <c r="M312" s="37" t="s">
        <v>202</v>
      </c>
      <c r="N312" s="37" t="s">
        <v>207</v>
      </c>
      <c r="O312" s="37">
        <v>1</v>
      </c>
      <c r="P312" s="37">
        <v>2015</v>
      </c>
      <c r="Q312" s="37">
        <v>2020</v>
      </c>
      <c r="R312" s="37">
        <f>IF(IFERROR(VLOOKUP(A312,Drank!A:S,15,FALSE),"")=0,"",IFERROR(VLOOKUP(A312,Drank!A:S,15,FALSE),""))</f>
        <v>2023</v>
      </c>
      <c r="S312" s="37">
        <f>IF(IFERROR(VLOOKUP(A312,Drank!A:S,16,FALSE),"")=0,"",IFERROR(VLOOKUP(A312,Drank!A:S,16,FALSE),""))</f>
        <v>2023</v>
      </c>
      <c r="U312" s="37">
        <v>89</v>
      </c>
      <c r="V312" s="18">
        <f>IF(IFERROR(VLOOKUP(A312,Drank!A:T,19,FALSE),"")=0,"",IFERROR(VLOOKUP(A312,Drank!A:T,19,FALSE),""))</f>
        <v>90</v>
      </c>
      <c r="W312" s="1">
        <f>IF(IFERROR(VLOOKUP(A312,Drank!A:T,20,FALSE),"")=0,"",IFERROR(VLOOKUP(A312,Drank!A:T,20,FALSE),""))</f>
        <v>43466</v>
      </c>
      <c r="X312" s="37">
        <f>SUMIF(A:A,A312,I:I)</f>
        <v>2</v>
      </c>
      <c r="Y312" s="37">
        <f>IF(Table1[[#This Row],[Drank]]&gt;0,VLOOKUP(Table1[[#This Row],[ID]],Drank!A:P,16,FALSE),IF(Table1[[#This Row],[WALDD]]&gt;0,VLOOKUP(Table1[[#This Row],[ID]],Wine1!A:Q,17,FALSE),Table1[[#This Row],[EP]]))</f>
        <v>2023</v>
      </c>
      <c r="Z312" s="18">
        <f>IF(Table1[[#This Row],[My Rating]]="",IF(Table1[[#This Row],[WA Rating Clean]]="","",Table1[[#This Row],[WA Rating Clean]]),Table1[[#This Row],[My Rating]])</f>
        <v>90</v>
      </c>
      <c r="AA312" s="37">
        <v>2022</v>
      </c>
      <c r="AB312" s="128">
        <v>27.99</v>
      </c>
      <c r="AC312" s="2">
        <f t="shared" si="27"/>
        <v>27.99</v>
      </c>
      <c r="AD312" s="8">
        <v>0</v>
      </c>
      <c r="AE312" s="37">
        <f>IF(Table1[[#This Row],[P/750]]&lt;20,1,IF(Table1[[#This Row],[P/750]]&lt;50,2,3))</f>
        <v>2</v>
      </c>
      <c r="AF312" s="37">
        <f>IF(Table1[[#This Row],[P/750]]&lt;Expenses!$C$30,1,IF(Table1[[#This Row],[P/750]]&lt;Expenses!$C$31,2,IF(Table1[[#This Row],[P/750]]&lt;Expenses!$C$32,3,4)))</f>
        <v>2</v>
      </c>
      <c r="AH312" s="37" t="s">
        <v>384</v>
      </c>
      <c r="AI312" s="11">
        <f>Table1[[#This Row],[Price]]/Table1[[#This Row],[Size (ml)]]*750</f>
        <v>27.99</v>
      </c>
      <c r="AJ312" s="37">
        <v>89</v>
      </c>
      <c r="AK312" s="37">
        <f>COUNTIF(UniqueID!A:A,Table1[[#This Row],[ID]])</f>
        <v>1</v>
      </c>
      <c r="AL312" s="37" t="str">
        <f>VLOOKUP(Table1[[#This Row],[Cellar Location]],Location!A:F,6,FALSE)</f>
        <v>K</v>
      </c>
      <c r="AO312" s="37" t="str">
        <f>TEXT(Table1[[#This Row],[Purchased]],"mmmm")</f>
        <v>January</v>
      </c>
      <c r="AP312" s="10" t="str">
        <f>TEXT(Table1[[#This Row],[Purchased]],"yyyy")</f>
        <v>1900</v>
      </c>
      <c r="AQ312" s="10"/>
    </row>
    <row r="313" spans="1:43" s="37" customFormat="1" x14ac:dyDescent="0.25">
      <c r="A313" s="37" t="str">
        <f t="shared" si="26"/>
        <v>2015AllegriniPalazzo della Torre</v>
      </c>
      <c r="B313" s="37">
        <v>2015</v>
      </c>
      <c r="C313" s="37" t="s">
        <v>111</v>
      </c>
      <c r="D313" s="37" t="s">
        <v>112</v>
      </c>
      <c r="E313" s="67" t="s">
        <v>1258</v>
      </c>
      <c r="F313" s="37" t="s">
        <v>728</v>
      </c>
      <c r="G313" s="37" t="s">
        <v>799</v>
      </c>
      <c r="H313" s="37" t="s">
        <v>800</v>
      </c>
      <c r="I313" s="107">
        <v>1</v>
      </c>
      <c r="J313" s="37">
        <v>750</v>
      </c>
      <c r="K313" s="107" t="s">
        <v>1314</v>
      </c>
      <c r="L313" s="37">
        <f>COUNTIF(Drank!A:A,Table1[[#This Row],[ID]])</f>
        <v>11</v>
      </c>
      <c r="M313" s="37" t="s">
        <v>202</v>
      </c>
      <c r="N313" s="37" t="s">
        <v>207</v>
      </c>
      <c r="O313" s="37">
        <v>1</v>
      </c>
      <c r="P313" s="37">
        <v>2019</v>
      </c>
      <c r="Q313" s="37">
        <v>2025</v>
      </c>
      <c r="R313" s="10">
        <f>IF(IFERROR(VLOOKUP(A313,Drank!A:S,15,FALSE),"")=0,"",IFERROR(VLOOKUP(A313,Drank!A:S,15,FALSE),""))</f>
        <v>2020</v>
      </c>
      <c r="S313" s="10">
        <f>IF(IFERROR(VLOOKUP(A313,Drank!A:S,16,FALSE),"")=0,"",IFERROR(VLOOKUP(A313,Drank!A:S,16,FALSE),""))</f>
        <v>2023</v>
      </c>
      <c r="T313" s="10"/>
      <c r="U313" s="37" t="s">
        <v>1404</v>
      </c>
      <c r="V313" s="18">
        <f>IF(IFERROR(VLOOKUP(A313,Drank!A:T,19,FALSE),"")=0,"",IFERROR(VLOOKUP(A313,Drank!A:T,19,FALSE),""))</f>
        <v>90.909090909090907</v>
      </c>
      <c r="W313" s="1">
        <f>IF(IFERROR(VLOOKUP(A313,Drank!A:T,20,FALSE),"")=0,"",IFERROR(VLOOKUP(A313,Drank!A:T,20,FALSE),""))</f>
        <v>44051</v>
      </c>
      <c r="X313" s="10">
        <f>SUMIF(A:A,A313,I:I)</f>
        <v>6</v>
      </c>
      <c r="Y313" s="37">
        <f>IF(Table1[[#This Row],[Drank]]&gt;0,VLOOKUP(Table1[[#This Row],[ID]],Drank!A:P,16,FALSE),IF(Table1[[#This Row],[WALDD]]&gt;0,VLOOKUP(Table1[[#This Row],[ID]],Wine1!A:Q,17,FALSE),Table1[[#This Row],[EP]]))</f>
        <v>2023</v>
      </c>
      <c r="Z313" s="18">
        <f>IF(Table1[[#This Row],[My Rating]]="",IF(Table1[[#This Row],[WA Rating Clean]]="","",Table1[[#This Row],[WA Rating Clean]]),Table1[[#This Row],[My Rating]])</f>
        <v>90.909090909090907</v>
      </c>
      <c r="AA313" s="37">
        <v>2022</v>
      </c>
      <c r="AB313" s="128">
        <v>17.989999999999998</v>
      </c>
      <c r="AC313" s="2">
        <f t="shared" si="27"/>
        <v>17.989999999999998</v>
      </c>
      <c r="AD313" s="8">
        <v>2</v>
      </c>
      <c r="AE313" s="37">
        <f>IF(Table1[[#This Row],[P/750]]&lt;20,1,IF(Table1[[#This Row],[P/750]]&lt;50,2,3))</f>
        <v>1</v>
      </c>
      <c r="AF313" s="37">
        <f>IF(Table1[[#This Row],[P/750]]&lt;Expenses!$C$30,1,IF(Table1[[#This Row],[P/750]]&lt;Expenses!$C$31,2,IF(Table1[[#This Row],[P/750]]&lt;Expenses!$C$32,3,4)))</f>
        <v>2</v>
      </c>
      <c r="AH313" s="25" t="s">
        <v>1128</v>
      </c>
      <c r="AI313" s="11">
        <f>Table1[[#This Row],[Price]]/Table1[[#This Row],[Size (ml)]]*750</f>
        <v>17.989999999999998</v>
      </c>
      <c r="AJ313" s="37">
        <v>90</v>
      </c>
      <c r="AK313" s="37">
        <f>COUNTIF(UniqueID!A:A,Table1[[#This Row],[ID]])</f>
        <v>1</v>
      </c>
      <c r="AL313" s="37" t="str">
        <f>VLOOKUP(Table1[[#This Row],[Cellar Location]],Location!A:F,6,FALSE)</f>
        <v>S</v>
      </c>
      <c r="AN313" s="1">
        <v>43879</v>
      </c>
      <c r="AO313" s="37" t="str">
        <f>TEXT(Table1[[#This Row],[Purchased]],"mmmm")</f>
        <v>February</v>
      </c>
      <c r="AP313" s="10" t="str">
        <f>TEXT(Table1[[#This Row],[Purchased]],"yyyy")</f>
        <v>2020</v>
      </c>
      <c r="AQ313" s="10"/>
    </row>
    <row r="314" spans="1:43" s="37" customFormat="1" x14ac:dyDescent="0.25">
      <c r="A314" s="37" t="str">
        <f t="shared" si="26"/>
        <v>2019G.D. VajraLanghe Nebbiolo Clare J.C.</v>
      </c>
      <c r="B314" s="37">
        <v>2019</v>
      </c>
      <c r="C314" s="37" t="s">
        <v>81</v>
      </c>
      <c r="D314" s="37" t="s">
        <v>1702</v>
      </c>
      <c r="E314" s="37" t="s">
        <v>1206</v>
      </c>
      <c r="F314" s="37" t="s">
        <v>728</v>
      </c>
      <c r="G314" s="37" t="s">
        <v>778</v>
      </c>
      <c r="H314" s="37" t="s">
        <v>1193</v>
      </c>
      <c r="I314" s="8">
        <v>1</v>
      </c>
      <c r="J314" s="38">
        <v>750</v>
      </c>
      <c r="K314" s="38" t="s">
        <v>1687</v>
      </c>
      <c r="L314" s="10">
        <f>COUNTIF(Drank!A:A,Table1[[#This Row],[ID]])</f>
        <v>0</v>
      </c>
      <c r="M314" s="37" t="s">
        <v>202</v>
      </c>
      <c r="N314" s="37" t="s">
        <v>207</v>
      </c>
      <c r="O314" s="37">
        <v>1</v>
      </c>
      <c r="P314" s="37">
        <v>2020</v>
      </c>
      <c r="Q314" s="37">
        <v>2023</v>
      </c>
      <c r="R314" s="10" t="str">
        <f>IF(IFERROR(VLOOKUP(A314,Drank!A:S,15,FALSE),"")=0,"",IFERROR(VLOOKUP(A314,Drank!A:S,15,FALSE),""))</f>
        <v/>
      </c>
      <c r="S314" s="10" t="str">
        <f>IF(IFERROR(VLOOKUP(A314,Drank!A:S,16,FALSE),"")=0,"",IFERROR(VLOOKUP(A314,Drank!A:S,16,FALSE),""))</f>
        <v/>
      </c>
      <c r="T314" s="10"/>
      <c r="U314" s="37" t="s">
        <v>29</v>
      </c>
      <c r="V314" s="18" t="str">
        <f>IF(IFERROR(VLOOKUP(A314,Drank!A:T,19,FALSE),"")=0,"",IFERROR(VLOOKUP(A314,Drank!A:T,19,FALSE),""))</f>
        <v/>
      </c>
      <c r="W314" s="1" t="str">
        <f>IF(IFERROR(VLOOKUP(A314,Drank!A:T,20,FALSE),"")=0,"",IFERROR(VLOOKUP(A314,Drank!A:T,20,FALSE),""))</f>
        <v/>
      </c>
      <c r="X314" s="10">
        <f>SUMIF(A:A,A314,I:I)</f>
        <v>6</v>
      </c>
      <c r="Y314" s="10">
        <f>IF(Table1[[#This Row],[Drank]]&gt;0,VLOOKUP(Table1[[#This Row],[ID]],Drank!A:P,16,FALSE),IF(Table1[[#This Row],[WALDD]]&gt;0,VLOOKUP(Table1[[#This Row],[ID]],Wine1!A:Q,17,FALSE),Table1[[#This Row],[EP]]))</f>
        <v>2023</v>
      </c>
      <c r="Z314" s="18">
        <f>IF(Table1[[#This Row],[My Rating]]="",IF(Table1[[#This Row],[WA Rating Clean]]="","",Table1[[#This Row],[WA Rating Clean]]),Table1[[#This Row],[My Rating]])</f>
        <v>92</v>
      </c>
      <c r="AA314" s="8">
        <v>2022</v>
      </c>
      <c r="AB314" s="128">
        <v>22.4</v>
      </c>
      <c r="AC314" s="2">
        <f t="shared" si="27"/>
        <v>22.4</v>
      </c>
      <c r="AD314" s="8">
        <v>1</v>
      </c>
      <c r="AE314" s="10">
        <f>IF(Table1[[#This Row],[P/750]]&lt;20,1,IF(Table1[[#This Row],[P/750]]&lt;50,2,3))</f>
        <v>2</v>
      </c>
      <c r="AF314" s="10">
        <f>IF(Table1[[#This Row],[P/750]]&lt;Expenses!$C$30,1,IF(Table1[[#This Row],[P/750]]&lt;Expenses!$C$31,2,IF(Table1[[#This Row],[P/750]]&lt;Expenses!$C$32,3,4)))</f>
        <v>2</v>
      </c>
      <c r="AH314" s="37" t="s">
        <v>1189</v>
      </c>
      <c r="AI314" s="11">
        <f>Table1[[#This Row],[Price]]/Table1[[#This Row],[Size (ml)]]*750</f>
        <v>22.4</v>
      </c>
      <c r="AJ314" s="37">
        <v>92</v>
      </c>
      <c r="AK314" s="10">
        <f>COUNTIF(UniqueID!A:A,Table1[[#This Row],[ID]])</f>
        <v>0</v>
      </c>
      <c r="AL314" s="10" t="str">
        <f>VLOOKUP(Table1[[#This Row],[Cellar Location]],Location!A:F,6,FALSE)</f>
        <v>W</v>
      </c>
      <c r="AN314" s="1">
        <v>44061</v>
      </c>
      <c r="AO314" s="10" t="str">
        <f>TEXT(Table1[[#This Row],[Purchased]],"mmmm")</f>
        <v>August</v>
      </c>
      <c r="AP314" s="10" t="str">
        <f>TEXT(Table1[[#This Row],[Purchased]],"yyyy")</f>
        <v>2020</v>
      </c>
      <c r="AQ314" s="1">
        <v>44137</v>
      </c>
    </row>
    <row r="315" spans="1:43" s="37" customFormat="1" x14ac:dyDescent="0.25">
      <c r="A315" s="37" t="str">
        <f t="shared" si="26"/>
        <v>2019G.D. VajraLanghe Nebbiolo Clare J.C.</v>
      </c>
      <c r="B315" s="37">
        <v>2019</v>
      </c>
      <c r="C315" s="37" t="s">
        <v>81</v>
      </c>
      <c r="D315" s="37" t="s">
        <v>1702</v>
      </c>
      <c r="E315" s="37" t="s">
        <v>1206</v>
      </c>
      <c r="F315" s="37" t="s">
        <v>728</v>
      </c>
      <c r="G315" s="37" t="s">
        <v>778</v>
      </c>
      <c r="H315" s="37" t="s">
        <v>1193</v>
      </c>
      <c r="I315" s="8">
        <v>1</v>
      </c>
      <c r="J315" s="38">
        <v>750</v>
      </c>
      <c r="K315" s="38" t="s">
        <v>1687</v>
      </c>
      <c r="L315" s="10">
        <f>COUNTIF(Drank!A:A,Table1[[#This Row],[ID]])</f>
        <v>0</v>
      </c>
      <c r="M315" s="37" t="s">
        <v>202</v>
      </c>
      <c r="N315" s="37" t="s">
        <v>207</v>
      </c>
      <c r="O315" s="37">
        <v>1</v>
      </c>
      <c r="P315" s="37">
        <v>2020</v>
      </c>
      <c r="Q315" s="37">
        <v>2023</v>
      </c>
      <c r="R315" s="10" t="str">
        <f>IF(IFERROR(VLOOKUP(A315,Drank!A:S,15,FALSE),"")=0,"",IFERROR(VLOOKUP(A315,Drank!A:S,15,FALSE),""))</f>
        <v/>
      </c>
      <c r="S315" s="10" t="str">
        <f>IF(IFERROR(VLOOKUP(A315,Drank!A:S,16,FALSE),"")=0,"",IFERROR(VLOOKUP(A315,Drank!A:S,16,FALSE),""))</f>
        <v/>
      </c>
      <c r="T315" s="10"/>
      <c r="U315" s="37" t="s">
        <v>29</v>
      </c>
      <c r="V315" s="18" t="str">
        <f>IF(IFERROR(VLOOKUP(A315,Drank!A:T,19,FALSE),"")=0,"",IFERROR(VLOOKUP(A315,Drank!A:T,19,FALSE),""))</f>
        <v/>
      </c>
      <c r="W315" s="1" t="str">
        <f>IF(IFERROR(VLOOKUP(A315,Drank!A:T,20,FALSE),"")=0,"",IFERROR(VLOOKUP(A315,Drank!A:T,20,FALSE),""))</f>
        <v/>
      </c>
      <c r="X315" s="10">
        <f>SUMIF(A:A,A315,I:I)</f>
        <v>6</v>
      </c>
      <c r="Y315" s="10">
        <f>IF(Table1[[#This Row],[Drank]]&gt;0,VLOOKUP(Table1[[#This Row],[ID]],Drank!A:P,16,FALSE),IF(Table1[[#This Row],[WALDD]]&gt;0,VLOOKUP(Table1[[#This Row],[ID]],Wine1!A:Q,17,FALSE),Table1[[#This Row],[EP]]))</f>
        <v>2023</v>
      </c>
      <c r="Z315" s="18">
        <f>IF(Table1[[#This Row],[My Rating]]="",IF(Table1[[#This Row],[WA Rating Clean]]="","",Table1[[#This Row],[WA Rating Clean]]),Table1[[#This Row],[My Rating]])</f>
        <v>92</v>
      </c>
      <c r="AA315" s="8">
        <v>2022</v>
      </c>
      <c r="AB315" s="128">
        <v>22.4</v>
      </c>
      <c r="AC315" s="2">
        <f t="shared" si="27"/>
        <v>22.4</v>
      </c>
      <c r="AD315" s="8">
        <v>1</v>
      </c>
      <c r="AE315" s="10">
        <f>IF(Table1[[#This Row],[P/750]]&lt;20,1,IF(Table1[[#This Row],[P/750]]&lt;50,2,3))</f>
        <v>2</v>
      </c>
      <c r="AF315" s="10">
        <f>IF(Table1[[#This Row],[P/750]]&lt;Expenses!$C$30,1,IF(Table1[[#This Row],[P/750]]&lt;Expenses!$C$31,2,IF(Table1[[#This Row],[P/750]]&lt;Expenses!$C$32,3,4)))</f>
        <v>2</v>
      </c>
      <c r="AH315" s="37" t="s">
        <v>1189</v>
      </c>
      <c r="AI315" s="11">
        <f>Table1[[#This Row],[Price]]/Table1[[#This Row],[Size (ml)]]*750</f>
        <v>22.4</v>
      </c>
      <c r="AJ315" s="37">
        <v>92</v>
      </c>
      <c r="AK315" s="10">
        <f>COUNTIF(UniqueID!A:A,Table1[[#This Row],[ID]])</f>
        <v>0</v>
      </c>
      <c r="AL315" s="10" t="str">
        <f>VLOOKUP(Table1[[#This Row],[Cellar Location]],Location!A:F,6,FALSE)</f>
        <v>W</v>
      </c>
      <c r="AN315" s="1">
        <v>44061</v>
      </c>
      <c r="AO315" s="10" t="str">
        <f>TEXT(Table1[[#This Row],[Purchased]],"mmmm")</f>
        <v>August</v>
      </c>
      <c r="AP315" s="10" t="str">
        <f>TEXT(Table1[[#This Row],[Purchased]],"yyyy")</f>
        <v>2020</v>
      </c>
      <c r="AQ315" s="1">
        <v>44137</v>
      </c>
    </row>
    <row r="316" spans="1:43" s="37" customFormat="1" x14ac:dyDescent="0.25">
      <c r="A316" s="37" t="str">
        <f t="shared" si="26"/>
        <v>2015GordoYecla</v>
      </c>
      <c r="B316" s="8">
        <v>2015</v>
      </c>
      <c r="C316" s="8" t="s">
        <v>1815</v>
      </c>
      <c r="D316" s="19" t="s">
        <v>1816</v>
      </c>
      <c r="E316" s="63" t="s">
        <v>1817</v>
      </c>
      <c r="F316" s="37" t="s">
        <v>729</v>
      </c>
      <c r="G316" s="37" t="s">
        <v>821</v>
      </c>
      <c r="H316" s="37" t="s">
        <v>1816</v>
      </c>
      <c r="I316" s="37">
        <v>1</v>
      </c>
      <c r="J316" s="8">
        <v>750</v>
      </c>
      <c r="K316" s="8" t="s">
        <v>1833</v>
      </c>
      <c r="L316" s="10">
        <f>COUNTIF(Drank!A:A,Table1[[#This Row],[ID]])</f>
        <v>1</v>
      </c>
      <c r="M316" s="37" t="s">
        <v>202</v>
      </c>
      <c r="N316" s="37" t="s">
        <v>207</v>
      </c>
      <c r="O316" s="37">
        <v>0</v>
      </c>
      <c r="P316" s="10"/>
      <c r="R316" s="10">
        <f>IF(IFERROR(VLOOKUP(A316,Drank!A:S,15,FALSE),"")=0,"",IFERROR(VLOOKUP(A316,Drank!A:S,15,FALSE),""))</f>
        <v>2021</v>
      </c>
      <c r="S316" s="10">
        <f>IF(IFERROR(VLOOKUP(A316,Drank!A:S,16,FALSE),"")=0,"",IFERROR(VLOOKUP(A316,Drank!A:S,16,FALSE),""))</f>
        <v>2025</v>
      </c>
      <c r="T316" s="10">
        <v>2023</v>
      </c>
      <c r="V316" s="18">
        <f>IF(IFERROR(VLOOKUP(A316,Drank!A:T,19,FALSE),"")=0,"",IFERROR(VLOOKUP(A316,Drank!A:T,19,FALSE),""))</f>
        <v>89</v>
      </c>
      <c r="W316" s="1">
        <f>IF(IFERROR(VLOOKUP(A316,Drank!A:T,20,FALSE),"")=0,"",IFERROR(VLOOKUP(A316,Drank!A:T,20,FALSE),""))</f>
        <v>44080</v>
      </c>
      <c r="X316" s="10">
        <f>SUMIF(A:A,A316,I:I)</f>
        <v>5</v>
      </c>
      <c r="Y316" s="10">
        <f>IF(Table1[[#This Row],[Drank]]&gt;0,VLOOKUP(Table1[[#This Row],[ID]],Drank!A:P,16,FALSE),IF(Table1[[#This Row],[WALDD]]&gt;0,VLOOKUP(Table1[[#This Row],[ID]],Wine1!A:Q,17,FALSE),Table1[[#This Row],[EP]]))</f>
        <v>2025</v>
      </c>
      <c r="Z316" s="18">
        <f>IF(Table1[[#This Row],[My Rating]]="",IF(Table1[[#This Row],[WA Rating Clean]]="","",Table1[[#This Row],[WA Rating Clean]]),Table1[[#This Row],[My Rating]])</f>
        <v>89</v>
      </c>
      <c r="AA316" s="37">
        <v>2022</v>
      </c>
      <c r="AB316" s="128">
        <v>13.77</v>
      </c>
      <c r="AC316" s="2">
        <f t="shared" si="27"/>
        <v>13.77</v>
      </c>
      <c r="AD316" s="8"/>
      <c r="AE316" s="10">
        <f>IF(Table1[[#This Row],[P/750]]&lt;20,1,IF(Table1[[#This Row],[P/750]]&lt;50,2,3))</f>
        <v>1</v>
      </c>
      <c r="AF316" s="10">
        <f>IF(Table1[[#This Row],[P/750]]&lt;Expenses!$C$30,1,IF(Table1[[#This Row],[P/750]]&lt;Expenses!$C$31,2,IF(Table1[[#This Row],[P/750]]&lt;Expenses!$C$32,3,4)))</f>
        <v>1</v>
      </c>
      <c r="AH316" s="25" t="s">
        <v>385</v>
      </c>
      <c r="AI316" s="11">
        <f>Table1[[#This Row],[Price]]/Table1[[#This Row],[Size (ml)]]*750</f>
        <v>13.769999999999998</v>
      </c>
      <c r="AK316" s="10">
        <f>COUNTIF(UniqueID!A:A,Table1[[#This Row],[ID]])</f>
        <v>0</v>
      </c>
      <c r="AL316" s="10" t="str">
        <f>VLOOKUP(Table1[[#This Row],[Cellar Location]],Location!A:F,6,FALSE)</f>
        <v>C</v>
      </c>
      <c r="AN316" s="1">
        <v>44068</v>
      </c>
      <c r="AO316" s="10" t="str">
        <f>TEXT(Table1[[#This Row],[Purchased]],"mmmm")</f>
        <v>August</v>
      </c>
      <c r="AP316" s="10" t="str">
        <f>TEXT(Table1[[#This Row],[Purchased]],"yyyy")</f>
        <v>2020</v>
      </c>
      <c r="AQ316" s="1">
        <v>44114</v>
      </c>
    </row>
    <row r="317" spans="1:43" s="37" customFormat="1" x14ac:dyDescent="0.25">
      <c r="A317" s="37" t="str">
        <f t="shared" si="26"/>
        <v>2018Grand Serres, LesCotes du Rhone Portes du Castelas</v>
      </c>
      <c r="B317" s="37">
        <v>2018</v>
      </c>
      <c r="C317" s="19" t="s">
        <v>1704</v>
      </c>
      <c r="D317" s="9" t="s">
        <v>1705</v>
      </c>
      <c r="E317" s="68" t="s">
        <v>1706</v>
      </c>
      <c r="F317" s="37" t="s">
        <v>742</v>
      </c>
      <c r="G317" s="37" t="s">
        <v>759</v>
      </c>
      <c r="H317" s="37" t="s">
        <v>761</v>
      </c>
      <c r="I317" s="37">
        <v>1</v>
      </c>
      <c r="J317" s="107">
        <v>750</v>
      </c>
      <c r="K317" s="8" t="s">
        <v>1812</v>
      </c>
      <c r="L317" s="10">
        <f>COUNTIF(Drank!A:A,Table1[[#This Row],[ID]])</f>
        <v>0</v>
      </c>
      <c r="M317" s="37" t="s">
        <v>202</v>
      </c>
      <c r="N317" s="37" t="s">
        <v>207</v>
      </c>
      <c r="O317" s="37">
        <v>0</v>
      </c>
      <c r="R317" s="10" t="str">
        <f>IF(IFERROR(VLOOKUP(A317,Drank!A:S,15,FALSE),"")=0,"",IFERROR(VLOOKUP(A317,Drank!A:S,15,FALSE),""))</f>
        <v/>
      </c>
      <c r="S317" s="10" t="str">
        <f>IF(IFERROR(VLOOKUP(A317,Drank!A:S,16,FALSE),"")=0,"",IFERROR(VLOOKUP(A317,Drank!A:S,16,FALSE),""))</f>
        <v/>
      </c>
      <c r="T317" s="10">
        <v>2024</v>
      </c>
      <c r="V317" s="18" t="str">
        <f>IF(IFERROR(VLOOKUP(A317,Drank!A:T,19,FALSE),"")=0,"",IFERROR(VLOOKUP(A317,Drank!A:T,19,FALSE),""))</f>
        <v/>
      </c>
      <c r="W317" s="1" t="str">
        <f>IF(IFERROR(VLOOKUP(A317,Drank!A:T,20,FALSE),"")=0,"",IFERROR(VLOOKUP(A317,Drank!A:T,20,FALSE),""))</f>
        <v/>
      </c>
      <c r="X317" s="10">
        <f>SUMIF(A:A,A317,I:I)</f>
        <v>4</v>
      </c>
      <c r="Y317" s="10">
        <f>IF(Table1[[#This Row],[Drank]]&gt;0,VLOOKUP(Table1[[#This Row],[ID]],Drank!A:P,16,FALSE),IF(Table1[[#This Row],[WALDD]]&gt;0,VLOOKUP(Table1[[#This Row],[ID]],Wine1!A:Q,17,FALSE),Table1[[#This Row],[EP]]))</f>
        <v>2024</v>
      </c>
      <c r="Z317" s="18" t="str">
        <f>IF(Table1[[#This Row],[My Rating]]="",IF(Table1[[#This Row],[WA Rating Clean]]="","",Table1[[#This Row],[WA Rating Clean]]),Table1[[#This Row],[My Rating]])</f>
        <v/>
      </c>
      <c r="AA317" s="37">
        <v>2022</v>
      </c>
      <c r="AB317" s="128">
        <v>14.11</v>
      </c>
      <c r="AC317" s="2">
        <f t="shared" si="27"/>
        <v>14.11</v>
      </c>
      <c r="AD317" s="8">
        <v>0</v>
      </c>
      <c r="AE317" s="10">
        <f>IF(Table1[[#This Row],[P/750]]&lt;20,1,IF(Table1[[#This Row],[P/750]]&lt;50,2,3))</f>
        <v>1</v>
      </c>
      <c r="AF317" s="10">
        <f>IF(Table1[[#This Row],[P/750]]&lt;Expenses!$C$30,1,IF(Table1[[#This Row],[P/750]]&lt;Expenses!$C$31,2,IF(Table1[[#This Row],[P/750]]&lt;Expenses!$C$32,3,4)))</f>
        <v>1</v>
      </c>
      <c r="AH317" s="37" t="s">
        <v>384</v>
      </c>
      <c r="AI317" s="11">
        <f>Table1[[#This Row],[Price]]/Table1[[#This Row],[Size (ml)]]*750</f>
        <v>14.109999999999998</v>
      </c>
      <c r="AK317" s="10">
        <f>COUNTIF(UniqueID!A:A,Table1[[#This Row],[ID]])</f>
        <v>0</v>
      </c>
      <c r="AL317" s="10" t="str">
        <f>VLOOKUP(Table1[[#This Row],[Cellar Location]],Location!A:F,6,FALSE)</f>
        <v>S</v>
      </c>
      <c r="AN317" s="1">
        <v>44062</v>
      </c>
      <c r="AO317" s="10" t="str">
        <f>TEXT(Table1[[#This Row],[Purchased]],"mmmm")</f>
        <v>August</v>
      </c>
      <c r="AP317" s="10" t="str">
        <f>TEXT(Table1[[#This Row],[Purchased]],"yyyy")</f>
        <v>2020</v>
      </c>
      <c r="AQ317" s="10"/>
    </row>
    <row r="318" spans="1:43" s="37" customFormat="1" x14ac:dyDescent="0.25">
      <c r="A318" s="37" t="str">
        <f t="shared" si="26"/>
        <v>2016BrotteGigondas la Marasque</v>
      </c>
      <c r="B318" s="37">
        <v>2016</v>
      </c>
      <c r="C318" s="37" t="s">
        <v>1230</v>
      </c>
      <c r="D318" s="37" t="s">
        <v>1231</v>
      </c>
      <c r="E318" s="67" t="s">
        <v>1233</v>
      </c>
      <c r="F318" s="37" t="s">
        <v>742</v>
      </c>
      <c r="G318" s="37" t="s">
        <v>759</v>
      </c>
      <c r="H318" s="37" t="s">
        <v>764</v>
      </c>
      <c r="I318" s="107">
        <v>1</v>
      </c>
      <c r="J318" s="35">
        <v>750</v>
      </c>
      <c r="K318" s="107" t="s">
        <v>646</v>
      </c>
      <c r="L318" s="10">
        <f>COUNTIF(Drank!A:A,Table1[[#This Row],[ID]])</f>
        <v>1</v>
      </c>
      <c r="M318" s="37" t="s">
        <v>202</v>
      </c>
      <c r="N318" s="37" t="s">
        <v>207</v>
      </c>
      <c r="O318" s="37">
        <v>1</v>
      </c>
      <c r="P318" s="10">
        <v>2018</v>
      </c>
      <c r="Q318" s="37">
        <v>2023</v>
      </c>
      <c r="R318" s="10">
        <f>IF(IFERROR(VLOOKUP(A318,Drank!A:S,15,FALSE),"")=0,"",IFERROR(VLOOKUP(A318,Drank!A:S,15,FALSE),""))</f>
        <v>2020</v>
      </c>
      <c r="S318" s="10">
        <f>IF(IFERROR(VLOOKUP(A318,Drank!A:S,16,FALSE),"")=0,"",IFERROR(VLOOKUP(A318,Drank!A:S,16,FALSE),""))</f>
        <v>2024</v>
      </c>
      <c r="T318" s="10"/>
      <c r="U318" s="37" t="s">
        <v>1232</v>
      </c>
      <c r="V318" s="18">
        <f>IF(IFERROR(VLOOKUP(A318,Drank!A:T,19,FALSE),"")=0,"",IFERROR(VLOOKUP(A318,Drank!A:T,19,FALSE),""))</f>
        <v>91</v>
      </c>
      <c r="W318" s="1">
        <f>IF(IFERROR(VLOOKUP(A318,Drank!A:T,20,FALSE),"")=0,"",IFERROR(VLOOKUP(A318,Drank!A:T,20,FALSE),""))</f>
        <v>43911</v>
      </c>
      <c r="X318" s="10">
        <f>SUMIF(A:A,A318,I:I)</f>
        <v>4</v>
      </c>
      <c r="Y318" s="10">
        <f>IF(Table1[[#This Row],[Drank]]&gt;0,VLOOKUP(Table1[[#This Row],[ID]],Drank!A:P,16,FALSE),IF(Table1[[#This Row],[WALDD]]&gt;0,VLOOKUP(Table1[[#This Row],[ID]],Wine1!A:Q,17,FALSE),Table1[[#This Row],[EP]]))</f>
        <v>2024</v>
      </c>
      <c r="Z318" s="18">
        <f>IF(Table1[[#This Row],[My Rating]]="",IF(Table1[[#This Row],[WA Rating Clean]]="","",Table1[[#This Row],[WA Rating Clean]]),Table1[[#This Row],[My Rating]])</f>
        <v>91</v>
      </c>
      <c r="AA318" s="37">
        <v>2022</v>
      </c>
      <c r="AB318" s="128">
        <v>16.989999999999998</v>
      </c>
      <c r="AC318" s="2">
        <f t="shared" si="27"/>
        <v>16.989999999999998</v>
      </c>
      <c r="AD318" s="8">
        <v>2</v>
      </c>
      <c r="AE318" s="10">
        <f>IF(Table1[[#This Row],[P/750]]&lt;20,1,IF(Table1[[#This Row],[P/750]]&lt;50,2,3))</f>
        <v>1</v>
      </c>
      <c r="AF318" s="10">
        <f>IF(Table1[[#This Row],[P/750]]&lt;Expenses!$C$30,1,IF(Table1[[#This Row],[P/750]]&lt;Expenses!$C$31,2,IF(Table1[[#This Row],[P/750]]&lt;Expenses!$C$32,3,4)))</f>
        <v>2</v>
      </c>
      <c r="AH318" s="37" t="s">
        <v>384</v>
      </c>
      <c r="AI318" s="11">
        <f>Table1[[#This Row],[Price]]/Table1[[#This Row],[Size (ml)]]*750</f>
        <v>16.989999999999998</v>
      </c>
      <c r="AJ318" s="9">
        <v>91</v>
      </c>
      <c r="AK318" s="10">
        <f>COUNTIF(UniqueID!A:A,Table1[[#This Row],[ID]])</f>
        <v>1</v>
      </c>
      <c r="AL318" s="10" t="str">
        <f>VLOOKUP(Table1[[#This Row],[Cellar Location]],Location!A:F,6,FALSE)</f>
        <v>S</v>
      </c>
      <c r="AN318" s="1">
        <v>43863</v>
      </c>
      <c r="AO318" s="37" t="str">
        <f>TEXT(Table1[[#This Row],[Purchased]],"mmmm")</f>
        <v>February</v>
      </c>
      <c r="AP318" s="10" t="str">
        <f>TEXT(Table1[[#This Row],[Purchased]],"yyyy")</f>
        <v>2020</v>
      </c>
      <c r="AQ318" s="10"/>
    </row>
    <row r="319" spans="1:43" s="37" customFormat="1" x14ac:dyDescent="0.25">
      <c r="A319" s="37" t="str">
        <f t="shared" si="26"/>
        <v>2016Chateau de GrangeneuveSainte-Foy</v>
      </c>
      <c r="B319" s="37">
        <v>2016</v>
      </c>
      <c r="C319" s="37" t="s">
        <v>659</v>
      </c>
      <c r="D319" s="37" t="s">
        <v>660</v>
      </c>
      <c r="E319" s="67" t="s">
        <v>1273</v>
      </c>
      <c r="F319" s="37" t="s">
        <v>742</v>
      </c>
      <c r="G319" s="37" t="s">
        <v>748</v>
      </c>
      <c r="I319" s="107">
        <v>1</v>
      </c>
      <c r="J319" s="37">
        <v>750</v>
      </c>
      <c r="K319" s="107" t="s">
        <v>716</v>
      </c>
      <c r="L319" s="10">
        <f>COUNTIF(Drank!A:A,Table1[[#This Row],[ID]])</f>
        <v>1</v>
      </c>
      <c r="M319" s="37" t="s">
        <v>202</v>
      </c>
      <c r="N319" s="37" t="s">
        <v>207</v>
      </c>
      <c r="O319" s="37">
        <v>1</v>
      </c>
      <c r="P319" s="10"/>
      <c r="R319" s="10" t="str">
        <f>IF(IFERROR(VLOOKUP(A319,Drank!A:S,15,FALSE),"")=0,"",IFERROR(VLOOKUP(A319,Drank!A:S,15,FALSE),""))</f>
        <v/>
      </c>
      <c r="S319" s="10">
        <f>IF(IFERROR(VLOOKUP(A319,Drank!A:S,16,FALSE),"")=0,"",IFERROR(VLOOKUP(A319,Drank!A:S,16,FALSE),""))</f>
        <v>2024</v>
      </c>
      <c r="T319" s="10">
        <v>2023</v>
      </c>
      <c r="V319" s="18">
        <f>IF(IFERROR(VLOOKUP(A319,Drank!A:T,19,FALSE),"")=0,"",IFERROR(VLOOKUP(A319,Drank!A:T,19,FALSE),""))</f>
        <v>88</v>
      </c>
      <c r="W319" s="1">
        <f>IF(IFERROR(VLOOKUP(A319,Drank!A:T,20,FALSE),"")=0,"",IFERROR(VLOOKUP(A319,Drank!A:T,20,FALSE),""))</f>
        <v>43813</v>
      </c>
      <c r="X319" s="10">
        <f>SUMIF(A:A,A319,I:I)</f>
        <v>3</v>
      </c>
      <c r="Y319" s="10">
        <f>IF(Table1[[#This Row],[Drank]]&gt;0,VLOOKUP(Table1[[#This Row],[ID]],Drank!A:P,16,FALSE),IF(Table1[[#This Row],[WALDD]]&gt;0,VLOOKUP(Table1[[#This Row],[ID]],Wine1!A:Q,17,FALSE),Table1[[#This Row],[EP]]))</f>
        <v>2024</v>
      </c>
      <c r="Z319" s="18">
        <f>IF(Table1[[#This Row],[My Rating]]="",IF(Table1[[#This Row],[WA Rating Clean]]="","",Table1[[#This Row],[WA Rating Clean]]),Table1[[#This Row],[My Rating]])</f>
        <v>88</v>
      </c>
      <c r="AA319" s="37">
        <v>2022</v>
      </c>
      <c r="AB319" s="128">
        <v>12.99</v>
      </c>
      <c r="AC319" s="2">
        <f t="shared" si="27"/>
        <v>12.99</v>
      </c>
      <c r="AD319" s="8">
        <v>2</v>
      </c>
      <c r="AE319" s="10">
        <f>IF(Table1[[#This Row],[P/750]]&lt;20,1,IF(Table1[[#This Row],[P/750]]&lt;50,2,3))</f>
        <v>1</v>
      </c>
      <c r="AF319" s="10">
        <f>IF(Table1[[#This Row],[P/750]]&lt;Expenses!$C$30,1,IF(Table1[[#This Row],[P/750]]&lt;Expenses!$C$31,2,IF(Table1[[#This Row],[P/750]]&lt;Expenses!$C$32,3,4)))</f>
        <v>1</v>
      </c>
      <c r="AH319" s="37" t="s">
        <v>384</v>
      </c>
      <c r="AI319" s="11">
        <f>Table1[[#This Row],[Price]]/Table1[[#This Row],[Size (ml)]]*750</f>
        <v>12.989999999999998</v>
      </c>
      <c r="AK319" s="37">
        <f>COUNTIF(UniqueID!A:A,Table1[[#This Row],[ID]])</f>
        <v>1</v>
      </c>
      <c r="AL319" s="37" t="str">
        <f>VLOOKUP(Table1[[#This Row],[Cellar Location]],Location!A:F,6,FALSE)</f>
        <v>S</v>
      </c>
      <c r="AN319" s="1">
        <v>43809</v>
      </c>
      <c r="AO319" s="37" t="str">
        <f>TEXT(Table1[[#This Row],[Purchased]],"mmmm")</f>
        <v>December</v>
      </c>
      <c r="AP319" s="10" t="str">
        <f>TEXT(Table1[[#This Row],[Purchased]],"yyyy")</f>
        <v>2019</v>
      </c>
      <c r="AQ319" s="10"/>
    </row>
    <row r="320" spans="1:43" s="37" customFormat="1" x14ac:dyDescent="0.25">
      <c r="A320" s="37" t="str">
        <f t="shared" si="26"/>
        <v>2010CondeNeo</v>
      </c>
      <c r="B320" s="37">
        <v>2010</v>
      </c>
      <c r="C320" s="37" t="s">
        <v>45</v>
      </c>
      <c r="D320" s="37" t="s">
        <v>46</v>
      </c>
      <c r="E320" s="69" t="s">
        <v>276</v>
      </c>
      <c r="F320" s="37" t="s">
        <v>729</v>
      </c>
      <c r="G320" s="37" t="s">
        <v>1718</v>
      </c>
      <c r="H320" s="37" t="s">
        <v>818</v>
      </c>
      <c r="I320" s="107">
        <v>1</v>
      </c>
      <c r="J320" s="37">
        <v>750</v>
      </c>
      <c r="K320" s="107" t="s">
        <v>654</v>
      </c>
      <c r="L320" s="10">
        <f>COUNTIF(Drank!A:A,Table1[[#This Row],[ID]])</f>
        <v>6</v>
      </c>
      <c r="M320" s="37" t="s">
        <v>202</v>
      </c>
      <c r="N320" s="37" t="s">
        <v>207</v>
      </c>
      <c r="O320" s="37">
        <v>1</v>
      </c>
      <c r="P320" s="37">
        <v>2014</v>
      </c>
      <c r="Q320" s="37">
        <v>2020</v>
      </c>
      <c r="R320" s="10">
        <f>IF(IFERROR(VLOOKUP(A320,Drank!A:S,15,FALSE),"")=0,"",IFERROR(VLOOKUP(A320,Drank!A:S,15,FALSE),""))</f>
        <v>2021</v>
      </c>
      <c r="S320" s="10">
        <f>IF(IFERROR(VLOOKUP(A320,Drank!A:S,16,FALSE),"")=0,"",IFERROR(VLOOKUP(A320,Drank!A:S,16,FALSE),""))</f>
        <v>2024</v>
      </c>
      <c r="T320" s="10"/>
      <c r="U320" s="37">
        <v>93</v>
      </c>
      <c r="V320" s="18">
        <f>IF(IFERROR(VLOOKUP(A320,Drank!A:T,19,FALSE),"")=0,"",IFERROR(VLOOKUP(A320,Drank!A:T,19,FALSE),""))</f>
        <v>92.166666666666671</v>
      </c>
      <c r="W320" s="1">
        <f>IF(IFERROR(VLOOKUP(A320,Drank!A:T,20,FALSE),"")=0,"",IFERROR(VLOOKUP(A320,Drank!A:T,20,FALSE),""))</f>
        <v>43987</v>
      </c>
      <c r="X320" s="10">
        <f>SUMIF(A:A,A320,I:I)</f>
        <v>4</v>
      </c>
      <c r="Y320" s="10">
        <f>IF(Table1[[#This Row],[Drank]]&gt;0,VLOOKUP(Table1[[#This Row],[ID]],Drank!A:P,16,FALSE),IF(Table1[[#This Row],[WALDD]]&gt;0,VLOOKUP(Table1[[#This Row],[ID]],Wine1!A:Q,17,FALSE),Table1[[#This Row],[EP]]))</f>
        <v>2024</v>
      </c>
      <c r="Z320" s="18">
        <f>IF(Table1[[#This Row],[My Rating]]="",IF(Table1[[#This Row],[WA Rating Clean]]="","",Table1[[#This Row],[WA Rating Clean]]),Table1[[#This Row],[My Rating]])</f>
        <v>92.166666666666671</v>
      </c>
      <c r="AA320" s="37">
        <v>2022</v>
      </c>
      <c r="AB320" s="128">
        <v>21.99</v>
      </c>
      <c r="AC320" s="2">
        <f t="shared" si="27"/>
        <v>21.99</v>
      </c>
      <c r="AD320" s="8">
        <v>2</v>
      </c>
      <c r="AE320" s="37">
        <f>IF(Table1[[#This Row],[P/750]]&lt;20,1,IF(Table1[[#This Row],[P/750]]&lt;50,2,3))</f>
        <v>2</v>
      </c>
      <c r="AF320" s="37">
        <f>IF(Table1[[#This Row],[P/750]]&lt;Expenses!$C$30,1,IF(Table1[[#This Row],[P/750]]&lt;Expenses!$C$31,2,IF(Table1[[#This Row],[P/750]]&lt;Expenses!$C$32,3,4)))</f>
        <v>2</v>
      </c>
      <c r="AH320" s="37" t="s">
        <v>384</v>
      </c>
      <c r="AI320" s="11">
        <f>Table1[[#This Row],[Price]]/Table1[[#This Row],[Size (ml)]]*750</f>
        <v>21.99</v>
      </c>
      <c r="AJ320" s="37">
        <v>93</v>
      </c>
      <c r="AK320" s="37">
        <f>COUNTIF(UniqueID!A:A,Table1[[#This Row],[ID]])</f>
        <v>1</v>
      </c>
      <c r="AL320" s="37" t="str">
        <f>VLOOKUP(Table1[[#This Row],[Cellar Location]],Location!A:F,6,FALSE)</f>
        <v>S</v>
      </c>
      <c r="AO320" s="37" t="str">
        <f>TEXT(Table1[[#This Row],[Purchased]],"mmmm")</f>
        <v>January</v>
      </c>
      <c r="AP320" s="10" t="str">
        <f>TEXT(Table1[[#This Row],[Purchased]],"yyyy")</f>
        <v>1900</v>
      </c>
      <c r="AQ320" s="10"/>
    </row>
    <row r="321" spans="1:43" s="37" customFormat="1" x14ac:dyDescent="0.25">
      <c r="A321" s="37" t="str">
        <f t="shared" si="26"/>
        <v>2004Conterno FantinoBarolo Sori Ginestra</v>
      </c>
      <c r="B321" s="37">
        <v>2004</v>
      </c>
      <c r="C321" s="37" t="s">
        <v>1413</v>
      </c>
      <c r="D321" s="37" t="s">
        <v>1412</v>
      </c>
      <c r="E321" s="67" t="s">
        <v>1206</v>
      </c>
      <c r="F321" s="37" t="s">
        <v>728</v>
      </c>
      <c r="G321" s="37" t="s">
        <v>778</v>
      </c>
      <c r="H321" s="37" t="s">
        <v>268</v>
      </c>
      <c r="I321" s="37">
        <v>1</v>
      </c>
      <c r="J321" s="37">
        <v>750</v>
      </c>
      <c r="K321" s="8" t="s">
        <v>25</v>
      </c>
      <c r="L321" s="10">
        <f>COUNTIF(Drank!A:A,Table1[[#This Row],[ID]])</f>
        <v>0</v>
      </c>
      <c r="M321" s="37" t="s">
        <v>202</v>
      </c>
      <c r="N321" s="37" t="s">
        <v>207</v>
      </c>
      <c r="O321" s="37">
        <v>1</v>
      </c>
      <c r="P321" s="10">
        <v>2014</v>
      </c>
      <c r="Q321" s="37">
        <v>2024</v>
      </c>
      <c r="R321" s="10" t="str">
        <f>IF(IFERROR(VLOOKUP(A321,Drank!A:S,15,FALSE),"")=0,"",IFERROR(VLOOKUP(A321,Drank!A:S,15,FALSE),""))</f>
        <v/>
      </c>
      <c r="S321" s="10" t="str">
        <f>IF(IFERROR(VLOOKUP(A321,Drank!A:S,16,FALSE),"")=0,"",IFERROR(VLOOKUP(A321,Drank!A:S,16,FALSE),""))</f>
        <v/>
      </c>
      <c r="T321" s="10"/>
      <c r="U321" s="37">
        <v>96</v>
      </c>
      <c r="V321" s="18" t="str">
        <f>IF(IFERROR(VLOOKUP(A321,Drank!A:T,19,FALSE),"")=0,"",IFERROR(VLOOKUP(A321,Drank!A:T,19,FALSE),""))</f>
        <v/>
      </c>
      <c r="W321" s="1" t="str">
        <f>IF(IFERROR(VLOOKUP(A321,Drank!A:T,20,FALSE),"")=0,"",IFERROR(VLOOKUP(A321,Drank!A:T,20,FALSE),""))</f>
        <v/>
      </c>
      <c r="X321" s="10">
        <f>SUMIF(A:A,A321,I:I)</f>
        <v>1</v>
      </c>
      <c r="Y321" s="10">
        <f>IF(Table1[[#This Row],[Drank]]&gt;0,VLOOKUP(Table1[[#This Row],[ID]],Drank!A:P,16,FALSE),IF(Table1[[#This Row],[WALDD]]&gt;0,VLOOKUP(Table1[[#This Row],[ID]],Wine1!A:Q,17,FALSE),Table1[[#This Row],[EP]]))</f>
        <v>2024</v>
      </c>
      <c r="Z321" s="18">
        <f>IF(Table1[[#This Row],[My Rating]]="",IF(Table1[[#This Row],[WA Rating Clean]]="","",Table1[[#This Row],[WA Rating Clean]]),Table1[[#This Row],[My Rating]])</f>
        <v>96</v>
      </c>
      <c r="AA321" s="6">
        <v>2021</v>
      </c>
      <c r="AB321" s="128">
        <v>97.85</v>
      </c>
      <c r="AC321" s="2">
        <f t="shared" si="27"/>
        <v>97.85</v>
      </c>
      <c r="AD321" s="8">
        <v>0</v>
      </c>
      <c r="AE321" s="10">
        <f>IF(Table1[[#This Row],[P/750]]&lt;20,1,IF(Table1[[#This Row],[P/750]]&lt;50,2,3))</f>
        <v>3</v>
      </c>
      <c r="AF321" s="10">
        <f>IF(Table1[[#This Row],[P/750]]&lt;Expenses!$C$30,1,IF(Table1[[#This Row],[P/750]]&lt;Expenses!$C$31,2,IF(Table1[[#This Row],[P/750]]&lt;Expenses!$C$32,3,4)))</f>
        <v>4</v>
      </c>
      <c r="AH321" s="37" t="s">
        <v>415</v>
      </c>
      <c r="AI321" s="11">
        <f>Table1[[#This Row],[Price]]/Table1[[#This Row],[Size (ml)]]*750</f>
        <v>97.84999999999998</v>
      </c>
      <c r="AJ321" s="37">
        <v>96</v>
      </c>
      <c r="AK321" s="10">
        <f>COUNTIF(UniqueID!A:A,Table1[[#This Row],[ID]])</f>
        <v>0</v>
      </c>
      <c r="AL321" s="10" t="str">
        <f>VLOOKUP(Table1[[#This Row],[Cellar Location]],Location!A:F,6,FALSE)</f>
        <v>K</v>
      </c>
      <c r="AN321" s="1">
        <v>43975</v>
      </c>
      <c r="AO321" s="10" t="str">
        <f>TEXT(Table1[[#This Row],[Purchased]],"mmmm")</f>
        <v>May</v>
      </c>
      <c r="AP321" s="10" t="str">
        <f>TEXT(Table1[[#This Row],[Purchased]],"yyyy")</f>
        <v>2020</v>
      </c>
      <c r="AQ321" s="10"/>
    </row>
    <row r="322" spans="1:43" s="37" customFormat="1" x14ac:dyDescent="0.25">
      <c r="A322" s="37" t="str">
        <f t="shared" ref="A322:A337" si="28">CONCATENATE(B322,C322,D322)</f>
        <v>2016García FigueroTinto Figuero 12 Tempranillo</v>
      </c>
      <c r="B322" s="37">
        <v>2016</v>
      </c>
      <c r="C322" s="8" t="s">
        <v>1268</v>
      </c>
      <c r="D322" s="37" t="s">
        <v>604</v>
      </c>
      <c r="E322" s="67" t="s">
        <v>1220</v>
      </c>
      <c r="F322" s="37" t="s">
        <v>729</v>
      </c>
      <c r="G322" s="37" t="s">
        <v>1718</v>
      </c>
      <c r="H322" s="37" t="s">
        <v>818</v>
      </c>
      <c r="I322" s="107">
        <v>1</v>
      </c>
      <c r="J322" s="37">
        <v>750</v>
      </c>
      <c r="K322" s="107" t="s">
        <v>655</v>
      </c>
      <c r="L322" s="37">
        <f>COUNTIF(Drank!A:A,Table1[[#This Row],[ID]])</f>
        <v>2</v>
      </c>
      <c r="M322" s="37" t="s">
        <v>202</v>
      </c>
      <c r="N322" s="37" t="s">
        <v>207</v>
      </c>
      <c r="O322" s="37">
        <v>1</v>
      </c>
      <c r="P322" s="10">
        <v>2018</v>
      </c>
      <c r="Q322" s="37">
        <v>2021</v>
      </c>
      <c r="R322" s="10">
        <f>IF(IFERROR(VLOOKUP(A322,Drank!A:S,15,FALSE),"")=0,"",IFERROR(VLOOKUP(A322,Drank!A:S,15,FALSE),""))</f>
        <v>2021</v>
      </c>
      <c r="S322" s="10">
        <f>IF(IFERROR(VLOOKUP(A322,Drank!A:S,16,FALSE),"")=0,"",IFERROR(VLOOKUP(A322,Drank!A:S,16,FALSE),""))</f>
        <v>2024</v>
      </c>
      <c r="T322" s="10"/>
      <c r="U322" s="37">
        <v>90</v>
      </c>
      <c r="V322" s="18">
        <f>IF(IFERROR(VLOOKUP(A322,Drank!A:T,19,FALSE),"")=0,"",IFERROR(VLOOKUP(A322,Drank!A:T,19,FALSE),""))</f>
        <v>90</v>
      </c>
      <c r="W322" s="1">
        <f>IF(IFERROR(VLOOKUP(A322,Drank!A:T,20,FALSE),"")=0,"",IFERROR(VLOOKUP(A322,Drank!A:T,20,FALSE),""))</f>
        <v>43940</v>
      </c>
      <c r="X322" s="10">
        <f>SUMIF(A:A,A322,I:I)</f>
        <v>2</v>
      </c>
      <c r="Y322" s="10">
        <f>IF(Table1[[#This Row],[Drank]]&gt;0,VLOOKUP(Table1[[#This Row],[ID]],Drank!A:P,16,FALSE),IF(Table1[[#This Row],[WALDD]]&gt;0,VLOOKUP(Table1[[#This Row],[ID]],Wine1!A:Q,17,FALSE),Table1[[#This Row],[EP]]))</f>
        <v>2024</v>
      </c>
      <c r="Z322" s="18">
        <f>IF(Table1[[#This Row],[My Rating]]="",IF(Table1[[#This Row],[WA Rating Clean]]="","",Table1[[#This Row],[WA Rating Clean]]),Table1[[#This Row],[My Rating]])</f>
        <v>90</v>
      </c>
      <c r="AA322" s="37">
        <v>2022</v>
      </c>
      <c r="AB322" s="128">
        <v>17.989999999999998</v>
      </c>
      <c r="AC322" s="2">
        <f t="shared" ref="AC322:AC337" si="29">AB322*I322</f>
        <v>17.989999999999998</v>
      </c>
      <c r="AD322" s="8">
        <v>2</v>
      </c>
      <c r="AE322" s="10">
        <f>IF(Table1[[#This Row],[P/750]]&lt;20,1,IF(Table1[[#This Row],[P/750]]&lt;50,2,3))</f>
        <v>1</v>
      </c>
      <c r="AF322" s="10">
        <f>IF(Table1[[#This Row],[P/750]]&lt;Expenses!$C$30,1,IF(Table1[[#This Row],[P/750]]&lt;Expenses!$C$31,2,IF(Table1[[#This Row],[P/750]]&lt;Expenses!$C$32,3,4)))</f>
        <v>2</v>
      </c>
      <c r="AH322" s="37" t="s">
        <v>384</v>
      </c>
      <c r="AI322" s="11">
        <f>Table1[[#This Row],[Price]]/Table1[[#This Row],[Size (ml)]]*750</f>
        <v>17.989999999999998</v>
      </c>
      <c r="AJ322" s="37">
        <v>90</v>
      </c>
      <c r="AK322" s="37">
        <f>COUNTIF(UniqueID!A:A,Table1[[#This Row],[ID]])</f>
        <v>1</v>
      </c>
      <c r="AL322" s="37" t="str">
        <f>VLOOKUP(Table1[[#This Row],[Cellar Location]],Location!A:F,6,FALSE)</f>
        <v>S</v>
      </c>
      <c r="AO322" s="37" t="str">
        <f>TEXT(Table1[[#This Row],[Purchased]],"mmmm")</f>
        <v>January</v>
      </c>
      <c r="AP322" s="10" t="str">
        <f>TEXT(Table1[[#This Row],[Purchased]],"yyyy")</f>
        <v>1900</v>
      </c>
      <c r="AQ322" s="10"/>
    </row>
    <row r="323" spans="1:43" s="37" customFormat="1" x14ac:dyDescent="0.25">
      <c r="A323" s="37" t="str">
        <f t="shared" si="28"/>
        <v>2013LutumPinot Noir Gap's Crown Vineyard</v>
      </c>
      <c r="B323" s="37">
        <v>2013</v>
      </c>
      <c r="C323" s="37" t="s">
        <v>333</v>
      </c>
      <c r="D323" s="25" t="s">
        <v>334</v>
      </c>
      <c r="E323" s="64" t="s">
        <v>263</v>
      </c>
      <c r="F323" s="37" t="s">
        <v>727</v>
      </c>
      <c r="G323" s="37" t="s">
        <v>806</v>
      </c>
      <c r="H323" s="37" t="s">
        <v>831</v>
      </c>
      <c r="I323" s="107">
        <v>1</v>
      </c>
      <c r="J323" s="37">
        <v>750</v>
      </c>
      <c r="K323" s="107" t="s">
        <v>926</v>
      </c>
      <c r="L323" s="37">
        <f>COUNTIF(Drank!A:A,Table1[[#This Row],[ID]])</f>
        <v>1</v>
      </c>
      <c r="M323" s="37" t="s">
        <v>202</v>
      </c>
      <c r="N323" s="37" t="s">
        <v>207</v>
      </c>
      <c r="O323" s="37">
        <v>1</v>
      </c>
      <c r="P323" s="37">
        <v>2016</v>
      </c>
      <c r="Q323" s="37">
        <v>2023</v>
      </c>
      <c r="R323" s="10">
        <f>IF(IFERROR(VLOOKUP(A323,Drank!A:S,15,FALSE),"")=0,"",IFERROR(VLOOKUP(A323,Drank!A:S,15,FALSE),""))</f>
        <v>2022</v>
      </c>
      <c r="S323" s="10">
        <f>IF(IFERROR(VLOOKUP(A323,Drank!A:S,16,FALSE),"")=0,"",IFERROR(VLOOKUP(A323,Drank!A:S,16,FALSE),""))</f>
        <v>2024</v>
      </c>
      <c r="T323" s="10"/>
      <c r="U323" s="37">
        <v>94</v>
      </c>
      <c r="V323" s="18">
        <f>IF(IFERROR(VLOOKUP(A323,Drank!A:T,19,FALSE),"")=0,"",IFERROR(VLOOKUP(A323,Drank!A:T,19,FALSE),""))</f>
        <v>94</v>
      </c>
      <c r="W323" s="1">
        <f>IF(IFERROR(VLOOKUP(A323,Drank!A:T,20,FALSE),"")=0,"",IFERROR(VLOOKUP(A323,Drank!A:T,20,FALSE),""))</f>
        <v>43631</v>
      </c>
      <c r="X323" s="10">
        <f>SUMIF(A:A,A323,I:I)</f>
        <v>1</v>
      </c>
      <c r="Y323" s="37">
        <f>IF(Table1[[#This Row],[Drank]]&gt;0,VLOOKUP(Table1[[#This Row],[ID]],Drank!A:P,16,FALSE),IF(Table1[[#This Row],[WALDD]]&gt;0,VLOOKUP(Table1[[#This Row],[ID]],Wine1!A:Q,17,FALSE),Table1[[#This Row],[EP]]))</f>
        <v>2024</v>
      </c>
      <c r="Z323" s="18">
        <f>IF(Table1[[#This Row],[My Rating]]="",IF(Table1[[#This Row],[WA Rating Clean]]="","",Table1[[#This Row],[WA Rating Clean]]),Table1[[#This Row],[My Rating]])</f>
        <v>94</v>
      </c>
      <c r="AA323" s="37">
        <v>2022</v>
      </c>
      <c r="AB323" s="128">
        <v>35</v>
      </c>
      <c r="AC323" s="2">
        <f t="shared" si="29"/>
        <v>35</v>
      </c>
      <c r="AD323" s="8">
        <v>2</v>
      </c>
      <c r="AE323" s="8">
        <f>IF(Table1[[#This Row],[P/750]]&lt;20,1,IF(Table1[[#This Row],[P/750]]&lt;50,2,3))</f>
        <v>2</v>
      </c>
      <c r="AF323" s="8">
        <f>IF(Table1[[#This Row],[P/750]]&lt;Expenses!$C$30,1,IF(Table1[[#This Row],[P/750]]&lt;Expenses!$C$31,2,IF(Table1[[#This Row],[P/750]]&lt;Expenses!$C$32,3,4)))</f>
        <v>3</v>
      </c>
      <c r="AH323" s="37" t="s">
        <v>385</v>
      </c>
      <c r="AI323" s="11">
        <f>Table1[[#This Row],[Price]]/Table1[[#This Row],[Size (ml)]]*750</f>
        <v>35</v>
      </c>
      <c r="AJ323" s="37">
        <v>94</v>
      </c>
      <c r="AK323" s="37">
        <f>COUNTIF(UniqueID!A:A,Table1[[#This Row],[ID]])</f>
        <v>1</v>
      </c>
      <c r="AL323" s="37" t="str">
        <f>VLOOKUP(Table1[[#This Row],[Cellar Location]],Location!A:F,6,FALSE)</f>
        <v>S</v>
      </c>
      <c r="AO323" s="37" t="str">
        <f>TEXT(Table1[[#This Row],[Purchased]],"mmmm")</f>
        <v>January</v>
      </c>
      <c r="AP323" s="10" t="str">
        <f>TEXT(Table1[[#This Row],[Purchased]],"yyyy")</f>
        <v>1900</v>
      </c>
      <c r="AQ323" s="10"/>
    </row>
    <row r="324" spans="1:43" s="37" customFormat="1" x14ac:dyDescent="0.25">
      <c r="A324" s="37" t="str">
        <f t="shared" si="28"/>
        <v>2005Pierre UsseglioChateauneuf du Pape</v>
      </c>
      <c r="B324" s="37">
        <v>2005</v>
      </c>
      <c r="C324" s="37" t="s">
        <v>1126</v>
      </c>
      <c r="D324" s="37" t="s">
        <v>1106</v>
      </c>
      <c r="E324" s="67" t="s">
        <v>1171</v>
      </c>
      <c r="F324" s="37" t="s">
        <v>742</v>
      </c>
      <c r="G324" s="37" t="s">
        <v>759</v>
      </c>
      <c r="H324" s="37" t="s">
        <v>762</v>
      </c>
      <c r="I324" s="107">
        <v>1</v>
      </c>
      <c r="J324" s="37">
        <v>750</v>
      </c>
      <c r="K324" s="107" t="s">
        <v>1195</v>
      </c>
      <c r="L324" s="10">
        <f>COUNTIF(Drank!A:A,Table1[[#This Row],[ID]])</f>
        <v>1</v>
      </c>
      <c r="M324" s="37" t="s">
        <v>202</v>
      </c>
      <c r="N324" s="37" t="s">
        <v>207</v>
      </c>
      <c r="O324" s="37">
        <v>1</v>
      </c>
      <c r="P324" s="10">
        <v>2015</v>
      </c>
      <c r="Q324" s="37">
        <v>2021</v>
      </c>
      <c r="R324" s="10">
        <f>IF(IFERROR(VLOOKUP(A324,Drank!A:S,15,FALSE),"")=0,"",IFERROR(VLOOKUP(A324,Drank!A:S,15,FALSE),""))</f>
        <v>2024</v>
      </c>
      <c r="S324" s="10">
        <f>IF(IFERROR(VLOOKUP(A324,Drank!A:S,16,FALSE),"")=0,"",IFERROR(VLOOKUP(A324,Drank!A:S,16,FALSE),""))</f>
        <v>2024</v>
      </c>
      <c r="T324" s="10"/>
      <c r="U324" s="37">
        <v>91</v>
      </c>
      <c r="V324" s="18">
        <f>IF(IFERROR(VLOOKUP(A324,Drank!A:T,19,FALSE),"")=0,"",IFERROR(VLOOKUP(A324,Drank!A:T,19,FALSE),""))</f>
        <v>92</v>
      </c>
      <c r="W324" s="1">
        <f>IF(IFERROR(VLOOKUP(A324,Drank!A:T,20,FALSE),"")=0,"",IFERROR(VLOOKUP(A324,Drank!A:T,20,FALSE),""))</f>
        <v>43862</v>
      </c>
      <c r="X324" s="10">
        <f>SUMIF(A:A,A324,I:I)</f>
        <v>3</v>
      </c>
      <c r="Y324" s="10">
        <f>IF(Table1[[#This Row],[Drank]]&gt;0,VLOOKUP(Table1[[#This Row],[ID]],Drank!A:P,16,FALSE),IF(Table1[[#This Row],[WALDD]]&gt;0,VLOOKUP(Table1[[#This Row],[ID]],Wine1!A:Q,17,FALSE),Table1[[#This Row],[EP]]))</f>
        <v>2024</v>
      </c>
      <c r="Z324" s="18">
        <f>IF(Table1[[#This Row],[My Rating]]="",IF(Table1[[#This Row],[WA Rating Clean]]="","",Table1[[#This Row],[WA Rating Clean]]),Table1[[#This Row],[My Rating]])</f>
        <v>92</v>
      </c>
      <c r="AA324" s="37">
        <v>2022</v>
      </c>
      <c r="AB324" s="128">
        <v>43.85</v>
      </c>
      <c r="AC324" s="2">
        <f t="shared" si="29"/>
        <v>43.85</v>
      </c>
      <c r="AD324" s="8">
        <v>2</v>
      </c>
      <c r="AE324" s="10">
        <f>IF(Table1[[#This Row],[P/750]]&lt;20,1,IF(Table1[[#This Row],[P/750]]&lt;50,2,3))</f>
        <v>2</v>
      </c>
      <c r="AF324" s="10">
        <f>IF(Table1[[#This Row],[P/750]]&lt;Expenses!$C$30,1,IF(Table1[[#This Row],[P/750]]&lt;Expenses!$C$31,2,IF(Table1[[#This Row],[P/750]]&lt;Expenses!$C$32,3,4)))</f>
        <v>3</v>
      </c>
      <c r="AH324" s="37" t="s">
        <v>415</v>
      </c>
      <c r="AI324" s="11">
        <f>Table1[[#This Row],[Price]]/Table1[[#This Row],[Size (ml)]]*750</f>
        <v>43.85</v>
      </c>
      <c r="AJ324" s="37">
        <v>91</v>
      </c>
      <c r="AK324" s="10">
        <f>COUNTIF(UniqueID!A:A,Table1[[#This Row],[ID]])</f>
        <v>1</v>
      </c>
      <c r="AL324" s="10" t="str">
        <f>VLOOKUP(Table1[[#This Row],[Cellar Location]],Location!A:F,6,FALSE)</f>
        <v>S</v>
      </c>
      <c r="AN324" s="1">
        <v>43975</v>
      </c>
      <c r="AO324" s="37" t="str">
        <f>TEXT(Table1[[#This Row],[Purchased]],"mmmm")</f>
        <v>May</v>
      </c>
      <c r="AP324" s="10" t="str">
        <f>TEXT(Table1[[#This Row],[Purchased]],"yyyy")</f>
        <v>2020</v>
      </c>
      <c r="AQ324" s="10"/>
    </row>
    <row r="325" spans="1:43" s="37" customFormat="1" x14ac:dyDescent="0.25">
      <c r="A325" s="37" t="str">
        <f t="shared" si="28"/>
        <v>2005EscuderoVidau</v>
      </c>
      <c r="B325" s="37">
        <v>2005</v>
      </c>
      <c r="C325" s="37" t="s">
        <v>217</v>
      </c>
      <c r="D325" s="37" t="s">
        <v>1658</v>
      </c>
      <c r="E325" s="67" t="s">
        <v>1659</v>
      </c>
      <c r="F325" s="37" t="s">
        <v>729</v>
      </c>
      <c r="G325" s="37" t="s">
        <v>823</v>
      </c>
      <c r="I325" s="8">
        <v>1</v>
      </c>
      <c r="J325" s="37">
        <v>750</v>
      </c>
      <c r="K325" s="8" t="s">
        <v>929</v>
      </c>
      <c r="L325" s="10">
        <f>COUNTIF(Drank!A:A,Table1[[#This Row],[ID]])</f>
        <v>1</v>
      </c>
      <c r="M325" s="37" t="s">
        <v>202</v>
      </c>
      <c r="N325" s="37" t="s">
        <v>207</v>
      </c>
      <c r="O325" s="37">
        <v>1</v>
      </c>
      <c r="P325" s="10">
        <v>2010</v>
      </c>
      <c r="Q325" s="37">
        <v>2020</v>
      </c>
      <c r="R325" s="10" t="str">
        <f>IF(IFERROR(VLOOKUP(A325,Drank!A:S,15,FALSE),"")=0,"",IFERROR(VLOOKUP(A325,Drank!A:S,15,FALSE),""))</f>
        <v/>
      </c>
      <c r="S325" s="10">
        <f>IF(IFERROR(VLOOKUP(A325,Drank!A:S,16,FALSE),"")=0,"",IFERROR(VLOOKUP(A325,Drank!A:S,16,FALSE),""))</f>
        <v>2025</v>
      </c>
      <c r="T325" s="10"/>
      <c r="U325" s="37" t="s">
        <v>1404</v>
      </c>
      <c r="V325" s="18">
        <f>IF(IFERROR(VLOOKUP(A325,Drank!A:T,19,FALSE),"")=0,"",IFERROR(VLOOKUP(A325,Drank!A:T,19,FALSE),""))</f>
        <v>92</v>
      </c>
      <c r="W325" s="1">
        <f>IF(IFERROR(VLOOKUP(A325,Drank!A:T,20,FALSE),"")=0,"",IFERROR(VLOOKUP(A325,Drank!A:T,20,FALSE),""))</f>
        <v>44062</v>
      </c>
      <c r="X325" s="10">
        <f>SUMIF(A:A,A325,I:I)</f>
        <v>11</v>
      </c>
      <c r="Y325" s="10">
        <f>IF(Table1[[#This Row],[Drank]]&gt;0,VLOOKUP(Table1[[#This Row],[ID]],Drank!A:P,16,FALSE),IF(Table1[[#This Row],[WALDD]]&gt;0,VLOOKUP(Table1[[#This Row],[ID]],Wine1!A:Q,17,FALSE),Table1[[#This Row],[EP]]))</f>
        <v>2025</v>
      </c>
      <c r="Z325" s="18">
        <f>IF(Table1[[#This Row],[My Rating]]="",IF(Table1[[#This Row],[WA Rating Clean]]="","",Table1[[#This Row],[WA Rating Clean]]),Table1[[#This Row],[My Rating]])</f>
        <v>92</v>
      </c>
      <c r="AA325" s="37">
        <v>2022</v>
      </c>
      <c r="AB325" s="128">
        <v>21.72</v>
      </c>
      <c r="AC325" s="2">
        <f t="shared" si="29"/>
        <v>21.72</v>
      </c>
      <c r="AD325" s="8">
        <v>0</v>
      </c>
      <c r="AE325" s="10">
        <f>IF(Table1[[#This Row],[P/750]]&lt;20,1,IF(Table1[[#This Row],[P/750]]&lt;50,2,3))</f>
        <v>2</v>
      </c>
      <c r="AF325" s="10">
        <f>IF(Table1[[#This Row],[P/750]]&lt;Expenses!$C$30,1,IF(Table1[[#This Row],[P/750]]&lt;Expenses!$C$31,2,IF(Table1[[#This Row],[P/750]]&lt;Expenses!$C$32,3,4)))</f>
        <v>2</v>
      </c>
      <c r="AH325" s="37" t="s">
        <v>384</v>
      </c>
      <c r="AI325" s="11">
        <f>Table1[[#This Row],[Price]]/Table1[[#This Row],[Size (ml)]]*750</f>
        <v>21.72</v>
      </c>
      <c r="AJ325" s="37">
        <v>90</v>
      </c>
      <c r="AK325" s="10">
        <f>COUNTIF(UniqueID!A:A,Table1[[#This Row],[ID]])</f>
        <v>0</v>
      </c>
      <c r="AL325" s="10" t="str">
        <f>VLOOKUP(Table1[[#This Row],[Cellar Location]],Location!A:F,6,FALSE)</f>
        <v>C</v>
      </c>
      <c r="AN325" s="1">
        <v>44060</v>
      </c>
      <c r="AO325" s="10" t="str">
        <f>TEXT(Table1[[#This Row],[Purchased]],"mmmm")</f>
        <v>August</v>
      </c>
      <c r="AP325" s="10" t="str">
        <f>TEXT(Table1[[#This Row],[Purchased]],"yyyy")</f>
        <v>2020</v>
      </c>
      <c r="AQ325" s="10"/>
    </row>
    <row r="326" spans="1:43" s="37" customFormat="1" x14ac:dyDescent="0.25">
      <c r="A326" s="37" t="str">
        <f t="shared" si="28"/>
        <v>2005EscuderoVidau</v>
      </c>
      <c r="B326" s="37">
        <v>2005</v>
      </c>
      <c r="C326" s="37" t="s">
        <v>217</v>
      </c>
      <c r="D326" s="37" t="s">
        <v>1658</v>
      </c>
      <c r="E326" s="67" t="s">
        <v>1659</v>
      </c>
      <c r="F326" s="37" t="s">
        <v>729</v>
      </c>
      <c r="G326" s="37" t="s">
        <v>823</v>
      </c>
      <c r="I326" s="8">
        <v>1</v>
      </c>
      <c r="J326" s="38">
        <v>750</v>
      </c>
      <c r="K326" s="38" t="s">
        <v>384</v>
      </c>
      <c r="L326" s="10">
        <f>COUNTIF(Drank!A:A,Table1[[#This Row],[ID]])</f>
        <v>1</v>
      </c>
      <c r="M326" s="37" t="s">
        <v>202</v>
      </c>
      <c r="N326" s="37" t="s">
        <v>207</v>
      </c>
      <c r="O326" s="37">
        <v>1</v>
      </c>
      <c r="P326" s="10">
        <v>2010</v>
      </c>
      <c r="Q326" s="37">
        <v>2020</v>
      </c>
      <c r="R326" s="10" t="str">
        <f>IF(IFERROR(VLOOKUP(A326,Drank!A:S,15,FALSE),"")=0,"",IFERROR(VLOOKUP(A326,Drank!A:S,15,FALSE),""))</f>
        <v/>
      </c>
      <c r="S326" s="10">
        <f>IF(IFERROR(VLOOKUP(A326,Drank!A:S,16,FALSE),"")=0,"",IFERROR(VLOOKUP(A326,Drank!A:S,16,FALSE),""))</f>
        <v>2025</v>
      </c>
      <c r="T326" s="10"/>
      <c r="U326" s="37" t="s">
        <v>1404</v>
      </c>
      <c r="V326" s="18">
        <f>IF(IFERROR(VLOOKUP(A326,Drank!A:T,19,FALSE),"")=0,"",IFERROR(VLOOKUP(A326,Drank!A:T,19,FALSE),""))</f>
        <v>92</v>
      </c>
      <c r="W326" s="1">
        <f>IF(IFERROR(VLOOKUP(A326,Drank!A:T,20,FALSE),"")=0,"",IFERROR(VLOOKUP(A326,Drank!A:T,20,FALSE),""))</f>
        <v>44062</v>
      </c>
      <c r="X326" s="10">
        <f>SUMIF(A:A,A326,I:I)</f>
        <v>11</v>
      </c>
      <c r="Y326" s="10">
        <f>IF(Table1[[#This Row],[Drank]]&gt;0,VLOOKUP(Table1[[#This Row],[ID]],Drank!A:P,16,FALSE),IF(Table1[[#This Row],[WALDD]]&gt;0,VLOOKUP(Table1[[#This Row],[ID]],Wine1!A:Q,17,FALSE),Table1[[#This Row],[EP]]))</f>
        <v>2025</v>
      </c>
      <c r="Z326" s="18">
        <f>IF(Table1[[#This Row],[My Rating]]="",IF(Table1[[#This Row],[WA Rating Clean]]="","",Table1[[#This Row],[WA Rating Clean]]),Table1[[#This Row],[My Rating]])</f>
        <v>92</v>
      </c>
      <c r="AA326" s="37">
        <v>2022</v>
      </c>
      <c r="AB326" s="128">
        <v>21.71</v>
      </c>
      <c r="AC326" s="2">
        <f t="shared" si="29"/>
        <v>21.71</v>
      </c>
      <c r="AD326" s="8">
        <v>1</v>
      </c>
      <c r="AE326" s="10">
        <f>IF(Table1[[#This Row],[P/750]]&lt;20,1,IF(Table1[[#This Row],[P/750]]&lt;50,2,3))</f>
        <v>2</v>
      </c>
      <c r="AF326" s="10">
        <f>IF(Table1[[#This Row],[P/750]]&lt;Expenses!$C$30,1,IF(Table1[[#This Row],[P/750]]&lt;Expenses!$C$31,2,IF(Table1[[#This Row],[P/750]]&lt;Expenses!$C$32,3,4)))</f>
        <v>2</v>
      </c>
      <c r="AH326" s="37" t="s">
        <v>384</v>
      </c>
      <c r="AI326" s="11">
        <f>Table1[[#This Row],[Price]]/Table1[[#This Row],[Size (ml)]]*750</f>
        <v>21.71</v>
      </c>
      <c r="AJ326" s="37">
        <v>90</v>
      </c>
      <c r="AK326" s="10">
        <f>COUNTIF(UniqueID!A:A,Table1[[#This Row],[ID]])</f>
        <v>0</v>
      </c>
      <c r="AL326" s="10" t="str">
        <f>VLOOKUP(Table1[[#This Row],[Cellar Location]],Location!A:F,6,FALSE)</f>
        <v>W</v>
      </c>
      <c r="AN326" s="1">
        <v>44063</v>
      </c>
      <c r="AO326" s="10" t="str">
        <f>TEXT(Table1[[#This Row],[Purchased]],"mmmm")</f>
        <v>August</v>
      </c>
      <c r="AP326" s="10" t="str">
        <f>TEXT(Table1[[#This Row],[Purchased]],"yyyy")</f>
        <v>2020</v>
      </c>
      <c r="AQ326" s="1">
        <v>44131</v>
      </c>
    </row>
    <row r="327" spans="1:43" s="37" customFormat="1" x14ac:dyDescent="0.25">
      <c r="A327" s="37" t="str">
        <f t="shared" si="28"/>
        <v>2017Vintage LongbottomHenry's Drive Shiraz-Cabernet Sauvignon</v>
      </c>
      <c r="B327" s="8">
        <v>2017</v>
      </c>
      <c r="C327" s="37" t="s">
        <v>1547</v>
      </c>
      <c r="D327" s="32" t="s">
        <v>1550</v>
      </c>
      <c r="E327" s="67" t="s">
        <v>1551</v>
      </c>
      <c r="F327" s="37" t="s">
        <v>736</v>
      </c>
      <c r="G327" s="37" t="s">
        <v>737</v>
      </c>
      <c r="I327" s="37">
        <v>1</v>
      </c>
      <c r="J327" s="38">
        <v>750</v>
      </c>
      <c r="K327" s="38" t="s">
        <v>384</v>
      </c>
      <c r="L327" s="10">
        <f>COUNTIF(Drank!A:A,Table1[[#This Row],[ID]])</f>
        <v>0</v>
      </c>
      <c r="M327" s="37" t="s">
        <v>202</v>
      </c>
      <c r="N327" s="37" t="s">
        <v>207</v>
      </c>
      <c r="O327" s="37">
        <v>1</v>
      </c>
      <c r="P327" s="37">
        <v>2019</v>
      </c>
      <c r="Q327" s="37">
        <v>2025</v>
      </c>
      <c r="R327" s="10" t="str">
        <f>IF(IFERROR(VLOOKUP(A327,Drank!A:S,15,FALSE),"")=0,"",IFERROR(VLOOKUP(A327,Drank!A:S,15,FALSE),""))</f>
        <v/>
      </c>
      <c r="S327" s="10" t="str">
        <f>IF(IFERROR(VLOOKUP(A327,Drank!A:S,16,FALSE),"")=0,"",IFERROR(VLOOKUP(A327,Drank!A:S,16,FALSE),""))</f>
        <v/>
      </c>
      <c r="T327" s="10"/>
      <c r="U327" s="37">
        <v>91</v>
      </c>
      <c r="V327" s="18" t="str">
        <f>IF(IFERROR(VLOOKUP(A327,Drank!A:T,19,FALSE),"")=0,"",IFERROR(VLOOKUP(A327,Drank!A:T,19,FALSE),""))</f>
        <v/>
      </c>
      <c r="W327" s="1" t="str">
        <f>IF(IFERROR(VLOOKUP(A327,Drank!A:T,20,FALSE),"")=0,"",IFERROR(VLOOKUP(A327,Drank!A:T,20,FALSE),""))</f>
        <v/>
      </c>
      <c r="X327" s="10">
        <f>SUMIF(A:A,A327,I:I)</f>
        <v>4</v>
      </c>
      <c r="Y327" s="10">
        <f>IF(Table1[[#This Row],[Drank]]&gt;0,VLOOKUP(Table1[[#This Row],[ID]],Drank!A:P,16,FALSE),IF(Table1[[#This Row],[WALDD]]&gt;0,VLOOKUP(Table1[[#This Row],[ID]],Wine1!A:Q,17,FALSE),Table1[[#This Row],[EP]]))</f>
        <v>2025</v>
      </c>
      <c r="Z327" s="18">
        <f>IF(Table1[[#This Row],[My Rating]]="",IF(Table1[[#This Row],[WA Rating Clean]]="","",Table1[[#This Row],[WA Rating Clean]]),Table1[[#This Row],[My Rating]])</f>
        <v>91</v>
      </c>
      <c r="AA327" s="37">
        <v>2022</v>
      </c>
      <c r="AB327" s="128">
        <v>21.72</v>
      </c>
      <c r="AC327" s="2">
        <f t="shared" si="29"/>
        <v>21.72</v>
      </c>
      <c r="AD327" s="8">
        <v>1</v>
      </c>
      <c r="AE327" s="10">
        <f>IF(Table1[[#This Row],[P/750]]&lt;20,1,IF(Table1[[#This Row],[P/750]]&lt;50,2,3))</f>
        <v>2</v>
      </c>
      <c r="AF327" s="10">
        <f>IF(Table1[[#This Row],[P/750]]&lt;Expenses!$C$30,1,IF(Table1[[#This Row],[P/750]]&lt;Expenses!$C$31,2,IF(Table1[[#This Row],[P/750]]&lt;Expenses!$C$32,3,4)))</f>
        <v>2</v>
      </c>
      <c r="AH327" s="37" t="s">
        <v>384</v>
      </c>
      <c r="AI327" s="11">
        <f>Table1[[#This Row],[Price]]/Table1[[#This Row],[Size (ml)]]*750</f>
        <v>21.72</v>
      </c>
      <c r="AJ327" s="37">
        <v>91</v>
      </c>
      <c r="AK327" s="10">
        <f>COUNTIF(UniqueID!A:A,Table1[[#This Row],[ID]])</f>
        <v>0</v>
      </c>
      <c r="AL327" s="10" t="str">
        <f>VLOOKUP(Table1[[#This Row],[Cellar Location]],Location!A:F,6,FALSE)</f>
        <v>W</v>
      </c>
      <c r="AN327" s="1">
        <v>44041</v>
      </c>
      <c r="AO327" s="10" t="str">
        <f>TEXT(Table1[[#This Row],[Purchased]],"mmmm")</f>
        <v>July</v>
      </c>
      <c r="AP327" s="10" t="str">
        <f>TEXT(Table1[[#This Row],[Purchased]],"yyyy")</f>
        <v>2020</v>
      </c>
      <c r="AQ327" s="1">
        <v>44138</v>
      </c>
    </row>
    <row r="328" spans="1:43" s="37" customFormat="1" x14ac:dyDescent="0.25">
      <c r="A328" s="37" t="str">
        <f t="shared" si="28"/>
        <v>2014Los Frailes1771</v>
      </c>
      <c r="B328" s="8">
        <v>2014</v>
      </c>
      <c r="C328" s="8" t="s">
        <v>242</v>
      </c>
      <c r="D328" s="33">
        <v>1771</v>
      </c>
      <c r="E328" s="67" t="s">
        <v>1223</v>
      </c>
      <c r="F328" s="37" t="s">
        <v>729</v>
      </c>
      <c r="G328" s="37" t="s">
        <v>826</v>
      </c>
      <c r="I328" s="107">
        <v>1</v>
      </c>
      <c r="J328" s="37">
        <v>750</v>
      </c>
      <c r="K328" s="107" t="s">
        <v>649</v>
      </c>
      <c r="L328" s="37">
        <f>COUNTIF(Drank!A:A,Table1[[#This Row],[ID]])</f>
        <v>5</v>
      </c>
      <c r="M328" s="37" t="s">
        <v>202</v>
      </c>
      <c r="N328" s="37" t="s">
        <v>207</v>
      </c>
      <c r="O328" s="37">
        <v>1</v>
      </c>
      <c r="P328" s="37">
        <v>2018</v>
      </c>
      <c r="Q328" s="37">
        <v>2023</v>
      </c>
      <c r="R328" s="37">
        <f>IF(IFERROR(VLOOKUP(A328,Drank!A:S,15,FALSE),"")=0,"",IFERROR(VLOOKUP(A328,Drank!A:S,15,FALSE),""))</f>
        <v>2021</v>
      </c>
      <c r="S328" s="37">
        <f>IF(IFERROR(VLOOKUP(A328,Drank!A:S,16,FALSE),"")=0,"",IFERROR(VLOOKUP(A328,Drank!A:S,16,FALSE),""))</f>
        <v>2025</v>
      </c>
      <c r="U328" s="37">
        <v>93</v>
      </c>
      <c r="V328" s="18">
        <f>IF(IFERROR(VLOOKUP(A328,Drank!A:T,19,FALSE),"")=0,"",IFERROR(VLOOKUP(A328,Drank!A:T,19,FALSE),""))</f>
        <v>92.4</v>
      </c>
      <c r="W328" s="1">
        <f>IF(IFERROR(VLOOKUP(A328,Drank!A:T,20,FALSE),"")=0,"",IFERROR(VLOOKUP(A328,Drank!A:T,20,FALSE),""))</f>
        <v>44052</v>
      </c>
      <c r="X328" s="37">
        <f>SUMIF(A:A,A328,I:I)</f>
        <v>9</v>
      </c>
      <c r="Y328" s="37">
        <f>IF(Table1[[#This Row],[Drank]]&gt;0,VLOOKUP(Table1[[#This Row],[ID]],Drank!A:P,16,FALSE),IF(Table1[[#This Row],[WALDD]]&gt;0,VLOOKUP(Table1[[#This Row],[ID]],Wine1!A:Q,17,FALSE),Table1[[#This Row],[EP]]))</f>
        <v>2025</v>
      </c>
      <c r="Z328" s="18">
        <f>IF(Table1[[#This Row],[My Rating]]="",IF(Table1[[#This Row],[WA Rating Clean]]="","",Table1[[#This Row],[WA Rating Clean]]),Table1[[#This Row],[My Rating]])</f>
        <v>92.4</v>
      </c>
      <c r="AA328" s="37">
        <v>2022</v>
      </c>
      <c r="AB328" s="128">
        <v>19.5</v>
      </c>
      <c r="AC328" s="2">
        <f t="shared" si="29"/>
        <v>19.5</v>
      </c>
      <c r="AD328" s="8">
        <v>2</v>
      </c>
      <c r="AE328" s="37">
        <f>IF(Table1[[#This Row],[P/750]]&lt;20,1,IF(Table1[[#This Row],[P/750]]&lt;50,2,3))</f>
        <v>1</v>
      </c>
      <c r="AF328" s="37">
        <f>IF(Table1[[#This Row],[P/750]]&lt;Expenses!$C$30,1,IF(Table1[[#This Row],[P/750]]&lt;Expenses!$C$31,2,IF(Table1[[#This Row],[P/750]]&lt;Expenses!$C$32,3,4)))</f>
        <v>2</v>
      </c>
      <c r="AH328" s="37" t="s">
        <v>385</v>
      </c>
      <c r="AI328" s="11">
        <f>Table1[[#This Row],[Price]]/Table1[[#This Row],[Size (ml)]]*750</f>
        <v>19.5</v>
      </c>
      <c r="AJ328" s="37">
        <v>93</v>
      </c>
      <c r="AK328" s="37">
        <f>COUNTIF(UniqueID!A:A,Table1[[#This Row],[ID]])</f>
        <v>1</v>
      </c>
      <c r="AL328" s="37" t="str">
        <f>VLOOKUP(Table1[[#This Row],[Cellar Location]],Location!A:F,6,FALSE)</f>
        <v>S</v>
      </c>
      <c r="AO328" s="37" t="str">
        <f>TEXT(Table1[[#This Row],[Purchased]],"mmmm")</f>
        <v>January</v>
      </c>
      <c r="AP328" s="10" t="str">
        <f>TEXT(Table1[[#This Row],[Purchased]],"yyyy")</f>
        <v>1900</v>
      </c>
      <c r="AQ328" s="10"/>
    </row>
    <row r="329" spans="1:43" s="37" customFormat="1" x14ac:dyDescent="0.25">
      <c r="A329" s="37" t="str">
        <f t="shared" si="28"/>
        <v>2014Los Frailes1771</v>
      </c>
      <c r="B329" s="8">
        <v>2014</v>
      </c>
      <c r="C329" s="8" t="s">
        <v>242</v>
      </c>
      <c r="D329" s="33">
        <v>1771</v>
      </c>
      <c r="E329" s="67" t="s">
        <v>1223</v>
      </c>
      <c r="F329" s="37" t="s">
        <v>729</v>
      </c>
      <c r="G329" s="37" t="s">
        <v>826</v>
      </c>
      <c r="I329" s="107">
        <v>1</v>
      </c>
      <c r="J329" s="37">
        <v>750</v>
      </c>
      <c r="K329" s="107" t="s">
        <v>642</v>
      </c>
      <c r="L329" s="37">
        <f>COUNTIF(Drank!A:A,Table1[[#This Row],[ID]])</f>
        <v>5</v>
      </c>
      <c r="M329" s="37" t="s">
        <v>202</v>
      </c>
      <c r="N329" s="37" t="s">
        <v>207</v>
      </c>
      <c r="O329" s="37">
        <v>1</v>
      </c>
      <c r="P329" s="37">
        <v>2018</v>
      </c>
      <c r="Q329" s="37">
        <v>2023</v>
      </c>
      <c r="R329" s="37">
        <f>IF(IFERROR(VLOOKUP(A329,Drank!A:S,15,FALSE),"")=0,"",IFERROR(VLOOKUP(A329,Drank!A:S,15,FALSE),""))</f>
        <v>2021</v>
      </c>
      <c r="S329" s="37">
        <f>IF(IFERROR(VLOOKUP(A329,Drank!A:S,16,FALSE),"")=0,"",IFERROR(VLOOKUP(A329,Drank!A:S,16,FALSE),""))</f>
        <v>2025</v>
      </c>
      <c r="U329" s="37">
        <v>93</v>
      </c>
      <c r="V329" s="18">
        <f>IF(IFERROR(VLOOKUP(A329,Drank!A:T,19,FALSE),"")=0,"",IFERROR(VLOOKUP(A329,Drank!A:T,19,FALSE),""))</f>
        <v>92.4</v>
      </c>
      <c r="W329" s="1">
        <f>IF(IFERROR(VLOOKUP(A329,Drank!A:T,20,FALSE),"")=0,"",IFERROR(VLOOKUP(A329,Drank!A:T,20,FALSE),""))</f>
        <v>44052</v>
      </c>
      <c r="X329" s="37">
        <f>SUMIF(A:A,A329,I:I)</f>
        <v>9</v>
      </c>
      <c r="Y329" s="37">
        <f>IF(Table1[[#This Row],[Drank]]&gt;0,VLOOKUP(Table1[[#This Row],[ID]],Drank!A:P,16,FALSE),IF(Table1[[#This Row],[WALDD]]&gt;0,VLOOKUP(Table1[[#This Row],[ID]],Wine1!A:Q,17,FALSE),Table1[[#This Row],[EP]]))</f>
        <v>2025</v>
      </c>
      <c r="Z329" s="18">
        <f>IF(Table1[[#This Row],[My Rating]]="",IF(Table1[[#This Row],[WA Rating Clean]]="","",Table1[[#This Row],[WA Rating Clean]]),Table1[[#This Row],[My Rating]])</f>
        <v>92.4</v>
      </c>
      <c r="AA329" s="37">
        <v>2022</v>
      </c>
      <c r="AB329" s="128">
        <v>19.5</v>
      </c>
      <c r="AC329" s="2">
        <f t="shared" si="29"/>
        <v>19.5</v>
      </c>
      <c r="AD329" s="8">
        <v>2</v>
      </c>
      <c r="AE329" s="37">
        <f>IF(Table1[[#This Row],[P/750]]&lt;20,1,IF(Table1[[#This Row],[P/750]]&lt;50,2,3))</f>
        <v>1</v>
      </c>
      <c r="AF329" s="37">
        <f>IF(Table1[[#This Row],[P/750]]&lt;Expenses!$C$30,1,IF(Table1[[#This Row],[P/750]]&lt;Expenses!$C$31,2,IF(Table1[[#This Row],[P/750]]&lt;Expenses!$C$32,3,4)))</f>
        <v>2</v>
      </c>
      <c r="AH329" s="37" t="s">
        <v>385</v>
      </c>
      <c r="AI329" s="11">
        <f>Table1[[#This Row],[Price]]/Table1[[#This Row],[Size (ml)]]*750</f>
        <v>19.5</v>
      </c>
      <c r="AJ329" s="37">
        <v>93</v>
      </c>
      <c r="AK329" s="37">
        <f>COUNTIF(UniqueID!A:A,Table1[[#This Row],[ID]])</f>
        <v>1</v>
      </c>
      <c r="AL329" s="37" t="str">
        <f>VLOOKUP(Table1[[#This Row],[Cellar Location]],Location!A:F,6,FALSE)</f>
        <v>S</v>
      </c>
      <c r="AO329" s="37" t="str">
        <f>TEXT(Table1[[#This Row],[Purchased]],"mmmm")</f>
        <v>January</v>
      </c>
      <c r="AP329" s="10" t="str">
        <f>TEXT(Table1[[#This Row],[Purchased]],"yyyy")</f>
        <v>1900</v>
      </c>
      <c r="AQ329" s="10"/>
    </row>
    <row r="330" spans="1:43" s="37" customFormat="1" x14ac:dyDescent="0.25">
      <c r="A330" s="37" t="str">
        <f t="shared" si="28"/>
        <v>2014Leeuwin EstateArt Series Chardonnay</v>
      </c>
      <c r="B330" s="37">
        <v>2014</v>
      </c>
      <c r="C330" s="8" t="s">
        <v>349</v>
      </c>
      <c r="D330" s="37" t="s">
        <v>350</v>
      </c>
      <c r="E330" s="64" t="s">
        <v>259</v>
      </c>
      <c r="F330" s="37" t="s">
        <v>736</v>
      </c>
      <c r="G330" s="37" t="s">
        <v>740</v>
      </c>
      <c r="H330" s="37" t="s">
        <v>741</v>
      </c>
      <c r="I330" s="37">
        <v>1</v>
      </c>
      <c r="J330" s="37">
        <v>750</v>
      </c>
      <c r="K330" s="8" t="s">
        <v>25</v>
      </c>
      <c r="L330" s="37">
        <f>COUNTIF(Drank!A:A,Table1[[#This Row],[ID]])</f>
        <v>1</v>
      </c>
      <c r="M330" s="37" t="s">
        <v>201</v>
      </c>
      <c r="N330" s="37" t="s">
        <v>207</v>
      </c>
      <c r="O330" s="37">
        <v>1</v>
      </c>
      <c r="P330" s="37">
        <v>2017</v>
      </c>
      <c r="Q330" s="37">
        <v>2025</v>
      </c>
      <c r="R330" s="10">
        <f>IF(IFERROR(VLOOKUP(A330,Drank!A:S,15,FALSE),"")=0,"",IFERROR(VLOOKUP(A330,Drank!A:S,15,FALSE),""))</f>
        <v>2021</v>
      </c>
      <c r="S330" s="10">
        <f>IF(IFERROR(VLOOKUP(A330,Drank!A:S,16,FALSE),"")=0,"",IFERROR(VLOOKUP(A330,Drank!A:S,16,FALSE),""))</f>
        <v>2025</v>
      </c>
      <c r="T330" s="10"/>
      <c r="U330" s="37">
        <v>96</v>
      </c>
      <c r="V330" s="18">
        <f>IF(IFERROR(VLOOKUP(A330,Drank!A:T,19,FALSE),"")=0,"",IFERROR(VLOOKUP(A330,Drank!A:T,19,FALSE),""))</f>
        <v>94</v>
      </c>
      <c r="W330" s="1">
        <f>IF(IFERROR(VLOOKUP(A330,Drank!A:T,20,FALSE),"")=0,"",IFERROR(VLOOKUP(A330,Drank!A:T,20,FALSE),""))</f>
        <v>43625</v>
      </c>
      <c r="X330" s="10">
        <f>SUMIF(A:A,A330,I:I)</f>
        <v>2</v>
      </c>
      <c r="Y330" s="37">
        <f>IF(Table1[[#This Row],[Drank]]&gt;0,VLOOKUP(Table1[[#This Row],[ID]],Drank!A:P,16,FALSE),IF(Table1[[#This Row],[WALDD]]&gt;0,VLOOKUP(Table1[[#This Row],[ID]],Wine1!A:Q,17,FALSE),Table1[[#This Row],[EP]]))</f>
        <v>2025</v>
      </c>
      <c r="Z330" s="18">
        <f>IF(Table1[[#This Row],[My Rating]]="",IF(Table1[[#This Row],[WA Rating Clean]]="","",Table1[[#This Row],[WA Rating Clean]]),Table1[[#This Row],[My Rating]])</f>
        <v>94</v>
      </c>
      <c r="AA330" s="8">
        <v>2022</v>
      </c>
      <c r="AB330" s="128">
        <v>65</v>
      </c>
      <c r="AC330" s="2">
        <f t="shared" si="29"/>
        <v>65</v>
      </c>
      <c r="AD330" s="8">
        <v>0</v>
      </c>
      <c r="AE330" s="37">
        <f>IF(Table1[[#This Row],[P/750]]&lt;20,1,IF(Table1[[#This Row],[P/750]]&lt;50,2,3))</f>
        <v>3</v>
      </c>
      <c r="AF330" s="37">
        <f>IF(Table1[[#This Row],[P/750]]&lt;Expenses!$C$30,1,IF(Table1[[#This Row],[P/750]]&lt;Expenses!$C$31,2,IF(Table1[[#This Row],[P/750]]&lt;Expenses!$C$32,3,4)))</f>
        <v>4</v>
      </c>
      <c r="AH330" s="37" t="s">
        <v>385</v>
      </c>
      <c r="AI330" s="11">
        <f>Table1[[#This Row],[Price]]/Table1[[#This Row],[Size (ml)]]*750</f>
        <v>65</v>
      </c>
      <c r="AJ330" s="37">
        <v>96</v>
      </c>
      <c r="AK330" s="37">
        <f>COUNTIF(UniqueID!A:A,Table1[[#This Row],[ID]])</f>
        <v>1</v>
      </c>
      <c r="AL330" s="37" t="str">
        <f>VLOOKUP(Table1[[#This Row],[Cellar Location]],Location!A:F,6,FALSE)</f>
        <v>K</v>
      </c>
      <c r="AO330" s="37" t="str">
        <f>TEXT(Table1[[#This Row],[Purchased]],"mmmm")</f>
        <v>January</v>
      </c>
      <c r="AP330" s="10" t="str">
        <f>TEXT(Table1[[#This Row],[Purchased]],"yyyy")</f>
        <v>1900</v>
      </c>
      <c r="AQ330" s="10"/>
    </row>
    <row r="331" spans="1:43" s="37" customFormat="1" x14ac:dyDescent="0.25">
      <c r="A331" s="37" t="str">
        <f t="shared" si="28"/>
        <v>2016Domaine de la Combe DieuRasteau</v>
      </c>
      <c r="B331" s="8">
        <v>2016</v>
      </c>
      <c r="C331" s="37" t="s">
        <v>407</v>
      </c>
      <c r="D331" s="25" t="s">
        <v>408</v>
      </c>
      <c r="E331" s="66" t="s">
        <v>417</v>
      </c>
      <c r="F331" s="9" t="s">
        <v>742</v>
      </c>
      <c r="G331" s="9" t="s">
        <v>759</v>
      </c>
      <c r="H331" s="9" t="s">
        <v>765</v>
      </c>
      <c r="I331" s="107">
        <v>1</v>
      </c>
      <c r="J331" s="37">
        <v>750</v>
      </c>
      <c r="K331" s="108" t="s">
        <v>590</v>
      </c>
      <c r="L331" s="37">
        <f>COUNTIF(Drank!A:A,Table1[[#This Row],[ID]])</f>
        <v>5</v>
      </c>
      <c r="M331" s="37" t="s">
        <v>202</v>
      </c>
      <c r="N331" s="37" t="s">
        <v>207</v>
      </c>
      <c r="O331" s="37">
        <v>1</v>
      </c>
      <c r="P331" s="37">
        <v>2018</v>
      </c>
      <c r="Q331" s="37">
        <v>2023</v>
      </c>
      <c r="R331" s="10">
        <f>IF(IFERROR(VLOOKUP(A331,Drank!A:S,15,FALSE),"")=0,"",IFERROR(VLOOKUP(A331,Drank!A:S,15,FALSE),""))</f>
        <v>2021</v>
      </c>
      <c r="S331" s="10">
        <f>IF(IFERROR(VLOOKUP(A331,Drank!A:S,16,FALSE),"")=0,"",IFERROR(VLOOKUP(A331,Drank!A:S,16,FALSE),""))</f>
        <v>2025</v>
      </c>
      <c r="T331" s="10"/>
      <c r="U331" s="37">
        <v>92</v>
      </c>
      <c r="V331" s="18">
        <f>IF(IFERROR(VLOOKUP(A331,Drank!A:T,19,FALSE),"")=0,"",IFERROR(VLOOKUP(A331,Drank!A:T,19,FALSE),""))</f>
        <v>92.2</v>
      </c>
      <c r="W331" s="1">
        <f>IF(IFERROR(VLOOKUP(A331,Drank!A:T,20,FALSE),"")=0,"",IFERROR(VLOOKUP(A331,Drank!A:T,20,FALSE),""))</f>
        <v>44002</v>
      </c>
      <c r="X331" s="10">
        <f>SUMIF(A:A,A331,I:I)</f>
        <v>15</v>
      </c>
      <c r="Y331" s="37">
        <f>IF(Table1[[#This Row],[Drank]]&gt;0,VLOOKUP(Table1[[#This Row],[ID]],Drank!A:P,16,FALSE),IF(Table1[[#This Row],[WALDD]]&gt;0,VLOOKUP(Table1[[#This Row],[ID]],Wine1!A:Q,17,FALSE),Table1[[#This Row],[EP]]))</f>
        <v>2025</v>
      </c>
      <c r="Z331" s="18">
        <f>IF(Table1[[#This Row],[My Rating]]="",IF(Table1[[#This Row],[WA Rating Clean]]="","",Table1[[#This Row],[WA Rating Clean]]),Table1[[#This Row],[My Rating]])</f>
        <v>92.2</v>
      </c>
      <c r="AA331" s="37">
        <v>2022</v>
      </c>
      <c r="AB331" s="128">
        <v>13.99</v>
      </c>
      <c r="AC331" s="2">
        <f t="shared" si="29"/>
        <v>13.99</v>
      </c>
      <c r="AD331" s="8">
        <v>2</v>
      </c>
      <c r="AE331" s="37">
        <f>IF(Table1[[#This Row],[P/750]]&lt;20,1,IF(Table1[[#This Row],[P/750]]&lt;50,2,3))</f>
        <v>1</v>
      </c>
      <c r="AF331" s="37">
        <f>IF(Table1[[#This Row],[P/750]]&lt;Expenses!$C$30,1,IF(Table1[[#This Row],[P/750]]&lt;Expenses!$C$31,2,IF(Table1[[#This Row],[P/750]]&lt;Expenses!$C$32,3,4)))</f>
        <v>1</v>
      </c>
      <c r="AH331" s="37" t="s">
        <v>384</v>
      </c>
      <c r="AI331" s="11">
        <f>Table1[[#This Row],[Price]]/Table1[[#This Row],[Size (ml)]]*750</f>
        <v>13.99</v>
      </c>
      <c r="AJ331" s="37">
        <v>92</v>
      </c>
      <c r="AK331" s="37">
        <f>COUNTIF(UniqueID!A:A,Table1[[#This Row],[ID]])</f>
        <v>1</v>
      </c>
      <c r="AL331" s="37" t="str">
        <f>VLOOKUP(Table1[[#This Row],[Cellar Location]],Location!A:F,6,FALSE)</f>
        <v>S</v>
      </c>
      <c r="AO331" s="37" t="str">
        <f>TEXT(Table1[[#This Row],[Purchased]],"mmmm")</f>
        <v>January</v>
      </c>
      <c r="AP331" s="10" t="str">
        <f>TEXT(Table1[[#This Row],[Purchased]],"yyyy")</f>
        <v>1900</v>
      </c>
      <c r="AQ331" s="10"/>
    </row>
    <row r="332" spans="1:43" s="37" customFormat="1" x14ac:dyDescent="0.25">
      <c r="A332" s="37" t="str">
        <f t="shared" si="28"/>
        <v>2016Domaine de la Combe DieuRasteau</v>
      </c>
      <c r="B332" s="8">
        <v>2016</v>
      </c>
      <c r="C332" s="37" t="s">
        <v>407</v>
      </c>
      <c r="D332" s="25" t="s">
        <v>408</v>
      </c>
      <c r="E332" s="66" t="s">
        <v>417</v>
      </c>
      <c r="F332" s="9" t="s">
        <v>742</v>
      </c>
      <c r="G332" s="9" t="s">
        <v>759</v>
      </c>
      <c r="H332" s="9" t="s">
        <v>765</v>
      </c>
      <c r="I332" s="107">
        <v>1</v>
      </c>
      <c r="J332" s="37">
        <v>750</v>
      </c>
      <c r="K332" s="108" t="s">
        <v>590</v>
      </c>
      <c r="L332" s="37">
        <f>COUNTIF(Drank!A:A,Table1[[#This Row],[ID]])</f>
        <v>5</v>
      </c>
      <c r="M332" s="37" t="s">
        <v>202</v>
      </c>
      <c r="N332" s="37" t="s">
        <v>207</v>
      </c>
      <c r="O332" s="37">
        <v>1</v>
      </c>
      <c r="P332" s="37">
        <v>2018</v>
      </c>
      <c r="Q332" s="37">
        <v>2023</v>
      </c>
      <c r="R332" s="10">
        <f>IF(IFERROR(VLOOKUP(A332,Drank!A:S,15,FALSE),"")=0,"",IFERROR(VLOOKUP(A332,Drank!A:S,15,FALSE),""))</f>
        <v>2021</v>
      </c>
      <c r="S332" s="10">
        <f>IF(IFERROR(VLOOKUP(A332,Drank!A:S,16,FALSE),"")=0,"",IFERROR(VLOOKUP(A332,Drank!A:S,16,FALSE),""))</f>
        <v>2025</v>
      </c>
      <c r="T332" s="10"/>
      <c r="U332" s="37">
        <v>92</v>
      </c>
      <c r="V332" s="18">
        <f>IF(IFERROR(VLOOKUP(A332,Drank!A:T,19,FALSE),"")=0,"",IFERROR(VLOOKUP(A332,Drank!A:T,19,FALSE),""))</f>
        <v>92.2</v>
      </c>
      <c r="W332" s="1">
        <f>IF(IFERROR(VLOOKUP(A332,Drank!A:T,20,FALSE),"")=0,"",IFERROR(VLOOKUP(A332,Drank!A:T,20,FALSE),""))</f>
        <v>44002</v>
      </c>
      <c r="X332" s="10">
        <f>SUMIF(A:A,A332,I:I)</f>
        <v>15</v>
      </c>
      <c r="Y332" s="37">
        <f>IF(Table1[[#This Row],[Drank]]&gt;0,VLOOKUP(Table1[[#This Row],[ID]],Drank!A:P,16,FALSE),IF(Table1[[#This Row],[WALDD]]&gt;0,VLOOKUP(Table1[[#This Row],[ID]],Wine1!A:Q,17,FALSE),Table1[[#This Row],[EP]]))</f>
        <v>2025</v>
      </c>
      <c r="Z332" s="18">
        <f>IF(Table1[[#This Row],[My Rating]]="",IF(Table1[[#This Row],[WA Rating Clean]]="","",Table1[[#This Row],[WA Rating Clean]]),Table1[[#This Row],[My Rating]])</f>
        <v>92.2</v>
      </c>
      <c r="AA332" s="37">
        <v>2022</v>
      </c>
      <c r="AB332" s="128">
        <v>13.99</v>
      </c>
      <c r="AC332" s="2">
        <f t="shared" si="29"/>
        <v>13.99</v>
      </c>
      <c r="AD332" s="8">
        <v>2</v>
      </c>
      <c r="AE332" s="37">
        <f>IF(Table1[[#This Row],[P/750]]&lt;20,1,IF(Table1[[#This Row],[P/750]]&lt;50,2,3))</f>
        <v>1</v>
      </c>
      <c r="AF332" s="37">
        <f>IF(Table1[[#This Row],[P/750]]&lt;Expenses!$C$30,1,IF(Table1[[#This Row],[P/750]]&lt;Expenses!$C$31,2,IF(Table1[[#This Row],[P/750]]&lt;Expenses!$C$32,3,4)))</f>
        <v>1</v>
      </c>
      <c r="AH332" s="37" t="s">
        <v>384</v>
      </c>
      <c r="AI332" s="11">
        <f>Table1[[#This Row],[Price]]/Table1[[#This Row],[Size (ml)]]*750</f>
        <v>13.99</v>
      </c>
      <c r="AJ332" s="37">
        <v>92</v>
      </c>
      <c r="AK332" s="37">
        <f>COUNTIF(UniqueID!A:A,Table1[[#This Row],[ID]])</f>
        <v>1</v>
      </c>
      <c r="AL332" s="37" t="str">
        <f>VLOOKUP(Table1[[#This Row],[Cellar Location]],Location!A:F,6,FALSE)</f>
        <v>S</v>
      </c>
      <c r="AO332" s="37" t="str">
        <f>TEXT(Table1[[#This Row],[Purchased]],"mmmm")</f>
        <v>January</v>
      </c>
      <c r="AP332" s="10" t="str">
        <f>TEXT(Table1[[#This Row],[Purchased]],"yyyy")</f>
        <v>1900</v>
      </c>
      <c r="AQ332" s="10"/>
    </row>
    <row r="333" spans="1:43" s="37" customFormat="1" x14ac:dyDescent="0.25">
      <c r="A333" s="37" t="str">
        <f t="shared" si="28"/>
        <v>2016Domaine de la Combe DieuRasteau</v>
      </c>
      <c r="B333" s="8">
        <v>2016</v>
      </c>
      <c r="C333" s="37" t="s">
        <v>407</v>
      </c>
      <c r="D333" s="25" t="s">
        <v>408</v>
      </c>
      <c r="E333" s="66" t="s">
        <v>417</v>
      </c>
      <c r="F333" s="9" t="s">
        <v>742</v>
      </c>
      <c r="G333" s="9" t="s">
        <v>759</v>
      </c>
      <c r="H333" s="9" t="s">
        <v>765</v>
      </c>
      <c r="I333" s="107">
        <v>1</v>
      </c>
      <c r="J333" s="37">
        <v>750</v>
      </c>
      <c r="K333" s="108" t="s">
        <v>590</v>
      </c>
      <c r="L333" s="37">
        <f>COUNTIF(Drank!A:A,Table1[[#This Row],[ID]])</f>
        <v>5</v>
      </c>
      <c r="M333" s="37" t="s">
        <v>202</v>
      </c>
      <c r="N333" s="37" t="s">
        <v>207</v>
      </c>
      <c r="O333" s="37">
        <v>1</v>
      </c>
      <c r="P333" s="37">
        <v>2018</v>
      </c>
      <c r="Q333" s="37">
        <v>2023</v>
      </c>
      <c r="R333" s="10">
        <f>IF(IFERROR(VLOOKUP(A333,Drank!A:S,15,FALSE),"")=0,"",IFERROR(VLOOKUP(A333,Drank!A:S,15,FALSE),""))</f>
        <v>2021</v>
      </c>
      <c r="S333" s="10">
        <f>IF(IFERROR(VLOOKUP(A333,Drank!A:S,16,FALSE),"")=0,"",IFERROR(VLOOKUP(A333,Drank!A:S,16,FALSE),""))</f>
        <v>2025</v>
      </c>
      <c r="T333" s="10"/>
      <c r="U333" s="37">
        <v>92</v>
      </c>
      <c r="V333" s="18">
        <f>IF(IFERROR(VLOOKUP(A333,Drank!A:T,19,FALSE),"")=0,"",IFERROR(VLOOKUP(A333,Drank!A:T,19,FALSE),""))</f>
        <v>92.2</v>
      </c>
      <c r="W333" s="1">
        <f>IF(IFERROR(VLOOKUP(A333,Drank!A:T,20,FALSE),"")=0,"",IFERROR(VLOOKUP(A333,Drank!A:T,20,FALSE),""))</f>
        <v>44002</v>
      </c>
      <c r="X333" s="10">
        <f>SUMIF(A:A,A333,I:I)</f>
        <v>15</v>
      </c>
      <c r="Y333" s="37">
        <f>IF(Table1[[#This Row],[Drank]]&gt;0,VLOOKUP(Table1[[#This Row],[ID]],Drank!A:P,16,FALSE),IF(Table1[[#This Row],[WALDD]]&gt;0,VLOOKUP(Table1[[#This Row],[ID]],Wine1!A:Q,17,FALSE),Table1[[#This Row],[EP]]))</f>
        <v>2025</v>
      </c>
      <c r="Z333" s="18">
        <f>IF(Table1[[#This Row],[My Rating]]="",IF(Table1[[#This Row],[WA Rating Clean]]="","",Table1[[#This Row],[WA Rating Clean]]),Table1[[#This Row],[My Rating]])</f>
        <v>92.2</v>
      </c>
      <c r="AA333" s="37">
        <v>2022</v>
      </c>
      <c r="AB333" s="128">
        <v>13.99</v>
      </c>
      <c r="AC333" s="2">
        <f t="shared" si="29"/>
        <v>13.99</v>
      </c>
      <c r="AD333" s="8">
        <v>2</v>
      </c>
      <c r="AE333" s="37">
        <f>IF(Table1[[#This Row],[P/750]]&lt;20,1,IF(Table1[[#This Row],[P/750]]&lt;50,2,3))</f>
        <v>1</v>
      </c>
      <c r="AF333" s="37">
        <f>IF(Table1[[#This Row],[P/750]]&lt;Expenses!$C$30,1,IF(Table1[[#This Row],[P/750]]&lt;Expenses!$C$31,2,IF(Table1[[#This Row],[P/750]]&lt;Expenses!$C$32,3,4)))</f>
        <v>1</v>
      </c>
      <c r="AH333" s="37" t="s">
        <v>384</v>
      </c>
      <c r="AI333" s="11">
        <f>Table1[[#This Row],[Price]]/Table1[[#This Row],[Size (ml)]]*750</f>
        <v>13.99</v>
      </c>
      <c r="AJ333" s="37">
        <v>92</v>
      </c>
      <c r="AK333" s="37">
        <f>COUNTIF(UniqueID!A:A,Table1[[#This Row],[ID]])</f>
        <v>1</v>
      </c>
      <c r="AL333" s="37" t="str">
        <f>VLOOKUP(Table1[[#This Row],[Cellar Location]],Location!A:F,6,FALSE)</f>
        <v>S</v>
      </c>
      <c r="AO333" s="37" t="str">
        <f>TEXT(Table1[[#This Row],[Purchased]],"mmmm")</f>
        <v>January</v>
      </c>
      <c r="AP333" s="10" t="str">
        <f>TEXT(Table1[[#This Row],[Purchased]],"yyyy")</f>
        <v>1900</v>
      </c>
      <c r="AQ333" s="10"/>
    </row>
    <row r="334" spans="1:43" s="37" customFormat="1" x14ac:dyDescent="0.25">
      <c r="A334" s="37" t="str">
        <f t="shared" si="28"/>
        <v>2016Domaine de la Combe DieuRasteau</v>
      </c>
      <c r="B334" s="8">
        <v>2016</v>
      </c>
      <c r="C334" s="37" t="s">
        <v>407</v>
      </c>
      <c r="D334" s="25" t="s">
        <v>408</v>
      </c>
      <c r="E334" s="66" t="s">
        <v>417</v>
      </c>
      <c r="F334" s="9" t="s">
        <v>742</v>
      </c>
      <c r="G334" s="9" t="s">
        <v>759</v>
      </c>
      <c r="H334" s="9" t="s">
        <v>765</v>
      </c>
      <c r="I334" s="107">
        <v>1</v>
      </c>
      <c r="J334" s="37">
        <v>750</v>
      </c>
      <c r="K334" s="108" t="s">
        <v>590</v>
      </c>
      <c r="L334" s="37">
        <f>COUNTIF(Drank!A:A,Table1[[#This Row],[ID]])</f>
        <v>5</v>
      </c>
      <c r="M334" s="37" t="s">
        <v>202</v>
      </c>
      <c r="N334" s="37" t="s">
        <v>207</v>
      </c>
      <c r="O334" s="37">
        <v>1</v>
      </c>
      <c r="P334" s="37">
        <v>2018</v>
      </c>
      <c r="Q334" s="37">
        <v>2023</v>
      </c>
      <c r="R334" s="10">
        <f>IF(IFERROR(VLOOKUP(A334,Drank!A:S,15,FALSE),"")=0,"",IFERROR(VLOOKUP(A334,Drank!A:S,15,FALSE),""))</f>
        <v>2021</v>
      </c>
      <c r="S334" s="10">
        <f>IF(IFERROR(VLOOKUP(A334,Drank!A:S,16,FALSE),"")=0,"",IFERROR(VLOOKUP(A334,Drank!A:S,16,FALSE),""))</f>
        <v>2025</v>
      </c>
      <c r="T334" s="10"/>
      <c r="U334" s="37">
        <v>92</v>
      </c>
      <c r="V334" s="18">
        <f>IF(IFERROR(VLOOKUP(A334,Drank!A:T,19,FALSE),"")=0,"",IFERROR(VLOOKUP(A334,Drank!A:T,19,FALSE),""))</f>
        <v>92.2</v>
      </c>
      <c r="W334" s="1">
        <f>IF(IFERROR(VLOOKUP(A334,Drank!A:T,20,FALSE),"")=0,"",IFERROR(VLOOKUP(A334,Drank!A:T,20,FALSE),""))</f>
        <v>44002</v>
      </c>
      <c r="X334" s="10">
        <f>SUMIF(A:A,A334,I:I)</f>
        <v>15</v>
      </c>
      <c r="Y334" s="37">
        <f>IF(Table1[[#This Row],[Drank]]&gt;0,VLOOKUP(Table1[[#This Row],[ID]],Drank!A:P,16,FALSE),IF(Table1[[#This Row],[WALDD]]&gt;0,VLOOKUP(Table1[[#This Row],[ID]],Wine1!A:Q,17,FALSE),Table1[[#This Row],[EP]]))</f>
        <v>2025</v>
      </c>
      <c r="Z334" s="18">
        <f>IF(Table1[[#This Row],[My Rating]]="",IF(Table1[[#This Row],[WA Rating Clean]]="","",Table1[[#This Row],[WA Rating Clean]]),Table1[[#This Row],[My Rating]])</f>
        <v>92.2</v>
      </c>
      <c r="AA334" s="37">
        <v>2022</v>
      </c>
      <c r="AB334" s="128">
        <v>13.99</v>
      </c>
      <c r="AC334" s="2">
        <f t="shared" si="29"/>
        <v>13.99</v>
      </c>
      <c r="AD334" s="8">
        <v>2</v>
      </c>
      <c r="AE334" s="37">
        <f>IF(Table1[[#This Row],[P/750]]&lt;20,1,IF(Table1[[#This Row],[P/750]]&lt;50,2,3))</f>
        <v>1</v>
      </c>
      <c r="AF334" s="37">
        <f>IF(Table1[[#This Row],[P/750]]&lt;Expenses!$C$30,1,IF(Table1[[#This Row],[P/750]]&lt;Expenses!$C$31,2,IF(Table1[[#This Row],[P/750]]&lt;Expenses!$C$32,3,4)))</f>
        <v>1</v>
      </c>
      <c r="AH334" s="37" t="s">
        <v>384</v>
      </c>
      <c r="AI334" s="11">
        <f>Table1[[#This Row],[Price]]/Table1[[#This Row],[Size (ml)]]*750</f>
        <v>13.99</v>
      </c>
      <c r="AJ334" s="37">
        <v>92</v>
      </c>
      <c r="AK334" s="37">
        <f>COUNTIF(UniqueID!A:A,Table1[[#This Row],[ID]])</f>
        <v>1</v>
      </c>
      <c r="AL334" s="37" t="str">
        <f>VLOOKUP(Table1[[#This Row],[Cellar Location]],Location!A:F,6,FALSE)</f>
        <v>S</v>
      </c>
      <c r="AO334" s="37" t="str">
        <f>TEXT(Table1[[#This Row],[Purchased]],"mmmm")</f>
        <v>January</v>
      </c>
      <c r="AP334" s="10" t="str">
        <f>TEXT(Table1[[#This Row],[Purchased]],"yyyy")</f>
        <v>1900</v>
      </c>
      <c r="AQ334" s="10"/>
    </row>
    <row r="335" spans="1:43" s="37" customFormat="1" x14ac:dyDescent="0.25">
      <c r="A335" s="8" t="str">
        <f t="shared" si="28"/>
        <v>2017Diez-CaballeroCrianza</v>
      </c>
      <c r="B335" s="8">
        <v>2017</v>
      </c>
      <c r="C335" s="8" t="s">
        <v>1216</v>
      </c>
      <c r="D335" s="37" t="s">
        <v>108</v>
      </c>
      <c r="E335" s="67" t="s">
        <v>1220</v>
      </c>
      <c r="F335" s="37" t="s">
        <v>729</v>
      </c>
      <c r="G335" s="37" t="s">
        <v>823</v>
      </c>
      <c r="I335" s="107">
        <v>1</v>
      </c>
      <c r="J335" s="37">
        <v>750</v>
      </c>
      <c r="K335" s="107" t="s">
        <v>926</v>
      </c>
      <c r="L335" s="10">
        <f>COUNTIF(Drank!A:A,Table1[[#This Row],[ID]])</f>
        <v>3</v>
      </c>
      <c r="M335" s="37" t="s">
        <v>202</v>
      </c>
      <c r="N335" s="37" t="s">
        <v>207</v>
      </c>
      <c r="O335" s="37">
        <v>1</v>
      </c>
      <c r="P335" s="37">
        <v>2019</v>
      </c>
      <c r="Q335" s="37">
        <v>2024</v>
      </c>
      <c r="R335" s="10">
        <f>IF(IFERROR(VLOOKUP(A335,Drank!A:S,15,FALSE),"")=0,"",IFERROR(VLOOKUP(A335,Drank!A:S,15,FALSE),""))</f>
        <v>2021</v>
      </c>
      <c r="S335" s="10">
        <f>IF(IFERROR(VLOOKUP(A335,Drank!A:S,16,FALSE),"")=0,"",IFERROR(VLOOKUP(A335,Drank!A:S,16,FALSE),""))</f>
        <v>2025</v>
      </c>
      <c r="T335" s="10"/>
      <c r="U335" s="37">
        <v>90</v>
      </c>
      <c r="V335" s="18">
        <f>IF(IFERROR(VLOOKUP(A335,Drank!A:T,19,FALSE),"")=0,"",IFERROR(VLOOKUP(A335,Drank!A:T,19,FALSE),""))</f>
        <v>90.666666666666671</v>
      </c>
      <c r="W335" s="1">
        <f>IF(IFERROR(VLOOKUP(A335,Drank!A:T,20,FALSE),"")=0,"",IFERROR(VLOOKUP(A335,Drank!A:T,20,FALSE),""))</f>
        <v>44015</v>
      </c>
      <c r="X335" s="10">
        <f>SUMIF(A:A,A335,I:I)</f>
        <v>21</v>
      </c>
      <c r="Y335" s="10">
        <f>IF(Table1[[#This Row],[Drank]]&gt;0,VLOOKUP(Table1[[#This Row],[ID]],Drank!A:P,16,FALSE),IF(Table1[[#This Row],[WALDD]]&gt;0,VLOOKUP(Table1[[#This Row],[ID]],Wine1!A:Q,17,FALSE),Table1[[#This Row],[EP]]))</f>
        <v>2025</v>
      </c>
      <c r="Z335" s="18">
        <f>IF(Table1[[#This Row],[My Rating]]="",IF(Table1[[#This Row],[WA Rating Clean]]="","",Table1[[#This Row],[WA Rating Clean]]),Table1[[#This Row],[My Rating]])</f>
        <v>90.666666666666671</v>
      </c>
      <c r="AA335" s="37">
        <v>2022</v>
      </c>
      <c r="AB335" s="128">
        <v>14.11</v>
      </c>
      <c r="AC335" s="2">
        <f t="shared" si="29"/>
        <v>14.11</v>
      </c>
      <c r="AD335" s="8">
        <v>2</v>
      </c>
      <c r="AE335" s="10">
        <f>IF(Table1[[#This Row],[P/750]]&lt;20,1,IF(Table1[[#This Row],[P/750]]&lt;50,2,3))</f>
        <v>1</v>
      </c>
      <c r="AF335" s="10">
        <f>IF(Table1[[#This Row],[P/750]]&lt;Expenses!$C$30,1,IF(Table1[[#This Row],[P/750]]&lt;Expenses!$C$31,2,IF(Table1[[#This Row],[P/750]]&lt;Expenses!$C$32,3,4)))</f>
        <v>1</v>
      </c>
      <c r="AH335" s="37" t="s">
        <v>384</v>
      </c>
      <c r="AI335" s="11">
        <f>Table1[[#This Row],[Price]]/Table1[[#This Row],[Size (ml)]]*750</f>
        <v>14.109999999999998</v>
      </c>
      <c r="AJ335" s="37">
        <v>90</v>
      </c>
      <c r="AK335" s="10">
        <f>COUNTIF(UniqueID!A:A,Table1[[#This Row],[ID]])</f>
        <v>0</v>
      </c>
      <c r="AL335" s="10" t="str">
        <f>VLOOKUP(Table1[[#This Row],[Cellar Location]],Location!A:F,6,FALSE)</f>
        <v>S</v>
      </c>
      <c r="AN335" s="1">
        <v>43993</v>
      </c>
      <c r="AO335" s="10" t="str">
        <f>TEXT(Table1[[#This Row],[Purchased]],"mmmm")</f>
        <v>June</v>
      </c>
      <c r="AP335" s="10" t="str">
        <f>TEXT(Table1[[#This Row],[Purchased]],"yyyy")</f>
        <v>2020</v>
      </c>
      <c r="AQ335" s="10"/>
    </row>
    <row r="336" spans="1:43" s="37" customFormat="1" x14ac:dyDescent="0.25">
      <c r="A336" s="8" t="str">
        <f t="shared" si="28"/>
        <v>2017Diez-CaballeroCrianza</v>
      </c>
      <c r="B336" s="8">
        <v>2017</v>
      </c>
      <c r="C336" s="8" t="s">
        <v>1216</v>
      </c>
      <c r="D336" s="37" t="s">
        <v>108</v>
      </c>
      <c r="E336" s="67" t="s">
        <v>1220</v>
      </c>
      <c r="F336" s="37" t="s">
        <v>729</v>
      </c>
      <c r="G336" s="37" t="s">
        <v>823</v>
      </c>
      <c r="I336" s="107">
        <v>1</v>
      </c>
      <c r="J336" s="37">
        <v>750</v>
      </c>
      <c r="K336" s="107" t="s">
        <v>926</v>
      </c>
      <c r="L336" s="10">
        <f>COUNTIF(Drank!A:A,Table1[[#This Row],[ID]])</f>
        <v>3</v>
      </c>
      <c r="M336" s="37" t="s">
        <v>202</v>
      </c>
      <c r="N336" s="37" t="s">
        <v>207</v>
      </c>
      <c r="O336" s="37">
        <v>1</v>
      </c>
      <c r="P336" s="37">
        <v>2019</v>
      </c>
      <c r="Q336" s="37">
        <v>2024</v>
      </c>
      <c r="R336" s="10">
        <f>IF(IFERROR(VLOOKUP(A336,Drank!A:S,15,FALSE),"")=0,"",IFERROR(VLOOKUP(A336,Drank!A:S,15,FALSE),""))</f>
        <v>2021</v>
      </c>
      <c r="S336" s="10">
        <f>IF(IFERROR(VLOOKUP(A336,Drank!A:S,16,FALSE),"")=0,"",IFERROR(VLOOKUP(A336,Drank!A:S,16,FALSE),""))</f>
        <v>2025</v>
      </c>
      <c r="T336" s="10"/>
      <c r="U336" s="37">
        <v>90</v>
      </c>
      <c r="V336" s="18">
        <f>IF(IFERROR(VLOOKUP(A336,Drank!A:T,19,FALSE),"")=0,"",IFERROR(VLOOKUP(A336,Drank!A:T,19,FALSE),""))</f>
        <v>90.666666666666671</v>
      </c>
      <c r="W336" s="1">
        <f>IF(IFERROR(VLOOKUP(A336,Drank!A:T,20,FALSE),"")=0,"",IFERROR(VLOOKUP(A336,Drank!A:T,20,FALSE),""))</f>
        <v>44015</v>
      </c>
      <c r="X336" s="10">
        <f>SUMIF(A:A,A336,I:I)</f>
        <v>21</v>
      </c>
      <c r="Y336" s="10">
        <f>IF(Table1[[#This Row],[Drank]]&gt;0,VLOOKUP(Table1[[#This Row],[ID]],Drank!A:P,16,FALSE),IF(Table1[[#This Row],[WALDD]]&gt;0,VLOOKUP(Table1[[#This Row],[ID]],Wine1!A:Q,17,FALSE),Table1[[#This Row],[EP]]))</f>
        <v>2025</v>
      </c>
      <c r="Z336" s="18">
        <f>IF(Table1[[#This Row],[My Rating]]="",IF(Table1[[#This Row],[WA Rating Clean]]="","",Table1[[#This Row],[WA Rating Clean]]),Table1[[#This Row],[My Rating]])</f>
        <v>90.666666666666671</v>
      </c>
      <c r="AA336" s="37">
        <v>2022</v>
      </c>
      <c r="AB336" s="128">
        <v>14.11</v>
      </c>
      <c r="AC336" s="2">
        <f t="shared" si="29"/>
        <v>14.11</v>
      </c>
      <c r="AD336" s="8">
        <v>2</v>
      </c>
      <c r="AE336" s="10">
        <f>IF(Table1[[#This Row],[P/750]]&lt;20,1,IF(Table1[[#This Row],[P/750]]&lt;50,2,3))</f>
        <v>1</v>
      </c>
      <c r="AF336" s="10">
        <f>IF(Table1[[#This Row],[P/750]]&lt;Expenses!$C$30,1,IF(Table1[[#This Row],[P/750]]&lt;Expenses!$C$31,2,IF(Table1[[#This Row],[P/750]]&lt;Expenses!$C$32,3,4)))</f>
        <v>1</v>
      </c>
      <c r="AH336" s="37" t="s">
        <v>384</v>
      </c>
      <c r="AI336" s="11">
        <f>Table1[[#This Row],[Price]]/Table1[[#This Row],[Size (ml)]]*750</f>
        <v>14.109999999999998</v>
      </c>
      <c r="AJ336" s="37">
        <v>90</v>
      </c>
      <c r="AK336" s="10">
        <f>COUNTIF(UniqueID!A:A,Table1[[#This Row],[ID]])</f>
        <v>0</v>
      </c>
      <c r="AL336" s="10" t="str">
        <f>VLOOKUP(Table1[[#This Row],[Cellar Location]],Location!A:F,6,FALSE)</f>
        <v>S</v>
      </c>
      <c r="AN336" s="1">
        <v>43993</v>
      </c>
      <c r="AO336" s="10" t="str">
        <f>TEXT(Table1[[#This Row],[Purchased]],"mmmm")</f>
        <v>June</v>
      </c>
      <c r="AP336" s="10" t="str">
        <f>TEXT(Table1[[#This Row],[Purchased]],"yyyy")</f>
        <v>2020</v>
      </c>
      <c r="AQ336" s="10"/>
    </row>
    <row r="337" spans="1:43" s="37" customFormat="1" x14ac:dyDescent="0.25">
      <c r="A337" s="8" t="str">
        <f t="shared" si="28"/>
        <v>2017Diez-CaballeroCrianza</v>
      </c>
      <c r="B337" s="8">
        <v>2017</v>
      </c>
      <c r="C337" s="8" t="s">
        <v>1216</v>
      </c>
      <c r="D337" s="37" t="s">
        <v>108</v>
      </c>
      <c r="E337" s="67" t="s">
        <v>1220</v>
      </c>
      <c r="F337" s="37" t="s">
        <v>729</v>
      </c>
      <c r="G337" s="37" t="s">
        <v>823</v>
      </c>
      <c r="I337" s="8">
        <v>1</v>
      </c>
      <c r="J337" s="38">
        <v>750</v>
      </c>
      <c r="K337" s="38" t="s">
        <v>384</v>
      </c>
      <c r="L337" s="10">
        <f>COUNTIF(Drank!A:A,Table1[[#This Row],[ID]])</f>
        <v>3</v>
      </c>
      <c r="M337" s="37" t="s">
        <v>202</v>
      </c>
      <c r="N337" s="37" t="s">
        <v>207</v>
      </c>
      <c r="O337" s="37">
        <v>1</v>
      </c>
      <c r="P337" s="37">
        <v>2019</v>
      </c>
      <c r="Q337" s="37">
        <v>2024</v>
      </c>
      <c r="R337" s="10">
        <f>IF(IFERROR(VLOOKUP(A337,Drank!A:S,15,FALSE),"")=0,"",IFERROR(VLOOKUP(A337,Drank!A:S,15,FALSE),""))</f>
        <v>2021</v>
      </c>
      <c r="S337" s="10">
        <f>IF(IFERROR(VLOOKUP(A337,Drank!A:S,16,FALSE),"")=0,"",IFERROR(VLOOKUP(A337,Drank!A:S,16,FALSE),""))</f>
        <v>2025</v>
      </c>
      <c r="T337" s="10"/>
      <c r="U337" s="37">
        <v>90</v>
      </c>
      <c r="V337" s="18">
        <f>IF(IFERROR(VLOOKUP(A337,Drank!A:T,19,FALSE),"")=0,"",IFERROR(VLOOKUP(A337,Drank!A:T,19,FALSE),""))</f>
        <v>90.666666666666671</v>
      </c>
      <c r="W337" s="1">
        <f>IF(IFERROR(VLOOKUP(A337,Drank!A:T,20,FALSE),"")=0,"",IFERROR(VLOOKUP(A337,Drank!A:T,20,FALSE),""))</f>
        <v>44015</v>
      </c>
      <c r="X337" s="10">
        <f>SUMIF(A:A,A337,I:I)</f>
        <v>21</v>
      </c>
      <c r="Y337" s="10">
        <f>IF(Table1[[#This Row],[Drank]]&gt;0,VLOOKUP(Table1[[#This Row],[ID]],Drank!A:P,16,FALSE),IF(Table1[[#This Row],[WALDD]]&gt;0,VLOOKUP(Table1[[#This Row],[ID]],Wine1!A:Q,17,FALSE),Table1[[#This Row],[EP]]))</f>
        <v>2025</v>
      </c>
      <c r="Z337" s="18">
        <f>IF(Table1[[#This Row],[My Rating]]="",IF(Table1[[#This Row],[WA Rating Clean]]="","",Table1[[#This Row],[WA Rating Clean]]),Table1[[#This Row],[My Rating]])</f>
        <v>90.666666666666671</v>
      </c>
      <c r="AA337" s="37">
        <v>2021</v>
      </c>
      <c r="AB337" s="128">
        <v>14.11</v>
      </c>
      <c r="AC337" s="2">
        <f t="shared" si="29"/>
        <v>14.11</v>
      </c>
      <c r="AD337" s="8"/>
      <c r="AE337" s="10">
        <f>IF(Table1[[#This Row],[P/750]]&lt;20,1,IF(Table1[[#This Row],[P/750]]&lt;50,2,3))</f>
        <v>1</v>
      </c>
      <c r="AF337" s="10">
        <f>IF(Table1[[#This Row],[P/750]]&lt;Expenses!$C$30,1,IF(Table1[[#This Row],[P/750]]&lt;Expenses!$C$31,2,IF(Table1[[#This Row],[P/750]]&lt;Expenses!$C$32,3,4)))</f>
        <v>1</v>
      </c>
      <c r="AH337" s="37" t="s">
        <v>384</v>
      </c>
      <c r="AI337" s="11">
        <f>Table1[[#This Row],[Price]]/Table1[[#This Row],[Size (ml)]]*750</f>
        <v>14.109999999999998</v>
      </c>
      <c r="AJ337" s="37">
        <v>90</v>
      </c>
      <c r="AK337" s="10">
        <f>COUNTIF(UniqueID!A:A,Table1[[#This Row],[ID]])</f>
        <v>0</v>
      </c>
      <c r="AL337" s="10" t="str">
        <f>VLOOKUP(Table1[[#This Row],[Cellar Location]],Location!A:F,6,FALSE)</f>
        <v>W</v>
      </c>
      <c r="AN337" s="1">
        <v>44081</v>
      </c>
      <c r="AO337" s="10" t="str">
        <f>TEXT(Table1[[#This Row],[Purchased]],"mmmm")</f>
        <v>September</v>
      </c>
      <c r="AP337" s="10" t="str">
        <f>TEXT(Table1[[#This Row],[Purchased]],"yyyy")</f>
        <v>2020</v>
      </c>
      <c r="AQ337" s="1">
        <v>44138</v>
      </c>
    </row>
    <row r="338" spans="1:43" s="37" customFormat="1" x14ac:dyDescent="0.25">
      <c r="A338" s="8" t="str">
        <f t="shared" ref="A338:A348" si="30">CONCATENATE(B338,C338,D338)</f>
        <v>2017Diez-CaballeroCrianza</v>
      </c>
      <c r="B338" s="8">
        <v>2017</v>
      </c>
      <c r="C338" s="8" t="s">
        <v>1216</v>
      </c>
      <c r="D338" s="37" t="s">
        <v>108</v>
      </c>
      <c r="E338" s="67" t="s">
        <v>1220</v>
      </c>
      <c r="F338" s="37" t="s">
        <v>729</v>
      </c>
      <c r="G338" s="37" t="s">
        <v>823</v>
      </c>
      <c r="I338" s="8">
        <v>1</v>
      </c>
      <c r="J338" s="38">
        <v>750</v>
      </c>
      <c r="K338" s="38" t="s">
        <v>384</v>
      </c>
      <c r="L338" s="10">
        <f>COUNTIF(Drank!A:A,Table1[[#This Row],[ID]])</f>
        <v>3</v>
      </c>
      <c r="M338" s="37" t="s">
        <v>202</v>
      </c>
      <c r="N338" s="37" t="s">
        <v>207</v>
      </c>
      <c r="O338" s="37">
        <v>1</v>
      </c>
      <c r="P338" s="37">
        <v>2019</v>
      </c>
      <c r="Q338" s="37">
        <v>2024</v>
      </c>
      <c r="R338" s="10">
        <f>IF(IFERROR(VLOOKUP(A338,Drank!A:S,15,FALSE),"")=0,"",IFERROR(VLOOKUP(A338,Drank!A:S,15,FALSE),""))</f>
        <v>2021</v>
      </c>
      <c r="S338" s="10">
        <f>IF(IFERROR(VLOOKUP(A338,Drank!A:S,16,FALSE),"")=0,"",IFERROR(VLOOKUP(A338,Drank!A:S,16,FALSE),""))</f>
        <v>2025</v>
      </c>
      <c r="T338" s="10"/>
      <c r="U338" s="37">
        <v>90</v>
      </c>
      <c r="V338" s="18">
        <f>IF(IFERROR(VLOOKUP(A338,Drank!A:T,19,FALSE),"")=0,"",IFERROR(VLOOKUP(A338,Drank!A:T,19,FALSE),""))</f>
        <v>90.666666666666671</v>
      </c>
      <c r="W338" s="1">
        <f>IF(IFERROR(VLOOKUP(A338,Drank!A:T,20,FALSE),"")=0,"",IFERROR(VLOOKUP(A338,Drank!A:T,20,FALSE),""))</f>
        <v>44015</v>
      </c>
      <c r="X338" s="10">
        <f>SUMIF(A:A,A338,I:I)</f>
        <v>21</v>
      </c>
      <c r="Y338" s="10">
        <f>IF(Table1[[#This Row],[Drank]]&gt;0,VLOOKUP(Table1[[#This Row],[ID]],Drank!A:P,16,FALSE),IF(Table1[[#This Row],[WALDD]]&gt;0,VLOOKUP(Table1[[#This Row],[ID]],Wine1!A:Q,17,FALSE),Table1[[#This Row],[EP]]))</f>
        <v>2025</v>
      </c>
      <c r="Z338" s="18">
        <f>IF(Table1[[#This Row],[My Rating]]="",IF(Table1[[#This Row],[WA Rating Clean]]="","",Table1[[#This Row],[WA Rating Clean]]),Table1[[#This Row],[My Rating]])</f>
        <v>90.666666666666671</v>
      </c>
      <c r="AA338" s="37">
        <v>2021</v>
      </c>
      <c r="AB338" s="128">
        <v>14.11</v>
      </c>
      <c r="AC338" s="2">
        <f t="shared" ref="AC338:AC348" si="31">AB338*I338</f>
        <v>14.11</v>
      </c>
      <c r="AD338" s="8"/>
      <c r="AE338" s="10">
        <f>IF(Table1[[#This Row],[P/750]]&lt;20,1,IF(Table1[[#This Row],[P/750]]&lt;50,2,3))</f>
        <v>1</v>
      </c>
      <c r="AF338" s="10">
        <f>IF(Table1[[#This Row],[P/750]]&lt;Expenses!$C$30,1,IF(Table1[[#This Row],[P/750]]&lt;Expenses!$C$31,2,IF(Table1[[#This Row],[P/750]]&lt;Expenses!$C$32,3,4)))</f>
        <v>1</v>
      </c>
      <c r="AH338" s="37" t="s">
        <v>384</v>
      </c>
      <c r="AI338" s="11">
        <f>Table1[[#This Row],[Price]]/Table1[[#This Row],[Size (ml)]]*750</f>
        <v>14.109999999999998</v>
      </c>
      <c r="AJ338" s="37">
        <v>90</v>
      </c>
      <c r="AK338" s="10">
        <f>COUNTIF(UniqueID!A:A,Table1[[#This Row],[ID]])</f>
        <v>0</v>
      </c>
      <c r="AL338" s="10" t="str">
        <f>VLOOKUP(Table1[[#This Row],[Cellar Location]],Location!A:F,6,FALSE)</f>
        <v>W</v>
      </c>
      <c r="AN338" s="1">
        <v>44081</v>
      </c>
      <c r="AO338" s="10" t="str">
        <f>TEXT(Table1[[#This Row],[Purchased]],"mmmm")</f>
        <v>September</v>
      </c>
      <c r="AP338" s="10" t="str">
        <f>TEXT(Table1[[#This Row],[Purchased]],"yyyy")</f>
        <v>2020</v>
      </c>
      <c r="AQ338" s="1">
        <v>44138</v>
      </c>
    </row>
    <row r="339" spans="1:43" s="37" customFormat="1" x14ac:dyDescent="0.25">
      <c r="A339" s="8" t="str">
        <f t="shared" si="30"/>
        <v>2017Diez-CaballeroCrianza</v>
      </c>
      <c r="B339" s="8">
        <v>2017</v>
      </c>
      <c r="C339" s="8" t="s">
        <v>1216</v>
      </c>
      <c r="D339" s="37" t="s">
        <v>108</v>
      </c>
      <c r="E339" s="67" t="s">
        <v>1220</v>
      </c>
      <c r="F339" s="37" t="s">
        <v>729</v>
      </c>
      <c r="G339" s="37" t="s">
        <v>823</v>
      </c>
      <c r="I339" s="8">
        <v>1</v>
      </c>
      <c r="J339" s="38">
        <v>750</v>
      </c>
      <c r="K339" s="38" t="s">
        <v>384</v>
      </c>
      <c r="L339" s="10">
        <f>COUNTIF(Drank!A:A,Table1[[#This Row],[ID]])</f>
        <v>3</v>
      </c>
      <c r="M339" s="37" t="s">
        <v>202</v>
      </c>
      <c r="N339" s="37" t="s">
        <v>207</v>
      </c>
      <c r="O339" s="37">
        <v>1</v>
      </c>
      <c r="P339" s="37">
        <v>2019</v>
      </c>
      <c r="Q339" s="37">
        <v>2024</v>
      </c>
      <c r="R339" s="10">
        <f>IF(IFERROR(VLOOKUP(A339,Drank!A:S,15,FALSE),"")=0,"",IFERROR(VLOOKUP(A339,Drank!A:S,15,FALSE),""))</f>
        <v>2021</v>
      </c>
      <c r="S339" s="10">
        <f>IF(IFERROR(VLOOKUP(A339,Drank!A:S,16,FALSE),"")=0,"",IFERROR(VLOOKUP(A339,Drank!A:S,16,FALSE),""))</f>
        <v>2025</v>
      </c>
      <c r="T339" s="10"/>
      <c r="U339" s="37">
        <v>90</v>
      </c>
      <c r="V339" s="18">
        <f>IF(IFERROR(VLOOKUP(A339,Drank!A:T,19,FALSE),"")=0,"",IFERROR(VLOOKUP(A339,Drank!A:T,19,FALSE),""))</f>
        <v>90.666666666666671</v>
      </c>
      <c r="W339" s="1">
        <f>IF(IFERROR(VLOOKUP(A339,Drank!A:T,20,FALSE),"")=0,"",IFERROR(VLOOKUP(A339,Drank!A:T,20,FALSE),""))</f>
        <v>44015</v>
      </c>
      <c r="X339" s="10">
        <f>SUMIF(A:A,A339,I:I)</f>
        <v>21</v>
      </c>
      <c r="Y339" s="10">
        <f>IF(Table1[[#This Row],[Drank]]&gt;0,VLOOKUP(Table1[[#This Row],[ID]],Drank!A:P,16,FALSE),IF(Table1[[#This Row],[WALDD]]&gt;0,VLOOKUP(Table1[[#This Row],[ID]],Wine1!A:Q,17,FALSE),Table1[[#This Row],[EP]]))</f>
        <v>2025</v>
      </c>
      <c r="Z339" s="18">
        <f>IF(Table1[[#This Row],[My Rating]]="",IF(Table1[[#This Row],[WA Rating Clean]]="","",Table1[[#This Row],[WA Rating Clean]]),Table1[[#This Row],[My Rating]])</f>
        <v>90.666666666666671</v>
      </c>
      <c r="AA339" s="37">
        <v>2021</v>
      </c>
      <c r="AB339" s="128">
        <v>14.11</v>
      </c>
      <c r="AC339" s="2">
        <f t="shared" si="31"/>
        <v>14.11</v>
      </c>
      <c r="AD339" s="8"/>
      <c r="AE339" s="10">
        <f>IF(Table1[[#This Row],[P/750]]&lt;20,1,IF(Table1[[#This Row],[P/750]]&lt;50,2,3))</f>
        <v>1</v>
      </c>
      <c r="AF339" s="10">
        <f>IF(Table1[[#This Row],[P/750]]&lt;Expenses!$C$30,1,IF(Table1[[#This Row],[P/750]]&lt;Expenses!$C$31,2,IF(Table1[[#This Row],[P/750]]&lt;Expenses!$C$32,3,4)))</f>
        <v>1</v>
      </c>
      <c r="AH339" s="37" t="s">
        <v>384</v>
      </c>
      <c r="AI339" s="11">
        <f>Table1[[#This Row],[Price]]/Table1[[#This Row],[Size (ml)]]*750</f>
        <v>14.109999999999998</v>
      </c>
      <c r="AJ339" s="37">
        <v>90</v>
      </c>
      <c r="AK339" s="10">
        <f>COUNTIF(UniqueID!A:A,Table1[[#This Row],[ID]])</f>
        <v>0</v>
      </c>
      <c r="AL339" s="10" t="str">
        <f>VLOOKUP(Table1[[#This Row],[Cellar Location]],Location!A:F,6,FALSE)</f>
        <v>W</v>
      </c>
      <c r="AN339" s="1">
        <v>44081</v>
      </c>
      <c r="AO339" s="10" t="str">
        <f>TEXT(Table1[[#This Row],[Purchased]],"mmmm")</f>
        <v>September</v>
      </c>
      <c r="AP339" s="10" t="str">
        <f>TEXT(Table1[[#This Row],[Purchased]],"yyyy")</f>
        <v>2020</v>
      </c>
      <c r="AQ339" s="1">
        <v>44138</v>
      </c>
    </row>
    <row r="340" spans="1:43" s="37" customFormat="1" x14ac:dyDescent="0.25">
      <c r="A340" s="8" t="str">
        <f t="shared" si="30"/>
        <v>2017Diez-CaballeroCrianza</v>
      </c>
      <c r="B340" s="8">
        <v>2017</v>
      </c>
      <c r="C340" s="8" t="s">
        <v>1216</v>
      </c>
      <c r="D340" s="37" t="s">
        <v>108</v>
      </c>
      <c r="E340" s="67" t="s">
        <v>1220</v>
      </c>
      <c r="F340" s="37" t="s">
        <v>729</v>
      </c>
      <c r="G340" s="37" t="s">
        <v>823</v>
      </c>
      <c r="I340" s="8">
        <v>1</v>
      </c>
      <c r="J340" s="38">
        <v>750</v>
      </c>
      <c r="K340" s="38" t="s">
        <v>384</v>
      </c>
      <c r="L340" s="10">
        <f>COUNTIF(Drank!A:A,Table1[[#This Row],[ID]])</f>
        <v>3</v>
      </c>
      <c r="M340" s="37" t="s">
        <v>202</v>
      </c>
      <c r="N340" s="37" t="s">
        <v>207</v>
      </c>
      <c r="O340" s="37">
        <v>1</v>
      </c>
      <c r="P340" s="37">
        <v>2019</v>
      </c>
      <c r="Q340" s="37">
        <v>2024</v>
      </c>
      <c r="R340" s="10">
        <f>IF(IFERROR(VLOOKUP(A340,Drank!A:S,15,FALSE),"")=0,"",IFERROR(VLOOKUP(A340,Drank!A:S,15,FALSE),""))</f>
        <v>2021</v>
      </c>
      <c r="S340" s="10">
        <f>IF(IFERROR(VLOOKUP(A340,Drank!A:S,16,FALSE),"")=0,"",IFERROR(VLOOKUP(A340,Drank!A:S,16,FALSE),""))</f>
        <v>2025</v>
      </c>
      <c r="T340" s="10"/>
      <c r="U340" s="37">
        <v>90</v>
      </c>
      <c r="V340" s="18">
        <f>IF(IFERROR(VLOOKUP(A340,Drank!A:T,19,FALSE),"")=0,"",IFERROR(VLOOKUP(A340,Drank!A:T,19,FALSE),""))</f>
        <v>90.666666666666671</v>
      </c>
      <c r="W340" s="1">
        <f>IF(IFERROR(VLOOKUP(A340,Drank!A:T,20,FALSE),"")=0,"",IFERROR(VLOOKUP(A340,Drank!A:T,20,FALSE),""))</f>
        <v>44015</v>
      </c>
      <c r="X340" s="10">
        <f>SUMIF(A:A,A340,I:I)</f>
        <v>21</v>
      </c>
      <c r="Y340" s="10">
        <f>IF(Table1[[#This Row],[Drank]]&gt;0,VLOOKUP(Table1[[#This Row],[ID]],Drank!A:P,16,FALSE),IF(Table1[[#This Row],[WALDD]]&gt;0,VLOOKUP(Table1[[#This Row],[ID]],Wine1!A:Q,17,FALSE),Table1[[#This Row],[EP]]))</f>
        <v>2025</v>
      </c>
      <c r="Z340" s="18">
        <f>IF(Table1[[#This Row],[My Rating]]="",IF(Table1[[#This Row],[WA Rating Clean]]="","",Table1[[#This Row],[WA Rating Clean]]),Table1[[#This Row],[My Rating]])</f>
        <v>90.666666666666671</v>
      </c>
      <c r="AA340" s="37">
        <v>2022</v>
      </c>
      <c r="AB340" s="128">
        <v>14.11</v>
      </c>
      <c r="AC340" s="2">
        <f t="shared" si="31"/>
        <v>14.11</v>
      </c>
      <c r="AD340" s="8"/>
      <c r="AE340" s="10">
        <f>IF(Table1[[#This Row],[P/750]]&lt;20,1,IF(Table1[[#This Row],[P/750]]&lt;50,2,3))</f>
        <v>1</v>
      </c>
      <c r="AF340" s="10">
        <f>IF(Table1[[#This Row],[P/750]]&lt;Expenses!$C$30,1,IF(Table1[[#This Row],[P/750]]&lt;Expenses!$C$31,2,IF(Table1[[#This Row],[P/750]]&lt;Expenses!$C$32,3,4)))</f>
        <v>1</v>
      </c>
      <c r="AH340" s="37" t="s">
        <v>384</v>
      </c>
      <c r="AI340" s="11">
        <f>Table1[[#This Row],[Price]]/Table1[[#This Row],[Size (ml)]]*750</f>
        <v>14.109999999999998</v>
      </c>
      <c r="AJ340" s="37">
        <v>90</v>
      </c>
      <c r="AK340" s="10">
        <f>COUNTIF(UniqueID!A:A,Table1[[#This Row],[ID]])</f>
        <v>0</v>
      </c>
      <c r="AL340" s="10" t="str">
        <f>VLOOKUP(Table1[[#This Row],[Cellar Location]],Location!A:F,6,FALSE)</f>
        <v>W</v>
      </c>
      <c r="AN340" s="1">
        <v>44081</v>
      </c>
      <c r="AO340" s="10" t="str">
        <f>TEXT(Table1[[#This Row],[Purchased]],"mmmm")</f>
        <v>September</v>
      </c>
      <c r="AP340" s="10" t="str">
        <f>TEXT(Table1[[#This Row],[Purchased]],"yyyy")</f>
        <v>2020</v>
      </c>
      <c r="AQ340" s="1">
        <v>44138</v>
      </c>
    </row>
    <row r="341" spans="1:43" s="37" customFormat="1" x14ac:dyDescent="0.25">
      <c r="A341" s="8" t="str">
        <f t="shared" si="30"/>
        <v>2017Diez-CaballeroCrianza</v>
      </c>
      <c r="B341" s="8">
        <v>2017</v>
      </c>
      <c r="C341" s="8" t="s">
        <v>1216</v>
      </c>
      <c r="D341" s="37" t="s">
        <v>108</v>
      </c>
      <c r="E341" s="67" t="s">
        <v>1220</v>
      </c>
      <c r="F341" s="37" t="s">
        <v>729</v>
      </c>
      <c r="G341" s="37" t="s">
        <v>823</v>
      </c>
      <c r="I341" s="8">
        <v>1</v>
      </c>
      <c r="J341" s="38">
        <v>750</v>
      </c>
      <c r="K341" s="38" t="s">
        <v>384</v>
      </c>
      <c r="L341" s="10">
        <f>COUNTIF(Drank!A:A,Table1[[#This Row],[ID]])</f>
        <v>3</v>
      </c>
      <c r="M341" s="37" t="s">
        <v>202</v>
      </c>
      <c r="N341" s="37" t="s">
        <v>207</v>
      </c>
      <c r="O341" s="37">
        <v>1</v>
      </c>
      <c r="P341" s="37">
        <v>2019</v>
      </c>
      <c r="Q341" s="37">
        <v>2024</v>
      </c>
      <c r="R341" s="10">
        <f>IF(IFERROR(VLOOKUP(A341,Drank!A:S,15,FALSE),"")=0,"",IFERROR(VLOOKUP(A341,Drank!A:S,15,FALSE),""))</f>
        <v>2021</v>
      </c>
      <c r="S341" s="10">
        <f>IF(IFERROR(VLOOKUP(A341,Drank!A:S,16,FALSE),"")=0,"",IFERROR(VLOOKUP(A341,Drank!A:S,16,FALSE),""))</f>
        <v>2025</v>
      </c>
      <c r="T341" s="10"/>
      <c r="U341" s="37">
        <v>90</v>
      </c>
      <c r="V341" s="18">
        <f>IF(IFERROR(VLOOKUP(A341,Drank!A:T,19,FALSE),"")=0,"",IFERROR(VLOOKUP(A341,Drank!A:T,19,FALSE),""))</f>
        <v>90.666666666666671</v>
      </c>
      <c r="W341" s="1">
        <f>IF(IFERROR(VLOOKUP(A341,Drank!A:T,20,FALSE),"")=0,"",IFERROR(VLOOKUP(A341,Drank!A:T,20,FALSE),""))</f>
        <v>44015</v>
      </c>
      <c r="X341" s="10">
        <f>SUMIF(A:A,A341,I:I)</f>
        <v>21</v>
      </c>
      <c r="Y341" s="10">
        <f>IF(Table1[[#This Row],[Drank]]&gt;0,VLOOKUP(Table1[[#This Row],[ID]],Drank!A:P,16,FALSE),IF(Table1[[#This Row],[WALDD]]&gt;0,VLOOKUP(Table1[[#This Row],[ID]],Wine1!A:Q,17,FALSE),Table1[[#This Row],[EP]]))</f>
        <v>2025</v>
      </c>
      <c r="Z341" s="18">
        <f>IF(Table1[[#This Row],[My Rating]]="",IF(Table1[[#This Row],[WA Rating Clean]]="","",Table1[[#This Row],[WA Rating Clean]]),Table1[[#This Row],[My Rating]])</f>
        <v>90.666666666666671</v>
      </c>
      <c r="AA341" s="37">
        <v>2022</v>
      </c>
      <c r="AB341" s="128">
        <v>14.11</v>
      </c>
      <c r="AC341" s="2">
        <f t="shared" si="31"/>
        <v>14.11</v>
      </c>
      <c r="AD341" s="8"/>
      <c r="AE341" s="10">
        <f>IF(Table1[[#This Row],[P/750]]&lt;20,1,IF(Table1[[#This Row],[P/750]]&lt;50,2,3))</f>
        <v>1</v>
      </c>
      <c r="AF341" s="10">
        <f>IF(Table1[[#This Row],[P/750]]&lt;Expenses!$C$30,1,IF(Table1[[#This Row],[P/750]]&lt;Expenses!$C$31,2,IF(Table1[[#This Row],[P/750]]&lt;Expenses!$C$32,3,4)))</f>
        <v>1</v>
      </c>
      <c r="AH341" s="37" t="s">
        <v>384</v>
      </c>
      <c r="AI341" s="11">
        <f>Table1[[#This Row],[Price]]/Table1[[#This Row],[Size (ml)]]*750</f>
        <v>14.109999999999998</v>
      </c>
      <c r="AJ341" s="37">
        <v>90</v>
      </c>
      <c r="AK341" s="10">
        <f>COUNTIF(UniqueID!A:A,Table1[[#This Row],[ID]])</f>
        <v>0</v>
      </c>
      <c r="AL341" s="10" t="str">
        <f>VLOOKUP(Table1[[#This Row],[Cellar Location]],Location!A:F,6,FALSE)</f>
        <v>W</v>
      </c>
      <c r="AN341" s="1">
        <v>44081</v>
      </c>
      <c r="AO341" s="10" t="str">
        <f>TEXT(Table1[[#This Row],[Purchased]],"mmmm")</f>
        <v>September</v>
      </c>
      <c r="AP341" s="10" t="str">
        <f>TEXT(Table1[[#This Row],[Purchased]],"yyyy")</f>
        <v>2020</v>
      </c>
      <c r="AQ341" s="1">
        <v>44138</v>
      </c>
    </row>
    <row r="342" spans="1:43" s="37" customFormat="1" x14ac:dyDescent="0.25">
      <c r="A342" s="8" t="str">
        <f t="shared" si="30"/>
        <v>2017Diez-CaballeroCrianza</v>
      </c>
      <c r="B342" s="8">
        <v>2017</v>
      </c>
      <c r="C342" s="8" t="s">
        <v>1216</v>
      </c>
      <c r="D342" s="37" t="s">
        <v>108</v>
      </c>
      <c r="E342" s="67" t="s">
        <v>1220</v>
      </c>
      <c r="F342" s="37" t="s">
        <v>729</v>
      </c>
      <c r="G342" s="37" t="s">
        <v>823</v>
      </c>
      <c r="I342" s="8">
        <v>1</v>
      </c>
      <c r="J342" s="38">
        <v>750</v>
      </c>
      <c r="K342" s="38" t="s">
        <v>384</v>
      </c>
      <c r="L342" s="10">
        <f>COUNTIF(Drank!A:A,Table1[[#This Row],[ID]])</f>
        <v>3</v>
      </c>
      <c r="M342" s="37" t="s">
        <v>202</v>
      </c>
      <c r="N342" s="37" t="s">
        <v>207</v>
      </c>
      <c r="O342" s="37">
        <v>1</v>
      </c>
      <c r="P342" s="37">
        <v>2019</v>
      </c>
      <c r="Q342" s="37">
        <v>2024</v>
      </c>
      <c r="R342" s="10">
        <f>IF(IFERROR(VLOOKUP(A342,Drank!A:S,15,FALSE),"")=0,"",IFERROR(VLOOKUP(A342,Drank!A:S,15,FALSE),""))</f>
        <v>2021</v>
      </c>
      <c r="S342" s="10">
        <f>IF(IFERROR(VLOOKUP(A342,Drank!A:S,16,FALSE),"")=0,"",IFERROR(VLOOKUP(A342,Drank!A:S,16,FALSE),""))</f>
        <v>2025</v>
      </c>
      <c r="T342" s="10"/>
      <c r="U342" s="37">
        <v>90</v>
      </c>
      <c r="V342" s="18">
        <f>IF(IFERROR(VLOOKUP(A342,Drank!A:T,19,FALSE),"")=0,"",IFERROR(VLOOKUP(A342,Drank!A:T,19,FALSE),""))</f>
        <v>90.666666666666671</v>
      </c>
      <c r="W342" s="1">
        <f>IF(IFERROR(VLOOKUP(A342,Drank!A:T,20,FALSE),"")=0,"",IFERROR(VLOOKUP(A342,Drank!A:T,20,FALSE),""))</f>
        <v>44015</v>
      </c>
      <c r="X342" s="10">
        <f>SUMIF(A:A,A342,I:I)</f>
        <v>21</v>
      </c>
      <c r="Y342" s="10">
        <f>IF(Table1[[#This Row],[Drank]]&gt;0,VLOOKUP(Table1[[#This Row],[ID]],Drank!A:P,16,FALSE),IF(Table1[[#This Row],[WALDD]]&gt;0,VLOOKUP(Table1[[#This Row],[ID]],Wine1!A:Q,17,FALSE),Table1[[#This Row],[EP]]))</f>
        <v>2025</v>
      </c>
      <c r="Z342" s="18">
        <f>IF(Table1[[#This Row],[My Rating]]="",IF(Table1[[#This Row],[WA Rating Clean]]="","",Table1[[#This Row],[WA Rating Clean]]),Table1[[#This Row],[My Rating]])</f>
        <v>90.666666666666671</v>
      </c>
      <c r="AA342" s="37">
        <v>2022</v>
      </c>
      <c r="AB342" s="128">
        <v>14.11</v>
      </c>
      <c r="AC342" s="2">
        <f t="shared" si="31"/>
        <v>14.11</v>
      </c>
      <c r="AD342" s="8"/>
      <c r="AE342" s="10">
        <f>IF(Table1[[#This Row],[P/750]]&lt;20,1,IF(Table1[[#This Row],[P/750]]&lt;50,2,3))</f>
        <v>1</v>
      </c>
      <c r="AF342" s="10">
        <f>IF(Table1[[#This Row],[P/750]]&lt;Expenses!$C$30,1,IF(Table1[[#This Row],[P/750]]&lt;Expenses!$C$31,2,IF(Table1[[#This Row],[P/750]]&lt;Expenses!$C$32,3,4)))</f>
        <v>1</v>
      </c>
      <c r="AH342" s="37" t="s">
        <v>384</v>
      </c>
      <c r="AI342" s="11">
        <f>Table1[[#This Row],[Price]]/Table1[[#This Row],[Size (ml)]]*750</f>
        <v>14.109999999999998</v>
      </c>
      <c r="AJ342" s="37">
        <v>90</v>
      </c>
      <c r="AK342" s="10">
        <f>COUNTIF(UniqueID!A:A,Table1[[#This Row],[ID]])</f>
        <v>0</v>
      </c>
      <c r="AL342" s="10" t="str">
        <f>VLOOKUP(Table1[[#This Row],[Cellar Location]],Location!A:F,6,FALSE)</f>
        <v>W</v>
      </c>
      <c r="AN342" s="1">
        <v>44081</v>
      </c>
      <c r="AO342" s="10" t="str">
        <f>TEXT(Table1[[#This Row],[Purchased]],"mmmm")</f>
        <v>September</v>
      </c>
      <c r="AP342" s="10" t="str">
        <f>TEXT(Table1[[#This Row],[Purchased]],"yyyy")</f>
        <v>2020</v>
      </c>
      <c r="AQ342" s="1">
        <v>44138</v>
      </c>
    </row>
    <row r="343" spans="1:43" s="37" customFormat="1" x14ac:dyDescent="0.25">
      <c r="A343" s="8" t="str">
        <f t="shared" si="30"/>
        <v>2017Diez-CaballeroCrianza</v>
      </c>
      <c r="B343" s="8">
        <v>2017</v>
      </c>
      <c r="C343" s="8" t="s">
        <v>1216</v>
      </c>
      <c r="D343" s="37" t="s">
        <v>108</v>
      </c>
      <c r="E343" s="67" t="s">
        <v>1220</v>
      </c>
      <c r="F343" s="37" t="s">
        <v>729</v>
      </c>
      <c r="G343" s="37" t="s">
        <v>823</v>
      </c>
      <c r="I343" s="8">
        <v>1</v>
      </c>
      <c r="J343" s="38">
        <v>750</v>
      </c>
      <c r="K343" s="38" t="s">
        <v>384</v>
      </c>
      <c r="L343" s="10">
        <f>COUNTIF(Drank!A:A,Table1[[#This Row],[ID]])</f>
        <v>3</v>
      </c>
      <c r="M343" s="37" t="s">
        <v>202</v>
      </c>
      <c r="N343" s="37" t="s">
        <v>207</v>
      </c>
      <c r="O343" s="37">
        <v>1</v>
      </c>
      <c r="P343" s="37">
        <v>2019</v>
      </c>
      <c r="Q343" s="37">
        <v>2024</v>
      </c>
      <c r="R343" s="10">
        <f>IF(IFERROR(VLOOKUP(A343,Drank!A:S,15,FALSE),"")=0,"",IFERROR(VLOOKUP(A343,Drank!A:S,15,FALSE),""))</f>
        <v>2021</v>
      </c>
      <c r="S343" s="10">
        <f>IF(IFERROR(VLOOKUP(A343,Drank!A:S,16,FALSE),"")=0,"",IFERROR(VLOOKUP(A343,Drank!A:S,16,FALSE),""))</f>
        <v>2025</v>
      </c>
      <c r="T343" s="10"/>
      <c r="U343" s="37">
        <v>90</v>
      </c>
      <c r="V343" s="18">
        <f>IF(IFERROR(VLOOKUP(A343,Drank!A:T,19,FALSE),"")=0,"",IFERROR(VLOOKUP(A343,Drank!A:T,19,FALSE),""))</f>
        <v>90.666666666666671</v>
      </c>
      <c r="W343" s="1">
        <f>IF(IFERROR(VLOOKUP(A343,Drank!A:T,20,FALSE),"")=0,"",IFERROR(VLOOKUP(A343,Drank!A:T,20,FALSE),""))</f>
        <v>44015</v>
      </c>
      <c r="X343" s="10">
        <f>SUMIF(A:A,A343,I:I)</f>
        <v>21</v>
      </c>
      <c r="Y343" s="10">
        <f>IF(Table1[[#This Row],[Drank]]&gt;0,VLOOKUP(Table1[[#This Row],[ID]],Drank!A:P,16,FALSE),IF(Table1[[#This Row],[WALDD]]&gt;0,VLOOKUP(Table1[[#This Row],[ID]],Wine1!A:Q,17,FALSE),Table1[[#This Row],[EP]]))</f>
        <v>2025</v>
      </c>
      <c r="Z343" s="18">
        <f>IF(Table1[[#This Row],[My Rating]]="",IF(Table1[[#This Row],[WA Rating Clean]]="","",Table1[[#This Row],[WA Rating Clean]]),Table1[[#This Row],[My Rating]])</f>
        <v>90.666666666666671</v>
      </c>
      <c r="AA343" s="37">
        <v>2023</v>
      </c>
      <c r="AB343" s="128">
        <v>14.11</v>
      </c>
      <c r="AC343" s="2">
        <f t="shared" si="31"/>
        <v>14.11</v>
      </c>
      <c r="AD343" s="8"/>
      <c r="AE343" s="10">
        <f>IF(Table1[[#This Row],[P/750]]&lt;20,1,IF(Table1[[#This Row],[P/750]]&lt;50,2,3))</f>
        <v>1</v>
      </c>
      <c r="AF343" s="10">
        <f>IF(Table1[[#This Row],[P/750]]&lt;Expenses!$C$30,1,IF(Table1[[#This Row],[P/750]]&lt;Expenses!$C$31,2,IF(Table1[[#This Row],[P/750]]&lt;Expenses!$C$32,3,4)))</f>
        <v>1</v>
      </c>
      <c r="AH343" s="37" t="s">
        <v>384</v>
      </c>
      <c r="AI343" s="11">
        <f>Table1[[#This Row],[Price]]/Table1[[#This Row],[Size (ml)]]*750</f>
        <v>14.109999999999998</v>
      </c>
      <c r="AJ343" s="37">
        <v>90</v>
      </c>
      <c r="AK343" s="10">
        <f>COUNTIF(UniqueID!A:A,Table1[[#This Row],[ID]])</f>
        <v>0</v>
      </c>
      <c r="AL343" s="10" t="str">
        <f>VLOOKUP(Table1[[#This Row],[Cellar Location]],Location!A:F,6,FALSE)</f>
        <v>W</v>
      </c>
      <c r="AN343" s="1">
        <v>44081</v>
      </c>
      <c r="AO343" s="10" t="str">
        <f>TEXT(Table1[[#This Row],[Purchased]],"mmmm")</f>
        <v>September</v>
      </c>
      <c r="AP343" s="10" t="str">
        <f>TEXT(Table1[[#This Row],[Purchased]],"yyyy")</f>
        <v>2020</v>
      </c>
      <c r="AQ343" s="1">
        <v>44138</v>
      </c>
    </row>
    <row r="344" spans="1:43" s="37" customFormat="1" x14ac:dyDescent="0.25">
      <c r="A344" s="8" t="str">
        <f t="shared" si="30"/>
        <v>2017Diez-CaballeroCrianza</v>
      </c>
      <c r="B344" s="8">
        <v>2017</v>
      </c>
      <c r="C344" s="8" t="s">
        <v>1216</v>
      </c>
      <c r="D344" s="37" t="s">
        <v>108</v>
      </c>
      <c r="E344" s="67" t="s">
        <v>1220</v>
      </c>
      <c r="F344" s="37" t="s">
        <v>729</v>
      </c>
      <c r="G344" s="37" t="s">
        <v>823</v>
      </c>
      <c r="I344" s="8">
        <v>1</v>
      </c>
      <c r="J344" s="38">
        <v>750</v>
      </c>
      <c r="K344" s="38" t="s">
        <v>384</v>
      </c>
      <c r="L344" s="10">
        <f>COUNTIF(Drank!A:A,Table1[[#This Row],[ID]])</f>
        <v>3</v>
      </c>
      <c r="M344" s="37" t="s">
        <v>202</v>
      </c>
      <c r="N344" s="37" t="s">
        <v>207</v>
      </c>
      <c r="O344" s="37">
        <v>1</v>
      </c>
      <c r="P344" s="37">
        <v>2019</v>
      </c>
      <c r="Q344" s="37">
        <v>2024</v>
      </c>
      <c r="R344" s="10">
        <f>IF(IFERROR(VLOOKUP(A344,Drank!A:S,15,FALSE),"")=0,"",IFERROR(VLOOKUP(A344,Drank!A:S,15,FALSE),""))</f>
        <v>2021</v>
      </c>
      <c r="S344" s="10">
        <f>IF(IFERROR(VLOOKUP(A344,Drank!A:S,16,FALSE),"")=0,"",IFERROR(VLOOKUP(A344,Drank!A:S,16,FALSE),""))</f>
        <v>2025</v>
      </c>
      <c r="T344" s="10"/>
      <c r="U344" s="37">
        <v>90</v>
      </c>
      <c r="V344" s="18">
        <f>IF(IFERROR(VLOOKUP(A344,Drank!A:T,19,FALSE),"")=0,"",IFERROR(VLOOKUP(A344,Drank!A:T,19,FALSE),""))</f>
        <v>90.666666666666671</v>
      </c>
      <c r="W344" s="1">
        <f>IF(IFERROR(VLOOKUP(A344,Drank!A:T,20,FALSE),"")=0,"",IFERROR(VLOOKUP(A344,Drank!A:T,20,FALSE),""))</f>
        <v>44015</v>
      </c>
      <c r="X344" s="10">
        <f>SUMIF(A:A,A344,I:I)</f>
        <v>21</v>
      </c>
      <c r="Y344" s="10">
        <f>IF(Table1[[#This Row],[Drank]]&gt;0,VLOOKUP(Table1[[#This Row],[ID]],Drank!A:P,16,FALSE),IF(Table1[[#This Row],[WALDD]]&gt;0,VLOOKUP(Table1[[#This Row],[ID]],Wine1!A:Q,17,FALSE),Table1[[#This Row],[EP]]))</f>
        <v>2025</v>
      </c>
      <c r="Z344" s="18">
        <f>IF(Table1[[#This Row],[My Rating]]="",IF(Table1[[#This Row],[WA Rating Clean]]="","",Table1[[#This Row],[WA Rating Clean]]),Table1[[#This Row],[My Rating]])</f>
        <v>90.666666666666671</v>
      </c>
      <c r="AA344" s="37">
        <v>2023</v>
      </c>
      <c r="AB344" s="128">
        <v>14.11</v>
      </c>
      <c r="AC344" s="2">
        <f t="shared" si="31"/>
        <v>14.11</v>
      </c>
      <c r="AD344" s="8"/>
      <c r="AE344" s="10">
        <f>IF(Table1[[#This Row],[P/750]]&lt;20,1,IF(Table1[[#This Row],[P/750]]&lt;50,2,3))</f>
        <v>1</v>
      </c>
      <c r="AF344" s="10">
        <f>IF(Table1[[#This Row],[P/750]]&lt;Expenses!$C$30,1,IF(Table1[[#This Row],[P/750]]&lt;Expenses!$C$31,2,IF(Table1[[#This Row],[P/750]]&lt;Expenses!$C$32,3,4)))</f>
        <v>1</v>
      </c>
      <c r="AH344" s="37" t="s">
        <v>384</v>
      </c>
      <c r="AI344" s="11">
        <f>Table1[[#This Row],[Price]]/Table1[[#This Row],[Size (ml)]]*750</f>
        <v>14.109999999999998</v>
      </c>
      <c r="AJ344" s="37">
        <v>90</v>
      </c>
      <c r="AK344" s="10">
        <f>COUNTIF(UniqueID!A:A,Table1[[#This Row],[ID]])</f>
        <v>0</v>
      </c>
      <c r="AL344" s="10" t="str">
        <f>VLOOKUP(Table1[[#This Row],[Cellar Location]],Location!A:F,6,FALSE)</f>
        <v>W</v>
      </c>
      <c r="AN344" s="1">
        <v>44081</v>
      </c>
      <c r="AO344" s="10" t="str">
        <f>TEXT(Table1[[#This Row],[Purchased]],"mmmm")</f>
        <v>September</v>
      </c>
      <c r="AP344" s="10" t="str">
        <f>TEXT(Table1[[#This Row],[Purchased]],"yyyy")</f>
        <v>2020</v>
      </c>
      <c r="AQ344" s="1">
        <v>44138</v>
      </c>
    </row>
    <row r="345" spans="1:43" s="37" customFormat="1" x14ac:dyDescent="0.25">
      <c r="A345" s="8" t="str">
        <f t="shared" si="30"/>
        <v>2017Diez-CaballeroCrianza</v>
      </c>
      <c r="B345" s="8">
        <v>2017</v>
      </c>
      <c r="C345" s="8" t="s">
        <v>1216</v>
      </c>
      <c r="D345" s="37" t="s">
        <v>108</v>
      </c>
      <c r="E345" s="67" t="s">
        <v>1220</v>
      </c>
      <c r="F345" s="37" t="s">
        <v>729</v>
      </c>
      <c r="G345" s="37" t="s">
        <v>823</v>
      </c>
      <c r="I345" s="8">
        <v>1</v>
      </c>
      <c r="J345" s="38">
        <v>750</v>
      </c>
      <c r="K345" s="38" t="s">
        <v>384</v>
      </c>
      <c r="L345" s="10">
        <f>COUNTIF(Drank!A:A,Table1[[#This Row],[ID]])</f>
        <v>3</v>
      </c>
      <c r="M345" s="37" t="s">
        <v>202</v>
      </c>
      <c r="N345" s="37" t="s">
        <v>207</v>
      </c>
      <c r="O345" s="37">
        <v>1</v>
      </c>
      <c r="P345" s="37">
        <v>2019</v>
      </c>
      <c r="Q345" s="37">
        <v>2024</v>
      </c>
      <c r="R345" s="10">
        <f>IF(IFERROR(VLOOKUP(A345,Drank!A:S,15,FALSE),"")=0,"",IFERROR(VLOOKUP(A345,Drank!A:S,15,FALSE),""))</f>
        <v>2021</v>
      </c>
      <c r="S345" s="10">
        <f>IF(IFERROR(VLOOKUP(A345,Drank!A:S,16,FALSE),"")=0,"",IFERROR(VLOOKUP(A345,Drank!A:S,16,FALSE),""))</f>
        <v>2025</v>
      </c>
      <c r="T345" s="10"/>
      <c r="U345" s="37">
        <v>90</v>
      </c>
      <c r="V345" s="18">
        <f>IF(IFERROR(VLOOKUP(A345,Drank!A:T,19,FALSE),"")=0,"",IFERROR(VLOOKUP(A345,Drank!A:T,19,FALSE),""))</f>
        <v>90.666666666666671</v>
      </c>
      <c r="W345" s="1">
        <f>IF(IFERROR(VLOOKUP(A345,Drank!A:T,20,FALSE),"")=0,"",IFERROR(VLOOKUP(A345,Drank!A:T,20,FALSE),""))</f>
        <v>44015</v>
      </c>
      <c r="X345" s="10">
        <f>SUMIF(A:A,A345,I:I)</f>
        <v>21</v>
      </c>
      <c r="Y345" s="10">
        <f>IF(Table1[[#This Row],[Drank]]&gt;0,VLOOKUP(Table1[[#This Row],[ID]],Drank!A:P,16,FALSE),IF(Table1[[#This Row],[WALDD]]&gt;0,VLOOKUP(Table1[[#This Row],[ID]],Wine1!A:Q,17,FALSE),Table1[[#This Row],[EP]]))</f>
        <v>2025</v>
      </c>
      <c r="Z345" s="18">
        <f>IF(Table1[[#This Row],[My Rating]]="",IF(Table1[[#This Row],[WA Rating Clean]]="","",Table1[[#This Row],[WA Rating Clean]]),Table1[[#This Row],[My Rating]])</f>
        <v>90.666666666666671</v>
      </c>
      <c r="AA345" s="37">
        <v>2024</v>
      </c>
      <c r="AB345" s="128">
        <v>14.11</v>
      </c>
      <c r="AC345" s="2">
        <f t="shared" si="31"/>
        <v>14.11</v>
      </c>
      <c r="AD345" s="8"/>
      <c r="AE345" s="10">
        <f>IF(Table1[[#This Row],[P/750]]&lt;20,1,IF(Table1[[#This Row],[P/750]]&lt;50,2,3))</f>
        <v>1</v>
      </c>
      <c r="AF345" s="10">
        <f>IF(Table1[[#This Row],[P/750]]&lt;Expenses!$C$30,1,IF(Table1[[#This Row],[P/750]]&lt;Expenses!$C$31,2,IF(Table1[[#This Row],[P/750]]&lt;Expenses!$C$32,3,4)))</f>
        <v>1</v>
      </c>
      <c r="AH345" s="37" t="s">
        <v>384</v>
      </c>
      <c r="AI345" s="11">
        <f>Table1[[#This Row],[Price]]/Table1[[#This Row],[Size (ml)]]*750</f>
        <v>14.109999999999998</v>
      </c>
      <c r="AJ345" s="37">
        <v>90</v>
      </c>
      <c r="AK345" s="10">
        <f>COUNTIF(UniqueID!A:A,Table1[[#This Row],[ID]])</f>
        <v>0</v>
      </c>
      <c r="AL345" s="10" t="str">
        <f>VLOOKUP(Table1[[#This Row],[Cellar Location]],Location!A:F,6,FALSE)</f>
        <v>W</v>
      </c>
      <c r="AN345" s="1">
        <v>44081</v>
      </c>
      <c r="AO345" s="10" t="str">
        <f>TEXT(Table1[[#This Row],[Purchased]],"mmmm")</f>
        <v>September</v>
      </c>
      <c r="AP345" s="10" t="str">
        <f>TEXT(Table1[[#This Row],[Purchased]],"yyyy")</f>
        <v>2020</v>
      </c>
      <c r="AQ345" s="1">
        <v>44138</v>
      </c>
    </row>
    <row r="346" spans="1:43" s="37" customFormat="1" x14ac:dyDescent="0.25">
      <c r="A346" s="8" t="str">
        <f t="shared" si="30"/>
        <v>2017Diez-CaballeroCrianza</v>
      </c>
      <c r="B346" s="8">
        <v>2017</v>
      </c>
      <c r="C346" s="8" t="s">
        <v>1216</v>
      </c>
      <c r="D346" s="37" t="s">
        <v>108</v>
      </c>
      <c r="E346" s="67" t="s">
        <v>1220</v>
      </c>
      <c r="F346" s="37" t="s">
        <v>729</v>
      </c>
      <c r="G346" s="37" t="s">
        <v>823</v>
      </c>
      <c r="I346" s="8">
        <v>1</v>
      </c>
      <c r="J346" s="38">
        <v>750</v>
      </c>
      <c r="K346" s="38" t="s">
        <v>384</v>
      </c>
      <c r="L346" s="10">
        <f>COUNTIF(Drank!A:A,Table1[[#This Row],[ID]])</f>
        <v>3</v>
      </c>
      <c r="M346" s="37" t="s">
        <v>202</v>
      </c>
      <c r="N346" s="37" t="s">
        <v>207</v>
      </c>
      <c r="O346" s="37">
        <v>1</v>
      </c>
      <c r="P346" s="37">
        <v>2019</v>
      </c>
      <c r="Q346" s="37">
        <v>2024</v>
      </c>
      <c r="R346" s="10">
        <f>IF(IFERROR(VLOOKUP(A346,Drank!A:S,15,FALSE),"")=0,"",IFERROR(VLOOKUP(A346,Drank!A:S,15,FALSE),""))</f>
        <v>2021</v>
      </c>
      <c r="S346" s="10">
        <f>IF(IFERROR(VLOOKUP(A346,Drank!A:S,16,FALSE),"")=0,"",IFERROR(VLOOKUP(A346,Drank!A:S,16,FALSE),""))</f>
        <v>2025</v>
      </c>
      <c r="T346" s="10"/>
      <c r="U346" s="37">
        <v>90</v>
      </c>
      <c r="V346" s="18">
        <f>IF(IFERROR(VLOOKUP(A346,Drank!A:T,19,FALSE),"")=0,"",IFERROR(VLOOKUP(A346,Drank!A:T,19,FALSE),""))</f>
        <v>90.666666666666671</v>
      </c>
      <c r="W346" s="1">
        <f>IF(IFERROR(VLOOKUP(A346,Drank!A:T,20,FALSE),"")=0,"",IFERROR(VLOOKUP(A346,Drank!A:T,20,FALSE),""))</f>
        <v>44015</v>
      </c>
      <c r="X346" s="10">
        <f>SUMIF(A:A,A346,I:I)</f>
        <v>21</v>
      </c>
      <c r="Y346" s="10">
        <f>IF(Table1[[#This Row],[Drank]]&gt;0,VLOOKUP(Table1[[#This Row],[ID]],Drank!A:P,16,FALSE),IF(Table1[[#This Row],[WALDD]]&gt;0,VLOOKUP(Table1[[#This Row],[ID]],Wine1!A:Q,17,FALSE),Table1[[#This Row],[EP]]))</f>
        <v>2025</v>
      </c>
      <c r="Z346" s="18">
        <f>IF(Table1[[#This Row],[My Rating]]="",IF(Table1[[#This Row],[WA Rating Clean]]="","",Table1[[#This Row],[WA Rating Clean]]),Table1[[#This Row],[My Rating]])</f>
        <v>90.666666666666671</v>
      </c>
      <c r="AA346" s="37">
        <v>2024</v>
      </c>
      <c r="AB346" s="128">
        <v>14.11</v>
      </c>
      <c r="AC346" s="2">
        <f t="shared" si="31"/>
        <v>14.11</v>
      </c>
      <c r="AD346" s="8"/>
      <c r="AE346" s="10">
        <f>IF(Table1[[#This Row],[P/750]]&lt;20,1,IF(Table1[[#This Row],[P/750]]&lt;50,2,3))</f>
        <v>1</v>
      </c>
      <c r="AF346" s="10">
        <f>IF(Table1[[#This Row],[P/750]]&lt;Expenses!$C$30,1,IF(Table1[[#This Row],[P/750]]&lt;Expenses!$C$31,2,IF(Table1[[#This Row],[P/750]]&lt;Expenses!$C$32,3,4)))</f>
        <v>1</v>
      </c>
      <c r="AH346" s="37" t="s">
        <v>384</v>
      </c>
      <c r="AI346" s="11">
        <f>Table1[[#This Row],[Price]]/Table1[[#This Row],[Size (ml)]]*750</f>
        <v>14.109999999999998</v>
      </c>
      <c r="AJ346" s="37">
        <v>90</v>
      </c>
      <c r="AK346" s="10">
        <f>COUNTIF(UniqueID!A:A,Table1[[#This Row],[ID]])</f>
        <v>0</v>
      </c>
      <c r="AL346" s="10" t="str">
        <f>VLOOKUP(Table1[[#This Row],[Cellar Location]],Location!A:F,6,FALSE)</f>
        <v>W</v>
      </c>
      <c r="AN346" s="1">
        <v>44081</v>
      </c>
      <c r="AO346" s="10" t="str">
        <f>TEXT(Table1[[#This Row],[Purchased]],"mmmm")</f>
        <v>September</v>
      </c>
      <c r="AP346" s="10" t="str">
        <f>TEXT(Table1[[#This Row],[Purchased]],"yyyy")</f>
        <v>2020</v>
      </c>
      <c r="AQ346" s="1">
        <v>44138</v>
      </c>
    </row>
    <row r="347" spans="1:43" s="37" customFormat="1" x14ac:dyDescent="0.25">
      <c r="A347" s="8" t="str">
        <f t="shared" si="30"/>
        <v>2017Diez-CaballeroCrianza</v>
      </c>
      <c r="B347" s="8">
        <v>2017</v>
      </c>
      <c r="C347" s="8" t="s">
        <v>1216</v>
      </c>
      <c r="D347" s="37" t="s">
        <v>108</v>
      </c>
      <c r="E347" s="67" t="s">
        <v>1220</v>
      </c>
      <c r="F347" s="37" t="s">
        <v>729</v>
      </c>
      <c r="G347" s="37" t="s">
        <v>823</v>
      </c>
      <c r="I347" s="8">
        <v>1</v>
      </c>
      <c r="J347" s="38">
        <v>750</v>
      </c>
      <c r="K347" s="38" t="s">
        <v>384</v>
      </c>
      <c r="L347" s="10">
        <f>COUNTIF(Drank!A:A,Table1[[#This Row],[ID]])</f>
        <v>3</v>
      </c>
      <c r="M347" s="37" t="s">
        <v>202</v>
      </c>
      <c r="N347" s="37" t="s">
        <v>207</v>
      </c>
      <c r="O347" s="37">
        <v>1</v>
      </c>
      <c r="P347" s="37">
        <v>2019</v>
      </c>
      <c r="Q347" s="37">
        <v>2024</v>
      </c>
      <c r="R347" s="10">
        <f>IF(IFERROR(VLOOKUP(A347,Drank!A:S,15,FALSE),"")=0,"",IFERROR(VLOOKUP(A347,Drank!A:S,15,FALSE),""))</f>
        <v>2021</v>
      </c>
      <c r="S347" s="10">
        <f>IF(IFERROR(VLOOKUP(A347,Drank!A:S,16,FALSE),"")=0,"",IFERROR(VLOOKUP(A347,Drank!A:S,16,FALSE),""))</f>
        <v>2025</v>
      </c>
      <c r="T347" s="10"/>
      <c r="U347" s="37">
        <v>90</v>
      </c>
      <c r="V347" s="18">
        <f>IF(IFERROR(VLOOKUP(A347,Drank!A:T,19,FALSE),"")=0,"",IFERROR(VLOOKUP(A347,Drank!A:T,19,FALSE),""))</f>
        <v>90.666666666666671</v>
      </c>
      <c r="W347" s="1">
        <f>IF(IFERROR(VLOOKUP(A347,Drank!A:T,20,FALSE),"")=0,"",IFERROR(VLOOKUP(A347,Drank!A:T,20,FALSE),""))</f>
        <v>44015</v>
      </c>
      <c r="X347" s="10">
        <f>SUMIF(A:A,A347,I:I)</f>
        <v>21</v>
      </c>
      <c r="Y347" s="10">
        <f>IF(Table1[[#This Row],[Drank]]&gt;0,VLOOKUP(Table1[[#This Row],[ID]],Drank!A:P,16,FALSE),IF(Table1[[#This Row],[WALDD]]&gt;0,VLOOKUP(Table1[[#This Row],[ID]],Wine1!A:Q,17,FALSE),Table1[[#This Row],[EP]]))</f>
        <v>2025</v>
      </c>
      <c r="Z347" s="18">
        <f>IF(Table1[[#This Row],[My Rating]]="",IF(Table1[[#This Row],[WA Rating Clean]]="","",Table1[[#This Row],[WA Rating Clean]]),Table1[[#This Row],[My Rating]])</f>
        <v>90.666666666666671</v>
      </c>
      <c r="AA347" s="37">
        <v>2025</v>
      </c>
      <c r="AB347" s="128">
        <v>14.11</v>
      </c>
      <c r="AC347" s="2">
        <f t="shared" si="31"/>
        <v>14.11</v>
      </c>
      <c r="AD347" s="8"/>
      <c r="AE347" s="10">
        <f>IF(Table1[[#This Row],[P/750]]&lt;20,1,IF(Table1[[#This Row],[P/750]]&lt;50,2,3))</f>
        <v>1</v>
      </c>
      <c r="AF347" s="10">
        <f>IF(Table1[[#This Row],[P/750]]&lt;Expenses!$C$30,1,IF(Table1[[#This Row],[P/750]]&lt;Expenses!$C$31,2,IF(Table1[[#This Row],[P/750]]&lt;Expenses!$C$32,3,4)))</f>
        <v>1</v>
      </c>
      <c r="AH347" s="37" t="s">
        <v>384</v>
      </c>
      <c r="AI347" s="11">
        <f>Table1[[#This Row],[Price]]/Table1[[#This Row],[Size (ml)]]*750</f>
        <v>14.109999999999998</v>
      </c>
      <c r="AJ347" s="37">
        <v>90</v>
      </c>
      <c r="AK347" s="10">
        <f>COUNTIF(UniqueID!A:A,Table1[[#This Row],[ID]])</f>
        <v>0</v>
      </c>
      <c r="AL347" s="10" t="str">
        <f>VLOOKUP(Table1[[#This Row],[Cellar Location]],Location!A:F,6,FALSE)</f>
        <v>W</v>
      </c>
      <c r="AN347" s="1">
        <v>44081</v>
      </c>
      <c r="AO347" s="10" t="str">
        <f>TEXT(Table1[[#This Row],[Purchased]],"mmmm")</f>
        <v>September</v>
      </c>
      <c r="AP347" s="10" t="str">
        <f>TEXT(Table1[[#This Row],[Purchased]],"yyyy")</f>
        <v>2020</v>
      </c>
      <c r="AQ347" s="1">
        <v>44138</v>
      </c>
    </row>
    <row r="348" spans="1:43" s="37" customFormat="1" x14ac:dyDescent="0.25">
      <c r="A348" s="8" t="str">
        <f t="shared" si="30"/>
        <v>2017Diez-CaballeroCrianza</v>
      </c>
      <c r="B348" s="8">
        <v>2017</v>
      </c>
      <c r="C348" s="8" t="s">
        <v>1216</v>
      </c>
      <c r="D348" s="37" t="s">
        <v>108</v>
      </c>
      <c r="E348" s="67" t="s">
        <v>1220</v>
      </c>
      <c r="F348" s="37" t="s">
        <v>729</v>
      </c>
      <c r="G348" s="37" t="s">
        <v>823</v>
      </c>
      <c r="I348" s="8">
        <v>1</v>
      </c>
      <c r="J348" s="38">
        <v>750</v>
      </c>
      <c r="K348" s="38" t="s">
        <v>384</v>
      </c>
      <c r="L348" s="10">
        <f>COUNTIF(Drank!A:A,Table1[[#This Row],[ID]])</f>
        <v>3</v>
      </c>
      <c r="M348" s="37" t="s">
        <v>202</v>
      </c>
      <c r="N348" s="37" t="s">
        <v>207</v>
      </c>
      <c r="O348" s="37">
        <v>1</v>
      </c>
      <c r="P348" s="37">
        <v>2019</v>
      </c>
      <c r="Q348" s="37">
        <v>2024</v>
      </c>
      <c r="R348" s="10">
        <f>IF(IFERROR(VLOOKUP(A348,Drank!A:S,15,FALSE),"")=0,"",IFERROR(VLOOKUP(A348,Drank!A:S,15,FALSE),""))</f>
        <v>2021</v>
      </c>
      <c r="S348" s="10">
        <f>IF(IFERROR(VLOOKUP(A348,Drank!A:S,16,FALSE),"")=0,"",IFERROR(VLOOKUP(A348,Drank!A:S,16,FALSE),""))</f>
        <v>2025</v>
      </c>
      <c r="T348" s="10"/>
      <c r="U348" s="37">
        <v>90</v>
      </c>
      <c r="V348" s="18">
        <f>IF(IFERROR(VLOOKUP(A348,Drank!A:T,19,FALSE),"")=0,"",IFERROR(VLOOKUP(A348,Drank!A:T,19,FALSE),""))</f>
        <v>90.666666666666671</v>
      </c>
      <c r="W348" s="1">
        <f>IF(IFERROR(VLOOKUP(A348,Drank!A:T,20,FALSE),"")=0,"",IFERROR(VLOOKUP(A348,Drank!A:T,20,FALSE),""))</f>
        <v>44015</v>
      </c>
      <c r="X348" s="10">
        <f>SUMIF(A:A,A348,I:I)</f>
        <v>21</v>
      </c>
      <c r="Y348" s="10">
        <f>IF(Table1[[#This Row],[Drank]]&gt;0,VLOOKUP(Table1[[#This Row],[ID]],Drank!A:P,16,FALSE),IF(Table1[[#This Row],[WALDD]]&gt;0,VLOOKUP(Table1[[#This Row],[ID]],Wine1!A:Q,17,FALSE),Table1[[#This Row],[EP]]))</f>
        <v>2025</v>
      </c>
      <c r="Z348" s="18">
        <f>IF(Table1[[#This Row],[My Rating]]="",IF(Table1[[#This Row],[WA Rating Clean]]="","",Table1[[#This Row],[WA Rating Clean]]),Table1[[#This Row],[My Rating]])</f>
        <v>90.666666666666671</v>
      </c>
      <c r="AA348" s="37">
        <v>2025</v>
      </c>
      <c r="AB348" s="128">
        <v>14.11</v>
      </c>
      <c r="AC348" s="2">
        <f t="shared" si="31"/>
        <v>14.11</v>
      </c>
      <c r="AD348" s="8"/>
      <c r="AE348" s="10">
        <f>IF(Table1[[#This Row],[P/750]]&lt;20,1,IF(Table1[[#This Row],[P/750]]&lt;50,2,3))</f>
        <v>1</v>
      </c>
      <c r="AF348" s="10">
        <f>IF(Table1[[#This Row],[P/750]]&lt;Expenses!$C$30,1,IF(Table1[[#This Row],[P/750]]&lt;Expenses!$C$31,2,IF(Table1[[#This Row],[P/750]]&lt;Expenses!$C$32,3,4)))</f>
        <v>1</v>
      </c>
      <c r="AH348" s="37" t="s">
        <v>384</v>
      </c>
      <c r="AI348" s="11">
        <f>Table1[[#This Row],[Price]]/Table1[[#This Row],[Size (ml)]]*750</f>
        <v>14.109999999999998</v>
      </c>
      <c r="AJ348" s="37">
        <v>90</v>
      </c>
      <c r="AK348" s="10">
        <f>COUNTIF(UniqueID!A:A,Table1[[#This Row],[ID]])</f>
        <v>0</v>
      </c>
      <c r="AL348" s="10" t="str">
        <f>VLOOKUP(Table1[[#This Row],[Cellar Location]],Location!A:F,6,FALSE)</f>
        <v>W</v>
      </c>
      <c r="AN348" s="1">
        <v>44081</v>
      </c>
      <c r="AO348" s="10" t="str">
        <f>TEXT(Table1[[#This Row],[Purchased]],"mmmm")</f>
        <v>September</v>
      </c>
      <c r="AP348" s="10" t="str">
        <f>TEXT(Table1[[#This Row],[Purchased]],"yyyy")</f>
        <v>2020</v>
      </c>
      <c r="AQ348" s="1">
        <v>44138</v>
      </c>
    </row>
    <row r="349" spans="1:43" s="37" customFormat="1" x14ac:dyDescent="0.25">
      <c r="A349" s="37" t="str">
        <f t="shared" ref="A349:A412" si="32">CONCATENATE(B349,C349,D349)</f>
        <v>2016Diez-CaballeroVendimia Seleccionada</v>
      </c>
      <c r="B349" s="37">
        <v>2016</v>
      </c>
      <c r="C349" s="8" t="s">
        <v>1216</v>
      </c>
      <c r="D349" s="37" t="s">
        <v>303</v>
      </c>
      <c r="E349" s="67" t="s">
        <v>1220</v>
      </c>
      <c r="F349" s="37" t="s">
        <v>729</v>
      </c>
      <c r="G349" s="37" t="s">
        <v>823</v>
      </c>
      <c r="I349" s="107">
        <v>1</v>
      </c>
      <c r="J349" s="37">
        <v>750</v>
      </c>
      <c r="K349" s="107" t="s">
        <v>1314</v>
      </c>
      <c r="L349" s="37">
        <f>COUNTIF(Drank!A:A,Table1[[#This Row],[ID]])</f>
        <v>1</v>
      </c>
      <c r="M349" s="37" t="s">
        <v>202</v>
      </c>
      <c r="N349" s="37" t="s">
        <v>207</v>
      </c>
      <c r="O349" s="37">
        <v>1</v>
      </c>
      <c r="P349" s="37">
        <v>2019</v>
      </c>
      <c r="Q349" s="37">
        <v>2026</v>
      </c>
      <c r="R349" s="10">
        <f>IF(IFERROR(VLOOKUP(A349,Drank!A:S,15,FALSE),"")=0,"",IFERROR(VLOOKUP(A349,Drank!A:S,15,FALSE),""))</f>
        <v>2021</v>
      </c>
      <c r="S349" s="10">
        <f>IF(IFERROR(VLOOKUP(A349,Drank!A:S,16,FALSE),"")=0,"",IFERROR(VLOOKUP(A349,Drank!A:S,16,FALSE),""))</f>
        <v>2025</v>
      </c>
      <c r="T349" s="10"/>
      <c r="U349" s="37">
        <v>92</v>
      </c>
      <c r="V349" s="18">
        <f>IF(IFERROR(VLOOKUP(A349,Drank!A:T,19,FALSE),"")=0,"",IFERROR(VLOOKUP(A349,Drank!A:T,19,FALSE),""))</f>
        <v>90</v>
      </c>
      <c r="W349" s="1">
        <f>IF(IFERROR(VLOOKUP(A349,Drank!A:T,20,FALSE),"")=0,"",IFERROR(VLOOKUP(A349,Drank!A:T,20,FALSE),""))</f>
        <v>43883</v>
      </c>
      <c r="X349" s="10">
        <f>SUMIF(A:A,A349,I:I)</f>
        <v>7</v>
      </c>
      <c r="Y349" s="37">
        <f>IF(Table1[[#This Row],[Drank]]&gt;0,VLOOKUP(Table1[[#This Row],[ID]],Drank!A:P,16,FALSE),IF(Table1[[#This Row],[WALDD]]&gt;0,VLOOKUP(Table1[[#This Row],[ID]],Wine1!A:Q,17,FALSE),Table1[[#This Row],[EP]]))</f>
        <v>2025</v>
      </c>
      <c r="Z349" s="18">
        <f>IF(Table1[[#This Row],[My Rating]]="",IF(Table1[[#This Row],[WA Rating Clean]]="","",Table1[[#This Row],[WA Rating Clean]]),Table1[[#This Row],[My Rating]])</f>
        <v>90</v>
      </c>
      <c r="AA349" s="37">
        <v>2022</v>
      </c>
      <c r="AB349" s="128">
        <v>16.989999999999998</v>
      </c>
      <c r="AC349" s="2">
        <f t="shared" ref="AC349:AC412" si="33">AB349*I349</f>
        <v>16.989999999999998</v>
      </c>
      <c r="AD349" s="8">
        <v>2</v>
      </c>
      <c r="AE349" s="8">
        <f>IF(Table1[[#This Row],[P/750]]&lt;20,1,IF(Table1[[#This Row],[P/750]]&lt;50,2,3))</f>
        <v>1</v>
      </c>
      <c r="AF349" s="8">
        <f>IF(Table1[[#This Row],[P/750]]&lt;Expenses!$C$30,1,IF(Table1[[#This Row],[P/750]]&lt;Expenses!$C$31,2,IF(Table1[[#This Row],[P/750]]&lt;Expenses!$C$32,3,4)))</f>
        <v>2</v>
      </c>
      <c r="AH349" s="37" t="s">
        <v>384</v>
      </c>
      <c r="AI349" s="11">
        <f>Table1[[#This Row],[Price]]/Table1[[#This Row],[Size (ml)]]*750</f>
        <v>16.989999999999998</v>
      </c>
      <c r="AJ349" s="37">
        <v>92</v>
      </c>
      <c r="AK349" s="37">
        <f>COUNTIF(UniqueID!A:A,Table1[[#This Row],[ID]])</f>
        <v>1</v>
      </c>
      <c r="AL349" s="37" t="str">
        <f>VLOOKUP(Table1[[#This Row],[Cellar Location]],Location!A:F,6,FALSE)</f>
        <v>S</v>
      </c>
      <c r="AN349" s="1">
        <v>43873</v>
      </c>
      <c r="AO349" s="37" t="str">
        <f>TEXT(Table1[[#This Row],[Purchased]],"mmmm")</f>
        <v>February</v>
      </c>
      <c r="AP349" s="10" t="str">
        <f>TEXT(Table1[[#This Row],[Purchased]],"yyyy")</f>
        <v>2020</v>
      </c>
      <c r="AQ349" s="10"/>
    </row>
    <row r="350" spans="1:43" s="37" customFormat="1" x14ac:dyDescent="0.25">
      <c r="A350" s="37" t="str">
        <f t="shared" si="32"/>
        <v>2017Domaine de l'AmandineCotes du Rhone Villages Seguret</v>
      </c>
      <c r="B350" s="8">
        <v>2017</v>
      </c>
      <c r="C350" s="37" t="s">
        <v>361</v>
      </c>
      <c r="D350" s="37" t="s">
        <v>362</v>
      </c>
      <c r="E350" s="37" t="s">
        <v>1197</v>
      </c>
      <c r="F350" s="37" t="s">
        <v>742</v>
      </c>
      <c r="G350" s="37" t="s">
        <v>759</v>
      </c>
      <c r="H350" s="37" t="s">
        <v>760</v>
      </c>
      <c r="I350" s="107">
        <v>1</v>
      </c>
      <c r="J350" s="37">
        <v>750</v>
      </c>
      <c r="K350" s="107" t="s">
        <v>654</v>
      </c>
      <c r="L350" s="10">
        <f>COUNTIF(Drank!A:A,Table1[[#This Row],[ID]])</f>
        <v>17</v>
      </c>
      <c r="M350" s="37" t="s">
        <v>202</v>
      </c>
      <c r="N350" s="37" t="s">
        <v>207</v>
      </c>
      <c r="O350" s="37">
        <v>1</v>
      </c>
      <c r="P350" s="37">
        <v>2018</v>
      </c>
      <c r="Q350" s="37">
        <v>2025</v>
      </c>
      <c r="R350" s="10">
        <f>IF(IFERROR(VLOOKUP(A350,Drank!A:S,15,FALSE),"")=0,"",IFERROR(VLOOKUP(A350,Drank!A:S,15,FALSE),""))</f>
        <v>2020</v>
      </c>
      <c r="S350" s="10">
        <f>IF(IFERROR(VLOOKUP(A350,Drank!A:S,16,FALSE),"")=0,"",IFERROR(VLOOKUP(A350,Drank!A:S,16,FALSE),""))</f>
        <v>2025</v>
      </c>
      <c r="T350" s="10"/>
      <c r="U350" s="37">
        <v>93</v>
      </c>
      <c r="V350" s="18">
        <f>IF(IFERROR(VLOOKUP(A350,Drank!A:T,19,FALSE),"")=0,"",IFERROR(VLOOKUP(A350,Drank!A:T,19,FALSE),""))</f>
        <v>92.470588235294116</v>
      </c>
      <c r="W350" s="1">
        <f>IF(IFERROR(VLOOKUP(A350,Drank!A:T,20,FALSE),"")=0,"",IFERROR(VLOOKUP(A350,Drank!A:T,20,FALSE),""))</f>
        <v>44030</v>
      </c>
      <c r="X350" s="10">
        <f>SUMIF(A:A,A350,I:I)</f>
        <v>20</v>
      </c>
      <c r="Y350" s="10">
        <f>IF(Table1[[#This Row],[Drank]]&gt;0,VLOOKUP(Table1[[#This Row],[ID]],Drank!A:P,16,FALSE),IF(Table1[[#This Row],[WALDD]]&gt;0,VLOOKUP(Table1[[#This Row],[ID]],Wine1!A:Q,17,FALSE),Table1[[#This Row],[EP]]))</f>
        <v>2025</v>
      </c>
      <c r="Z350" s="18">
        <f>IF(Table1[[#This Row],[My Rating]]="",IF(Table1[[#This Row],[WA Rating Clean]]="","",Table1[[#This Row],[WA Rating Clean]]),Table1[[#This Row],[My Rating]])</f>
        <v>92.470588235294116</v>
      </c>
      <c r="AA350" s="8">
        <v>2022</v>
      </c>
      <c r="AB350" s="128">
        <v>14.99</v>
      </c>
      <c r="AC350" s="2">
        <f t="shared" si="33"/>
        <v>14.99</v>
      </c>
      <c r="AD350" s="8">
        <v>2</v>
      </c>
      <c r="AE350" s="37">
        <f>IF(Table1[[#This Row],[P/750]]&lt;20,1,IF(Table1[[#This Row],[P/750]]&lt;50,2,3))</f>
        <v>1</v>
      </c>
      <c r="AF350" s="37">
        <f>IF(Table1[[#This Row],[P/750]]&lt;Expenses!$C$30,1,IF(Table1[[#This Row],[P/750]]&lt;Expenses!$C$31,2,IF(Table1[[#This Row],[P/750]]&lt;Expenses!$C$32,3,4)))</f>
        <v>1</v>
      </c>
      <c r="AH350" s="37" t="s">
        <v>384</v>
      </c>
      <c r="AI350" s="11">
        <f>Table1[[#This Row],[Price]]/Table1[[#This Row],[Size (ml)]]*750</f>
        <v>14.99</v>
      </c>
      <c r="AJ350" s="37">
        <v>93</v>
      </c>
      <c r="AK350" s="37">
        <f>COUNTIF(UniqueID!A:A,Table1[[#This Row],[ID]])</f>
        <v>1</v>
      </c>
      <c r="AL350" s="37" t="str">
        <f>VLOOKUP(Table1[[#This Row],[Cellar Location]],Location!A:F,6,FALSE)</f>
        <v>S</v>
      </c>
      <c r="AN350" s="1">
        <v>43806</v>
      </c>
      <c r="AO350" s="37" t="str">
        <f>TEXT(Table1[[#This Row],[Purchased]],"mmmm")</f>
        <v>December</v>
      </c>
      <c r="AP350" s="10" t="str">
        <f>TEXT(Table1[[#This Row],[Purchased]],"yyyy")</f>
        <v>2019</v>
      </c>
      <c r="AQ350" s="10"/>
    </row>
    <row r="351" spans="1:43" s="37" customFormat="1" x14ac:dyDescent="0.25">
      <c r="A351" s="37" t="str">
        <f t="shared" si="32"/>
        <v>2017Domaine de l'AmandineCotes du Rhone Villages Seguret</v>
      </c>
      <c r="B351" s="8">
        <v>2017</v>
      </c>
      <c r="C351" s="37" t="s">
        <v>361</v>
      </c>
      <c r="D351" s="37" t="s">
        <v>362</v>
      </c>
      <c r="E351" s="37" t="s">
        <v>1197</v>
      </c>
      <c r="F351" s="37" t="s">
        <v>742</v>
      </c>
      <c r="G351" s="37" t="s">
        <v>759</v>
      </c>
      <c r="H351" s="37" t="s">
        <v>760</v>
      </c>
      <c r="I351" s="107">
        <v>1</v>
      </c>
      <c r="J351" s="37">
        <v>750</v>
      </c>
      <c r="K351" s="107" t="s">
        <v>626</v>
      </c>
      <c r="L351" s="10">
        <f>COUNTIF(Drank!A:A,Table1[[#This Row],[ID]])</f>
        <v>17</v>
      </c>
      <c r="M351" s="37" t="s">
        <v>202</v>
      </c>
      <c r="N351" s="37" t="s">
        <v>207</v>
      </c>
      <c r="O351" s="37">
        <v>1</v>
      </c>
      <c r="P351" s="37">
        <v>2018</v>
      </c>
      <c r="Q351" s="37">
        <v>2025</v>
      </c>
      <c r="R351" s="10">
        <f>IF(IFERROR(VLOOKUP(A351,Drank!A:S,15,FALSE),"")=0,"",IFERROR(VLOOKUP(A351,Drank!A:S,15,FALSE),""))</f>
        <v>2020</v>
      </c>
      <c r="S351" s="10">
        <f>IF(IFERROR(VLOOKUP(A351,Drank!A:S,16,FALSE),"")=0,"",IFERROR(VLOOKUP(A351,Drank!A:S,16,FALSE),""))</f>
        <v>2025</v>
      </c>
      <c r="T351" s="10"/>
      <c r="U351" s="37">
        <v>93</v>
      </c>
      <c r="V351" s="18">
        <f>IF(IFERROR(VLOOKUP(A351,Drank!A:T,19,FALSE),"")=0,"",IFERROR(VLOOKUP(A351,Drank!A:T,19,FALSE),""))</f>
        <v>92.470588235294116</v>
      </c>
      <c r="W351" s="1">
        <f>IF(IFERROR(VLOOKUP(A351,Drank!A:T,20,FALSE),"")=0,"",IFERROR(VLOOKUP(A351,Drank!A:T,20,FALSE),""))</f>
        <v>44030</v>
      </c>
      <c r="X351" s="10">
        <f>SUMIF(A:A,A351,I:I)</f>
        <v>20</v>
      </c>
      <c r="Y351" s="10">
        <f>IF(Table1[[#This Row],[Drank]]&gt;0,VLOOKUP(Table1[[#This Row],[ID]],Drank!A:P,16,FALSE),IF(Table1[[#This Row],[WALDD]]&gt;0,VLOOKUP(Table1[[#This Row],[ID]],Wine1!A:Q,17,FALSE),Table1[[#This Row],[EP]]))</f>
        <v>2025</v>
      </c>
      <c r="Z351" s="18">
        <f>IF(Table1[[#This Row],[My Rating]]="",IF(Table1[[#This Row],[WA Rating Clean]]="","",Table1[[#This Row],[WA Rating Clean]]),Table1[[#This Row],[My Rating]])</f>
        <v>92.470588235294116</v>
      </c>
      <c r="AA351" s="8">
        <v>2022</v>
      </c>
      <c r="AB351" s="128">
        <v>14.99</v>
      </c>
      <c r="AC351" s="2">
        <f t="shared" si="33"/>
        <v>14.99</v>
      </c>
      <c r="AD351" s="8">
        <v>2</v>
      </c>
      <c r="AE351" s="37">
        <f>IF(Table1[[#This Row],[P/750]]&lt;20,1,IF(Table1[[#This Row],[P/750]]&lt;50,2,3))</f>
        <v>1</v>
      </c>
      <c r="AF351" s="37">
        <f>IF(Table1[[#This Row],[P/750]]&lt;Expenses!$C$30,1,IF(Table1[[#This Row],[P/750]]&lt;Expenses!$C$31,2,IF(Table1[[#This Row],[P/750]]&lt;Expenses!$C$32,3,4)))</f>
        <v>1</v>
      </c>
      <c r="AH351" s="37" t="s">
        <v>384</v>
      </c>
      <c r="AI351" s="11">
        <f>Table1[[#This Row],[Price]]/Table1[[#This Row],[Size (ml)]]*750</f>
        <v>14.99</v>
      </c>
      <c r="AJ351" s="37">
        <v>93</v>
      </c>
      <c r="AK351" s="37">
        <f>COUNTIF(UniqueID!A:A,Table1[[#This Row],[ID]])</f>
        <v>1</v>
      </c>
      <c r="AL351" s="37" t="str">
        <f>VLOOKUP(Table1[[#This Row],[Cellar Location]],Location!A:F,6,FALSE)</f>
        <v>S</v>
      </c>
      <c r="AN351" s="1">
        <v>43806</v>
      </c>
      <c r="AO351" s="37" t="str">
        <f>TEXT(Table1[[#This Row],[Purchased]],"mmmm")</f>
        <v>December</v>
      </c>
      <c r="AP351" s="10" t="str">
        <f>TEXT(Table1[[#This Row],[Purchased]],"yyyy")</f>
        <v>2019</v>
      </c>
      <c r="AQ351" s="10"/>
    </row>
    <row r="352" spans="1:43" s="37" customFormat="1" x14ac:dyDescent="0.25">
      <c r="A352" s="37" t="str">
        <f t="shared" si="32"/>
        <v>2017Domaine de l'AmandineCotes du Rhone Villages Seguret</v>
      </c>
      <c r="B352" s="8">
        <v>2017</v>
      </c>
      <c r="C352" s="37" t="s">
        <v>361</v>
      </c>
      <c r="D352" s="37" t="s">
        <v>362</v>
      </c>
      <c r="E352" s="37" t="s">
        <v>1197</v>
      </c>
      <c r="F352" s="37" t="s">
        <v>742</v>
      </c>
      <c r="G352" s="37" t="s">
        <v>759</v>
      </c>
      <c r="H352" s="37" t="s">
        <v>760</v>
      </c>
      <c r="I352" s="107">
        <v>1</v>
      </c>
      <c r="J352" s="37">
        <v>750</v>
      </c>
      <c r="K352" s="107" t="s">
        <v>626</v>
      </c>
      <c r="L352" s="10">
        <f>COUNTIF(Drank!A:A,Table1[[#This Row],[ID]])</f>
        <v>17</v>
      </c>
      <c r="M352" s="37" t="s">
        <v>202</v>
      </c>
      <c r="N352" s="37" t="s">
        <v>207</v>
      </c>
      <c r="O352" s="37">
        <v>1</v>
      </c>
      <c r="P352" s="37">
        <v>2018</v>
      </c>
      <c r="Q352" s="37">
        <v>2025</v>
      </c>
      <c r="R352" s="10">
        <f>IF(IFERROR(VLOOKUP(A352,Drank!A:S,15,FALSE),"")=0,"",IFERROR(VLOOKUP(A352,Drank!A:S,15,FALSE),""))</f>
        <v>2020</v>
      </c>
      <c r="S352" s="10">
        <f>IF(IFERROR(VLOOKUP(A352,Drank!A:S,16,FALSE),"")=0,"",IFERROR(VLOOKUP(A352,Drank!A:S,16,FALSE),""))</f>
        <v>2025</v>
      </c>
      <c r="T352" s="10"/>
      <c r="U352" s="37">
        <v>93</v>
      </c>
      <c r="V352" s="18">
        <f>IF(IFERROR(VLOOKUP(A352,Drank!A:T,19,FALSE),"")=0,"",IFERROR(VLOOKUP(A352,Drank!A:T,19,FALSE),""))</f>
        <v>92.470588235294116</v>
      </c>
      <c r="W352" s="1">
        <f>IF(IFERROR(VLOOKUP(A352,Drank!A:T,20,FALSE),"")=0,"",IFERROR(VLOOKUP(A352,Drank!A:T,20,FALSE),""))</f>
        <v>44030</v>
      </c>
      <c r="X352" s="10">
        <f>SUMIF(A:A,A352,I:I)</f>
        <v>20</v>
      </c>
      <c r="Y352" s="10">
        <f>IF(Table1[[#This Row],[Drank]]&gt;0,VLOOKUP(Table1[[#This Row],[ID]],Drank!A:P,16,FALSE),IF(Table1[[#This Row],[WALDD]]&gt;0,VLOOKUP(Table1[[#This Row],[ID]],Wine1!A:Q,17,FALSE),Table1[[#This Row],[EP]]))</f>
        <v>2025</v>
      </c>
      <c r="Z352" s="18">
        <f>IF(Table1[[#This Row],[My Rating]]="",IF(Table1[[#This Row],[WA Rating Clean]]="","",Table1[[#This Row],[WA Rating Clean]]),Table1[[#This Row],[My Rating]])</f>
        <v>92.470588235294116</v>
      </c>
      <c r="AA352" s="8">
        <v>2022</v>
      </c>
      <c r="AB352" s="128">
        <v>14.99</v>
      </c>
      <c r="AC352" s="2">
        <f t="shared" si="33"/>
        <v>14.99</v>
      </c>
      <c r="AD352" s="8">
        <v>2</v>
      </c>
      <c r="AE352" s="37">
        <f>IF(Table1[[#This Row],[P/750]]&lt;20,1,IF(Table1[[#This Row],[P/750]]&lt;50,2,3))</f>
        <v>1</v>
      </c>
      <c r="AF352" s="37">
        <f>IF(Table1[[#This Row],[P/750]]&lt;Expenses!$C$30,1,IF(Table1[[#This Row],[P/750]]&lt;Expenses!$C$31,2,IF(Table1[[#This Row],[P/750]]&lt;Expenses!$C$32,3,4)))</f>
        <v>1</v>
      </c>
      <c r="AH352" s="37" t="s">
        <v>384</v>
      </c>
      <c r="AI352" s="11">
        <f>Table1[[#This Row],[Price]]/Table1[[#This Row],[Size (ml)]]*750</f>
        <v>14.99</v>
      </c>
      <c r="AJ352" s="37">
        <v>93</v>
      </c>
      <c r="AK352" s="37">
        <f>COUNTIF(UniqueID!A:A,Table1[[#This Row],[ID]])</f>
        <v>1</v>
      </c>
      <c r="AL352" s="37" t="str">
        <f>VLOOKUP(Table1[[#This Row],[Cellar Location]],Location!A:F,6,FALSE)</f>
        <v>S</v>
      </c>
      <c r="AN352" s="1">
        <v>43806</v>
      </c>
      <c r="AO352" s="37" t="str">
        <f>TEXT(Table1[[#This Row],[Purchased]],"mmmm")</f>
        <v>December</v>
      </c>
      <c r="AP352" s="10" t="str">
        <f>TEXT(Table1[[#This Row],[Purchased]],"yyyy")</f>
        <v>2019</v>
      </c>
      <c r="AQ352" s="10"/>
    </row>
    <row r="353" spans="1:43" s="37" customFormat="1" x14ac:dyDescent="0.25">
      <c r="A353" s="37" t="str">
        <f t="shared" si="32"/>
        <v>2017Domaine de l'AmandineCotes du Rhone Villages Seguret</v>
      </c>
      <c r="B353" s="8">
        <v>2017</v>
      </c>
      <c r="C353" s="37" t="s">
        <v>361</v>
      </c>
      <c r="D353" s="37" t="s">
        <v>362</v>
      </c>
      <c r="E353" s="37" t="s">
        <v>1197</v>
      </c>
      <c r="F353" s="37" t="s">
        <v>742</v>
      </c>
      <c r="G353" s="37" t="s">
        <v>759</v>
      </c>
      <c r="H353" s="37" t="s">
        <v>760</v>
      </c>
      <c r="I353" s="107">
        <v>1</v>
      </c>
      <c r="J353" s="37">
        <v>750</v>
      </c>
      <c r="K353" s="107" t="s">
        <v>626</v>
      </c>
      <c r="L353" s="10">
        <f>COUNTIF(Drank!A:A,Table1[[#This Row],[ID]])</f>
        <v>17</v>
      </c>
      <c r="M353" s="37" t="s">
        <v>202</v>
      </c>
      <c r="N353" s="37" t="s">
        <v>207</v>
      </c>
      <c r="O353" s="37">
        <v>1</v>
      </c>
      <c r="P353" s="37">
        <v>2018</v>
      </c>
      <c r="Q353" s="37">
        <v>2025</v>
      </c>
      <c r="R353" s="10">
        <f>IF(IFERROR(VLOOKUP(A353,Drank!A:S,15,FALSE),"")=0,"",IFERROR(VLOOKUP(A353,Drank!A:S,15,FALSE),""))</f>
        <v>2020</v>
      </c>
      <c r="S353" s="10">
        <f>IF(IFERROR(VLOOKUP(A353,Drank!A:S,16,FALSE),"")=0,"",IFERROR(VLOOKUP(A353,Drank!A:S,16,FALSE),""))</f>
        <v>2025</v>
      </c>
      <c r="T353" s="10"/>
      <c r="U353" s="37">
        <v>93</v>
      </c>
      <c r="V353" s="18">
        <f>IF(IFERROR(VLOOKUP(A353,Drank!A:T,19,FALSE),"")=0,"",IFERROR(VLOOKUP(A353,Drank!A:T,19,FALSE),""))</f>
        <v>92.470588235294116</v>
      </c>
      <c r="W353" s="1">
        <f>IF(IFERROR(VLOOKUP(A353,Drank!A:T,20,FALSE),"")=0,"",IFERROR(VLOOKUP(A353,Drank!A:T,20,FALSE),""))</f>
        <v>44030</v>
      </c>
      <c r="X353" s="10">
        <f>SUMIF(A:A,A353,I:I)</f>
        <v>20</v>
      </c>
      <c r="Y353" s="10">
        <f>IF(Table1[[#This Row],[Drank]]&gt;0,VLOOKUP(Table1[[#This Row],[ID]],Drank!A:P,16,FALSE),IF(Table1[[#This Row],[WALDD]]&gt;0,VLOOKUP(Table1[[#This Row],[ID]],Wine1!A:Q,17,FALSE),Table1[[#This Row],[EP]]))</f>
        <v>2025</v>
      </c>
      <c r="Z353" s="18">
        <f>IF(Table1[[#This Row],[My Rating]]="",IF(Table1[[#This Row],[WA Rating Clean]]="","",Table1[[#This Row],[WA Rating Clean]]),Table1[[#This Row],[My Rating]])</f>
        <v>92.470588235294116</v>
      </c>
      <c r="AA353" s="8">
        <v>2022</v>
      </c>
      <c r="AB353" s="128">
        <v>14.99</v>
      </c>
      <c r="AC353" s="2">
        <f t="shared" si="33"/>
        <v>14.99</v>
      </c>
      <c r="AD353" s="8">
        <v>2</v>
      </c>
      <c r="AE353" s="37">
        <f>IF(Table1[[#This Row],[P/750]]&lt;20,1,IF(Table1[[#This Row],[P/750]]&lt;50,2,3))</f>
        <v>1</v>
      </c>
      <c r="AF353" s="37">
        <f>IF(Table1[[#This Row],[P/750]]&lt;Expenses!$C$30,1,IF(Table1[[#This Row],[P/750]]&lt;Expenses!$C$31,2,IF(Table1[[#This Row],[P/750]]&lt;Expenses!$C$32,3,4)))</f>
        <v>1</v>
      </c>
      <c r="AH353" s="37" t="s">
        <v>384</v>
      </c>
      <c r="AI353" s="11">
        <f>Table1[[#This Row],[Price]]/Table1[[#This Row],[Size (ml)]]*750</f>
        <v>14.99</v>
      </c>
      <c r="AJ353" s="37">
        <v>93</v>
      </c>
      <c r="AK353" s="37">
        <f>COUNTIF(UniqueID!A:A,Table1[[#This Row],[ID]])</f>
        <v>1</v>
      </c>
      <c r="AL353" s="37" t="str">
        <f>VLOOKUP(Table1[[#This Row],[Cellar Location]],Location!A:F,6,FALSE)</f>
        <v>S</v>
      </c>
      <c r="AN353" s="1">
        <v>43806</v>
      </c>
      <c r="AO353" s="37" t="str">
        <f>TEXT(Table1[[#This Row],[Purchased]],"mmmm")</f>
        <v>December</v>
      </c>
      <c r="AP353" s="10" t="str">
        <f>TEXT(Table1[[#This Row],[Purchased]],"yyyy")</f>
        <v>2019</v>
      </c>
      <c r="AQ353" s="10"/>
    </row>
    <row r="354" spans="1:43" s="37" customFormat="1" x14ac:dyDescent="0.25">
      <c r="A354" s="37" t="str">
        <f t="shared" si="32"/>
        <v>2017Domaine de l'AmandineCotes du Rhone Villages Seguret</v>
      </c>
      <c r="B354" s="8">
        <v>2017</v>
      </c>
      <c r="C354" s="37" t="s">
        <v>361</v>
      </c>
      <c r="D354" s="37" t="s">
        <v>362</v>
      </c>
      <c r="E354" s="37" t="s">
        <v>1197</v>
      </c>
      <c r="F354" s="37" t="s">
        <v>742</v>
      </c>
      <c r="G354" s="37" t="s">
        <v>759</v>
      </c>
      <c r="H354" s="37" t="s">
        <v>760</v>
      </c>
      <c r="I354" s="107">
        <v>1</v>
      </c>
      <c r="J354" s="37">
        <v>750</v>
      </c>
      <c r="K354" s="107" t="s">
        <v>626</v>
      </c>
      <c r="L354" s="10">
        <f>COUNTIF(Drank!A:A,Table1[[#This Row],[ID]])</f>
        <v>17</v>
      </c>
      <c r="M354" s="37" t="s">
        <v>202</v>
      </c>
      <c r="N354" s="37" t="s">
        <v>207</v>
      </c>
      <c r="O354" s="37">
        <v>1</v>
      </c>
      <c r="P354" s="37">
        <v>2018</v>
      </c>
      <c r="Q354" s="37">
        <v>2025</v>
      </c>
      <c r="R354" s="10">
        <f>IF(IFERROR(VLOOKUP(A354,Drank!A:S,15,FALSE),"")=0,"",IFERROR(VLOOKUP(A354,Drank!A:S,15,FALSE),""))</f>
        <v>2020</v>
      </c>
      <c r="S354" s="10">
        <f>IF(IFERROR(VLOOKUP(A354,Drank!A:S,16,FALSE),"")=0,"",IFERROR(VLOOKUP(A354,Drank!A:S,16,FALSE),""))</f>
        <v>2025</v>
      </c>
      <c r="T354" s="10"/>
      <c r="U354" s="37">
        <v>93</v>
      </c>
      <c r="V354" s="18">
        <f>IF(IFERROR(VLOOKUP(A354,Drank!A:T,19,FALSE),"")=0,"",IFERROR(VLOOKUP(A354,Drank!A:T,19,FALSE),""))</f>
        <v>92.470588235294116</v>
      </c>
      <c r="W354" s="1">
        <f>IF(IFERROR(VLOOKUP(A354,Drank!A:T,20,FALSE),"")=0,"",IFERROR(VLOOKUP(A354,Drank!A:T,20,FALSE),""))</f>
        <v>44030</v>
      </c>
      <c r="X354" s="10">
        <f>SUMIF(A:A,A354,I:I)</f>
        <v>20</v>
      </c>
      <c r="Y354" s="10">
        <f>IF(Table1[[#This Row],[Drank]]&gt;0,VLOOKUP(Table1[[#This Row],[ID]],Drank!A:P,16,FALSE),IF(Table1[[#This Row],[WALDD]]&gt;0,VLOOKUP(Table1[[#This Row],[ID]],Wine1!A:Q,17,FALSE),Table1[[#This Row],[EP]]))</f>
        <v>2025</v>
      </c>
      <c r="Z354" s="18">
        <f>IF(Table1[[#This Row],[My Rating]]="",IF(Table1[[#This Row],[WA Rating Clean]]="","",Table1[[#This Row],[WA Rating Clean]]),Table1[[#This Row],[My Rating]])</f>
        <v>92.470588235294116</v>
      </c>
      <c r="AA354" s="8">
        <v>2022</v>
      </c>
      <c r="AB354" s="128">
        <v>14.99</v>
      </c>
      <c r="AC354" s="2">
        <f t="shared" si="33"/>
        <v>14.99</v>
      </c>
      <c r="AD354" s="8">
        <v>2</v>
      </c>
      <c r="AE354" s="37">
        <f>IF(Table1[[#This Row],[P/750]]&lt;20,1,IF(Table1[[#This Row],[P/750]]&lt;50,2,3))</f>
        <v>1</v>
      </c>
      <c r="AF354" s="37">
        <f>IF(Table1[[#This Row],[P/750]]&lt;Expenses!$C$30,1,IF(Table1[[#This Row],[P/750]]&lt;Expenses!$C$31,2,IF(Table1[[#This Row],[P/750]]&lt;Expenses!$C$32,3,4)))</f>
        <v>1</v>
      </c>
      <c r="AH354" s="37" t="s">
        <v>384</v>
      </c>
      <c r="AI354" s="11">
        <f>Table1[[#This Row],[Price]]/Table1[[#This Row],[Size (ml)]]*750</f>
        <v>14.99</v>
      </c>
      <c r="AJ354" s="37">
        <v>93</v>
      </c>
      <c r="AK354" s="37">
        <f>COUNTIF(UniqueID!A:A,Table1[[#This Row],[ID]])</f>
        <v>1</v>
      </c>
      <c r="AL354" s="37" t="str">
        <f>VLOOKUP(Table1[[#This Row],[Cellar Location]],Location!A:F,6,FALSE)</f>
        <v>S</v>
      </c>
      <c r="AN354" s="1">
        <v>43806</v>
      </c>
      <c r="AO354" s="37" t="str">
        <f>TEXT(Table1[[#This Row],[Purchased]],"mmmm")</f>
        <v>December</v>
      </c>
      <c r="AP354" s="10" t="str">
        <f>TEXT(Table1[[#This Row],[Purchased]],"yyyy")</f>
        <v>2019</v>
      </c>
      <c r="AQ354" s="10"/>
    </row>
    <row r="355" spans="1:43" x14ac:dyDescent="0.25">
      <c r="A355" s="37" t="str">
        <f t="shared" si="32"/>
        <v>2015Domaine LafageBastide Miraflors Vieilles Vignes</v>
      </c>
      <c r="B355" s="37">
        <v>2015</v>
      </c>
      <c r="C355" s="37" t="s">
        <v>671</v>
      </c>
      <c r="D355" s="37" t="s">
        <v>672</v>
      </c>
      <c r="E355" s="67" t="s">
        <v>1172</v>
      </c>
      <c r="F355" s="37" t="s">
        <v>742</v>
      </c>
      <c r="G355" s="37" t="s">
        <v>766</v>
      </c>
      <c r="H355" s="37" t="s">
        <v>767</v>
      </c>
      <c r="I355" s="107">
        <v>1</v>
      </c>
      <c r="J355">
        <v>750</v>
      </c>
      <c r="K355" s="107" t="s">
        <v>716</v>
      </c>
      <c r="L355" s="10">
        <f>COUNTIF(Drank!A:A,Table1[[#This Row],[ID]])</f>
        <v>3</v>
      </c>
      <c r="M355" t="s">
        <v>202</v>
      </c>
      <c r="N355" t="s">
        <v>207</v>
      </c>
      <c r="O355">
        <v>1</v>
      </c>
      <c r="P355" s="10">
        <v>2017</v>
      </c>
      <c r="Q355">
        <v>2021</v>
      </c>
      <c r="R355" s="10">
        <f>IF(IFERROR(VLOOKUP(A355,Drank!A:S,15,FALSE),"")=0,"",IFERROR(VLOOKUP(A355,Drank!A:S,15,FALSE),""))</f>
        <v>2020</v>
      </c>
      <c r="S355" s="10">
        <f>IF(IFERROR(VLOOKUP(A355,Drank!A:S,16,FALSE),"")=0,"",IFERROR(VLOOKUP(A355,Drank!A:S,16,FALSE),""))</f>
        <v>2025</v>
      </c>
      <c r="T355" s="10"/>
      <c r="U355">
        <v>94</v>
      </c>
      <c r="V355" s="18">
        <f>IF(IFERROR(VLOOKUP(A355,Drank!A:T,19,FALSE),"")=0,"",IFERROR(VLOOKUP(A355,Drank!A:T,19,FALSE),""))</f>
        <v>91.333333333333329</v>
      </c>
      <c r="W355" s="1">
        <f>IF(IFERROR(VLOOKUP(A355,Drank!A:T,20,FALSE),"")=0,"",IFERROR(VLOOKUP(A355,Drank!A:T,20,FALSE),""))</f>
        <v>43966</v>
      </c>
      <c r="X355" s="10">
        <f>SUMIF(A:A,A355,I:I)</f>
        <v>8</v>
      </c>
      <c r="Y355" s="10">
        <f>IF(Table1[[#This Row],[Drank]]&gt;0,VLOOKUP(Table1[[#This Row],[ID]],Drank!A:P,16,FALSE),IF(Table1[[#This Row],[WALDD]]&gt;0,VLOOKUP(Table1[[#This Row],[ID]],Wine1!A:Q,17,FALSE),Table1[[#This Row],[EP]]))</f>
        <v>2025</v>
      </c>
      <c r="Z355" s="18">
        <f>IF(Table1[[#This Row],[My Rating]]="",IF(Table1[[#This Row],[WA Rating Clean]]="","",Table1[[#This Row],[WA Rating Clean]]),Table1[[#This Row],[My Rating]])</f>
        <v>91.333333333333329</v>
      </c>
      <c r="AA355" s="37">
        <v>2022</v>
      </c>
      <c r="AB355" s="128">
        <v>14.99</v>
      </c>
      <c r="AC355" s="2">
        <f t="shared" si="33"/>
        <v>14.99</v>
      </c>
      <c r="AD355" s="8">
        <v>2</v>
      </c>
      <c r="AE355" s="10">
        <f>IF(Table1[[#This Row],[P/750]]&lt;20,1,IF(Table1[[#This Row],[P/750]]&lt;50,2,3))</f>
        <v>1</v>
      </c>
      <c r="AF355" s="10">
        <f>IF(Table1[[#This Row],[P/750]]&lt;Expenses!$C$30,1,IF(Table1[[#This Row],[P/750]]&lt;Expenses!$C$31,2,IF(Table1[[#This Row],[P/750]]&lt;Expenses!$C$32,3,4)))</f>
        <v>1</v>
      </c>
      <c r="AH355" s="37" t="s">
        <v>674</v>
      </c>
      <c r="AI355" s="11">
        <f>Table1[[#This Row],[Price]]/Table1[[#This Row],[Size (ml)]]*750</f>
        <v>14.99</v>
      </c>
      <c r="AJ355">
        <v>94</v>
      </c>
      <c r="AK355" s="37">
        <f>COUNTIF(UniqueID!A:A,Table1[[#This Row],[ID]])</f>
        <v>1</v>
      </c>
      <c r="AL355" s="37" t="str">
        <f>VLOOKUP(Table1[[#This Row],[Cellar Location]],Location!A:F,6,FALSE)</f>
        <v>S</v>
      </c>
      <c r="AN355" s="37"/>
      <c r="AO355" s="37" t="str">
        <f>TEXT(Table1[[#This Row],[Purchased]],"mmmm")</f>
        <v>January</v>
      </c>
      <c r="AP355" s="10" t="str">
        <f>TEXT(Table1[[#This Row],[Purchased]],"yyyy")</f>
        <v>1900</v>
      </c>
      <c r="AQ355" s="10"/>
    </row>
    <row r="356" spans="1:43" x14ac:dyDescent="0.25">
      <c r="A356" s="37" t="str">
        <f t="shared" si="32"/>
        <v>2015Domaine LafageBastide Miraflors Vieilles Vignes</v>
      </c>
      <c r="B356" s="37">
        <v>2015</v>
      </c>
      <c r="C356" s="37" t="s">
        <v>671</v>
      </c>
      <c r="D356" s="37" t="s">
        <v>672</v>
      </c>
      <c r="E356" s="67" t="s">
        <v>1172</v>
      </c>
      <c r="F356" s="37" t="s">
        <v>742</v>
      </c>
      <c r="G356" s="37" t="s">
        <v>766</v>
      </c>
      <c r="H356" s="37" t="s">
        <v>767</v>
      </c>
      <c r="I356" s="107">
        <v>1</v>
      </c>
      <c r="J356">
        <v>750</v>
      </c>
      <c r="K356" s="107" t="s">
        <v>716</v>
      </c>
      <c r="L356" s="10">
        <f>COUNTIF(Drank!A:A,Table1[[#This Row],[ID]])</f>
        <v>3</v>
      </c>
      <c r="M356" t="s">
        <v>202</v>
      </c>
      <c r="N356" t="s">
        <v>207</v>
      </c>
      <c r="O356">
        <v>1</v>
      </c>
      <c r="P356" s="10">
        <v>2017</v>
      </c>
      <c r="Q356">
        <v>2021</v>
      </c>
      <c r="R356" s="10">
        <f>IF(IFERROR(VLOOKUP(A356,Drank!A:S,15,FALSE),"")=0,"",IFERROR(VLOOKUP(A356,Drank!A:S,15,FALSE),""))</f>
        <v>2020</v>
      </c>
      <c r="S356" s="10">
        <f>IF(IFERROR(VLOOKUP(A356,Drank!A:S,16,FALSE),"")=0,"",IFERROR(VLOOKUP(A356,Drank!A:S,16,FALSE),""))</f>
        <v>2025</v>
      </c>
      <c r="T356" s="10"/>
      <c r="U356">
        <v>94</v>
      </c>
      <c r="V356" s="18">
        <f>IF(IFERROR(VLOOKUP(A356,Drank!A:T,19,FALSE),"")=0,"",IFERROR(VLOOKUP(A356,Drank!A:T,19,FALSE),""))</f>
        <v>91.333333333333329</v>
      </c>
      <c r="W356" s="1">
        <f>IF(IFERROR(VLOOKUP(A356,Drank!A:T,20,FALSE),"")=0,"",IFERROR(VLOOKUP(A356,Drank!A:T,20,FALSE),""))</f>
        <v>43966</v>
      </c>
      <c r="X356" s="10">
        <f>SUMIF(A:A,A356,I:I)</f>
        <v>8</v>
      </c>
      <c r="Y356" s="10">
        <f>IF(Table1[[#This Row],[Drank]]&gt;0,VLOOKUP(Table1[[#This Row],[ID]],Drank!A:P,16,FALSE),IF(Table1[[#This Row],[WALDD]]&gt;0,VLOOKUP(Table1[[#This Row],[ID]],Wine1!A:Q,17,FALSE),Table1[[#This Row],[EP]]))</f>
        <v>2025</v>
      </c>
      <c r="Z356" s="18">
        <f>IF(Table1[[#This Row],[My Rating]]="",IF(Table1[[#This Row],[WA Rating Clean]]="","",Table1[[#This Row],[WA Rating Clean]]),Table1[[#This Row],[My Rating]])</f>
        <v>91.333333333333329</v>
      </c>
      <c r="AA356" s="37">
        <v>2022</v>
      </c>
      <c r="AB356" s="128">
        <v>14.99</v>
      </c>
      <c r="AC356" s="2">
        <f t="shared" si="33"/>
        <v>14.99</v>
      </c>
      <c r="AD356" s="8">
        <v>2</v>
      </c>
      <c r="AE356" s="10">
        <f>IF(Table1[[#This Row],[P/750]]&lt;20,1,IF(Table1[[#This Row],[P/750]]&lt;50,2,3))</f>
        <v>1</v>
      </c>
      <c r="AF356" s="10">
        <f>IF(Table1[[#This Row],[P/750]]&lt;Expenses!$C$30,1,IF(Table1[[#This Row],[P/750]]&lt;Expenses!$C$31,2,IF(Table1[[#This Row],[P/750]]&lt;Expenses!$C$32,3,4)))</f>
        <v>1</v>
      </c>
      <c r="AH356" s="37" t="s">
        <v>674</v>
      </c>
      <c r="AI356" s="11">
        <f>Table1[[#This Row],[Price]]/Table1[[#This Row],[Size (ml)]]*750</f>
        <v>14.99</v>
      </c>
      <c r="AJ356">
        <v>94</v>
      </c>
      <c r="AK356" s="37">
        <f>COUNTIF(UniqueID!A:A,Table1[[#This Row],[ID]])</f>
        <v>1</v>
      </c>
      <c r="AL356" s="37" t="str">
        <f>VLOOKUP(Table1[[#This Row],[Cellar Location]],Location!A:F,6,FALSE)</f>
        <v>S</v>
      </c>
      <c r="AN356" s="37"/>
      <c r="AO356" s="37" t="str">
        <f>TEXT(Table1[[#This Row],[Purchased]],"mmmm")</f>
        <v>January</v>
      </c>
      <c r="AP356" s="10" t="str">
        <f>TEXT(Table1[[#This Row],[Purchased]],"yyyy")</f>
        <v>1900</v>
      </c>
      <c r="AQ356" s="10"/>
    </row>
    <row r="357" spans="1:43" s="37" customFormat="1" x14ac:dyDescent="0.25">
      <c r="A357" s="37" t="str">
        <f t="shared" si="32"/>
        <v>2005EscuderoArvum</v>
      </c>
      <c r="B357" s="37">
        <v>2005</v>
      </c>
      <c r="C357" s="9" t="s">
        <v>217</v>
      </c>
      <c r="D357" s="9" t="s">
        <v>218</v>
      </c>
      <c r="E357" s="64" t="s">
        <v>277</v>
      </c>
      <c r="F357" s="37" t="s">
        <v>729</v>
      </c>
      <c r="G357" s="37" t="s">
        <v>823</v>
      </c>
      <c r="I357" s="107">
        <v>1</v>
      </c>
      <c r="J357" s="37">
        <v>750</v>
      </c>
      <c r="K357" s="107" t="s">
        <v>653</v>
      </c>
      <c r="L357" s="37">
        <f>COUNTIF(Drank!A:A,Table1[[#This Row],[ID]])</f>
        <v>1</v>
      </c>
      <c r="M357" s="37" t="s">
        <v>202</v>
      </c>
      <c r="N357" s="37" t="s">
        <v>207</v>
      </c>
      <c r="O357" s="37">
        <v>1</v>
      </c>
      <c r="P357" s="37">
        <v>2014</v>
      </c>
      <c r="Q357" s="37">
        <v>2025</v>
      </c>
      <c r="R357" s="37">
        <f>IF(IFERROR(VLOOKUP(A357,Drank!A:S,15,FALSE),"")=0,"",IFERROR(VLOOKUP(A357,Drank!A:S,15,FALSE),""))</f>
        <v>2021</v>
      </c>
      <c r="S357" s="37">
        <f>IF(IFERROR(VLOOKUP(A357,Drank!A:S,16,FALSE),"")=0,"",IFERROR(VLOOKUP(A357,Drank!A:S,16,FALSE),""))</f>
        <v>2025</v>
      </c>
      <c r="U357" s="37" t="s">
        <v>74</v>
      </c>
      <c r="V357" s="18">
        <f>IF(IFERROR(VLOOKUP(A357,Drank!A:T,19,FALSE),"")=0,"",IFERROR(VLOOKUP(A357,Drank!A:T,19,FALSE),""))</f>
        <v>93</v>
      </c>
      <c r="W357" s="1">
        <f>IF(IFERROR(VLOOKUP(A357,Drank!A:T,20,FALSE),"")=0,"",IFERROR(VLOOKUP(A357,Drank!A:T,20,FALSE),""))</f>
        <v>43569</v>
      </c>
      <c r="X357" s="37">
        <f>SUMIF(A:A,A357,I:I)</f>
        <v>2</v>
      </c>
      <c r="Y357" s="37">
        <f>IF(Table1[[#This Row],[Drank]]&gt;0,VLOOKUP(Table1[[#This Row],[ID]],Drank!A:P,16,FALSE),IF(Table1[[#This Row],[WALDD]]&gt;0,VLOOKUP(Table1[[#This Row],[ID]],Wine1!A:Q,17,FALSE),Table1[[#This Row],[EP]]))</f>
        <v>2025</v>
      </c>
      <c r="Z357" s="18">
        <f>IF(Table1[[#This Row],[My Rating]]="",IF(Table1[[#This Row],[WA Rating Clean]]="","",Table1[[#This Row],[WA Rating Clean]]),Table1[[#This Row],[My Rating]])</f>
        <v>93</v>
      </c>
      <c r="AA357" s="37">
        <v>2022</v>
      </c>
      <c r="AB357" s="128">
        <v>27.99</v>
      </c>
      <c r="AC357" s="2">
        <f t="shared" si="33"/>
        <v>27.99</v>
      </c>
      <c r="AD357" s="8">
        <v>2</v>
      </c>
      <c r="AE357" s="37">
        <f>IF(Table1[[#This Row],[P/750]]&lt;20,1,IF(Table1[[#This Row],[P/750]]&lt;50,2,3))</f>
        <v>2</v>
      </c>
      <c r="AF357" s="37">
        <f>IF(Table1[[#This Row],[P/750]]&lt;Expenses!$C$30,1,IF(Table1[[#This Row],[P/750]]&lt;Expenses!$C$31,2,IF(Table1[[#This Row],[P/750]]&lt;Expenses!$C$32,3,4)))</f>
        <v>2</v>
      </c>
      <c r="AH357" s="37" t="s">
        <v>384</v>
      </c>
      <c r="AI357" s="11">
        <f>Table1[[#This Row],[Price]]/Table1[[#This Row],[Size (ml)]]*750</f>
        <v>27.99</v>
      </c>
      <c r="AJ357" s="37">
        <v>93</v>
      </c>
      <c r="AK357" s="37">
        <f>COUNTIF(UniqueID!A:A,Table1[[#This Row],[ID]])</f>
        <v>1</v>
      </c>
      <c r="AL357" s="37" t="str">
        <f>VLOOKUP(Table1[[#This Row],[Cellar Location]],Location!A:F,6,FALSE)</f>
        <v>S</v>
      </c>
      <c r="AO357" s="37" t="str">
        <f>TEXT(Table1[[#This Row],[Purchased]],"mmmm")</f>
        <v>January</v>
      </c>
      <c r="AP357" s="10" t="str">
        <f>TEXT(Table1[[#This Row],[Purchased]],"yyyy")</f>
        <v>1900</v>
      </c>
      <c r="AQ357" s="10"/>
    </row>
    <row r="358" spans="1:43" s="37" customFormat="1" x14ac:dyDescent="0.25">
      <c r="A358" s="37" t="str">
        <f t="shared" si="32"/>
        <v>2016NortonPrivada Family Blend</v>
      </c>
      <c r="B358" s="37">
        <v>2016</v>
      </c>
      <c r="C358" s="9" t="s">
        <v>1227</v>
      </c>
      <c r="D358" s="9" t="s">
        <v>1228</v>
      </c>
      <c r="E358" s="67" t="s">
        <v>1229</v>
      </c>
      <c r="F358" s="37" t="s">
        <v>731</v>
      </c>
      <c r="G358" s="37" t="s">
        <v>732</v>
      </c>
      <c r="I358" s="107">
        <v>1</v>
      </c>
      <c r="J358" s="37">
        <v>750</v>
      </c>
      <c r="K358" s="107" t="s">
        <v>627</v>
      </c>
      <c r="L358" s="10">
        <f>COUNTIF(Drank!A:A,Table1[[#This Row],[ID]])</f>
        <v>1</v>
      </c>
      <c r="M358" s="37" t="s">
        <v>202</v>
      </c>
      <c r="N358" s="37" t="s">
        <v>207</v>
      </c>
      <c r="O358" s="37">
        <v>1</v>
      </c>
      <c r="P358" s="10"/>
      <c r="R358" s="10">
        <f>IF(IFERROR(VLOOKUP(A358,Drank!A:S,15,FALSE),"")=0,"",IFERROR(VLOOKUP(A358,Drank!A:S,15,FALSE),""))</f>
        <v>2022</v>
      </c>
      <c r="S358" s="10">
        <f>IF(IFERROR(VLOOKUP(A358,Drank!A:S,16,FALSE),"")=0,"",IFERROR(VLOOKUP(A358,Drank!A:S,16,FALSE),""))</f>
        <v>2025</v>
      </c>
      <c r="T358" s="10">
        <v>2023</v>
      </c>
      <c r="V358" s="18">
        <f>IF(IFERROR(VLOOKUP(A358,Drank!A:T,19,FALSE),"")=0,"",IFERROR(VLOOKUP(A358,Drank!A:T,19,FALSE),""))</f>
        <v>88</v>
      </c>
      <c r="W358" s="1">
        <f>IF(IFERROR(VLOOKUP(A358,Drank!A:T,20,FALSE),"")=0,"",IFERROR(VLOOKUP(A358,Drank!A:T,20,FALSE),""))</f>
        <v>43905</v>
      </c>
      <c r="X358" s="10">
        <f>SUMIF(A:A,A358,I:I)</f>
        <v>2</v>
      </c>
      <c r="Y358" s="10">
        <f>IF(Table1[[#This Row],[Drank]]&gt;0,VLOOKUP(Table1[[#This Row],[ID]],Drank!A:P,16,FALSE),IF(Table1[[#This Row],[WALDD]]&gt;0,VLOOKUP(Table1[[#This Row],[ID]],Wine1!A:Q,17,FALSE),Table1[[#This Row],[EP]]))</f>
        <v>2025</v>
      </c>
      <c r="Z358" s="18">
        <f>IF(Table1[[#This Row],[My Rating]]="",IF(Table1[[#This Row],[WA Rating Clean]]="","",Table1[[#This Row],[WA Rating Clean]]),Table1[[#This Row],[My Rating]])</f>
        <v>88</v>
      </c>
      <c r="AA358" s="37">
        <v>2022</v>
      </c>
      <c r="AB358" s="128">
        <v>16</v>
      </c>
      <c r="AC358" s="2">
        <f t="shared" si="33"/>
        <v>16</v>
      </c>
      <c r="AD358" s="8">
        <v>2</v>
      </c>
      <c r="AE358" s="10">
        <f>IF(Table1[[#This Row],[P/750]]&lt;20,1,IF(Table1[[#This Row],[P/750]]&lt;50,2,3))</f>
        <v>1</v>
      </c>
      <c r="AF358" s="10">
        <f>IF(Table1[[#This Row],[P/750]]&lt;Expenses!$C$30,1,IF(Table1[[#This Row],[P/750]]&lt;Expenses!$C$31,2,IF(Table1[[#This Row],[P/750]]&lt;Expenses!$C$32,3,4)))</f>
        <v>1</v>
      </c>
      <c r="AH358" s="37" t="s">
        <v>385</v>
      </c>
      <c r="AI358" s="11">
        <f>Table1[[#This Row],[Price]]/Table1[[#This Row],[Size (ml)]]*750</f>
        <v>16</v>
      </c>
      <c r="AK358" s="10">
        <f>COUNTIF(UniqueID!A:A,Table1[[#This Row],[ID]])</f>
        <v>1</v>
      </c>
      <c r="AL358" s="10" t="str">
        <f>VLOOKUP(Table1[[#This Row],[Cellar Location]],Location!A:F,6,FALSE)</f>
        <v>S</v>
      </c>
      <c r="AN358" s="1">
        <v>43862</v>
      </c>
      <c r="AO358" s="37" t="str">
        <f>TEXT(Table1[[#This Row],[Purchased]],"mmmm")</f>
        <v>February</v>
      </c>
      <c r="AP358" s="10" t="str">
        <f>TEXT(Table1[[#This Row],[Purchased]],"yyyy")</f>
        <v>2020</v>
      </c>
      <c r="AQ358" s="10"/>
    </row>
    <row r="359" spans="1:43" s="37" customFormat="1" x14ac:dyDescent="0.25">
      <c r="A359" s="37" t="str">
        <f t="shared" si="32"/>
        <v>2015TorreventoPrimitivo Since 1913</v>
      </c>
      <c r="B359" s="37">
        <v>2015</v>
      </c>
      <c r="C359" s="9" t="s">
        <v>585</v>
      </c>
      <c r="D359" s="9" t="s">
        <v>586</v>
      </c>
      <c r="E359" s="64" t="s">
        <v>588</v>
      </c>
      <c r="F359" s="37" t="s">
        <v>728</v>
      </c>
      <c r="G359" s="37" t="s">
        <v>785</v>
      </c>
      <c r="I359" s="107">
        <v>1</v>
      </c>
      <c r="J359" s="37">
        <v>750</v>
      </c>
      <c r="K359" s="107" t="s">
        <v>1133</v>
      </c>
      <c r="L359" s="37">
        <f>COUNTIF(Drank!A:A,Table1[[#This Row],[ID]])</f>
        <v>1</v>
      </c>
      <c r="M359" s="37" t="s">
        <v>202</v>
      </c>
      <c r="N359" s="37" t="s">
        <v>207</v>
      </c>
      <c r="O359" s="37">
        <v>0</v>
      </c>
      <c r="P359" s="10"/>
      <c r="R359" s="10">
        <f>IF(IFERROR(VLOOKUP(A359,Drank!A:S,15,FALSE),"")=0,"",IFERROR(VLOOKUP(A359,Drank!A:S,15,FALSE),""))</f>
        <v>2022</v>
      </c>
      <c r="S359" s="10">
        <f>IF(IFERROR(VLOOKUP(A359,Drank!A:S,16,FALSE),"")=0,"",IFERROR(VLOOKUP(A359,Drank!A:S,16,FALSE),""))</f>
        <v>2025</v>
      </c>
      <c r="T359" s="10"/>
      <c r="V359" s="18">
        <f>IF(IFERROR(VLOOKUP(A359,Drank!A:T,19,FALSE),"")=0,"",IFERROR(VLOOKUP(A359,Drank!A:T,19,FALSE),""))</f>
        <v>90</v>
      </c>
      <c r="W359" s="1">
        <f>IF(IFERROR(VLOOKUP(A359,Drank!A:T,20,FALSE),"")=0,"",IFERROR(VLOOKUP(A359,Drank!A:T,20,FALSE),""))</f>
        <v>43806</v>
      </c>
      <c r="X359" s="10">
        <f>SUMIF(A:A,A359,I:I)</f>
        <v>1</v>
      </c>
      <c r="Y359" s="10">
        <f>IF(Table1[[#This Row],[Drank]]&gt;0,VLOOKUP(Table1[[#This Row],[ID]],Drank!A:P,16,FALSE),IF(Table1[[#This Row],[WALDD]]&gt;0,VLOOKUP(Table1[[#This Row],[ID]],Wine1!A:Q,17,FALSE),Table1[[#This Row],[EP]]))</f>
        <v>2025</v>
      </c>
      <c r="Z359" s="18">
        <f>IF(Table1[[#This Row],[My Rating]]="",IF(Table1[[#This Row],[WA Rating Clean]]="","",Table1[[#This Row],[WA Rating Clean]]),Table1[[#This Row],[My Rating]])</f>
        <v>90</v>
      </c>
      <c r="AA359" s="37">
        <v>2022</v>
      </c>
      <c r="AB359" s="128">
        <v>28.59</v>
      </c>
      <c r="AC359" s="2">
        <f t="shared" si="33"/>
        <v>28.59</v>
      </c>
      <c r="AD359" s="8">
        <v>2</v>
      </c>
      <c r="AE359" s="10">
        <f>IF(Table1[[#This Row],[P/750]]&lt;20,1,IF(Table1[[#This Row],[P/750]]&lt;50,2,3))</f>
        <v>2</v>
      </c>
      <c r="AF359" s="10">
        <f>IF(Table1[[#This Row],[P/750]]&lt;Expenses!$C$30,1,IF(Table1[[#This Row],[P/750]]&lt;Expenses!$C$31,2,IF(Table1[[#This Row],[P/750]]&lt;Expenses!$C$32,3,4)))</f>
        <v>2</v>
      </c>
      <c r="AH359" s="37" t="s">
        <v>1130</v>
      </c>
      <c r="AI359" s="11">
        <f>Table1[[#This Row],[Price]]/Table1[[#This Row],[Size (ml)]]*750</f>
        <v>28.59</v>
      </c>
      <c r="AK359" s="37">
        <f>COUNTIF(UniqueID!A:A,Table1[[#This Row],[ID]])</f>
        <v>1</v>
      </c>
      <c r="AL359" s="37" t="str">
        <f>VLOOKUP(Table1[[#This Row],[Cellar Location]],Location!A:F,6,FALSE)</f>
        <v>S</v>
      </c>
      <c r="AO359" s="37" t="str">
        <f>TEXT(Table1[[#This Row],[Purchased]],"mmmm")</f>
        <v>January</v>
      </c>
      <c r="AP359" s="10" t="str">
        <f>TEXT(Table1[[#This Row],[Purchased]],"yyyy")</f>
        <v>1900</v>
      </c>
      <c r="AQ359" s="10"/>
    </row>
    <row r="360" spans="1:43" s="37" customFormat="1" x14ac:dyDescent="0.25">
      <c r="A360" s="37" t="str">
        <f t="shared" si="32"/>
        <v>2012Vizcarra RamosCelia</v>
      </c>
      <c r="B360" s="37">
        <v>2012</v>
      </c>
      <c r="C360" s="9" t="s">
        <v>1344</v>
      </c>
      <c r="D360" s="9" t="s">
        <v>1345</v>
      </c>
      <c r="E360" s="67" t="s">
        <v>1346</v>
      </c>
      <c r="F360" s="37" t="s">
        <v>729</v>
      </c>
      <c r="G360" s="37" t="s">
        <v>1718</v>
      </c>
      <c r="H360" s="37" t="s">
        <v>818</v>
      </c>
      <c r="I360" s="107">
        <v>1</v>
      </c>
      <c r="J360" s="37">
        <v>750</v>
      </c>
      <c r="K360" s="107" t="s">
        <v>1405</v>
      </c>
      <c r="L360" s="10">
        <f>COUNTIF(Drank!A:A,Table1[[#This Row],[ID]])</f>
        <v>0</v>
      </c>
      <c r="M360" s="37" t="s">
        <v>202</v>
      </c>
      <c r="N360" s="37" t="s">
        <v>207</v>
      </c>
      <c r="O360" s="37">
        <v>1</v>
      </c>
      <c r="P360" s="10">
        <v>2017</v>
      </c>
      <c r="Q360" s="37">
        <v>2025</v>
      </c>
      <c r="R360" s="10" t="str">
        <f>IF(IFERROR(VLOOKUP(A360,Drank!A:S,15,FALSE),"")=0,"",IFERROR(VLOOKUP(A360,Drank!A:S,15,FALSE),""))</f>
        <v/>
      </c>
      <c r="S360" s="10" t="str">
        <f>IF(IFERROR(VLOOKUP(A360,Drank!A:S,16,FALSE),"")=0,"",IFERROR(VLOOKUP(A360,Drank!A:S,16,FALSE),""))</f>
        <v/>
      </c>
      <c r="T360" s="10"/>
      <c r="U360" s="37">
        <v>95</v>
      </c>
      <c r="V360" s="18" t="str">
        <f>IF(IFERROR(VLOOKUP(A360,Drank!A:T,19,FALSE),"")=0,"",IFERROR(VLOOKUP(A360,Drank!A:T,19,FALSE),""))</f>
        <v/>
      </c>
      <c r="W360" s="1" t="str">
        <f>IF(IFERROR(VLOOKUP(A360,Drank!A:T,20,FALSE),"")=0,"",IFERROR(VLOOKUP(A360,Drank!A:T,20,FALSE),""))</f>
        <v/>
      </c>
      <c r="X360" s="10">
        <f>SUMIF(A:A,A360,I:I)</f>
        <v>2</v>
      </c>
      <c r="Y360" s="10">
        <f>IF(Table1[[#This Row],[Drank]]&gt;0,VLOOKUP(Table1[[#This Row],[ID]],Drank!A:P,16,FALSE),IF(Table1[[#This Row],[WALDD]]&gt;0,VLOOKUP(Table1[[#This Row],[ID]],Wine1!A:Q,17,FALSE),Table1[[#This Row],[EP]]))</f>
        <v>2025</v>
      </c>
      <c r="Z360" s="18">
        <f>IF(Table1[[#This Row],[My Rating]]="",IF(Table1[[#This Row],[WA Rating Clean]]="","",Table1[[#This Row],[WA Rating Clean]]),Table1[[#This Row],[My Rating]])</f>
        <v>95</v>
      </c>
      <c r="AA360" s="37">
        <v>2022</v>
      </c>
      <c r="AB360" s="128">
        <v>81.93</v>
      </c>
      <c r="AC360" s="2">
        <f t="shared" si="33"/>
        <v>81.93</v>
      </c>
      <c r="AD360" s="8">
        <v>2</v>
      </c>
      <c r="AE360" s="10">
        <f>IF(Table1[[#This Row],[P/750]]&lt;20,1,IF(Table1[[#This Row],[P/750]]&lt;50,2,3))</f>
        <v>3</v>
      </c>
      <c r="AF360" s="10">
        <f>IF(Table1[[#This Row],[P/750]]&lt;Expenses!$C$30,1,IF(Table1[[#This Row],[P/750]]&lt;Expenses!$C$31,2,IF(Table1[[#This Row],[P/750]]&lt;Expenses!$C$32,3,4)))</f>
        <v>4</v>
      </c>
      <c r="AH360" s="37" t="s">
        <v>385</v>
      </c>
      <c r="AI360" s="11">
        <f>Table1[[#This Row],[Price]]/Table1[[#This Row],[Size (ml)]]*750</f>
        <v>81.93</v>
      </c>
      <c r="AJ360" s="37">
        <v>95</v>
      </c>
      <c r="AK360" s="10">
        <f>COUNTIF(UniqueID!A:A,Table1[[#This Row],[ID]])</f>
        <v>0</v>
      </c>
      <c r="AL360" s="10" t="str">
        <f>VLOOKUP(Table1[[#This Row],[Cellar Location]],Location!A:F,6,FALSE)</f>
        <v>S</v>
      </c>
      <c r="AN360" s="1">
        <v>43924</v>
      </c>
      <c r="AO360" s="10" t="str">
        <f>TEXT(Table1[[#This Row],[Purchased]],"mmmm")</f>
        <v>April</v>
      </c>
      <c r="AP360" s="10" t="str">
        <f>TEXT(Table1[[#This Row],[Purchased]],"yyyy")</f>
        <v>2020</v>
      </c>
      <c r="AQ360" s="10"/>
    </row>
    <row r="361" spans="1:43" s="37" customFormat="1" x14ac:dyDescent="0.25">
      <c r="A361" s="8" t="str">
        <f t="shared" si="32"/>
        <v>2017SichelSichel</v>
      </c>
      <c r="B361" s="8">
        <v>2017</v>
      </c>
      <c r="C361" s="9" t="s">
        <v>409</v>
      </c>
      <c r="D361" s="9" t="s">
        <v>409</v>
      </c>
      <c r="E361" s="37" t="s">
        <v>1200</v>
      </c>
      <c r="F361" s="37" t="s">
        <v>742</v>
      </c>
      <c r="G361" s="37" t="s">
        <v>748</v>
      </c>
      <c r="H361" s="37" t="s">
        <v>260</v>
      </c>
      <c r="I361" s="107">
        <v>1</v>
      </c>
      <c r="J361" s="37">
        <v>375</v>
      </c>
      <c r="K361" s="107" t="s">
        <v>628</v>
      </c>
      <c r="L361" s="37">
        <f>COUNTIF(Drank!A:A,Table1[[#This Row],[ID]])</f>
        <v>10</v>
      </c>
      <c r="M361" s="37" t="s">
        <v>201</v>
      </c>
      <c r="N361" s="37" t="s">
        <v>206</v>
      </c>
      <c r="O361" s="37">
        <v>1</v>
      </c>
      <c r="R361" s="10">
        <f>IF(IFERROR(VLOOKUP(A361,Drank!A:S,15,FALSE),"")=0,"",IFERROR(VLOOKUP(A361,Drank!A:S,15,FALSE),""))</f>
        <v>2020</v>
      </c>
      <c r="S361" s="10">
        <f>IF(IFERROR(VLOOKUP(A361,Drank!A:S,16,FALSE),"")=0,"",IFERROR(VLOOKUP(A361,Drank!A:S,16,FALSE),""))</f>
        <v>2025</v>
      </c>
      <c r="T361" s="10"/>
      <c r="V361" s="18">
        <f>IF(IFERROR(VLOOKUP(A361,Drank!A:T,19,FALSE),"")=0,"",IFERROR(VLOOKUP(A361,Drank!A:T,19,FALSE),""))</f>
        <v>89.7</v>
      </c>
      <c r="W361" s="1">
        <f>IF(IFERROR(VLOOKUP(A361,Drank!A:T,20,FALSE),"")=0,"",IFERROR(VLOOKUP(A361,Drank!A:T,20,FALSE),""))</f>
        <v>44002</v>
      </c>
      <c r="X361" s="10">
        <f>SUMIF(A:A,A361,I:I)</f>
        <v>20</v>
      </c>
      <c r="Y361" s="37">
        <f>IF(Table1[[#This Row],[Drank]]&gt;0,VLOOKUP(Table1[[#This Row],[ID]],Drank!A:P,16,FALSE),IF(Table1[[#This Row],[WALDD]]&gt;0,VLOOKUP(Table1[[#This Row],[ID]],Wine1!A:Q,17,FALSE),Table1[[#This Row],[EP]]))</f>
        <v>2025</v>
      </c>
      <c r="Z361" s="18">
        <f>IF(Table1[[#This Row],[My Rating]]="",IF(Table1[[#This Row],[WA Rating Clean]]="","",Table1[[#This Row],[WA Rating Clean]]),Table1[[#This Row],[My Rating]])</f>
        <v>89.7</v>
      </c>
      <c r="AA361" s="37">
        <v>2022</v>
      </c>
      <c r="AB361" s="128">
        <v>12</v>
      </c>
      <c r="AC361" s="2">
        <f t="shared" si="33"/>
        <v>12</v>
      </c>
      <c r="AD361" s="8">
        <v>2</v>
      </c>
      <c r="AE361" s="37">
        <f>IF(Table1[[#This Row],[P/750]]&lt;20,1,IF(Table1[[#This Row],[P/750]]&lt;50,2,3))</f>
        <v>2</v>
      </c>
      <c r="AF361" s="37">
        <f>IF(Table1[[#This Row],[P/750]]&lt;Expenses!$C$30,1,IF(Table1[[#This Row],[P/750]]&lt;Expenses!$C$31,2,IF(Table1[[#This Row],[P/750]]&lt;Expenses!$C$32,3,4)))</f>
        <v>2</v>
      </c>
      <c r="AH361" s="37" t="s">
        <v>385</v>
      </c>
      <c r="AI361" s="11">
        <f>Table1[[#This Row],[Price]]/Table1[[#This Row],[Size (ml)]]*750</f>
        <v>24</v>
      </c>
      <c r="AK361" s="37">
        <f>COUNTIF(UniqueID!A:A,Table1[[#This Row],[ID]])</f>
        <v>1</v>
      </c>
      <c r="AL361" s="37" t="str">
        <f>VLOOKUP(Table1[[#This Row],[Cellar Location]],Location!A:F,6,FALSE)</f>
        <v>S</v>
      </c>
      <c r="AN361" s="1">
        <v>43845</v>
      </c>
      <c r="AO361" s="37" t="str">
        <f>TEXT(Table1[[#This Row],[Purchased]],"mmmm")</f>
        <v>January</v>
      </c>
      <c r="AP361" s="10" t="str">
        <f>TEXT(Table1[[#This Row],[Purchased]],"yyyy")</f>
        <v>2020</v>
      </c>
      <c r="AQ361" s="10"/>
    </row>
    <row r="362" spans="1:43" s="37" customFormat="1" x14ac:dyDescent="0.25">
      <c r="A362" s="8" t="str">
        <f t="shared" si="32"/>
        <v>2018Cave Les Vignerons de Tavel &amp; LiracLirac Domaine de l'Eyrolle</v>
      </c>
      <c r="B362" s="8">
        <v>2018</v>
      </c>
      <c r="C362" s="37" t="s">
        <v>1424</v>
      </c>
      <c r="D362" s="19" t="s">
        <v>1425</v>
      </c>
      <c r="E362" s="69" t="s">
        <v>286</v>
      </c>
      <c r="F362" s="37" t="s">
        <v>742</v>
      </c>
      <c r="G362" s="37" t="s">
        <v>759</v>
      </c>
      <c r="H362" s="37" t="s">
        <v>1426</v>
      </c>
      <c r="I362" s="107">
        <v>1</v>
      </c>
      <c r="J362" s="37">
        <v>750</v>
      </c>
      <c r="K362" s="107" t="s">
        <v>653</v>
      </c>
      <c r="L362" s="10">
        <f>COUNTIF(Drank!A:A,Table1[[#This Row],[ID]])</f>
        <v>2</v>
      </c>
      <c r="M362" s="37" t="s">
        <v>202</v>
      </c>
      <c r="N362" s="37" t="s">
        <v>207</v>
      </c>
      <c r="O362" s="37">
        <v>1</v>
      </c>
      <c r="P362" s="37">
        <v>2019</v>
      </c>
      <c r="Q362" s="37">
        <v>2025</v>
      </c>
      <c r="R362" s="10">
        <f>IF(IFERROR(VLOOKUP(A362,Drank!A:S,15,FALSE),"")=0,"",IFERROR(VLOOKUP(A362,Drank!A:S,15,FALSE),""))</f>
        <v>2020</v>
      </c>
      <c r="S362" s="10">
        <f>IF(IFERROR(VLOOKUP(A362,Drank!A:S,16,FALSE),"")=0,"",IFERROR(VLOOKUP(A362,Drank!A:S,16,FALSE),""))</f>
        <v>2025</v>
      </c>
      <c r="T362" s="10"/>
      <c r="U362" s="37">
        <v>92</v>
      </c>
      <c r="V362" s="18">
        <f>IF(IFERROR(VLOOKUP(A362,Drank!A:T,19,FALSE),"")=0,"",IFERROR(VLOOKUP(A362,Drank!A:T,19,FALSE),""))</f>
        <v>91.5</v>
      </c>
      <c r="W362" s="1">
        <f>IF(IFERROR(VLOOKUP(A362,Drank!A:T,20,FALSE),"")=0,"",IFERROR(VLOOKUP(A362,Drank!A:T,20,FALSE),""))</f>
        <v>44009</v>
      </c>
      <c r="X362" s="10">
        <f>SUMIF(A:A,A362,I:I)</f>
        <v>10</v>
      </c>
      <c r="Y362" s="10">
        <f>IF(Table1[[#This Row],[Drank]]&gt;0,VLOOKUP(Table1[[#This Row],[ID]],Drank!A:P,16,FALSE),IF(Table1[[#This Row],[WALDD]]&gt;0,VLOOKUP(Table1[[#This Row],[ID]],Wine1!A:Q,17,FALSE),Table1[[#This Row],[EP]]))</f>
        <v>2025</v>
      </c>
      <c r="Z362" s="18">
        <f>IF(Table1[[#This Row],[My Rating]]="",IF(Table1[[#This Row],[WA Rating Clean]]="","",Table1[[#This Row],[WA Rating Clean]]),Table1[[#This Row],[My Rating]])</f>
        <v>91.5</v>
      </c>
      <c r="AA362" s="37">
        <v>2022</v>
      </c>
      <c r="AB362" s="128">
        <v>14.11</v>
      </c>
      <c r="AC362" s="2">
        <f t="shared" si="33"/>
        <v>14.11</v>
      </c>
      <c r="AD362" s="8">
        <v>2</v>
      </c>
      <c r="AE362" s="10">
        <f>IF(Table1[[#This Row],[P/750]]&lt;20,1,IF(Table1[[#This Row],[P/750]]&lt;50,2,3))</f>
        <v>1</v>
      </c>
      <c r="AF362" s="10">
        <f>IF(Table1[[#This Row],[P/750]]&lt;Expenses!$C$30,1,IF(Table1[[#This Row],[P/750]]&lt;Expenses!$C$31,2,IF(Table1[[#This Row],[P/750]]&lt;Expenses!$C$32,3,4)))</f>
        <v>1</v>
      </c>
      <c r="AH362" s="37" t="s">
        <v>384</v>
      </c>
      <c r="AI362" s="11">
        <f>Table1[[#This Row],[Price]]/Table1[[#This Row],[Size (ml)]]*750</f>
        <v>14.109999999999998</v>
      </c>
      <c r="AJ362" s="37">
        <v>92</v>
      </c>
      <c r="AK362" s="10">
        <f>COUNTIF(UniqueID!A:A,Table1[[#This Row],[ID]])</f>
        <v>0</v>
      </c>
      <c r="AL362" s="10" t="str">
        <f>VLOOKUP(Table1[[#This Row],[Cellar Location]],Location!A:F,6,FALSE)</f>
        <v>S</v>
      </c>
      <c r="AN362" s="1">
        <v>43986</v>
      </c>
      <c r="AO362" s="10" t="str">
        <f>TEXT(Table1[[#This Row],[Purchased]],"mmmm")</f>
        <v>June</v>
      </c>
      <c r="AP362" s="10" t="str">
        <f>TEXT(Table1[[#This Row],[Purchased]],"yyyy")</f>
        <v>2020</v>
      </c>
      <c r="AQ362" s="10"/>
    </row>
    <row r="363" spans="1:43" x14ac:dyDescent="0.25">
      <c r="A363" t="str">
        <f t="shared" si="32"/>
        <v>2017SichelSichel</v>
      </c>
      <c r="B363" s="8">
        <v>2017</v>
      </c>
      <c r="C363" s="37" t="s">
        <v>409</v>
      </c>
      <c r="D363" s="37" t="s">
        <v>409</v>
      </c>
      <c r="E363" s="37" t="s">
        <v>1200</v>
      </c>
      <c r="F363" s="37" t="s">
        <v>742</v>
      </c>
      <c r="G363" s="37" t="s">
        <v>748</v>
      </c>
      <c r="H363" s="37" t="s">
        <v>260</v>
      </c>
      <c r="I363" s="37">
        <v>1</v>
      </c>
      <c r="J363" s="37">
        <v>375</v>
      </c>
      <c r="K363" s="8" t="s">
        <v>658</v>
      </c>
      <c r="L363" s="37">
        <f>COUNTIF(Drank!A:A,Table1[[#This Row],[ID]])</f>
        <v>10</v>
      </c>
      <c r="M363" t="s">
        <v>201</v>
      </c>
      <c r="N363" t="s">
        <v>206</v>
      </c>
      <c r="O363">
        <v>1</v>
      </c>
      <c r="P363" s="37"/>
      <c r="R363" s="10">
        <f>IF(IFERROR(VLOOKUP(A363,Drank!A:S,15,FALSE),"")=0,"",IFERROR(VLOOKUP(A363,Drank!A:S,15,FALSE),""))</f>
        <v>2020</v>
      </c>
      <c r="S363" s="10">
        <f>IF(IFERROR(VLOOKUP(A363,Drank!A:S,16,FALSE),"")=0,"",IFERROR(VLOOKUP(A363,Drank!A:S,16,FALSE),""))</f>
        <v>2025</v>
      </c>
      <c r="T363" s="10"/>
      <c r="V363" s="18">
        <f>IF(IFERROR(VLOOKUP(A363,Drank!A:T,19,FALSE),"")=0,"",IFERROR(VLOOKUP(A363,Drank!A:T,19,FALSE),""))</f>
        <v>89.7</v>
      </c>
      <c r="W363" s="1">
        <f>IF(IFERROR(VLOOKUP(A363,Drank!A:T,20,FALSE),"")=0,"",IFERROR(VLOOKUP(A363,Drank!A:T,20,FALSE),""))</f>
        <v>44002</v>
      </c>
      <c r="X363" s="10">
        <f>SUMIF(A:A,A363,I:I)</f>
        <v>20</v>
      </c>
      <c r="Y363" s="37">
        <f>IF(Table1[[#This Row],[Drank]]&gt;0,VLOOKUP(Table1[[#This Row],[ID]],Drank!A:P,16,FALSE),IF(Table1[[#This Row],[WALDD]]&gt;0,VLOOKUP(Table1[[#This Row],[ID]],Wine1!A:Q,17,FALSE),Table1[[#This Row],[EP]]))</f>
        <v>2025</v>
      </c>
      <c r="Z363" s="18">
        <f>IF(Table1[[#This Row],[My Rating]]="",IF(Table1[[#This Row],[WA Rating Clean]]="","",Table1[[#This Row],[WA Rating Clean]]),Table1[[#This Row],[My Rating]])</f>
        <v>89.7</v>
      </c>
      <c r="AA363" s="37">
        <v>2022</v>
      </c>
      <c r="AB363" s="128">
        <v>12</v>
      </c>
      <c r="AC363" s="2">
        <f t="shared" si="33"/>
        <v>12</v>
      </c>
      <c r="AD363" s="8">
        <v>0</v>
      </c>
      <c r="AE363" s="37">
        <f>IF(Table1[[#This Row],[P/750]]&lt;20,1,IF(Table1[[#This Row],[P/750]]&lt;50,2,3))</f>
        <v>2</v>
      </c>
      <c r="AF363" s="37">
        <f>IF(Table1[[#This Row],[P/750]]&lt;Expenses!$C$30,1,IF(Table1[[#This Row],[P/750]]&lt;Expenses!$C$31,2,IF(Table1[[#This Row],[P/750]]&lt;Expenses!$C$32,3,4)))</f>
        <v>2</v>
      </c>
      <c r="AH363" s="37" t="s">
        <v>385</v>
      </c>
      <c r="AI363" s="11">
        <f>Table1[[#This Row],[Price]]/Table1[[#This Row],[Size (ml)]]*750</f>
        <v>24</v>
      </c>
      <c r="AK363" s="37">
        <f>COUNTIF(UniqueID!A:A,Table1[[#This Row],[ID]])</f>
        <v>1</v>
      </c>
      <c r="AL363" s="37" t="str">
        <f>VLOOKUP(Table1[[#This Row],[Cellar Location]],Location!A:F,6,FALSE)</f>
        <v>C</v>
      </c>
      <c r="AN363" s="37"/>
      <c r="AO363" s="37" t="str">
        <f>TEXT(Table1[[#This Row],[Purchased]],"mmmm")</f>
        <v>January</v>
      </c>
      <c r="AP363" s="10" t="str">
        <f>TEXT(Table1[[#This Row],[Purchased]],"yyyy")</f>
        <v>1900</v>
      </c>
      <c r="AQ363" s="10"/>
    </row>
    <row r="364" spans="1:43" s="37" customFormat="1" x14ac:dyDescent="0.25">
      <c r="A364" s="37" t="str">
        <f t="shared" si="32"/>
        <v>2017SichelSichel</v>
      </c>
      <c r="B364" s="8">
        <v>2017</v>
      </c>
      <c r="C364" s="37" t="s">
        <v>409</v>
      </c>
      <c r="D364" s="37" t="s">
        <v>409</v>
      </c>
      <c r="E364" s="37" t="s">
        <v>1200</v>
      </c>
      <c r="F364" s="37" t="s">
        <v>742</v>
      </c>
      <c r="G364" s="37" t="s">
        <v>748</v>
      </c>
      <c r="H364" s="37" t="s">
        <v>260</v>
      </c>
      <c r="I364" s="37">
        <v>1</v>
      </c>
      <c r="J364" s="37">
        <v>375</v>
      </c>
      <c r="K364" s="8" t="s">
        <v>658</v>
      </c>
      <c r="L364" s="37">
        <f>COUNTIF(Drank!A:A,Table1[[#This Row],[ID]])</f>
        <v>10</v>
      </c>
      <c r="M364" s="37" t="s">
        <v>201</v>
      </c>
      <c r="N364" s="37" t="s">
        <v>206</v>
      </c>
      <c r="O364" s="37">
        <v>1</v>
      </c>
      <c r="R364" s="10">
        <f>IF(IFERROR(VLOOKUP(A364,Drank!A:S,15,FALSE),"")=0,"",IFERROR(VLOOKUP(A364,Drank!A:S,15,FALSE),""))</f>
        <v>2020</v>
      </c>
      <c r="S364" s="10">
        <f>IF(IFERROR(VLOOKUP(A364,Drank!A:S,16,FALSE),"")=0,"",IFERROR(VLOOKUP(A364,Drank!A:S,16,FALSE),""))</f>
        <v>2025</v>
      </c>
      <c r="T364" s="10"/>
      <c r="V364" s="18">
        <f>IF(IFERROR(VLOOKUP(A364,Drank!A:T,19,FALSE),"")=0,"",IFERROR(VLOOKUP(A364,Drank!A:T,19,FALSE),""))</f>
        <v>89.7</v>
      </c>
      <c r="W364" s="1">
        <f>IF(IFERROR(VLOOKUP(A364,Drank!A:T,20,FALSE),"")=0,"",IFERROR(VLOOKUP(A364,Drank!A:T,20,FALSE),""))</f>
        <v>44002</v>
      </c>
      <c r="X364" s="10">
        <f>SUMIF(A:A,A364,I:I)</f>
        <v>20</v>
      </c>
      <c r="Y364" s="37">
        <f>IF(Table1[[#This Row],[Drank]]&gt;0,VLOOKUP(Table1[[#This Row],[ID]],Drank!A:P,16,FALSE),IF(Table1[[#This Row],[WALDD]]&gt;0,VLOOKUP(Table1[[#This Row],[ID]],Wine1!A:Q,17,FALSE),Table1[[#This Row],[EP]]))</f>
        <v>2025</v>
      </c>
      <c r="Z364" s="18">
        <f>IF(Table1[[#This Row],[My Rating]]="",IF(Table1[[#This Row],[WA Rating Clean]]="","",Table1[[#This Row],[WA Rating Clean]]),Table1[[#This Row],[My Rating]])</f>
        <v>89.7</v>
      </c>
      <c r="AA364" s="37">
        <v>2022</v>
      </c>
      <c r="AB364" s="128">
        <v>12</v>
      </c>
      <c r="AC364" s="2">
        <f t="shared" si="33"/>
        <v>12</v>
      </c>
      <c r="AD364" s="8">
        <v>0</v>
      </c>
      <c r="AE364" s="37">
        <f>IF(Table1[[#This Row],[P/750]]&lt;20,1,IF(Table1[[#This Row],[P/750]]&lt;50,2,3))</f>
        <v>2</v>
      </c>
      <c r="AF364" s="37">
        <f>IF(Table1[[#This Row],[P/750]]&lt;Expenses!$C$30,1,IF(Table1[[#This Row],[P/750]]&lt;Expenses!$C$31,2,IF(Table1[[#This Row],[P/750]]&lt;Expenses!$C$32,3,4)))</f>
        <v>2</v>
      </c>
      <c r="AH364" s="37" t="s">
        <v>385</v>
      </c>
      <c r="AI364" s="11">
        <f>Table1[[#This Row],[Price]]/Table1[[#This Row],[Size (ml)]]*750</f>
        <v>24</v>
      </c>
      <c r="AK364" s="37">
        <f>COUNTIF(UniqueID!A:A,Table1[[#This Row],[ID]])</f>
        <v>1</v>
      </c>
      <c r="AL364" s="37" t="str">
        <f>VLOOKUP(Table1[[#This Row],[Cellar Location]],Location!A:F,6,FALSE)</f>
        <v>C</v>
      </c>
      <c r="AO364" s="37" t="str">
        <f>TEXT(Table1[[#This Row],[Purchased]],"mmmm")</f>
        <v>January</v>
      </c>
      <c r="AP364" s="10" t="str">
        <f>TEXT(Table1[[#This Row],[Purchased]],"yyyy")</f>
        <v>1900</v>
      </c>
      <c r="AQ364" s="10"/>
    </row>
    <row r="365" spans="1:43" s="37" customFormat="1" x14ac:dyDescent="0.25">
      <c r="A365" s="8" t="str">
        <f t="shared" si="32"/>
        <v>2016Romain DuvernayCotes du Rhone Villages Domaine de Pentelines</v>
      </c>
      <c r="B365" s="8">
        <v>2016</v>
      </c>
      <c r="C365" s="37" t="s">
        <v>1428</v>
      </c>
      <c r="D365" s="19" t="s">
        <v>1429</v>
      </c>
      <c r="E365" s="69" t="s">
        <v>417</v>
      </c>
      <c r="F365" s="37" t="s">
        <v>742</v>
      </c>
      <c r="G365" s="37" t="s">
        <v>759</v>
      </c>
      <c r="H365" s="37" t="s">
        <v>760</v>
      </c>
      <c r="I365" s="107">
        <v>1</v>
      </c>
      <c r="J365" s="37">
        <v>750</v>
      </c>
      <c r="K365" s="107" t="s">
        <v>656</v>
      </c>
      <c r="L365" s="10">
        <f>COUNTIF(Drank!A:A,Table1[[#This Row],[ID]])</f>
        <v>2</v>
      </c>
      <c r="M365" s="37" t="s">
        <v>202</v>
      </c>
      <c r="N365" s="37" t="s">
        <v>207</v>
      </c>
      <c r="O365" s="37">
        <v>1</v>
      </c>
      <c r="P365" s="37">
        <v>2017</v>
      </c>
      <c r="Q365" s="37">
        <v>2025</v>
      </c>
      <c r="R365" s="10">
        <f>IF(IFERROR(VLOOKUP(A365,Drank!A:S,15,FALSE),"")=0,"",IFERROR(VLOOKUP(A365,Drank!A:S,15,FALSE),""))</f>
        <v>2021</v>
      </c>
      <c r="S365" s="10">
        <f>IF(IFERROR(VLOOKUP(A365,Drank!A:S,16,FALSE),"")=0,"",IFERROR(VLOOKUP(A365,Drank!A:S,16,FALSE),""))</f>
        <v>2026</v>
      </c>
      <c r="T365" s="10"/>
      <c r="U365" s="37">
        <v>92</v>
      </c>
      <c r="V365" s="18">
        <f>IF(IFERROR(VLOOKUP(A365,Drank!A:T,19,FALSE),"")=0,"",IFERROR(VLOOKUP(A365,Drank!A:T,19,FALSE),""))</f>
        <v>90.5</v>
      </c>
      <c r="W365" s="1">
        <f>IF(IFERROR(VLOOKUP(A365,Drank!A:T,20,FALSE),"")=0,"",IFERROR(VLOOKUP(A365,Drank!A:T,20,FALSE),""))</f>
        <v>44015</v>
      </c>
      <c r="X365" s="10">
        <f>SUMIF(A:A,A365,I:I)</f>
        <v>10</v>
      </c>
      <c r="Y365" s="10">
        <f>IF(Table1[[#This Row],[Drank]]&gt;0,VLOOKUP(Table1[[#This Row],[ID]],Drank!A:P,16,FALSE),IF(Table1[[#This Row],[WALDD]]&gt;0,VLOOKUP(Table1[[#This Row],[ID]],Wine1!A:Q,17,FALSE),Table1[[#This Row],[EP]]))</f>
        <v>2026</v>
      </c>
      <c r="Z365" s="18">
        <f>IF(Table1[[#This Row],[My Rating]]="",IF(Table1[[#This Row],[WA Rating Clean]]="","",Table1[[#This Row],[WA Rating Clean]]),Table1[[#This Row],[My Rating]])</f>
        <v>90.5</v>
      </c>
      <c r="AA365" s="37">
        <v>2022</v>
      </c>
      <c r="AB365" s="128">
        <v>15.2</v>
      </c>
      <c r="AC365" s="2">
        <f t="shared" si="33"/>
        <v>15.2</v>
      </c>
      <c r="AD365" s="8">
        <v>2</v>
      </c>
      <c r="AE365" s="10">
        <f>IF(Table1[[#This Row],[P/750]]&lt;20,1,IF(Table1[[#This Row],[P/750]]&lt;50,2,3))</f>
        <v>1</v>
      </c>
      <c r="AF365" s="10">
        <f>IF(Table1[[#This Row],[P/750]]&lt;Expenses!$C$30,1,IF(Table1[[#This Row],[P/750]]&lt;Expenses!$C$31,2,IF(Table1[[#This Row],[P/750]]&lt;Expenses!$C$32,3,4)))</f>
        <v>1</v>
      </c>
      <c r="AH365" s="37" t="s">
        <v>384</v>
      </c>
      <c r="AI365" s="11">
        <f>Table1[[#This Row],[Price]]/Table1[[#This Row],[Size (ml)]]*750</f>
        <v>15.2</v>
      </c>
      <c r="AJ365" s="37">
        <v>92</v>
      </c>
      <c r="AK365" s="10">
        <f>COUNTIF(UniqueID!A:A,Table1[[#This Row],[ID]])</f>
        <v>0</v>
      </c>
      <c r="AL365" s="10" t="str">
        <f>VLOOKUP(Table1[[#This Row],[Cellar Location]],Location!A:F,6,FALSE)</f>
        <v>S</v>
      </c>
      <c r="AN365" s="1">
        <v>43992</v>
      </c>
      <c r="AO365" s="10" t="str">
        <f>TEXT(Table1[[#This Row],[Purchased]],"mmmm")</f>
        <v>June</v>
      </c>
      <c r="AP365" s="10" t="str">
        <f>TEXT(Table1[[#This Row],[Purchased]],"yyyy")</f>
        <v>2020</v>
      </c>
      <c r="AQ365" s="10"/>
    </row>
    <row r="366" spans="1:43" s="37" customFormat="1" x14ac:dyDescent="0.25">
      <c r="A366" s="8" t="str">
        <f t="shared" si="32"/>
        <v>2016Romain DuvernayCotes du Rhone Villages Domaine de Pentelines</v>
      </c>
      <c r="B366" s="8">
        <v>2016</v>
      </c>
      <c r="C366" s="37" t="s">
        <v>1428</v>
      </c>
      <c r="D366" s="19" t="s">
        <v>1429</v>
      </c>
      <c r="E366" s="69" t="s">
        <v>417</v>
      </c>
      <c r="F366" s="37" t="s">
        <v>742</v>
      </c>
      <c r="G366" s="37" t="s">
        <v>759</v>
      </c>
      <c r="H366" s="37" t="s">
        <v>760</v>
      </c>
      <c r="I366" s="107">
        <v>1</v>
      </c>
      <c r="J366" s="37">
        <v>750</v>
      </c>
      <c r="K366" s="107" t="s">
        <v>654</v>
      </c>
      <c r="L366" s="10">
        <f>COUNTIF(Drank!A:A,Table1[[#This Row],[ID]])</f>
        <v>2</v>
      </c>
      <c r="M366" s="37" t="s">
        <v>202</v>
      </c>
      <c r="N366" s="37" t="s">
        <v>207</v>
      </c>
      <c r="O366" s="37">
        <v>1</v>
      </c>
      <c r="P366" s="37">
        <v>2017</v>
      </c>
      <c r="Q366" s="37">
        <v>2025</v>
      </c>
      <c r="R366" s="10">
        <f>IF(IFERROR(VLOOKUP(A366,Drank!A:S,15,FALSE),"")=0,"",IFERROR(VLOOKUP(A366,Drank!A:S,15,FALSE),""))</f>
        <v>2021</v>
      </c>
      <c r="S366" s="10">
        <f>IF(IFERROR(VLOOKUP(A366,Drank!A:S,16,FALSE),"")=0,"",IFERROR(VLOOKUP(A366,Drank!A:S,16,FALSE),""))</f>
        <v>2026</v>
      </c>
      <c r="T366" s="10"/>
      <c r="U366" s="37">
        <v>92</v>
      </c>
      <c r="V366" s="18">
        <f>IF(IFERROR(VLOOKUP(A366,Drank!A:T,19,FALSE),"")=0,"",IFERROR(VLOOKUP(A366,Drank!A:T,19,FALSE),""))</f>
        <v>90.5</v>
      </c>
      <c r="W366" s="1">
        <f>IF(IFERROR(VLOOKUP(A366,Drank!A:T,20,FALSE),"")=0,"",IFERROR(VLOOKUP(A366,Drank!A:T,20,FALSE),""))</f>
        <v>44015</v>
      </c>
      <c r="X366" s="10">
        <f>SUMIF(A:A,A366,I:I)</f>
        <v>10</v>
      </c>
      <c r="Y366" s="10">
        <f>IF(Table1[[#This Row],[Drank]]&gt;0,VLOOKUP(Table1[[#This Row],[ID]],Drank!A:P,16,FALSE),IF(Table1[[#This Row],[WALDD]]&gt;0,VLOOKUP(Table1[[#This Row],[ID]],Wine1!A:Q,17,FALSE),Table1[[#This Row],[EP]]))</f>
        <v>2026</v>
      </c>
      <c r="Z366" s="18">
        <f>IF(Table1[[#This Row],[My Rating]]="",IF(Table1[[#This Row],[WA Rating Clean]]="","",Table1[[#This Row],[WA Rating Clean]]),Table1[[#This Row],[My Rating]])</f>
        <v>90.5</v>
      </c>
      <c r="AA366" s="37">
        <v>2022</v>
      </c>
      <c r="AB366" s="128">
        <v>15.2</v>
      </c>
      <c r="AC366" s="2">
        <f t="shared" si="33"/>
        <v>15.2</v>
      </c>
      <c r="AD366" s="8">
        <v>2</v>
      </c>
      <c r="AE366" s="10">
        <f>IF(Table1[[#This Row],[P/750]]&lt;20,1,IF(Table1[[#This Row],[P/750]]&lt;50,2,3))</f>
        <v>1</v>
      </c>
      <c r="AF366" s="10">
        <f>IF(Table1[[#This Row],[P/750]]&lt;Expenses!$C$30,1,IF(Table1[[#This Row],[P/750]]&lt;Expenses!$C$31,2,IF(Table1[[#This Row],[P/750]]&lt;Expenses!$C$32,3,4)))</f>
        <v>1</v>
      </c>
      <c r="AH366" s="37" t="s">
        <v>384</v>
      </c>
      <c r="AI366" s="11">
        <f>Table1[[#This Row],[Price]]/Table1[[#This Row],[Size (ml)]]*750</f>
        <v>15.2</v>
      </c>
      <c r="AJ366" s="37">
        <v>92</v>
      </c>
      <c r="AK366" s="10">
        <f>COUNTIF(UniqueID!A:A,Table1[[#This Row],[ID]])</f>
        <v>0</v>
      </c>
      <c r="AL366" s="10" t="str">
        <f>VLOOKUP(Table1[[#This Row],[Cellar Location]],Location!A:F,6,FALSE)</f>
        <v>S</v>
      </c>
      <c r="AN366" s="1">
        <v>43992</v>
      </c>
      <c r="AO366" s="10" t="str">
        <f>TEXT(Table1[[#This Row],[Purchased]],"mmmm")</f>
        <v>June</v>
      </c>
      <c r="AP366" s="10" t="str">
        <f>TEXT(Table1[[#This Row],[Purchased]],"yyyy")</f>
        <v>2020</v>
      </c>
      <c r="AQ366" s="10"/>
    </row>
    <row r="367" spans="1:43" s="37" customFormat="1" x14ac:dyDescent="0.25">
      <c r="A367" s="37" t="str">
        <f t="shared" si="32"/>
        <v>2013Cascina CuccoBarolo Cerrati</v>
      </c>
      <c r="B367" s="37">
        <v>2013</v>
      </c>
      <c r="C367" s="9" t="s">
        <v>85</v>
      </c>
      <c r="D367" s="35" t="s">
        <v>86</v>
      </c>
      <c r="E367" s="67" t="s">
        <v>1206</v>
      </c>
      <c r="F367" s="37" t="s">
        <v>728</v>
      </c>
      <c r="G367" s="37" t="s">
        <v>778</v>
      </c>
      <c r="H367" s="9" t="s">
        <v>268</v>
      </c>
      <c r="I367" s="107">
        <v>1</v>
      </c>
      <c r="J367" s="37">
        <v>750</v>
      </c>
      <c r="K367" s="107" t="s">
        <v>655</v>
      </c>
      <c r="L367" s="37">
        <f>COUNTIF(Drank!A:A,Table1[[#This Row],[ID]])</f>
        <v>1</v>
      </c>
      <c r="M367" s="37" t="s">
        <v>202</v>
      </c>
      <c r="N367" s="37" t="s">
        <v>207</v>
      </c>
      <c r="O367" s="37">
        <v>1</v>
      </c>
      <c r="R367" s="37">
        <f>IF(IFERROR(VLOOKUP(A367,Drank!A:S,15,FALSE),"")=0,"",IFERROR(VLOOKUP(A367,Drank!A:S,15,FALSE),""))</f>
        <v>2022</v>
      </c>
      <c r="S367" s="37">
        <f>IF(IFERROR(VLOOKUP(A367,Drank!A:S,16,FALSE),"")=0,"",IFERROR(VLOOKUP(A367,Drank!A:S,16,FALSE),""))</f>
        <v>2026</v>
      </c>
      <c r="V367" s="18">
        <f>IF(IFERROR(VLOOKUP(A367,Drank!A:T,19,FALSE),"")=0,"",IFERROR(VLOOKUP(A367,Drank!A:T,19,FALSE),""))</f>
        <v>89</v>
      </c>
      <c r="W367" s="1">
        <f>IF(IFERROR(VLOOKUP(A367,Drank!A:T,20,FALSE),"")=0,"",IFERROR(VLOOKUP(A367,Drank!A:T,20,FALSE),""))</f>
        <v>43497</v>
      </c>
      <c r="X367" s="37">
        <f>SUMIF(A:A,A367,I:I)</f>
        <v>2</v>
      </c>
      <c r="Y367" s="37">
        <f>IF(Table1[[#This Row],[Drank]]&gt;0,VLOOKUP(Table1[[#This Row],[ID]],Drank!A:P,16,FALSE),IF(Table1[[#This Row],[WALDD]]&gt;0,VLOOKUP(Table1[[#This Row],[ID]],Wine1!A:Q,17,FALSE),Table1[[#This Row],[EP]]))</f>
        <v>2026</v>
      </c>
      <c r="Z367" s="18">
        <f>IF(Table1[[#This Row],[My Rating]]="",IF(Table1[[#This Row],[WA Rating Clean]]="","",Table1[[#This Row],[WA Rating Clean]]),Table1[[#This Row],[My Rating]])</f>
        <v>89</v>
      </c>
      <c r="AA367" s="8">
        <v>2022</v>
      </c>
      <c r="AB367" s="14">
        <v>28.99</v>
      </c>
      <c r="AC367" s="2">
        <f t="shared" si="33"/>
        <v>28.99</v>
      </c>
      <c r="AD367" s="8">
        <v>2</v>
      </c>
      <c r="AE367" s="37">
        <f>IF(Table1[[#This Row],[P/750]]&lt;20,1,IF(Table1[[#This Row],[P/750]]&lt;50,2,3))</f>
        <v>2</v>
      </c>
      <c r="AF367" s="37">
        <f>IF(Table1[[#This Row],[P/750]]&lt;Expenses!$C$30,1,IF(Table1[[#This Row],[P/750]]&lt;Expenses!$C$31,2,IF(Table1[[#This Row],[P/750]]&lt;Expenses!$C$32,3,4)))</f>
        <v>2</v>
      </c>
      <c r="AH367" s="37" t="s">
        <v>384</v>
      </c>
      <c r="AI367" s="11">
        <f>Table1[[#This Row],[Price]]/Table1[[#This Row],[Size (ml)]]*750</f>
        <v>28.99</v>
      </c>
      <c r="AK367" s="37">
        <f>COUNTIF(UniqueID!A:A,Table1[[#This Row],[ID]])</f>
        <v>1</v>
      </c>
      <c r="AL367" s="37" t="str">
        <f>VLOOKUP(Table1[[#This Row],[Cellar Location]],Location!A:F,6,FALSE)</f>
        <v>S</v>
      </c>
      <c r="AO367" s="37" t="str">
        <f>TEXT(Table1[[#This Row],[Purchased]],"mmmm")</f>
        <v>January</v>
      </c>
      <c r="AP367" s="10" t="str">
        <f>TEXT(Table1[[#This Row],[Purchased]],"yyyy")</f>
        <v>1900</v>
      </c>
      <c r="AQ367" s="10"/>
    </row>
    <row r="368" spans="1:43" s="37" customFormat="1" x14ac:dyDescent="0.25">
      <c r="A368" s="37" t="str">
        <f t="shared" si="32"/>
        <v>2014CrossBarnCabernet Sauvignon Napa Valley</v>
      </c>
      <c r="B368" s="37">
        <v>2014</v>
      </c>
      <c r="C368" s="37" t="s">
        <v>99</v>
      </c>
      <c r="D368" s="37" t="s">
        <v>94</v>
      </c>
      <c r="E368" s="64" t="s">
        <v>32</v>
      </c>
      <c r="F368" s="37" t="s">
        <v>727</v>
      </c>
      <c r="G368" s="37" t="s">
        <v>806</v>
      </c>
      <c r="H368" s="37" t="s">
        <v>832</v>
      </c>
      <c r="I368" s="107">
        <v>1</v>
      </c>
      <c r="J368" s="37">
        <v>750</v>
      </c>
      <c r="K368" s="107" t="s">
        <v>650</v>
      </c>
      <c r="L368" s="37">
        <f>COUNTIF(Drank!A:A,Table1[[#This Row],[ID]])</f>
        <v>0</v>
      </c>
      <c r="M368" s="37" t="s">
        <v>202</v>
      </c>
      <c r="N368" s="37" t="s">
        <v>207</v>
      </c>
      <c r="O368" s="37">
        <v>1</v>
      </c>
      <c r="P368" s="37">
        <v>2017</v>
      </c>
      <c r="Q368" s="37">
        <v>2026</v>
      </c>
      <c r="R368" s="37" t="str">
        <f>IF(IFERROR(VLOOKUP(A368,Drank!A:S,15,FALSE),"")=0,"",IFERROR(VLOOKUP(A368,Drank!A:S,15,FALSE),""))</f>
        <v/>
      </c>
      <c r="S368" s="37" t="str">
        <f>IF(IFERROR(VLOOKUP(A368,Drank!A:S,16,FALSE),"")=0,"",IFERROR(VLOOKUP(A368,Drank!A:S,16,FALSE),""))</f>
        <v/>
      </c>
      <c r="U368" s="37">
        <v>92</v>
      </c>
      <c r="V368" s="18" t="str">
        <f>IF(IFERROR(VLOOKUP(A368,Drank!A:T,19,FALSE),"")=0,"",IFERROR(VLOOKUP(A368,Drank!A:T,19,FALSE),""))</f>
        <v/>
      </c>
      <c r="W368" s="1" t="str">
        <f>IF(IFERROR(VLOOKUP(A368,Drank!A:T,20,FALSE),"")=0,"",IFERROR(VLOOKUP(A368,Drank!A:T,20,FALSE),""))</f>
        <v/>
      </c>
      <c r="X368" s="37">
        <f>SUMIF(A:A,A368,I:I)</f>
        <v>1</v>
      </c>
      <c r="Y368" s="37">
        <f>IF(Table1[[#This Row],[Drank]]&gt;0,VLOOKUP(Table1[[#This Row],[ID]],Drank!A:P,16,FALSE),IF(Table1[[#This Row],[WALDD]]&gt;0,VLOOKUP(Table1[[#This Row],[ID]],Wine1!A:Q,17,FALSE),Table1[[#This Row],[EP]]))</f>
        <v>2026</v>
      </c>
      <c r="Z368" s="18">
        <f>IF(Table1[[#This Row],[My Rating]]="",IF(Table1[[#This Row],[WA Rating Clean]]="","",Table1[[#This Row],[WA Rating Clean]]),Table1[[#This Row],[My Rating]])</f>
        <v>92</v>
      </c>
      <c r="AA368" s="37">
        <v>2022</v>
      </c>
      <c r="AB368" s="134">
        <v>53</v>
      </c>
      <c r="AC368" s="2">
        <f t="shared" si="33"/>
        <v>53</v>
      </c>
      <c r="AD368" s="8">
        <v>2</v>
      </c>
      <c r="AE368" s="37">
        <f>IF(Table1[[#This Row],[P/750]]&lt;20,1,IF(Table1[[#This Row],[P/750]]&lt;50,2,3))</f>
        <v>3</v>
      </c>
      <c r="AF368" s="37">
        <f>IF(Table1[[#This Row],[P/750]]&lt;Expenses!$C$30,1,IF(Table1[[#This Row],[P/750]]&lt;Expenses!$C$31,2,IF(Table1[[#This Row],[P/750]]&lt;Expenses!$C$32,3,4)))</f>
        <v>3</v>
      </c>
      <c r="AH368" s="37" t="s">
        <v>1128</v>
      </c>
      <c r="AI368" s="11">
        <f>Table1[[#This Row],[Price]]/Table1[[#This Row],[Size (ml)]]*750</f>
        <v>53</v>
      </c>
      <c r="AJ368" s="37">
        <v>92</v>
      </c>
      <c r="AK368" s="37">
        <f>COUNTIF(UniqueID!A:A,Table1[[#This Row],[ID]])</f>
        <v>1</v>
      </c>
      <c r="AL368" s="37" t="str">
        <f>VLOOKUP(Table1[[#This Row],[Cellar Location]],Location!A:F,6,FALSE)</f>
        <v>S</v>
      </c>
      <c r="AO368" s="37" t="str">
        <f>TEXT(Table1[[#This Row],[Purchased]],"mmmm")</f>
        <v>January</v>
      </c>
      <c r="AP368" s="10" t="str">
        <f>TEXT(Table1[[#This Row],[Purchased]],"yyyy")</f>
        <v>1900</v>
      </c>
      <c r="AQ368" s="10"/>
    </row>
    <row r="369" spans="1:43" s="37" customFormat="1" x14ac:dyDescent="0.25">
      <c r="A369" s="37" t="str">
        <f t="shared" si="32"/>
        <v>2006Giovanni CorinoBarolo Giachini</v>
      </c>
      <c r="B369" s="37">
        <v>2006</v>
      </c>
      <c r="C369" s="37" t="s">
        <v>1417</v>
      </c>
      <c r="D369" s="37" t="s">
        <v>1416</v>
      </c>
      <c r="E369" s="67" t="s">
        <v>1206</v>
      </c>
      <c r="F369" s="37" t="s">
        <v>728</v>
      </c>
      <c r="G369" s="37" t="s">
        <v>778</v>
      </c>
      <c r="H369" s="37" t="s">
        <v>268</v>
      </c>
      <c r="I369" s="37">
        <v>1</v>
      </c>
      <c r="J369" s="107">
        <v>750</v>
      </c>
      <c r="K369" s="37" t="s">
        <v>1403</v>
      </c>
      <c r="L369" s="10">
        <f>COUNTIF(Drank!A:A,Table1[[#This Row],[ID]])</f>
        <v>0</v>
      </c>
      <c r="M369" s="37" t="s">
        <v>202</v>
      </c>
      <c r="N369" s="37" t="s">
        <v>207</v>
      </c>
      <c r="O369" s="37">
        <v>1</v>
      </c>
      <c r="P369" s="10">
        <v>2016</v>
      </c>
      <c r="Q369" s="37">
        <v>2026</v>
      </c>
      <c r="R369" s="10" t="str">
        <f>IF(IFERROR(VLOOKUP(A369,Drank!A:S,15,FALSE),"")=0,"",IFERROR(VLOOKUP(A369,Drank!A:S,15,FALSE),""))</f>
        <v/>
      </c>
      <c r="S369" s="10" t="str">
        <f>IF(IFERROR(VLOOKUP(A369,Drank!A:S,16,FALSE),"")=0,"",IFERROR(VLOOKUP(A369,Drank!A:S,16,FALSE),""))</f>
        <v/>
      </c>
      <c r="T369" s="10"/>
      <c r="U369" s="37">
        <v>94</v>
      </c>
      <c r="V369" s="18" t="str">
        <f>IF(IFERROR(VLOOKUP(A369,Drank!A:T,19,FALSE),"")=0,"",IFERROR(VLOOKUP(A369,Drank!A:T,19,FALSE),""))</f>
        <v/>
      </c>
      <c r="W369" s="1" t="str">
        <f>IF(IFERROR(VLOOKUP(A369,Drank!A:T,20,FALSE),"")=0,"",IFERROR(VLOOKUP(A369,Drank!A:T,20,FALSE),""))</f>
        <v/>
      </c>
      <c r="X369" s="10">
        <f>SUMIF(A:A,A369,I:I)</f>
        <v>1</v>
      </c>
      <c r="Y369" s="10">
        <f>IF(Table1[[#This Row],[Drank]]&gt;0,VLOOKUP(Table1[[#This Row],[ID]],Drank!A:P,16,FALSE),IF(Table1[[#This Row],[WALDD]]&gt;0,VLOOKUP(Table1[[#This Row],[ID]],Wine1!A:Q,17,FALSE),Table1[[#This Row],[EP]]))</f>
        <v>2026</v>
      </c>
      <c r="Z369" s="18">
        <f>IF(Table1[[#This Row],[My Rating]]="",IF(Table1[[#This Row],[WA Rating Clean]]="","",Table1[[#This Row],[WA Rating Clean]]),Table1[[#This Row],[My Rating]])</f>
        <v>94</v>
      </c>
      <c r="AA369" s="6">
        <v>2022</v>
      </c>
      <c r="AB369" s="128">
        <v>72.650000000000006</v>
      </c>
      <c r="AC369" s="2">
        <f t="shared" si="33"/>
        <v>72.650000000000006</v>
      </c>
      <c r="AD369" s="8">
        <v>0</v>
      </c>
      <c r="AE369" s="10">
        <f>IF(Table1[[#This Row],[P/750]]&lt;20,1,IF(Table1[[#This Row],[P/750]]&lt;50,2,3))</f>
        <v>3</v>
      </c>
      <c r="AF369" s="10">
        <f>IF(Table1[[#This Row],[P/750]]&lt;Expenses!$C$30,1,IF(Table1[[#This Row],[P/750]]&lt;Expenses!$C$31,2,IF(Table1[[#This Row],[P/750]]&lt;Expenses!$C$32,3,4)))</f>
        <v>4</v>
      </c>
      <c r="AH369" s="37" t="s">
        <v>415</v>
      </c>
      <c r="AI369" s="11">
        <f>Table1[[#This Row],[Price]]/Table1[[#This Row],[Size (ml)]]*750</f>
        <v>72.650000000000006</v>
      </c>
      <c r="AJ369" s="37">
        <v>94</v>
      </c>
      <c r="AK369" s="10">
        <f>COUNTIF(UniqueID!A:A,Table1[[#This Row],[ID]])</f>
        <v>0</v>
      </c>
      <c r="AL369" s="10" t="str">
        <f>VLOOKUP(Table1[[#This Row],[Cellar Location]],Location!A:F,6,FALSE)</f>
        <v>S</v>
      </c>
      <c r="AN369" s="1">
        <v>43975</v>
      </c>
      <c r="AO369" s="10" t="str">
        <f>TEXT(Table1[[#This Row],[Purchased]],"mmmm")</f>
        <v>May</v>
      </c>
      <c r="AP369" s="10" t="str">
        <f>TEXT(Table1[[#This Row],[Purchased]],"yyyy")</f>
        <v>2020</v>
      </c>
      <c r="AQ369" s="10"/>
    </row>
    <row r="370" spans="1:43" s="37" customFormat="1" x14ac:dyDescent="0.25">
      <c r="A370" s="37" t="str">
        <f t="shared" si="32"/>
        <v>2013TabarriniMontefalco Sagrantino Colle Grimaldesco</v>
      </c>
      <c r="B370" s="37">
        <v>2013</v>
      </c>
      <c r="C370" s="37" t="s">
        <v>246</v>
      </c>
      <c r="D370" s="25" t="s">
        <v>247</v>
      </c>
      <c r="E370" s="64" t="s">
        <v>272</v>
      </c>
      <c r="F370" s="37" t="s">
        <v>728</v>
      </c>
      <c r="G370" s="37" t="s">
        <v>797</v>
      </c>
      <c r="H370" s="37" t="s">
        <v>798</v>
      </c>
      <c r="I370" s="107">
        <v>1</v>
      </c>
      <c r="J370" s="37">
        <v>750</v>
      </c>
      <c r="K370" s="108" t="s">
        <v>657</v>
      </c>
      <c r="L370" s="37">
        <f>COUNTIF(Drank!A:A,Table1[[#This Row],[ID]])</f>
        <v>1</v>
      </c>
      <c r="M370" s="37" t="s">
        <v>202</v>
      </c>
      <c r="N370" s="37" t="s">
        <v>207</v>
      </c>
      <c r="O370" s="37">
        <v>1</v>
      </c>
      <c r="P370" s="37">
        <v>2017</v>
      </c>
      <c r="Q370" s="37">
        <v>2026</v>
      </c>
      <c r="R370" s="37">
        <f>IF(IFERROR(VLOOKUP(A370,Drank!A:S,15,FALSE),"")=0,"",IFERROR(VLOOKUP(A370,Drank!A:S,15,FALSE),""))</f>
        <v>2022</v>
      </c>
      <c r="S370" s="37">
        <f>IF(IFERROR(VLOOKUP(A370,Drank!A:S,16,FALSE),"")=0,"",IFERROR(VLOOKUP(A370,Drank!A:S,16,FALSE),""))</f>
        <v>2026</v>
      </c>
      <c r="U370" s="37">
        <v>90</v>
      </c>
      <c r="V370" s="18">
        <f>IF(IFERROR(VLOOKUP(A370,Drank!A:T,19,FALSE),"")=0,"",IFERROR(VLOOKUP(A370,Drank!A:T,19,FALSE),""))</f>
        <v>90</v>
      </c>
      <c r="W370" s="1">
        <f>IF(IFERROR(VLOOKUP(A370,Drank!A:T,20,FALSE),"")=0,"",IFERROR(VLOOKUP(A370,Drank!A:T,20,FALSE),""))</f>
        <v>43583</v>
      </c>
      <c r="X370" s="37">
        <f>SUMIF(A:A,A370,I:I)</f>
        <v>2</v>
      </c>
      <c r="Y370" s="37">
        <f>IF(Table1[[#This Row],[Drank]]&gt;0,VLOOKUP(Table1[[#This Row],[ID]],Drank!A:P,16,FALSE),IF(Table1[[#This Row],[WALDD]]&gt;0,VLOOKUP(Table1[[#This Row],[ID]],Wine1!A:Q,17,FALSE),Table1[[#This Row],[EP]]))</f>
        <v>2026</v>
      </c>
      <c r="Z370" s="18">
        <f>IF(Table1[[#This Row],[My Rating]]="",IF(Table1[[#This Row],[WA Rating Clean]]="","",Table1[[#This Row],[WA Rating Clean]]),Table1[[#This Row],[My Rating]])</f>
        <v>90</v>
      </c>
      <c r="AA370" s="37">
        <v>2022</v>
      </c>
      <c r="AB370" s="128">
        <v>24.99</v>
      </c>
      <c r="AC370" s="2">
        <f t="shared" si="33"/>
        <v>24.99</v>
      </c>
      <c r="AD370" s="8">
        <v>2</v>
      </c>
      <c r="AE370" s="37">
        <f>IF(Table1[[#This Row],[P/750]]&lt;20,1,IF(Table1[[#This Row],[P/750]]&lt;50,2,3))</f>
        <v>2</v>
      </c>
      <c r="AF370" s="37">
        <f>IF(Table1[[#This Row],[P/750]]&lt;Expenses!$C$30,1,IF(Table1[[#This Row],[P/750]]&lt;Expenses!$C$31,2,IF(Table1[[#This Row],[P/750]]&lt;Expenses!$C$32,3,4)))</f>
        <v>2</v>
      </c>
      <c r="AH370" s="37" t="s">
        <v>384</v>
      </c>
      <c r="AI370" s="11">
        <f>Table1[[#This Row],[Price]]/Table1[[#This Row],[Size (ml)]]*750</f>
        <v>24.989999999999995</v>
      </c>
      <c r="AJ370" s="37">
        <v>90</v>
      </c>
      <c r="AK370" s="37">
        <f>COUNTIF(UniqueID!A:A,Table1[[#This Row],[ID]])</f>
        <v>1</v>
      </c>
      <c r="AL370" s="37" t="str">
        <f>VLOOKUP(Table1[[#This Row],[Cellar Location]],Location!A:F,6,FALSE)</f>
        <v>S</v>
      </c>
      <c r="AO370" s="37" t="str">
        <f>TEXT(Table1[[#This Row],[Purchased]],"mmmm")</f>
        <v>January</v>
      </c>
      <c r="AP370" s="10" t="str">
        <f>TEXT(Table1[[#This Row],[Purchased]],"yyyy")</f>
        <v>1900</v>
      </c>
      <c r="AQ370" s="10"/>
    </row>
    <row r="371" spans="1:43" s="37" customFormat="1" x14ac:dyDescent="0.25">
      <c r="A371" s="37" t="str">
        <f t="shared" si="32"/>
        <v>2016Tenuta San GuidoLe Difese</v>
      </c>
      <c r="B371" s="37">
        <v>2016</v>
      </c>
      <c r="C371" s="37" t="s">
        <v>91</v>
      </c>
      <c r="D371" s="37" t="s">
        <v>396</v>
      </c>
      <c r="E371" s="64" t="s">
        <v>399</v>
      </c>
      <c r="F371" s="37" t="s">
        <v>728</v>
      </c>
      <c r="G371" s="37" t="s">
        <v>790</v>
      </c>
      <c r="H371" s="37" t="s">
        <v>796</v>
      </c>
      <c r="I371" s="107">
        <v>1</v>
      </c>
      <c r="J371" s="37">
        <v>750</v>
      </c>
      <c r="K371" s="107" t="s">
        <v>654</v>
      </c>
      <c r="L371" s="37">
        <f>COUNTIF(Drank!A:A,Table1[[#This Row],[ID]])</f>
        <v>3</v>
      </c>
      <c r="M371" s="37" t="s">
        <v>202</v>
      </c>
      <c r="N371" s="37" t="s">
        <v>207</v>
      </c>
      <c r="O371" s="37">
        <v>1</v>
      </c>
      <c r="P371" s="37">
        <v>2018</v>
      </c>
      <c r="Q371" s="37">
        <v>2022</v>
      </c>
      <c r="R371" s="10">
        <f>IF(IFERROR(VLOOKUP(A371,Drank!A:S,15,FALSE),"")=0,"",IFERROR(VLOOKUP(A371,Drank!A:S,15,FALSE),""))</f>
        <v>2022</v>
      </c>
      <c r="S371" s="10">
        <f>IF(IFERROR(VLOOKUP(A371,Drank!A:S,16,FALSE),"")=0,"",IFERROR(VLOOKUP(A371,Drank!A:S,16,FALSE),""))</f>
        <v>2026</v>
      </c>
      <c r="T371" s="10"/>
      <c r="U371" s="37">
        <v>90</v>
      </c>
      <c r="V371" s="18">
        <f>IF(IFERROR(VLOOKUP(A371,Drank!A:T,19,FALSE),"")=0,"",IFERROR(VLOOKUP(A371,Drank!A:T,19,FALSE),""))</f>
        <v>90.666666666666671</v>
      </c>
      <c r="W371" s="1">
        <f>IF(IFERROR(VLOOKUP(A371,Drank!A:T,20,FALSE),"")=0,"",IFERROR(VLOOKUP(A371,Drank!A:T,20,FALSE),""))</f>
        <v>43835</v>
      </c>
      <c r="X371" s="10">
        <f>SUMIF(A:A,A371,I:I)</f>
        <v>3</v>
      </c>
      <c r="Y371" s="37">
        <f>IF(Table1[[#This Row],[Drank]]&gt;0,VLOOKUP(Table1[[#This Row],[ID]],Drank!A:P,16,FALSE),IF(Table1[[#This Row],[WALDD]]&gt;0,VLOOKUP(Table1[[#This Row],[ID]],Wine1!A:Q,17,FALSE),Table1[[#This Row],[EP]]))</f>
        <v>2026</v>
      </c>
      <c r="Z371" s="18">
        <f>IF(Table1[[#This Row],[My Rating]]="",IF(Table1[[#This Row],[WA Rating Clean]]="","",Table1[[#This Row],[WA Rating Clean]]),Table1[[#This Row],[My Rating]])</f>
        <v>90.666666666666671</v>
      </c>
      <c r="AA371" s="37">
        <v>2022</v>
      </c>
      <c r="AB371" s="128">
        <v>29</v>
      </c>
      <c r="AC371" s="2">
        <f t="shared" si="33"/>
        <v>29</v>
      </c>
      <c r="AD371" s="8">
        <v>2</v>
      </c>
      <c r="AE371" s="37">
        <f>IF(Table1[[#This Row],[P/750]]&lt;20,1,IF(Table1[[#This Row],[P/750]]&lt;50,2,3))</f>
        <v>2</v>
      </c>
      <c r="AF371" s="37">
        <f>IF(Table1[[#This Row],[P/750]]&lt;Expenses!$C$30,1,IF(Table1[[#This Row],[P/750]]&lt;Expenses!$C$31,2,IF(Table1[[#This Row],[P/750]]&lt;Expenses!$C$32,3,4)))</f>
        <v>2</v>
      </c>
      <c r="AH371" s="37" t="s">
        <v>1128</v>
      </c>
      <c r="AI371" s="11">
        <f>Table1[[#This Row],[Price]]/Table1[[#This Row],[Size (ml)]]*750</f>
        <v>29</v>
      </c>
      <c r="AJ371" s="37">
        <v>90</v>
      </c>
      <c r="AK371" s="37">
        <f>COUNTIF(UniqueID!A:A,Table1[[#This Row],[ID]])</f>
        <v>1</v>
      </c>
      <c r="AL371" s="37" t="str">
        <f>VLOOKUP(Table1[[#This Row],[Cellar Location]],Location!A:F,6,FALSE)</f>
        <v>S</v>
      </c>
      <c r="AO371" s="37" t="str">
        <f>TEXT(Table1[[#This Row],[Purchased]],"mmmm")</f>
        <v>January</v>
      </c>
      <c r="AP371" s="10" t="str">
        <f>TEXT(Table1[[#This Row],[Purchased]],"yyyy")</f>
        <v>1900</v>
      </c>
      <c r="AQ371" s="10"/>
    </row>
    <row r="372" spans="1:43" s="37" customFormat="1" x14ac:dyDescent="0.25">
      <c r="A372" s="37" t="str">
        <f t="shared" si="32"/>
        <v>2009Hermanos Perez PascuasEl Pedrosal Reserva</v>
      </c>
      <c r="B372" s="37">
        <v>2009</v>
      </c>
      <c r="C372" s="9" t="s">
        <v>1543</v>
      </c>
      <c r="D372" s="9" t="s">
        <v>1544</v>
      </c>
      <c r="E372" s="69" t="s">
        <v>276</v>
      </c>
      <c r="F372" s="37" t="s">
        <v>729</v>
      </c>
      <c r="G372" s="37" t="s">
        <v>1718</v>
      </c>
      <c r="H372" s="37" t="s">
        <v>818</v>
      </c>
      <c r="I372" s="78">
        <v>1</v>
      </c>
      <c r="J372" s="37">
        <v>750</v>
      </c>
      <c r="K372" s="78" t="s">
        <v>1545</v>
      </c>
      <c r="L372" s="10">
        <f>COUNTIF(Drank!A:A,Table1[[#This Row],[ID]])</f>
        <v>2</v>
      </c>
      <c r="M372" s="37" t="s">
        <v>202</v>
      </c>
      <c r="N372" s="37" t="s">
        <v>207</v>
      </c>
      <c r="O372" s="37">
        <v>1</v>
      </c>
      <c r="P372" s="37">
        <v>2020</v>
      </c>
      <c r="Q372" s="37">
        <v>2029</v>
      </c>
      <c r="R372" s="10">
        <f>IF(IFERROR(VLOOKUP(A372,Drank!A:S,15,FALSE),"")=0,"",IFERROR(VLOOKUP(A372,Drank!A:S,15,FALSE),""))</f>
        <v>2020</v>
      </c>
      <c r="S372" s="10">
        <f>IF(IFERROR(VLOOKUP(A372,Drank!A:S,16,FALSE),"")=0,"",IFERROR(VLOOKUP(A372,Drank!A:S,16,FALSE),""))</f>
        <v>2027</v>
      </c>
      <c r="T372" s="10"/>
      <c r="U372" s="37">
        <v>95</v>
      </c>
      <c r="V372" s="18">
        <f>IF(IFERROR(VLOOKUP(A372,Drank!A:T,19,FALSE),"")=0,"",IFERROR(VLOOKUP(A372,Drank!A:T,19,FALSE),""))</f>
        <v>94.5</v>
      </c>
      <c r="W372" s="1">
        <f>IF(IFERROR(VLOOKUP(A372,Drank!A:T,20,FALSE),"")=0,"",IFERROR(VLOOKUP(A372,Drank!A:T,20,FALSE),""))</f>
        <v>44079</v>
      </c>
      <c r="X372" s="10">
        <f>SUMIF(A:A,A372,I:I)</f>
        <v>17</v>
      </c>
      <c r="Y372" s="10">
        <f>IF(Table1[[#This Row],[Drank]]&gt;0,VLOOKUP(Table1[[#This Row],[ID]],Drank!A:P,16,FALSE),IF(Table1[[#This Row],[WALDD]]&gt;0,VLOOKUP(Table1[[#This Row],[ID]],Wine1!A:Q,17,FALSE),Table1[[#This Row],[EP]]))</f>
        <v>2027</v>
      </c>
      <c r="Z372" s="18">
        <f>IF(Table1[[#This Row],[My Rating]]="",IF(Table1[[#This Row],[WA Rating Clean]]="","",Table1[[#This Row],[WA Rating Clean]]),Table1[[#This Row],[My Rating]])</f>
        <v>94.5</v>
      </c>
      <c r="AA372" s="37">
        <v>2022</v>
      </c>
      <c r="AB372" s="128">
        <v>29.61</v>
      </c>
      <c r="AC372" s="2">
        <f t="shared" si="33"/>
        <v>29.61</v>
      </c>
      <c r="AD372" s="8"/>
      <c r="AE372" s="10">
        <f>IF(Table1[[#This Row],[P/750]]&lt;20,1,IF(Table1[[#This Row],[P/750]]&lt;50,2,3))</f>
        <v>2</v>
      </c>
      <c r="AF372" s="10">
        <f>IF(Table1[[#This Row],[P/750]]&lt;Expenses!$C$30,1,IF(Table1[[#This Row],[P/750]]&lt;Expenses!$C$31,2,IF(Table1[[#This Row],[P/750]]&lt;Expenses!$C$32,3,4)))</f>
        <v>2</v>
      </c>
      <c r="AH372" s="37" t="s">
        <v>1545</v>
      </c>
      <c r="AI372" s="11">
        <f>Table1[[#This Row],[Price]]/Table1[[#This Row],[Size (ml)]]*750</f>
        <v>29.61</v>
      </c>
      <c r="AJ372" s="37">
        <v>95</v>
      </c>
      <c r="AK372" s="10">
        <f>COUNTIF(UniqueID!A:A,Table1[[#This Row],[ID]])</f>
        <v>0</v>
      </c>
      <c r="AL372" s="10" t="str">
        <f>VLOOKUP(Table1[[#This Row],[Cellar Location]],Location!A:F,6,FALSE)</f>
        <v>W</v>
      </c>
      <c r="AN372" s="1">
        <v>44065</v>
      </c>
      <c r="AO372" s="10" t="str">
        <f>TEXT(Table1[[#This Row],[Purchased]],"mmmm")</f>
        <v>August</v>
      </c>
      <c r="AP372" s="10" t="str">
        <f>TEXT(Table1[[#This Row],[Purchased]],"yyyy")</f>
        <v>2020</v>
      </c>
      <c r="AQ372" s="10"/>
    </row>
    <row r="373" spans="1:43" s="37" customFormat="1" x14ac:dyDescent="0.25">
      <c r="A373" s="37" t="str">
        <f t="shared" si="32"/>
        <v>2009Hermanos Perez PascuasEl Pedrosal Reserva</v>
      </c>
      <c r="B373" s="37">
        <v>2009</v>
      </c>
      <c r="C373" s="9" t="s">
        <v>1543</v>
      </c>
      <c r="D373" s="9" t="s">
        <v>1544</v>
      </c>
      <c r="E373" s="69" t="s">
        <v>276</v>
      </c>
      <c r="F373" s="37" t="s">
        <v>729</v>
      </c>
      <c r="G373" s="37" t="s">
        <v>1718</v>
      </c>
      <c r="H373" s="37" t="s">
        <v>818</v>
      </c>
      <c r="I373" s="78">
        <v>1</v>
      </c>
      <c r="J373" s="37">
        <v>750</v>
      </c>
      <c r="K373" s="78" t="s">
        <v>1545</v>
      </c>
      <c r="L373" s="10">
        <f>COUNTIF(Drank!A:A,Table1[[#This Row],[ID]])</f>
        <v>2</v>
      </c>
      <c r="M373" s="37" t="s">
        <v>202</v>
      </c>
      <c r="N373" s="37" t="s">
        <v>207</v>
      </c>
      <c r="O373" s="37">
        <v>1</v>
      </c>
      <c r="P373" s="37">
        <v>2020</v>
      </c>
      <c r="Q373" s="37">
        <v>2029</v>
      </c>
      <c r="R373" s="10">
        <f>IF(IFERROR(VLOOKUP(A373,Drank!A:S,15,FALSE),"")=0,"",IFERROR(VLOOKUP(A373,Drank!A:S,15,FALSE),""))</f>
        <v>2020</v>
      </c>
      <c r="S373" s="10">
        <f>IF(IFERROR(VLOOKUP(A373,Drank!A:S,16,FALSE),"")=0,"",IFERROR(VLOOKUP(A373,Drank!A:S,16,FALSE),""))</f>
        <v>2027</v>
      </c>
      <c r="T373" s="10"/>
      <c r="U373" s="37">
        <v>95</v>
      </c>
      <c r="V373" s="18">
        <f>IF(IFERROR(VLOOKUP(A373,Drank!A:T,19,FALSE),"")=0,"",IFERROR(VLOOKUP(A373,Drank!A:T,19,FALSE),""))</f>
        <v>94.5</v>
      </c>
      <c r="W373" s="1">
        <f>IF(IFERROR(VLOOKUP(A373,Drank!A:T,20,FALSE),"")=0,"",IFERROR(VLOOKUP(A373,Drank!A:T,20,FALSE),""))</f>
        <v>44079</v>
      </c>
      <c r="X373" s="10">
        <f>SUMIF(A:A,A373,I:I)</f>
        <v>17</v>
      </c>
      <c r="Y373" s="10">
        <f>IF(Table1[[#This Row],[Drank]]&gt;0,VLOOKUP(Table1[[#This Row],[ID]],Drank!A:P,16,FALSE),IF(Table1[[#This Row],[WALDD]]&gt;0,VLOOKUP(Table1[[#This Row],[ID]],Wine1!A:Q,17,FALSE),Table1[[#This Row],[EP]]))</f>
        <v>2027</v>
      </c>
      <c r="Z373" s="18">
        <f>IF(Table1[[#This Row],[My Rating]]="",IF(Table1[[#This Row],[WA Rating Clean]]="","",Table1[[#This Row],[WA Rating Clean]]),Table1[[#This Row],[My Rating]])</f>
        <v>94.5</v>
      </c>
      <c r="AA373" s="37">
        <v>2022</v>
      </c>
      <c r="AB373" s="128">
        <v>29.61</v>
      </c>
      <c r="AC373" s="2">
        <f t="shared" si="33"/>
        <v>29.61</v>
      </c>
      <c r="AD373" s="8"/>
      <c r="AE373" s="10">
        <f>IF(Table1[[#This Row],[P/750]]&lt;20,1,IF(Table1[[#This Row],[P/750]]&lt;50,2,3))</f>
        <v>2</v>
      </c>
      <c r="AF373" s="10">
        <f>IF(Table1[[#This Row],[P/750]]&lt;Expenses!$C$30,1,IF(Table1[[#This Row],[P/750]]&lt;Expenses!$C$31,2,IF(Table1[[#This Row],[P/750]]&lt;Expenses!$C$32,3,4)))</f>
        <v>2</v>
      </c>
      <c r="AH373" s="37" t="s">
        <v>1545</v>
      </c>
      <c r="AI373" s="11">
        <f>Table1[[#This Row],[Price]]/Table1[[#This Row],[Size (ml)]]*750</f>
        <v>29.61</v>
      </c>
      <c r="AJ373" s="37">
        <v>95</v>
      </c>
      <c r="AK373" s="10">
        <f>COUNTIF(UniqueID!A:A,Table1[[#This Row],[ID]])</f>
        <v>0</v>
      </c>
      <c r="AL373" s="10" t="str">
        <f>VLOOKUP(Table1[[#This Row],[Cellar Location]],Location!A:F,6,FALSE)</f>
        <v>W</v>
      </c>
      <c r="AN373" s="1">
        <v>44065</v>
      </c>
      <c r="AO373" s="10" t="str">
        <f>TEXT(Table1[[#This Row],[Purchased]],"mmmm")</f>
        <v>August</v>
      </c>
      <c r="AP373" s="10" t="str">
        <f>TEXT(Table1[[#This Row],[Purchased]],"yyyy")</f>
        <v>2020</v>
      </c>
      <c r="AQ373" s="10"/>
    </row>
    <row r="374" spans="1:43" s="37" customFormat="1" x14ac:dyDescent="0.25">
      <c r="A374" s="20" t="str">
        <f t="shared" si="32"/>
        <v>2015Luna BeberideArt</v>
      </c>
      <c r="B374" s="37">
        <v>2015</v>
      </c>
      <c r="C374" s="37" t="s">
        <v>357</v>
      </c>
      <c r="D374" s="37" t="s">
        <v>670</v>
      </c>
      <c r="E374" s="67" t="s">
        <v>1253</v>
      </c>
      <c r="F374" s="37" t="s">
        <v>729</v>
      </c>
      <c r="G374" s="37" t="s">
        <v>1718</v>
      </c>
      <c r="H374" s="37" t="s">
        <v>815</v>
      </c>
      <c r="I374" s="37">
        <v>1</v>
      </c>
      <c r="J374" s="107">
        <v>750</v>
      </c>
      <c r="K374" s="8" t="s">
        <v>640</v>
      </c>
      <c r="L374" s="10">
        <f>COUNTIF(Drank!A:A,Table1[[#This Row],[ID]])</f>
        <v>2</v>
      </c>
      <c r="M374" s="37" t="s">
        <v>202</v>
      </c>
      <c r="N374" s="37" t="s">
        <v>207</v>
      </c>
      <c r="O374" s="37">
        <v>1</v>
      </c>
      <c r="P374" s="10">
        <v>2017</v>
      </c>
      <c r="Q374" s="37">
        <v>2022</v>
      </c>
      <c r="R374" s="10">
        <f>IF(IFERROR(VLOOKUP(A374,Drank!A:S,15,FALSE),"")=0,"",IFERROR(VLOOKUP(A374,Drank!A:S,15,FALSE),""))</f>
        <v>2022</v>
      </c>
      <c r="S374" s="10">
        <f>IF(IFERROR(VLOOKUP(A374,Drank!A:S,16,FALSE),"")=0,"",IFERROR(VLOOKUP(A374,Drank!A:S,16,FALSE),""))</f>
        <v>2027</v>
      </c>
      <c r="T374" s="10"/>
      <c r="U374" s="37">
        <v>93</v>
      </c>
      <c r="V374" s="18">
        <f>IF(IFERROR(VLOOKUP(A374,Drank!A:T,19,FALSE),"")=0,"",IFERROR(VLOOKUP(A374,Drank!A:T,19,FALSE),""))</f>
        <v>92</v>
      </c>
      <c r="W374" s="1">
        <f>IF(IFERROR(VLOOKUP(A374,Drank!A:T,20,FALSE),"")=0,"",IFERROR(VLOOKUP(A374,Drank!A:T,20,FALSE),""))</f>
        <v>44059</v>
      </c>
      <c r="X374" s="10">
        <f>SUMIF(A:A,A374,I:I)</f>
        <v>2</v>
      </c>
      <c r="Y374" s="10">
        <f>IF(Table1[[#This Row],[Drank]]&gt;0,VLOOKUP(Table1[[#This Row],[ID]],Drank!A:P,16,FALSE),IF(Table1[[#This Row],[WALDD]]&gt;0,VLOOKUP(Table1[[#This Row],[ID]],Wine1!A:Q,17,FALSE),Table1[[#This Row],[EP]]))</f>
        <v>2027</v>
      </c>
      <c r="Z374" s="18">
        <f>IF(Table1[[#This Row],[My Rating]]="",IF(Table1[[#This Row],[WA Rating Clean]]="","",Table1[[#This Row],[WA Rating Clean]]),Table1[[#This Row],[My Rating]])</f>
        <v>92</v>
      </c>
      <c r="AA374" s="8">
        <v>2022</v>
      </c>
      <c r="AB374" s="128">
        <v>22</v>
      </c>
      <c r="AC374" s="2">
        <f t="shared" si="33"/>
        <v>22</v>
      </c>
      <c r="AD374" s="8">
        <v>0</v>
      </c>
      <c r="AE374" s="10">
        <f>IF(Table1[[#This Row],[P/750]]&lt;20,1,IF(Table1[[#This Row],[P/750]]&lt;50,2,3))</f>
        <v>2</v>
      </c>
      <c r="AF374" s="10">
        <f>IF(Table1[[#This Row],[P/750]]&lt;Expenses!$C$30,1,IF(Table1[[#This Row],[P/750]]&lt;Expenses!$C$31,2,IF(Table1[[#This Row],[P/750]]&lt;Expenses!$C$32,3,4)))</f>
        <v>2</v>
      </c>
      <c r="AH374" s="37" t="s">
        <v>385</v>
      </c>
      <c r="AI374" s="11">
        <f>Table1[[#This Row],[Price]]/Table1[[#This Row],[Size (ml)]]*750</f>
        <v>22</v>
      </c>
      <c r="AJ374" s="37">
        <v>93</v>
      </c>
      <c r="AK374" s="37">
        <f>COUNTIF(UniqueID!A:A,Table1[[#This Row],[ID]])</f>
        <v>1</v>
      </c>
      <c r="AL374" s="37" t="str">
        <f>VLOOKUP(Table1[[#This Row],[Cellar Location]],Location!A:F,6,FALSE)</f>
        <v>S</v>
      </c>
      <c r="AO374" s="37" t="str">
        <f>TEXT(Table1[[#This Row],[Purchased]],"mmmm")</f>
        <v>January</v>
      </c>
      <c r="AP374" s="10" t="str">
        <f>TEXT(Table1[[#This Row],[Purchased]],"yyyy")</f>
        <v>1900</v>
      </c>
      <c r="AQ374" s="10"/>
    </row>
    <row r="375" spans="1:43" s="37" customFormat="1" x14ac:dyDescent="0.25">
      <c r="A375" s="37" t="str">
        <f t="shared" si="32"/>
        <v>2016Domaine La Grangette Saint JosephGigondas la Grangette des Garrigues</v>
      </c>
      <c r="B375" s="37">
        <v>2016</v>
      </c>
      <c r="C375" s="9" t="s">
        <v>420</v>
      </c>
      <c r="D375" s="9" t="s">
        <v>421</v>
      </c>
      <c r="E375" s="69" t="s">
        <v>1225</v>
      </c>
      <c r="F375" s="37" t="s">
        <v>742</v>
      </c>
      <c r="G375" s="37" t="s">
        <v>759</v>
      </c>
      <c r="H375" s="37" t="s">
        <v>764</v>
      </c>
      <c r="I375" s="107">
        <v>1</v>
      </c>
      <c r="J375" s="37">
        <v>750</v>
      </c>
      <c r="K375" s="107" t="s">
        <v>656</v>
      </c>
      <c r="L375" s="37">
        <f>COUNTIF(Drank!A:A,Table1[[#This Row],[ID]])</f>
        <v>1</v>
      </c>
      <c r="M375" s="37" t="s">
        <v>202</v>
      </c>
      <c r="N375" s="37" t="s">
        <v>207</v>
      </c>
      <c r="O375" s="37">
        <v>1</v>
      </c>
      <c r="P375" s="37">
        <v>2018</v>
      </c>
      <c r="Q375" s="37">
        <v>2028</v>
      </c>
      <c r="R375" s="10">
        <f>IF(IFERROR(VLOOKUP(A375,Drank!A:S,15,FALSE),"")=0,"",IFERROR(VLOOKUP(A375,Drank!A:S,15,FALSE),""))</f>
        <v>2021</v>
      </c>
      <c r="S375" s="10">
        <f>IF(IFERROR(VLOOKUP(A375,Drank!A:S,16,FALSE),"")=0,"",IFERROR(VLOOKUP(A375,Drank!A:S,16,FALSE),""))</f>
        <v>2027</v>
      </c>
      <c r="T375" s="10"/>
      <c r="U375" s="37">
        <v>94</v>
      </c>
      <c r="V375" s="18">
        <f>IF(IFERROR(VLOOKUP(A375,Drank!A:T,19,FALSE),"")=0,"",IFERROR(VLOOKUP(A375,Drank!A:T,19,FALSE),""))</f>
        <v>92</v>
      </c>
      <c r="W375" s="1">
        <f>IF(IFERROR(VLOOKUP(A375,Drank!A:T,20,FALSE),"")=0,"",IFERROR(VLOOKUP(A375,Drank!A:T,20,FALSE),""))</f>
        <v>43834</v>
      </c>
      <c r="X375" s="10">
        <f>SUMIF(A:A,A375,I:I)</f>
        <v>11</v>
      </c>
      <c r="Y375" s="37">
        <f>IF(Table1[[#This Row],[Drank]]&gt;0,VLOOKUP(Table1[[#This Row],[ID]],Drank!A:P,16,FALSE),IF(Table1[[#This Row],[WALDD]]&gt;0,VLOOKUP(Table1[[#This Row],[ID]],Wine1!A:Q,17,FALSE),Table1[[#This Row],[EP]]))</f>
        <v>2027</v>
      </c>
      <c r="Z375" s="18">
        <f>IF(Table1[[#This Row],[My Rating]]="",IF(Table1[[#This Row],[WA Rating Clean]]="","",Table1[[#This Row],[WA Rating Clean]]),Table1[[#This Row],[My Rating]])</f>
        <v>92</v>
      </c>
      <c r="AA375" s="37">
        <v>2022</v>
      </c>
      <c r="AB375" s="128">
        <v>22</v>
      </c>
      <c r="AC375" s="2">
        <f t="shared" si="33"/>
        <v>22</v>
      </c>
      <c r="AD375" s="8">
        <v>2</v>
      </c>
      <c r="AE375" s="37">
        <f>IF(Table1[[#This Row],[P/750]]&lt;20,1,IF(Table1[[#This Row],[P/750]]&lt;50,2,3))</f>
        <v>2</v>
      </c>
      <c r="AF375" s="37">
        <f>IF(Table1[[#This Row],[P/750]]&lt;Expenses!$C$30,1,IF(Table1[[#This Row],[P/750]]&lt;Expenses!$C$31,2,IF(Table1[[#This Row],[P/750]]&lt;Expenses!$C$32,3,4)))</f>
        <v>2</v>
      </c>
      <c r="AH375" s="37" t="s">
        <v>384</v>
      </c>
      <c r="AI375" s="11">
        <f>Table1[[#This Row],[Price]]/Table1[[#This Row],[Size (ml)]]*750</f>
        <v>22</v>
      </c>
      <c r="AJ375" s="37">
        <v>94</v>
      </c>
      <c r="AK375" s="37">
        <f>COUNTIF(UniqueID!A:A,Table1[[#This Row],[ID]])</f>
        <v>1</v>
      </c>
      <c r="AL375" s="37" t="str">
        <f>VLOOKUP(Table1[[#This Row],[Cellar Location]],Location!A:F,6,FALSE)</f>
        <v>S</v>
      </c>
      <c r="AO375" s="37" t="str">
        <f>TEXT(Table1[[#This Row],[Purchased]],"mmmm")</f>
        <v>January</v>
      </c>
      <c r="AP375" s="10" t="str">
        <f>TEXT(Table1[[#This Row],[Purchased]],"yyyy")</f>
        <v>1900</v>
      </c>
      <c r="AQ375" s="10"/>
    </row>
    <row r="376" spans="1:43" s="37" customFormat="1" x14ac:dyDescent="0.25">
      <c r="A376" s="37" t="str">
        <f t="shared" si="32"/>
        <v>2016Domaine La Grangette Saint JosephGigondas la Grangette des Garrigues</v>
      </c>
      <c r="B376" s="37">
        <v>2016</v>
      </c>
      <c r="C376" s="9" t="s">
        <v>420</v>
      </c>
      <c r="D376" s="59" t="s">
        <v>421</v>
      </c>
      <c r="E376" s="69" t="s">
        <v>1225</v>
      </c>
      <c r="F376" s="37" t="s">
        <v>742</v>
      </c>
      <c r="G376" s="37" t="s">
        <v>759</v>
      </c>
      <c r="H376" s="37" t="s">
        <v>764</v>
      </c>
      <c r="I376" s="107">
        <v>1</v>
      </c>
      <c r="J376" s="37">
        <v>750</v>
      </c>
      <c r="K376" s="107" t="s">
        <v>647</v>
      </c>
      <c r="L376" s="37">
        <f>COUNTIF(Drank!A:A,Table1[[#This Row],[ID]])</f>
        <v>1</v>
      </c>
      <c r="M376" s="37" t="s">
        <v>202</v>
      </c>
      <c r="N376" s="37" t="s">
        <v>207</v>
      </c>
      <c r="O376" s="37">
        <v>1</v>
      </c>
      <c r="P376" s="37">
        <v>2018</v>
      </c>
      <c r="Q376" s="37">
        <v>2028</v>
      </c>
      <c r="R376" s="10">
        <f>IF(IFERROR(VLOOKUP(A376,Drank!A:S,15,FALSE),"")=0,"",IFERROR(VLOOKUP(A376,Drank!A:S,15,FALSE),""))</f>
        <v>2021</v>
      </c>
      <c r="S376" s="10">
        <f>IF(IFERROR(VLOOKUP(A376,Drank!A:S,16,FALSE),"")=0,"",IFERROR(VLOOKUP(A376,Drank!A:S,16,FALSE),""))</f>
        <v>2027</v>
      </c>
      <c r="T376" s="10"/>
      <c r="U376" s="37">
        <v>94</v>
      </c>
      <c r="V376" s="18">
        <f>IF(IFERROR(VLOOKUP(A376,Drank!A:T,19,FALSE),"")=0,"",IFERROR(VLOOKUP(A376,Drank!A:T,19,FALSE),""))</f>
        <v>92</v>
      </c>
      <c r="W376" s="1">
        <f>IF(IFERROR(VLOOKUP(A376,Drank!A:T,20,FALSE),"")=0,"",IFERROR(VLOOKUP(A376,Drank!A:T,20,FALSE),""))</f>
        <v>43834</v>
      </c>
      <c r="X376" s="10">
        <f>SUMIF(A:A,A376,I:I)</f>
        <v>11</v>
      </c>
      <c r="Y376" s="37">
        <f>IF(Table1[[#This Row],[Drank]]&gt;0,VLOOKUP(Table1[[#This Row],[ID]],Drank!A:P,16,FALSE),IF(Table1[[#This Row],[WALDD]]&gt;0,VLOOKUP(Table1[[#This Row],[ID]],Wine1!A:Q,17,FALSE),Table1[[#This Row],[EP]]))</f>
        <v>2027</v>
      </c>
      <c r="Z376" s="18">
        <f>IF(Table1[[#This Row],[My Rating]]="",IF(Table1[[#This Row],[WA Rating Clean]]="","",Table1[[#This Row],[WA Rating Clean]]),Table1[[#This Row],[My Rating]])</f>
        <v>92</v>
      </c>
      <c r="AA376" s="37">
        <v>2022</v>
      </c>
      <c r="AB376" s="128">
        <v>23</v>
      </c>
      <c r="AC376" s="2">
        <f t="shared" si="33"/>
        <v>23</v>
      </c>
      <c r="AD376" s="8">
        <v>2</v>
      </c>
      <c r="AE376" s="37">
        <f>IF(Table1[[#This Row],[P/750]]&lt;20,1,IF(Table1[[#This Row],[P/750]]&lt;50,2,3))</f>
        <v>2</v>
      </c>
      <c r="AF376" s="37">
        <f>IF(Table1[[#This Row],[P/750]]&lt;Expenses!$C$30,1,IF(Table1[[#This Row],[P/750]]&lt;Expenses!$C$31,2,IF(Table1[[#This Row],[P/750]]&lt;Expenses!$C$32,3,4)))</f>
        <v>2</v>
      </c>
      <c r="AH376" s="37" t="s">
        <v>384</v>
      </c>
      <c r="AI376" s="11">
        <f>Table1[[#This Row],[Price]]/Table1[[#This Row],[Size (ml)]]*750</f>
        <v>23</v>
      </c>
      <c r="AJ376" s="37">
        <v>94</v>
      </c>
      <c r="AK376" s="37">
        <f>COUNTIF(UniqueID!A:A,Table1[[#This Row],[ID]])</f>
        <v>1</v>
      </c>
      <c r="AL376" s="37" t="str">
        <f>VLOOKUP(Table1[[#This Row],[Cellar Location]],Location!A:F,6,FALSE)</f>
        <v>S</v>
      </c>
      <c r="AO376" s="37" t="str">
        <f>TEXT(Table1[[#This Row],[Purchased]],"mmmm")</f>
        <v>January</v>
      </c>
      <c r="AP376" s="10" t="str">
        <f>TEXT(Table1[[#This Row],[Purchased]],"yyyy")</f>
        <v>1900</v>
      </c>
      <c r="AQ376" s="10"/>
    </row>
    <row r="377" spans="1:43" s="37" customFormat="1" x14ac:dyDescent="0.25">
      <c r="A377" s="37" t="str">
        <f t="shared" si="32"/>
        <v>2009MasiAmarone della Valpolicella Classico Serego Alighieri Vaio Armaron</v>
      </c>
      <c r="B377" s="37">
        <v>2009</v>
      </c>
      <c r="C377" s="9" t="s">
        <v>37</v>
      </c>
      <c r="D377" s="9" t="s">
        <v>38</v>
      </c>
      <c r="E377" s="64" t="s">
        <v>313</v>
      </c>
      <c r="F377" s="37" t="s">
        <v>728</v>
      </c>
      <c r="G377" s="37" t="s">
        <v>799</v>
      </c>
      <c r="H377" s="37" t="s">
        <v>800</v>
      </c>
      <c r="I377" s="37">
        <v>1</v>
      </c>
      <c r="J377" s="37">
        <v>750</v>
      </c>
      <c r="K377" s="8" t="s">
        <v>11</v>
      </c>
      <c r="L377" s="37">
        <f>COUNTIF(Drank!A:A,Table1[[#This Row],[ID]])</f>
        <v>0</v>
      </c>
      <c r="M377" s="37" t="s">
        <v>202</v>
      </c>
      <c r="N377" s="37" t="s">
        <v>207</v>
      </c>
      <c r="O377" s="37">
        <v>0</v>
      </c>
      <c r="R377" s="37" t="str">
        <f>IF(IFERROR(VLOOKUP(A377,Drank!A:S,15,FALSE),"")=0,"",IFERROR(VLOOKUP(A377,Drank!A:S,15,FALSE),""))</f>
        <v/>
      </c>
      <c r="S377" s="37" t="str">
        <f>IF(IFERROR(VLOOKUP(A377,Drank!A:S,16,FALSE),"")=0,"",IFERROR(VLOOKUP(A377,Drank!A:S,16,FALSE),""))</f>
        <v/>
      </c>
      <c r="T377" s="37">
        <v>2027</v>
      </c>
      <c r="V377" s="18" t="str">
        <f>IF(IFERROR(VLOOKUP(A377,Drank!A:T,19,FALSE),"")=0,"",IFERROR(VLOOKUP(A377,Drank!A:T,19,FALSE),""))</f>
        <v/>
      </c>
      <c r="W377" s="1" t="str">
        <f>IF(IFERROR(VLOOKUP(A377,Drank!A:T,20,FALSE),"")=0,"",IFERROR(VLOOKUP(A377,Drank!A:T,20,FALSE),""))</f>
        <v/>
      </c>
      <c r="X377" s="37">
        <f>SUMIF(A:A,A377,I:I)</f>
        <v>1</v>
      </c>
      <c r="Y377" s="37">
        <f>IF(Table1[[#This Row],[Drank]]&gt;0,VLOOKUP(Table1[[#This Row],[ID]],Drank!A:P,16,FALSE),IF(Table1[[#This Row],[WALDD]]&gt;0,VLOOKUP(Table1[[#This Row],[ID]],Wine1!A:Q,17,FALSE),Table1[[#This Row],[EP]]))</f>
        <v>2027</v>
      </c>
      <c r="Z377" s="18" t="str">
        <f>IF(Table1[[#This Row],[My Rating]]="",IF(Table1[[#This Row],[WA Rating Clean]]="","",Table1[[#This Row],[WA Rating Clean]]),Table1[[#This Row],[My Rating]])</f>
        <v/>
      </c>
      <c r="AA377" s="37">
        <v>2022</v>
      </c>
      <c r="AB377" s="134">
        <v>72</v>
      </c>
      <c r="AC377" s="2">
        <f t="shared" si="33"/>
        <v>72</v>
      </c>
      <c r="AD377" s="8">
        <v>0</v>
      </c>
      <c r="AE377" s="37">
        <f>IF(Table1[[#This Row],[P/750]]&lt;20,1,IF(Table1[[#This Row],[P/750]]&lt;50,2,3))</f>
        <v>3</v>
      </c>
      <c r="AF377" s="37">
        <f>IF(Table1[[#This Row],[P/750]]&lt;Expenses!$C$30,1,IF(Table1[[#This Row],[P/750]]&lt;Expenses!$C$31,2,IF(Table1[[#This Row],[P/750]]&lt;Expenses!$C$32,3,4)))</f>
        <v>4</v>
      </c>
      <c r="AH377" s="37" t="s">
        <v>1131</v>
      </c>
      <c r="AI377" s="11">
        <f>Table1[[#This Row],[Price]]/Table1[[#This Row],[Size (ml)]]*750</f>
        <v>72</v>
      </c>
      <c r="AK377" s="37">
        <f>COUNTIF(UniqueID!A:A,Table1[[#This Row],[ID]])</f>
        <v>1</v>
      </c>
      <c r="AL377" s="37" t="str">
        <f>VLOOKUP(Table1[[#This Row],[Cellar Location]],Location!A:F,6,FALSE)</f>
        <v>K</v>
      </c>
      <c r="AO377" s="37" t="str">
        <f>TEXT(Table1[[#This Row],[Purchased]],"mmmm")</f>
        <v>January</v>
      </c>
      <c r="AP377" s="10" t="str">
        <f>TEXT(Table1[[#This Row],[Purchased]],"yyyy")</f>
        <v>1900</v>
      </c>
      <c r="AQ377" s="10"/>
    </row>
    <row r="378" spans="1:43" s="37" customFormat="1" x14ac:dyDescent="0.25">
      <c r="A378" s="37" t="str">
        <f t="shared" si="32"/>
        <v>2015Hacienda MonasterioRibera del Duero</v>
      </c>
      <c r="B378" s="37">
        <v>2015</v>
      </c>
      <c r="C378" s="37" t="s">
        <v>107</v>
      </c>
      <c r="D378" s="9" t="s">
        <v>1457</v>
      </c>
      <c r="E378" s="66" t="s">
        <v>1793</v>
      </c>
      <c r="F378" s="37" t="s">
        <v>729</v>
      </c>
      <c r="G378" s="37" t="s">
        <v>1718</v>
      </c>
      <c r="H378" s="37" t="s">
        <v>818</v>
      </c>
      <c r="I378" s="37">
        <v>1</v>
      </c>
      <c r="J378" s="38">
        <v>750</v>
      </c>
      <c r="K378" s="38" t="s">
        <v>1526</v>
      </c>
      <c r="L378" s="10">
        <f>COUNTIF(Drank!A:A,Table1[[#This Row],[ID]])</f>
        <v>0</v>
      </c>
      <c r="M378" s="37" t="s">
        <v>202</v>
      </c>
      <c r="N378" s="37" t="s">
        <v>207</v>
      </c>
      <c r="O378" s="37">
        <v>1</v>
      </c>
      <c r="P378" s="37">
        <v>2018</v>
      </c>
      <c r="Q378" s="37">
        <v>2028</v>
      </c>
      <c r="R378" s="10" t="str">
        <f>IF(IFERROR(VLOOKUP(A378,Drank!A:S,15,FALSE),"")=0,"",IFERROR(VLOOKUP(A378,Drank!A:S,15,FALSE),""))</f>
        <v/>
      </c>
      <c r="S378" s="10" t="str">
        <f>IF(IFERROR(VLOOKUP(A378,Drank!A:S,16,FALSE),"")=0,"",IFERROR(VLOOKUP(A378,Drank!A:S,16,FALSE),""))</f>
        <v/>
      </c>
      <c r="T378" s="10"/>
      <c r="U378" s="37">
        <v>94</v>
      </c>
      <c r="V378" s="18" t="str">
        <f>IF(IFERROR(VLOOKUP(A378,Drank!A:T,19,FALSE),"")=0,"",IFERROR(VLOOKUP(A378,Drank!A:T,19,FALSE),""))</f>
        <v/>
      </c>
      <c r="W378" s="1" t="str">
        <f>IF(IFERROR(VLOOKUP(A378,Drank!A:T,20,FALSE),"")=0,"",IFERROR(VLOOKUP(A378,Drank!A:T,20,FALSE),""))</f>
        <v/>
      </c>
      <c r="X378" s="10">
        <f>SUMIF(A:A,A378,I:I)</f>
        <v>3</v>
      </c>
      <c r="Y378" s="10">
        <f>IF(Table1[[#This Row],[Drank]]&gt;0,VLOOKUP(Table1[[#This Row],[ID]],Drank!A:P,16,FALSE),IF(Table1[[#This Row],[WALDD]]&gt;0,VLOOKUP(Table1[[#This Row],[ID]],Wine1!A:Q,17,FALSE),Table1[[#This Row],[EP]]))</f>
        <v>2028</v>
      </c>
      <c r="Z378" s="18">
        <f>IF(Table1[[#This Row],[My Rating]]="",IF(Table1[[#This Row],[WA Rating Clean]]="","",Table1[[#This Row],[WA Rating Clean]]),Table1[[#This Row],[My Rating]])</f>
        <v>94</v>
      </c>
      <c r="AA378" s="37">
        <v>2022</v>
      </c>
      <c r="AB378" s="128">
        <v>49.52</v>
      </c>
      <c r="AC378" s="2">
        <f t="shared" si="33"/>
        <v>49.52</v>
      </c>
      <c r="AD378" s="8">
        <v>1</v>
      </c>
      <c r="AE378" s="10">
        <f>IF(Table1[[#This Row],[P/750]]&lt;20,1,IF(Table1[[#This Row],[P/750]]&lt;50,2,3))</f>
        <v>2</v>
      </c>
      <c r="AF378" s="10">
        <f>IF(Table1[[#This Row],[P/750]]&lt;Expenses!$C$30,1,IF(Table1[[#This Row],[P/750]]&lt;Expenses!$C$31,2,IF(Table1[[#This Row],[P/750]]&lt;Expenses!$C$32,3,4)))</f>
        <v>3</v>
      </c>
      <c r="AH378" s="37" t="s">
        <v>1478</v>
      </c>
      <c r="AI378" s="11">
        <f>Table1[[#This Row],[Price]]/Table1[[#This Row],[Size (ml)]]*750</f>
        <v>49.519999999999996</v>
      </c>
      <c r="AJ378" s="37">
        <v>94</v>
      </c>
      <c r="AK378" s="10">
        <f>COUNTIF(UniqueID!A:A,Table1[[#This Row],[ID]])</f>
        <v>0</v>
      </c>
      <c r="AL378" s="10" t="str">
        <f>VLOOKUP(Table1[[#This Row],[Cellar Location]],Location!A:F,6,FALSE)</f>
        <v>W</v>
      </c>
      <c r="AN378" s="1">
        <v>44064</v>
      </c>
      <c r="AO378" s="10" t="str">
        <f>TEXT(Table1[[#This Row],[Purchased]],"mmmm")</f>
        <v>August</v>
      </c>
      <c r="AP378" s="10" t="str">
        <f>TEXT(Table1[[#This Row],[Purchased]],"yyyy")</f>
        <v>2020</v>
      </c>
      <c r="AQ378" s="1">
        <v>44114</v>
      </c>
    </row>
    <row r="379" spans="1:43" s="37" customFormat="1" x14ac:dyDescent="0.25">
      <c r="A379" s="37" t="str">
        <f t="shared" si="32"/>
        <v>2016Yves CheronGigondas La Grand Comtadine Heritiers Cheron-Misset</v>
      </c>
      <c r="B379" s="37">
        <v>2016</v>
      </c>
      <c r="C379" s="9" t="s">
        <v>413</v>
      </c>
      <c r="D379" s="30" t="s">
        <v>414</v>
      </c>
      <c r="E379" s="67" t="s">
        <v>1249</v>
      </c>
      <c r="F379" s="37" t="s">
        <v>742</v>
      </c>
      <c r="G379" s="37" t="s">
        <v>759</v>
      </c>
      <c r="H379" s="37" t="s">
        <v>764</v>
      </c>
      <c r="I379" s="107">
        <v>1</v>
      </c>
      <c r="J379" s="9">
        <v>750</v>
      </c>
      <c r="K379" s="107" t="s">
        <v>645</v>
      </c>
      <c r="L379" s="37">
        <f>COUNTIF(Drank!A:A,Table1[[#This Row],[ID]])</f>
        <v>1</v>
      </c>
      <c r="M379" s="37" t="s">
        <v>202</v>
      </c>
      <c r="N379" s="37" t="s">
        <v>207</v>
      </c>
      <c r="O379" s="37">
        <v>1</v>
      </c>
      <c r="P379" s="37">
        <v>2018</v>
      </c>
      <c r="Q379" s="37">
        <v>2028</v>
      </c>
      <c r="R379" s="10">
        <f>IF(IFERROR(VLOOKUP(A379,Drank!A:S,15,FALSE),"")=0,"",IFERROR(VLOOKUP(A379,Drank!A:S,15,FALSE),""))</f>
        <v>2022</v>
      </c>
      <c r="S379" s="10">
        <f>IF(IFERROR(VLOOKUP(A379,Drank!A:S,16,FALSE),"")=0,"",IFERROR(VLOOKUP(A379,Drank!A:S,16,FALSE),""))</f>
        <v>2028</v>
      </c>
      <c r="T379" s="10"/>
      <c r="U379" s="37">
        <v>93</v>
      </c>
      <c r="V379" s="18">
        <f>IF(IFERROR(VLOOKUP(A379,Drank!A:T,19,FALSE),"")=0,"",IFERROR(VLOOKUP(A379,Drank!A:T,19,FALSE),""))</f>
        <v>92</v>
      </c>
      <c r="W379" s="1">
        <f>IF(IFERROR(VLOOKUP(A379,Drank!A:T,20,FALSE),"")=0,"",IFERROR(VLOOKUP(A379,Drank!A:T,20,FALSE),""))</f>
        <v>43897</v>
      </c>
      <c r="X379" s="10">
        <f>SUMIF(A:A,A379,I:I)</f>
        <v>5</v>
      </c>
      <c r="Y379" s="37">
        <f>IF(Table1[[#This Row],[Drank]]&gt;0,VLOOKUP(Table1[[#This Row],[ID]],Drank!A:P,16,FALSE),IF(Table1[[#This Row],[WALDD]]&gt;0,VLOOKUP(Table1[[#This Row],[ID]],Wine1!A:Q,17,FALSE),Table1[[#This Row],[EP]]))</f>
        <v>2028</v>
      </c>
      <c r="Z379" s="18">
        <f>IF(Table1[[#This Row],[My Rating]]="",IF(Table1[[#This Row],[WA Rating Clean]]="","",Table1[[#This Row],[WA Rating Clean]]),Table1[[#This Row],[My Rating]])</f>
        <v>92</v>
      </c>
      <c r="AA379" s="37">
        <v>2022</v>
      </c>
      <c r="AB379" s="128">
        <v>23</v>
      </c>
      <c r="AC379" s="2">
        <f t="shared" si="33"/>
        <v>23</v>
      </c>
      <c r="AD379" s="8">
        <v>2</v>
      </c>
      <c r="AE379" s="37">
        <f>IF(Table1[[#This Row],[P/750]]&lt;20,1,IF(Table1[[#This Row],[P/750]]&lt;50,2,3))</f>
        <v>2</v>
      </c>
      <c r="AF379" s="37">
        <f>IF(Table1[[#This Row],[P/750]]&lt;Expenses!$C$30,1,IF(Table1[[#This Row],[P/750]]&lt;Expenses!$C$31,2,IF(Table1[[#This Row],[P/750]]&lt;Expenses!$C$32,3,4)))</f>
        <v>2</v>
      </c>
      <c r="AH379" s="37" t="s">
        <v>384</v>
      </c>
      <c r="AI379" s="11">
        <f>Table1[[#This Row],[Price]]/Table1[[#This Row],[Size (ml)]]*750</f>
        <v>23</v>
      </c>
      <c r="AJ379" s="37">
        <v>93</v>
      </c>
      <c r="AK379" s="37">
        <f>COUNTIF(UniqueID!A:A,Table1[[#This Row],[ID]])</f>
        <v>1</v>
      </c>
      <c r="AL379" s="37" t="str">
        <f>VLOOKUP(Table1[[#This Row],[Cellar Location]],Location!A:F,6,FALSE)</f>
        <v>S</v>
      </c>
      <c r="AO379" s="37" t="str">
        <f>TEXT(Table1[[#This Row],[Purchased]],"mmmm")</f>
        <v>January</v>
      </c>
      <c r="AP379" s="10" t="str">
        <f>TEXT(Table1[[#This Row],[Purchased]],"yyyy")</f>
        <v>1900</v>
      </c>
      <c r="AQ379" s="10"/>
    </row>
    <row r="380" spans="1:43" s="37" customFormat="1" x14ac:dyDescent="0.25">
      <c r="A380" s="37" t="str">
        <f t="shared" si="32"/>
        <v>2008Tua RitaGiusto di Notri</v>
      </c>
      <c r="B380" s="37">
        <v>2008</v>
      </c>
      <c r="C380" s="37" t="s">
        <v>859</v>
      </c>
      <c r="D380" s="37" t="s">
        <v>860</v>
      </c>
      <c r="E380" s="67" t="s">
        <v>1563</v>
      </c>
      <c r="F380" s="37" t="s">
        <v>728</v>
      </c>
      <c r="G380" s="37" t="s">
        <v>790</v>
      </c>
      <c r="H380" s="37" t="s">
        <v>796</v>
      </c>
      <c r="I380" s="8">
        <v>1</v>
      </c>
      <c r="J380" s="38">
        <v>750</v>
      </c>
      <c r="K380" s="38" t="s">
        <v>1564</v>
      </c>
      <c r="L380" s="10">
        <f>COUNTIF(Drank!A:A,Table1[[#This Row],[ID]])</f>
        <v>0</v>
      </c>
      <c r="M380" s="37" t="s">
        <v>202</v>
      </c>
      <c r="N380" s="37" t="s">
        <v>207</v>
      </c>
      <c r="O380" s="37">
        <v>1</v>
      </c>
      <c r="P380" s="10">
        <v>2016</v>
      </c>
      <c r="Q380" s="37">
        <v>2028</v>
      </c>
      <c r="R380" s="10" t="str">
        <f>IF(IFERROR(VLOOKUP(A380,Drank!A:S,15,FALSE),"")=0,"",IFERROR(VLOOKUP(A380,Drank!A:S,15,FALSE),""))</f>
        <v/>
      </c>
      <c r="S380" s="10" t="str">
        <f>IF(IFERROR(VLOOKUP(A380,Drank!A:S,16,FALSE),"")=0,"",IFERROR(VLOOKUP(A380,Drank!A:S,16,FALSE),""))</f>
        <v/>
      </c>
      <c r="T380" s="10"/>
      <c r="U380" s="37">
        <v>94</v>
      </c>
      <c r="V380" s="18" t="str">
        <f>IF(IFERROR(VLOOKUP(A380,Drank!A:T,19,FALSE),"")=0,"",IFERROR(VLOOKUP(A380,Drank!A:T,19,FALSE),""))</f>
        <v/>
      </c>
      <c r="W380" s="1" t="str">
        <f>IF(IFERROR(VLOOKUP(A380,Drank!A:T,20,FALSE),"")=0,"",IFERROR(VLOOKUP(A380,Drank!A:T,20,FALSE),""))</f>
        <v/>
      </c>
      <c r="X380" s="10">
        <f>SUMIF(A:A,A380,I:I)</f>
        <v>12</v>
      </c>
      <c r="Y380" s="10">
        <f>IF(Table1[[#This Row],[Drank]]&gt;0,VLOOKUP(Table1[[#This Row],[ID]],Drank!A:P,16,FALSE),IF(Table1[[#This Row],[WALDD]]&gt;0,VLOOKUP(Table1[[#This Row],[ID]],Wine1!A:Q,17,FALSE),Table1[[#This Row],[EP]]))</f>
        <v>2028</v>
      </c>
      <c r="Z380" s="18">
        <f>IF(Table1[[#This Row],[My Rating]]="",IF(Table1[[#This Row],[WA Rating Clean]]="","",Table1[[#This Row],[WA Rating Clean]]),Table1[[#This Row],[My Rating]])</f>
        <v>94</v>
      </c>
      <c r="AA380" s="37">
        <v>2022</v>
      </c>
      <c r="AB380" s="128">
        <v>54.41</v>
      </c>
      <c r="AC380" s="2">
        <f t="shared" si="33"/>
        <v>54.41</v>
      </c>
      <c r="AD380" s="8">
        <v>1</v>
      </c>
      <c r="AE380" s="10">
        <f>IF(Table1[[#This Row],[P/750]]&lt;20,1,IF(Table1[[#This Row],[P/750]]&lt;50,2,3))</f>
        <v>3</v>
      </c>
      <c r="AF380" s="10">
        <f>IF(Table1[[#This Row],[P/750]]&lt;Expenses!$C$30,1,IF(Table1[[#This Row],[P/750]]&lt;Expenses!$C$31,2,IF(Table1[[#This Row],[P/750]]&lt;Expenses!$C$32,3,4)))</f>
        <v>3</v>
      </c>
      <c r="AH380" s="37" t="s">
        <v>1564</v>
      </c>
      <c r="AI380" s="11">
        <f>Table1[[#This Row],[Price]]/Table1[[#This Row],[Size (ml)]]*750</f>
        <v>54.41</v>
      </c>
      <c r="AJ380" s="37">
        <v>94</v>
      </c>
      <c r="AK380" s="10">
        <f>COUNTIF(UniqueID!A:A,Table1[[#This Row],[ID]])</f>
        <v>0</v>
      </c>
      <c r="AL380" s="10" t="str">
        <f>VLOOKUP(Table1[[#This Row],[Cellar Location]],Location!A:F,6,FALSE)</f>
        <v>W</v>
      </c>
      <c r="AN380" s="1">
        <v>44045</v>
      </c>
      <c r="AO380" s="10" t="str">
        <f>TEXT(Table1[[#This Row],[Purchased]],"mmmm")</f>
        <v>August</v>
      </c>
      <c r="AP380" s="10" t="str">
        <f>TEXT(Table1[[#This Row],[Purchased]],"yyyy")</f>
        <v>2020</v>
      </c>
      <c r="AQ380" s="1">
        <v>44094</v>
      </c>
    </row>
    <row r="381" spans="1:43" x14ac:dyDescent="0.25">
      <c r="A381" t="str">
        <f t="shared" si="32"/>
        <v>2015PalaEssentija</v>
      </c>
      <c r="B381" s="8">
        <v>2015</v>
      </c>
      <c r="C381" s="8" t="s">
        <v>1825</v>
      </c>
      <c r="D381" s="19" t="s">
        <v>1827</v>
      </c>
      <c r="E381" s="63" t="s">
        <v>1824</v>
      </c>
      <c r="F381" s="37" t="s">
        <v>728</v>
      </c>
      <c r="G381" s="37" t="s">
        <v>787</v>
      </c>
      <c r="H381" s="37" t="s">
        <v>1826</v>
      </c>
      <c r="I381" s="37">
        <v>1</v>
      </c>
      <c r="J381" s="38">
        <v>750</v>
      </c>
      <c r="K381" s="38" t="s">
        <v>1572</v>
      </c>
      <c r="L381" s="10">
        <f>COUNTIF(Drank!A:A,Table1[[#This Row],[ID]])</f>
        <v>0</v>
      </c>
      <c r="M381" t="s">
        <v>202</v>
      </c>
      <c r="N381" t="s">
        <v>207</v>
      </c>
      <c r="O381">
        <v>0</v>
      </c>
      <c r="P381" s="10"/>
      <c r="R381" s="10" t="str">
        <f>IF(IFERROR(VLOOKUP(A381,Drank!A:S,15,FALSE),"")=0,"",IFERROR(VLOOKUP(A381,Drank!A:S,15,FALSE),""))</f>
        <v/>
      </c>
      <c r="S381" s="10" t="str">
        <f>IF(IFERROR(VLOOKUP(A381,Drank!A:S,16,FALSE),"")=0,"",IFERROR(VLOOKUP(A381,Drank!A:S,16,FALSE),""))</f>
        <v/>
      </c>
      <c r="T381" s="10">
        <v>2028</v>
      </c>
      <c r="V381" s="18" t="str">
        <f>IF(IFERROR(VLOOKUP(A381,Drank!A:T,19,FALSE),"")=0,"",IFERROR(VLOOKUP(A381,Drank!A:T,19,FALSE),""))</f>
        <v/>
      </c>
      <c r="W381" s="1" t="str">
        <f>IF(IFERROR(VLOOKUP(A381,Drank!A:T,20,FALSE),"")=0,"",IFERROR(VLOOKUP(A381,Drank!A:T,20,FALSE),""))</f>
        <v/>
      </c>
      <c r="X381" s="10">
        <f>SUMIF(A:A,A381,I:I)</f>
        <v>5</v>
      </c>
      <c r="Y381" s="10">
        <f>IF(Table1[[#This Row],[Drank]]&gt;0,VLOOKUP(Table1[[#This Row],[ID]],Drank!A:P,16,FALSE),IF(Table1[[#This Row],[WALDD]]&gt;0,VLOOKUP(Table1[[#This Row],[ID]],Wine1!A:Q,17,FALSE),Table1[[#This Row],[EP]]))</f>
        <v>2028</v>
      </c>
      <c r="Z381" s="18" t="str">
        <f>IF(Table1[[#This Row],[My Rating]]="",IF(Table1[[#This Row],[WA Rating Clean]]="","",Table1[[#This Row],[WA Rating Clean]]),Table1[[#This Row],[My Rating]])</f>
        <v/>
      </c>
      <c r="AA381" s="37">
        <v>2022</v>
      </c>
      <c r="AB381" s="128">
        <v>26.8</v>
      </c>
      <c r="AC381" s="2">
        <f t="shared" si="33"/>
        <v>26.8</v>
      </c>
      <c r="AD381" s="8"/>
      <c r="AE381" s="10">
        <f>IF(Table1[[#This Row],[P/750]]&lt;20,1,IF(Table1[[#This Row],[P/750]]&lt;50,2,3))</f>
        <v>2</v>
      </c>
      <c r="AF381" s="10">
        <f>IF(Table1[[#This Row],[P/750]]&lt;Expenses!$C$30,1,IF(Table1[[#This Row],[P/750]]&lt;Expenses!$C$31,2,IF(Table1[[#This Row],[P/750]]&lt;Expenses!$C$32,3,4)))</f>
        <v>2</v>
      </c>
      <c r="AH381" s="25" t="s">
        <v>1572</v>
      </c>
      <c r="AI381" s="11">
        <f>Table1[[#This Row],[Price]]/Table1[[#This Row],[Size (ml)]]*750</f>
        <v>26.8</v>
      </c>
      <c r="AK381" s="10">
        <f>COUNTIF(UniqueID!A:A,Table1[[#This Row],[ID]])</f>
        <v>0</v>
      </c>
      <c r="AL381" s="10" t="str">
        <f>VLOOKUP(Table1[[#This Row],[Cellar Location]],Location!A:F,6,FALSE)</f>
        <v>W</v>
      </c>
      <c r="AN381" s="1">
        <v>44068</v>
      </c>
      <c r="AO381" s="10" t="str">
        <f>TEXT(Table1[[#This Row],[Purchased]],"mmmm")</f>
        <v>August</v>
      </c>
      <c r="AP381" s="10" t="str">
        <f>TEXT(Table1[[#This Row],[Purchased]],"yyyy")</f>
        <v>2020</v>
      </c>
      <c r="AQ381" s="1">
        <v>44114</v>
      </c>
    </row>
    <row r="382" spans="1:43" x14ac:dyDescent="0.25">
      <c r="A382" t="str">
        <f t="shared" si="32"/>
        <v>2017Richard RottiersMoulin-Ã -Vent Foudres</v>
      </c>
      <c r="B382" s="37">
        <v>2017</v>
      </c>
      <c r="C382" s="37" t="s">
        <v>445</v>
      </c>
      <c r="D382" s="37" t="s">
        <v>446</v>
      </c>
      <c r="E382" s="69" t="s">
        <v>336</v>
      </c>
      <c r="F382" s="37" t="s">
        <v>742</v>
      </c>
      <c r="G382" s="37" t="s">
        <v>745</v>
      </c>
      <c r="H382" s="37" t="s">
        <v>746</v>
      </c>
      <c r="I382" s="107">
        <v>1</v>
      </c>
      <c r="J382">
        <v>750</v>
      </c>
      <c r="K382" s="107" t="s">
        <v>643</v>
      </c>
      <c r="L382" s="10">
        <f>COUNTIF(Drank!A:A,Table1[[#This Row],[ID]])</f>
        <v>2</v>
      </c>
      <c r="M382" t="s">
        <v>202</v>
      </c>
      <c r="N382" t="s">
        <v>207</v>
      </c>
      <c r="O382">
        <v>1</v>
      </c>
      <c r="P382" s="10">
        <v>2019</v>
      </c>
      <c r="Q382">
        <v>2029</v>
      </c>
      <c r="R382" s="10">
        <f>IF(IFERROR(VLOOKUP(A382,Drank!A:S,15,FALSE),"")=0,"",IFERROR(VLOOKUP(A382,Drank!A:S,15,FALSE),""))</f>
        <v>2021</v>
      </c>
      <c r="S382" s="10">
        <f>IF(IFERROR(VLOOKUP(A382,Drank!A:S,16,FALSE),"")=0,"",IFERROR(VLOOKUP(A382,Drank!A:S,16,FALSE),""))</f>
        <v>2029</v>
      </c>
      <c r="T382" s="10"/>
      <c r="U382">
        <v>92</v>
      </c>
      <c r="V382" s="18">
        <f>IF(IFERROR(VLOOKUP(A382,Drank!A:T,19,FALSE),"")=0,"",IFERROR(VLOOKUP(A382,Drank!A:T,19,FALSE),""))</f>
        <v>90</v>
      </c>
      <c r="W382" s="1">
        <f>IF(IFERROR(VLOOKUP(A382,Drank!A:T,20,FALSE),"")=0,"",IFERROR(VLOOKUP(A382,Drank!A:T,20,FALSE),""))</f>
        <v>43835</v>
      </c>
      <c r="X382" s="10">
        <f>SUMIF(A:A,A382,I:I)</f>
        <v>10</v>
      </c>
      <c r="Y382" s="10">
        <f>IF(Table1[[#This Row],[Drank]]&gt;0,VLOOKUP(Table1[[#This Row],[ID]],Drank!A:P,16,FALSE),IF(Table1[[#This Row],[WALDD]]&gt;0,VLOOKUP(Table1[[#This Row],[ID]],Wine1!A:Q,17,FALSE),Table1[[#This Row],[EP]]))</f>
        <v>2029</v>
      </c>
      <c r="Z382" s="18">
        <f>IF(Table1[[#This Row],[My Rating]]="",IF(Table1[[#This Row],[WA Rating Clean]]="","",Table1[[#This Row],[WA Rating Clean]]),Table1[[#This Row],[My Rating]])</f>
        <v>90</v>
      </c>
      <c r="AA382" s="37">
        <v>2022</v>
      </c>
      <c r="AB382" s="128">
        <v>14.99</v>
      </c>
      <c r="AC382" s="2">
        <f t="shared" si="33"/>
        <v>14.99</v>
      </c>
      <c r="AD382" s="8">
        <v>2</v>
      </c>
      <c r="AE382" s="10">
        <f>IF(Table1[[#This Row],[P/750]]&lt;20,1,IF(Table1[[#This Row],[P/750]]&lt;50,2,3))</f>
        <v>1</v>
      </c>
      <c r="AF382" s="10">
        <f>IF(Table1[[#This Row],[P/750]]&lt;Expenses!$C$30,1,IF(Table1[[#This Row],[P/750]]&lt;Expenses!$C$31,2,IF(Table1[[#This Row],[P/750]]&lt;Expenses!$C$32,3,4)))</f>
        <v>1</v>
      </c>
      <c r="AH382" s="37" t="s">
        <v>384</v>
      </c>
      <c r="AI382" s="11">
        <f>Table1[[#This Row],[Price]]/Table1[[#This Row],[Size (ml)]]*750</f>
        <v>14.99</v>
      </c>
      <c r="AJ382">
        <v>92</v>
      </c>
      <c r="AK382" s="37">
        <f>COUNTIF(UniqueID!A:A,Table1[[#This Row],[ID]])</f>
        <v>1</v>
      </c>
      <c r="AL382" s="37" t="str">
        <f>VLOOKUP(Table1[[#This Row],[Cellar Location]],Location!A:F,6,FALSE)</f>
        <v>S</v>
      </c>
      <c r="AN382" s="37"/>
      <c r="AO382" s="37" t="str">
        <f>TEXT(Table1[[#This Row],[Purchased]],"mmmm")</f>
        <v>January</v>
      </c>
      <c r="AP382" s="10" t="str">
        <f>TEXT(Table1[[#This Row],[Purchased]],"yyyy")</f>
        <v>1900</v>
      </c>
      <c r="AQ382" s="10"/>
    </row>
    <row r="383" spans="1:43" x14ac:dyDescent="0.25">
      <c r="A383" t="str">
        <f t="shared" si="32"/>
        <v>2017Altos Las HormigasMalbec Appellation Gualtallary</v>
      </c>
      <c r="B383" s="37">
        <v>2017</v>
      </c>
      <c r="C383" s="37" t="s">
        <v>232</v>
      </c>
      <c r="D383" s="9" t="s">
        <v>233</v>
      </c>
      <c r="E383" s="67" t="s">
        <v>1207</v>
      </c>
      <c r="F383" s="37" t="s">
        <v>731</v>
      </c>
      <c r="G383" s="37" t="s">
        <v>732</v>
      </c>
      <c r="H383" s="37" t="s">
        <v>1190</v>
      </c>
      <c r="I383" s="8">
        <v>1</v>
      </c>
      <c r="J383" s="107">
        <v>750</v>
      </c>
      <c r="K383" s="8" t="s">
        <v>1542</v>
      </c>
      <c r="L383" s="10">
        <f>COUNTIF(Drank!A:A,Table1[[#This Row],[ID]])</f>
        <v>1</v>
      </c>
      <c r="M383" t="s">
        <v>202</v>
      </c>
      <c r="N383" t="s">
        <v>207</v>
      </c>
      <c r="O383">
        <v>1</v>
      </c>
      <c r="P383" s="10">
        <v>2019</v>
      </c>
      <c r="Q383" s="37">
        <v>2030</v>
      </c>
      <c r="R383" s="10">
        <f>IF(IFERROR(VLOOKUP(A383,Drank!A:S,15,FALSE),"")=0,"",IFERROR(VLOOKUP(A383,Drank!A:S,15,FALSE),""))</f>
        <v>2022</v>
      </c>
      <c r="S383" s="10">
        <f>IF(IFERROR(VLOOKUP(A383,Drank!A:S,16,FALSE),"")=0,"",IFERROR(VLOOKUP(A383,Drank!A:S,16,FALSE),""))</f>
        <v>2030</v>
      </c>
      <c r="T383" s="10"/>
      <c r="U383" t="s">
        <v>1180</v>
      </c>
      <c r="V383" s="18">
        <f>IF(IFERROR(VLOOKUP(A383,Drank!A:T,19,FALSE),"")=0,"",IFERROR(VLOOKUP(A383,Drank!A:T,19,FALSE),""))</f>
        <v>94</v>
      </c>
      <c r="W383" s="1">
        <f>IF(IFERROR(VLOOKUP(A383,Drank!A:T,20,FALSE),"")=0,"",IFERROR(VLOOKUP(A383,Drank!A:T,20,FALSE),""))</f>
        <v>43953</v>
      </c>
      <c r="X383" s="10">
        <f>SUMIF(A:A,A383,I:I)</f>
        <v>38</v>
      </c>
      <c r="Y383" s="10">
        <f>IF(Table1[[#This Row],[Drank]]&gt;0,VLOOKUP(Table1[[#This Row],[ID]],Drank!A:P,16,FALSE),IF(Table1[[#This Row],[WALDD]]&gt;0,VLOOKUP(Table1[[#This Row],[ID]],Wine1!A:Q,17,FALSE),Table1[[#This Row],[EP]]))</f>
        <v>2030</v>
      </c>
      <c r="Z383" s="18">
        <f>IF(Table1[[#This Row],[My Rating]]="",IF(Table1[[#This Row],[WA Rating Clean]]="","",Table1[[#This Row],[WA Rating Clean]]),Table1[[#This Row],[My Rating]])</f>
        <v>94</v>
      </c>
      <c r="AA383" s="37">
        <v>2022</v>
      </c>
      <c r="AB383" s="128">
        <v>35.85</v>
      </c>
      <c r="AC383" s="2">
        <f t="shared" si="33"/>
        <v>35.85</v>
      </c>
      <c r="AD383" s="8">
        <v>1</v>
      </c>
      <c r="AE383" s="10">
        <f>IF(Table1[[#This Row],[P/750]]&lt;20,1,IF(Table1[[#This Row],[P/750]]&lt;50,2,3))</f>
        <v>2</v>
      </c>
      <c r="AF383" s="10">
        <f>IF(Table1[[#This Row],[P/750]]&lt;Expenses!$C$30,1,IF(Table1[[#This Row],[P/750]]&lt;Expenses!$C$31,2,IF(Table1[[#This Row],[P/750]]&lt;Expenses!$C$32,3,4)))</f>
        <v>3</v>
      </c>
      <c r="AH383" s="37" t="s">
        <v>1128</v>
      </c>
      <c r="AI383" s="11">
        <f>Table1[[#This Row],[Price]]/Table1[[#This Row],[Size (ml)]]*750</f>
        <v>35.85</v>
      </c>
      <c r="AJ383">
        <v>96</v>
      </c>
      <c r="AK383" s="10">
        <f>COUNTIF(UniqueID!A:A,Table1[[#This Row],[ID]])</f>
        <v>1</v>
      </c>
      <c r="AL383" s="10" t="str">
        <f>VLOOKUP(Table1[[#This Row],[Cellar Location]],Location!A:F,6,FALSE)</f>
        <v>S</v>
      </c>
      <c r="AN383" s="1">
        <v>44070</v>
      </c>
      <c r="AO383" s="10" t="str">
        <f>TEXT(Table1[[#This Row],[Purchased]],"mmmm")</f>
        <v>August</v>
      </c>
      <c r="AP383" s="10" t="str">
        <f>TEXT(Table1[[#This Row],[Purchased]],"yyyy")</f>
        <v>2020</v>
      </c>
      <c r="AQ383" s="1"/>
    </row>
    <row r="384" spans="1:43" x14ac:dyDescent="0.25">
      <c r="A384" t="str">
        <f t="shared" si="32"/>
        <v>2017Altos Las HormigasMalbec Appellation Gualtallary</v>
      </c>
      <c r="B384" s="37">
        <v>2017</v>
      </c>
      <c r="C384" s="37" t="s">
        <v>232</v>
      </c>
      <c r="D384" s="9" t="s">
        <v>233</v>
      </c>
      <c r="E384" s="67" t="s">
        <v>1207</v>
      </c>
      <c r="F384" s="37" t="s">
        <v>731</v>
      </c>
      <c r="G384" s="37" t="s">
        <v>732</v>
      </c>
      <c r="H384" s="37" t="s">
        <v>1190</v>
      </c>
      <c r="I384" s="8">
        <v>1</v>
      </c>
      <c r="J384" s="107">
        <v>750</v>
      </c>
      <c r="K384" s="8" t="s">
        <v>1542</v>
      </c>
      <c r="L384" s="10">
        <f>COUNTIF(Drank!A:A,Table1[[#This Row],[ID]])</f>
        <v>1</v>
      </c>
      <c r="M384" t="s">
        <v>202</v>
      </c>
      <c r="N384" t="s">
        <v>207</v>
      </c>
      <c r="O384">
        <v>1</v>
      </c>
      <c r="P384" s="10">
        <v>2019</v>
      </c>
      <c r="Q384">
        <v>2030</v>
      </c>
      <c r="R384" s="10">
        <f>IF(IFERROR(VLOOKUP(A384,Drank!A:S,15,FALSE),"")=0,"",IFERROR(VLOOKUP(A384,Drank!A:S,15,FALSE),""))</f>
        <v>2022</v>
      </c>
      <c r="S384" s="10">
        <f>IF(IFERROR(VLOOKUP(A384,Drank!A:S,16,FALSE),"")=0,"",IFERROR(VLOOKUP(A384,Drank!A:S,16,FALSE),""))</f>
        <v>2030</v>
      </c>
      <c r="T384" s="10"/>
      <c r="U384" t="s">
        <v>1180</v>
      </c>
      <c r="V384" s="18">
        <f>IF(IFERROR(VLOOKUP(A384,Drank!A:T,19,FALSE),"")=0,"",IFERROR(VLOOKUP(A384,Drank!A:T,19,FALSE),""))</f>
        <v>94</v>
      </c>
      <c r="W384" s="1">
        <f>IF(IFERROR(VLOOKUP(A384,Drank!A:T,20,FALSE),"")=0,"",IFERROR(VLOOKUP(A384,Drank!A:T,20,FALSE),""))</f>
        <v>43953</v>
      </c>
      <c r="X384" s="10">
        <f>SUMIF(A:A,A384,I:I)</f>
        <v>38</v>
      </c>
      <c r="Y384" s="10">
        <f>IF(Table1[[#This Row],[Drank]]&gt;0,VLOOKUP(Table1[[#This Row],[ID]],Drank!A:P,16,FALSE),IF(Table1[[#This Row],[WALDD]]&gt;0,VLOOKUP(Table1[[#This Row],[ID]],Wine1!A:Q,17,FALSE),Table1[[#This Row],[EP]]))</f>
        <v>2030</v>
      </c>
      <c r="Z384" s="18">
        <f>IF(Table1[[#This Row],[My Rating]]="",IF(Table1[[#This Row],[WA Rating Clean]]="","",Table1[[#This Row],[WA Rating Clean]]),Table1[[#This Row],[My Rating]])</f>
        <v>94</v>
      </c>
      <c r="AA384" s="37">
        <v>2022</v>
      </c>
      <c r="AB384" s="128">
        <v>35.85</v>
      </c>
      <c r="AC384" s="2">
        <f t="shared" si="33"/>
        <v>35.85</v>
      </c>
      <c r="AD384" s="8">
        <v>1</v>
      </c>
      <c r="AE384" s="10">
        <f>IF(Table1[[#This Row],[P/750]]&lt;20,1,IF(Table1[[#This Row],[P/750]]&lt;50,2,3))</f>
        <v>2</v>
      </c>
      <c r="AF384" s="10">
        <f>IF(Table1[[#This Row],[P/750]]&lt;Expenses!$C$30,1,IF(Table1[[#This Row],[P/750]]&lt;Expenses!$C$31,2,IF(Table1[[#This Row],[P/750]]&lt;Expenses!$C$32,3,4)))</f>
        <v>3</v>
      </c>
      <c r="AH384" s="37" t="s">
        <v>1128</v>
      </c>
      <c r="AI384" s="11">
        <f>Table1[[#This Row],[Price]]/Table1[[#This Row],[Size (ml)]]*750</f>
        <v>35.85</v>
      </c>
      <c r="AJ384">
        <v>96</v>
      </c>
      <c r="AK384" s="10">
        <f>COUNTIF(UniqueID!A:A,Table1[[#This Row],[ID]])</f>
        <v>1</v>
      </c>
      <c r="AL384" s="10" t="str">
        <f>VLOOKUP(Table1[[#This Row],[Cellar Location]],Location!A:F,6,FALSE)</f>
        <v>S</v>
      </c>
      <c r="AN384" s="1">
        <v>44070</v>
      </c>
      <c r="AO384" s="10" t="str">
        <f>TEXT(Table1[[#This Row],[Purchased]],"mmmm")</f>
        <v>August</v>
      </c>
      <c r="AP384" s="10" t="str">
        <f>TEXT(Table1[[#This Row],[Purchased]],"yyyy")</f>
        <v>2020</v>
      </c>
      <c r="AQ384" s="1"/>
    </row>
    <row r="385" spans="1:43" x14ac:dyDescent="0.25">
      <c r="A385" t="str">
        <f t="shared" si="32"/>
        <v>2017Altos Las HormigasMalbec Appellation Gualtallary</v>
      </c>
      <c r="B385" s="37">
        <v>2017</v>
      </c>
      <c r="C385" s="37" t="s">
        <v>232</v>
      </c>
      <c r="D385" s="9" t="s">
        <v>233</v>
      </c>
      <c r="E385" s="67" t="s">
        <v>1207</v>
      </c>
      <c r="F385" s="37" t="s">
        <v>731</v>
      </c>
      <c r="G385" s="37" t="s">
        <v>732</v>
      </c>
      <c r="H385" s="37" t="s">
        <v>1190</v>
      </c>
      <c r="I385" s="8">
        <v>1</v>
      </c>
      <c r="J385" s="107">
        <v>750</v>
      </c>
      <c r="K385" s="8" t="s">
        <v>1846</v>
      </c>
      <c r="L385" s="10">
        <f>COUNTIF(Drank!A:A,Table1[[#This Row],[ID]])</f>
        <v>1</v>
      </c>
      <c r="M385" t="s">
        <v>202</v>
      </c>
      <c r="N385" t="s">
        <v>207</v>
      </c>
      <c r="O385">
        <v>1</v>
      </c>
      <c r="P385" s="10">
        <v>2019</v>
      </c>
      <c r="Q385">
        <v>2030</v>
      </c>
      <c r="R385" s="10">
        <f>IF(IFERROR(VLOOKUP(A385,Drank!A:S,15,FALSE),"")=0,"",IFERROR(VLOOKUP(A385,Drank!A:S,15,FALSE),""))</f>
        <v>2022</v>
      </c>
      <c r="S385" s="10">
        <f>IF(IFERROR(VLOOKUP(A385,Drank!A:S,16,FALSE),"")=0,"",IFERROR(VLOOKUP(A385,Drank!A:S,16,FALSE),""))</f>
        <v>2030</v>
      </c>
      <c r="T385" s="10"/>
      <c r="U385" t="s">
        <v>1180</v>
      </c>
      <c r="V385" s="18">
        <f>IF(IFERROR(VLOOKUP(A385,Drank!A:T,19,FALSE),"")=0,"",IFERROR(VLOOKUP(A385,Drank!A:T,19,FALSE),""))</f>
        <v>94</v>
      </c>
      <c r="W385" s="1">
        <f>IF(IFERROR(VLOOKUP(A385,Drank!A:T,20,FALSE),"")=0,"",IFERROR(VLOOKUP(A385,Drank!A:T,20,FALSE),""))</f>
        <v>43953</v>
      </c>
      <c r="X385" s="10">
        <f>SUMIF(A:A,A385,I:I)</f>
        <v>38</v>
      </c>
      <c r="Y385" s="10">
        <f>IF(Table1[[#This Row],[Drank]]&gt;0,VLOOKUP(Table1[[#This Row],[ID]],Drank!A:P,16,FALSE),IF(Table1[[#This Row],[WALDD]]&gt;0,VLOOKUP(Table1[[#This Row],[ID]],Wine1!A:Q,17,FALSE),Table1[[#This Row],[EP]]))</f>
        <v>2030</v>
      </c>
      <c r="Z385" s="18">
        <f>IF(Table1[[#This Row],[My Rating]]="",IF(Table1[[#This Row],[WA Rating Clean]]="","",Table1[[#This Row],[WA Rating Clean]]),Table1[[#This Row],[My Rating]])</f>
        <v>94</v>
      </c>
      <c r="AA385" s="37">
        <v>2022</v>
      </c>
      <c r="AB385" s="128">
        <v>35.85</v>
      </c>
      <c r="AC385" s="2">
        <f t="shared" si="33"/>
        <v>35.85</v>
      </c>
      <c r="AD385" s="8">
        <v>1</v>
      </c>
      <c r="AE385" s="10">
        <f>IF(Table1[[#This Row],[P/750]]&lt;20,1,IF(Table1[[#This Row],[P/750]]&lt;50,2,3))</f>
        <v>2</v>
      </c>
      <c r="AF385" s="10">
        <f>IF(Table1[[#This Row],[P/750]]&lt;Expenses!$C$30,1,IF(Table1[[#This Row],[P/750]]&lt;Expenses!$C$31,2,IF(Table1[[#This Row],[P/750]]&lt;Expenses!$C$32,3,4)))</f>
        <v>3</v>
      </c>
      <c r="AH385" s="37" t="s">
        <v>1128</v>
      </c>
      <c r="AI385" s="11">
        <f>Table1[[#This Row],[Price]]/Table1[[#This Row],[Size (ml)]]*750</f>
        <v>35.85</v>
      </c>
      <c r="AJ385">
        <v>96</v>
      </c>
      <c r="AK385" s="10">
        <f>COUNTIF(UniqueID!A:A,Table1[[#This Row],[ID]])</f>
        <v>1</v>
      </c>
      <c r="AL385" s="10" t="str">
        <f>VLOOKUP(Table1[[#This Row],[Cellar Location]],Location!A:F,6,FALSE)</f>
        <v>S</v>
      </c>
      <c r="AN385" s="1">
        <v>44070</v>
      </c>
      <c r="AO385" s="10" t="str">
        <f>TEXT(Table1[[#This Row],[Purchased]],"mmmm")</f>
        <v>August</v>
      </c>
      <c r="AP385" s="10" t="str">
        <f>TEXT(Table1[[#This Row],[Purchased]],"yyyy")</f>
        <v>2020</v>
      </c>
      <c r="AQ385" s="1"/>
    </row>
    <row r="386" spans="1:43" x14ac:dyDescent="0.25">
      <c r="A386" t="str">
        <f t="shared" si="32"/>
        <v>2010Chateau Sigalas RabaudLieutenant de Sigalas</v>
      </c>
      <c r="B386" s="37">
        <v>2010</v>
      </c>
      <c r="C386" s="37" t="s">
        <v>1337</v>
      </c>
      <c r="D386" s="37" t="s">
        <v>1338</v>
      </c>
      <c r="E386" s="67" t="s">
        <v>1339</v>
      </c>
      <c r="F386" s="67" t="s">
        <v>742</v>
      </c>
      <c r="G386" s="37" t="s">
        <v>748</v>
      </c>
      <c r="H386" s="37" t="s">
        <v>260</v>
      </c>
      <c r="I386" s="107">
        <v>1</v>
      </c>
      <c r="J386">
        <v>375</v>
      </c>
      <c r="K386" s="107" t="s">
        <v>1504</v>
      </c>
      <c r="L386" s="10">
        <f>COUNTIF(Drank!A:A,Table1[[#This Row],[ID]])</f>
        <v>1</v>
      </c>
      <c r="M386" t="s">
        <v>201</v>
      </c>
      <c r="N386" t="s">
        <v>206</v>
      </c>
      <c r="O386">
        <v>0</v>
      </c>
      <c r="P386" s="10"/>
      <c r="R386" s="10">
        <f>IF(IFERROR(VLOOKUP(A386,Drank!A:S,15,FALSE),"")=0,"",IFERROR(VLOOKUP(A386,Drank!A:S,15,FALSE),""))</f>
        <v>2021</v>
      </c>
      <c r="S386" s="10">
        <f>IF(IFERROR(VLOOKUP(A386,Drank!A:S,16,FALSE),"")=0,"",IFERROR(VLOOKUP(A386,Drank!A:S,16,FALSE),""))</f>
        <v>2030</v>
      </c>
      <c r="T386" s="10">
        <v>2028</v>
      </c>
      <c r="V386" s="18">
        <f>IF(IFERROR(VLOOKUP(A386,Drank!A:T,19,FALSE),"")=0,"",IFERROR(VLOOKUP(A386,Drank!A:T,19,FALSE),""))</f>
        <v>88</v>
      </c>
      <c r="W386" s="1" t="str">
        <f>IF(IFERROR(VLOOKUP(A386,Drank!A:T,20,FALSE),"")=0,"",IFERROR(VLOOKUP(A386,Drank!A:T,20,FALSE),""))</f>
        <v/>
      </c>
      <c r="X386" s="10">
        <f>SUMIF(A:A,A386,I:I)</f>
        <v>9</v>
      </c>
      <c r="Y386" s="10">
        <f>IF(Table1[[#This Row],[Drank]]&gt;0,VLOOKUP(Table1[[#This Row],[ID]],Drank!A:P,16,FALSE),IF(Table1[[#This Row],[WALDD]]&gt;0,VLOOKUP(Table1[[#This Row],[ID]],Wine1!A:Q,17,FALSE),Table1[[#This Row],[EP]]))</f>
        <v>2030</v>
      </c>
      <c r="Z386" s="18">
        <f>IF(Table1[[#This Row],[My Rating]]="",IF(Table1[[#This Row],[WA Rating Clean]]="","",Table1[[#This Row],[WA Rating Clean]]),Table1[[#This Row],[My Rating]])</f>
        <v>88</v>
      </c>
      <c r="AA386" s="8">
        <v>2022</v>
      </c>
      <c r="AB386" s="128">
        <v>13.11</v>
      </c>
      <c r="AC386" s="2">
        <f t="shared" si="33"/>
        <v>13.11</v>
      </c>
      <c r="AD386" s="8">
        <v>2</v>
      </c>
      <c r="AE386" s="10">
        <f>IF(Table1[[#This Row],[P/750]]&lt;20,1,IF(Table1[[#This Row],[P/750]]&lt;50,2,3))</f>
        <v>2</v>
      </c>
      <c r="AF386" s="10">
        <f>IF(Table1[[#This Row],[P/750]]&lt;Expenses!$C$30,1,IF(Table1[[#This Row],[P/750]]&lt;Expenses!$C$31,2,IF(Table1[[#This Row],[P/750]]&lt;Expenses!$C$32,3,4)))</f>
        <v>2</v>
      </c>
      <c r="AH386" s="37" t="s">
        <v>385</v>
      </c>
      <c r="AI386" s="11">
        <f>Table1[[#This Row],[Price]]/Table1[[#This Row],[Size (ml)]]*750</f>
        <v>26.22</v>
      </c>
      <c r="AK386" s="10">
        <f>COUNTIF(UniqueID!A:A,Table1[[#This Row],[ID]])</f>
        <v>0</v>
      </c>
      <c r="AL386" s="10" t="str">
        <f>VLOOKUP(Table1[[#This Row],[Cellar Location]],Location!A:F,6,FALSE)</f>
        <v>S</v>
      </c>
      <c r="AN386" s="1">
        <v>43923</v>
      </c>
      <c r="AO386" s="10" t="str">
        <f>TEXT(Table1[[#This Row],[Purchased]],"mmmm")</f>
        <v>April</v>
      </c>
      <c r="AP386" s="10" t="str">
        <f>TEXT(Table1[[#This Row],[Purchased]],"yyyy")</f>
        <v>2020</v>
      </c>
      <c r="AQ386" s="10"/>
    </row>
    <row r="387" spans="1:43" s="37" customFormat="1" x14ac:dyDescent="0.25">
      <c r="A387" s="37" t="str">
        <f t="shared" si="32"/>
        <v>1998Raymond-LafonRaymond-Lafon</v>
      </c>
      <c r="B387" s="8">
        <v>1998</v>
      </c>
      <c r="C387" s="37" t="s">
        <v>197</v>
      </c>
      <c r="D387" s="37" t="s">
        <v>197</v>
      </c>
      <c r="E387" s="69" t="s">
        <v>1215</v>
      </c>
      <c r="F387" s="37" t="s">
        <v>742</v>
      </c>
      <c r="G387" s="37" t="s">
        <v>748</v>
      </c>
      <c r="H387" s="37" t="s">
        <v>260</v>
      </c>
      <c r="I387" s="107">
        <v>1</v>
      </c>
      <c r="J387" s="37">
        <v>375</v>
      </c>
      <c r="K387" s="107" t="s">
        <v>628</v>
      </c>
      <c r="L387" s="37">
        <f>COUNTIF(Drank!A:A,Table1[[#This Row],[ID]])</f>
        <v>3</v>
      </c>
      <c r="M387" s="37" t="s">
        <v>201</v>
      </c>
      <c r="N387" s="37" t="s">
        <v>206</v>
      </c>
      <c r="O387" s="37">
        <v>1</v>
      </c>
      <c r="P387" s="37">
        <v>2018</v>
      </c>
      <c r="Q387" s="37">
        <v>2025</v>
      </c>
      <c r="R387" s="10" t="str">
        <f>IF(IFERROR(VLOOKUP(A387,Drank!A:S,15,FALSE),"")=0,"",IFERROR(VLOOKUP(A387,Drank!A:S,15,FALSE),""))</f>
        <v/>
      </c>
      <c r="S387" s="10">
        <f>IF(IFERROR(VLOOKUP(A387,Drank!A:S,16,FALSE),"")=0,"",IFERROR(VLOOKUP(A387,Drank!A:S,16,FALSE),""))</f>
        <v>2030</v>
      </c>
      <c r="T387" s="10"/>
      <c r="U387" s="37">
        <v>93</v>
      </c>
      <c r="V387" s="18">
        <f>IF(IFERROR(VLOOKUP(A387,Drank!A:T,19,FALSE),"")=0,"",IFERROR(VLOOKUP(A387,Drank!A:T,19,FALSE),""))</f>
        <v>92.666666666666671</v>
      </c>
      <c r="W387" s="1">
        <f>IF(IFERROR(VLOOKUP(A387,Drank!A:T,20,FALSE),"")=0,"",IFERROR(VLOOKUP(A387,Drank!A:T,20,FALSE),""))</f>
        <v>44002</v>
      </c>
      <c r="X387" s="10">
        <f>SUMIF(A:A,A387,I:I)</f>
        <v>7</v>
      </c>
      <c r="Y387" s="37">
        <f>IF(Table1[[#This Row],[Drank]]&gt;0,VLOOKUP(Table1[[#This Row],[ID]],Drank!A:P,16,FALSE),IF(Table1[[#This Row],[WALDD]]&gt;0,VLOOKUP(Table1[[#This Row],[ID]],Wine1!A:Q,17,FALSE),Table1[[#This Row],[EP]]))</f>
        <v>2030</v>
      </c>
      <c r="Z387" s="18">
        <f>IF(Table1[[#This Row],[My Rating]]="",IF(Table1[[#This Row],[WA Rating Clean]]="","",Table1[[#This Row],[WA Rating Clean]]),Table1[[#This Row],[My Rating]])</f>
        <v>92.666666666666671</v>
      </c>
      <c r="AA387" s="37">
        <v>2022</v>
      </c>
      <c r="AB387" s="128">
        <v>16.989999999999998</v>
      </c>
      <c r="AC387" s="2">
        <f t="shared" si="33"/>
        <v>16.989999999999998</v>
      </c>
      <c r="AD387" s="8">
        <v>2</v>
      </c>
      <c r="AE387" s="37">
        <f>IF(Table1[[#This Row],[P/750]]&lt;20,1,IF(Table1[[#This Row],[P/750]]&lt;50,2,3))</f>
        <v>2</v>
      </c>
      <c r="AF387" s="37">
        <f>IF(Table1[[#This Row],[P/750]]&lt;Expenses!$C$30,1,IF(Table1[[#This Row],[P/750]]&lt;Expenses!$C$31,2,IF(Table1[[#This Row],[P/750]]&lt;Expenses!$C$32,3,4)))</f>
        <v>3</v>
      </c>
      <c r="AH387" s="37" t="s">
        <v>385</v>
      </c>
      <c r="AI387" s="11">
        <f>Table1[[#This Row],[Price]]/Table1[[#This Row],[Size (ml)]]*750</f>
        <v>33.979999999999997</v>
      </c>
      <c r="AJ387" s="37">
        <v>93</v>
      </c>
      <c r="AK387" s="37">
        <f>COUNTIF(UniqueID!A:A,Table1[[#This Row],[ID]])</f>
        <v>1</v>
      </c>
      <c r="AL387" s="37" t="str">
        <f>VLOOKUP(Table1[[#This Row],[Cellar Location]],Location!A:F,6,FALSE)</f>
        <v>S</v>
      </c>
      <c r="AO387" s="37" t="str">
        <f>TEXT(Table1[[#This Row],[Purchased]],"mmmm")</f>
        <v>January</v>
      </c>
      <c r="AP387" s="10" t="str">
        <f>TEXT(Table1[[#This Row],[Purchased]],"yyyy")</f>
        <v>1900</v>
      </c>
      <c r="AQ387" s="10"/>
    </row>
    <row r="388" spans="1:43" s="37" customFormat="1" x14ac:dyDescent="0.25">
      <c r="A388" s="37" t="str">
        <f t="shared" si="32"/>
        <v>2010Chateau Sigalas RabaudLieutenant de Sigalas</v>
      </c>
      <c r="B388" s="37">
        <v>2010</v>
      </c>
      <c r="C388" s="9" t="s">
        <v>1337</v>
      </c>
      <c r="D388" s="9" t="s">
        <v>1338</v>
      </c>
      <c r="E388" s="67" t="s">
        <v>1339</v>
      </c>
      <c r="F388" s="67" t="s">
        <v>742</v>
      </c>
      <c r="G388" s="37" t="s">
        <v>748</v>
      </c>
      <c r="H388" s="37" t="s">
        <v>260</v>
      </c>
      <c r="I388" s="107">
        <v>1</v>
      </c>
      <c r="J388" s="37">
        <v>375</v>
      </c>
      <c r="K388" s="107" t="s">
        <v>1504</v>
      </c>
      <c r="L388" s="10">
        <f>COUNTIF(Drank!A:A,Table1[[#This Row],[ID]])</f>
        <v>1</v>
      </c>
      <c r="M388" s="37" t="s">
        <v>201</v>
      </c>
      <c r="N388" s="37" t="s">
        <v>206</v>
      </c>
      <c r="O388" s="37">
        <v>0</v>
      </c>
      <c r="P388" s="10"/>
      <c r="R388" s="10">
        <f>IF(IFERROR(VLOOKUP(A388,Drank!A:S,15,FALSE),"")=0,"",IFERROR(VLOOKUP(A388,Drank!A:S,15,FALSE),""))</f>
        <v>2021</v>
      </c>
      <c r="S388" s="10">
        <f>IF(IFERROR(VLOOKUP(A388,Drank!A:S,16,FALSE),"")=0,"",IFERROR(VLOOKUP(A388,Drank!A:S,16,FALSE),""))</f>
        <v>2030</v>
      </c>
      <c r="T388" s="10">
        <v>2028</v>
      </c>
      <c r="V388" s="18">
        <f>IF(IFERROR(VLOOKUP(A388,Drank!A:T,19,FALSE),"")=0,"",IFERROR(VLOOKUP(A388,Drank!A:T,19,FALSE),""))</f>
        <v>88</v>
      </c>
      <c r="W388" s="1" t="str">
        <f>IF(IFERROR(VLOOKUP(A388,Drank!A:T,20,FALSE),"")=0,"",IFERROR(VLOOKUP(A388,Drank!A:T,20,FALSE),""))</f>
        <v/>
      </c>
      <c r="X388" s="10">
        <f>SUMIF(A:A,A388,I:I)</f>
        <v>9</v>
      </c>
      <c r="Y388" s="10">
        <f>IF(Table1[[#This Row],[Drank]]&gt;0,VLOOKUP(Table1[[#This Row],[ID]],Drank!A:P,16,FALSE),IF(Table1[[#This Row],[WALDD]]&gt;0,VLOOKUP(Table1[[#This Row],[ID]],Wine1!A:Q,17,FALSE),Table1[[#This Row],[EP]]))</f>
        <v>2030</v>
      </c>
      <c r="Z388" s="18">
        <f>IF(Table1[[#This Row],[My Rating]]="",IF(Table1[[#This Row],[WA Rating Clean]]="","",Table1[[#This Row],[WA Rating Clean]]),Table1[[#This Row],[My Rating]])</f>
        <v>88</v>
      </c>
      <c r="AA388" s="8">
        <v>2022</v>
      </c>
      <c r="AB388" s="128">
        <v>13.11</v>
      </c>
      <c r="AC388" s="2">
        <f t="shared" si="33"/>
        <v>13.11</v>
      </c>
      <c r="AD388" s="8">
        <v>2</v>
      </c>
      <c r="AE388" s="10">
        <f>IF(Table1[[#This Row],[P/750]]&lt;20,1,IF(Table1[[#This Row],[P/750]]&lt;50,2,3))</f>
        <v>2</v>
      </c>
      <c r="AF388" s="10">
        <f>IF(Table1[[#This Row],[P/750]]&lt;Expenses!$C$30,1,IF(Table1[[#This Row],[P/750]]&lt;Expenses!$C$31,2,IF(Table1[[#This Row],[P/750]]&lt;Expenses!$C$32,3,4)))</f>
        <v>2</v>
      </c>
      <c r="AH388" s="37" t="s">
        <v>385</v>
      </c>
      <c r="AI388" s="11">
        <f>Table1[[#This Row],[Price]]/Table1[[#This Row],[Size (ml)]]*750</f>
        <v>26.22</v>
      </c>
      <c r="AK388" s="10">
        <f>COUNTIF(UniqueID!A:A,Table1[[#This Row],[ID]])</f>
        <v>0</v>
      </c>
      <c r="AL388" s="10" t="str">
        <f>VLOOKUP(Table1[[#This Row],[Cellar Location]],Location!A:F,6,FALSE)</f>
        <v>S</v>
      </c>
      <c r="AN388" s="1">
        <v>43923</v>
      </c>
      <c r="AO388" s="10" t="str">
        <f>TEXT(Table1[[#This Row],[Purchased]],"mmmm")</f>
        <v>April</v>
      </c>
      <c r="AP388" s="10" t="str">
        <f>TEXT(Table1[[#This Row],[Purchased]],"yyyy")</f>
        <v>2020</v>
      </c>
      <c r="AQ388" s="10"/>
    </row>
    <row r="389" spans="1:43" s="37" customFormat="1" x14ac:dyDescent="0.25">
      <c r="A389" s="37" t="str">
        <f t="shared" si="32"/>
        <v>2017Domaine du Grand MontmirailGigondas le Coteau de Mon Reve</v>
      </c>
      <c r="B389" s="37">
        <v>2017</v>
      </c>
      <c r="C389" s="37" t="s">
        <v>1387</v>
      </c>
      <c r="D389" s="37" t="s">
        <v>1388</v>
      </c>
      <c r="E389" s="67" t="s">
        <v>1360</v>
      </c>
      <c r="F389" s="37" t="s">
        <v>742</v>
      </c>
      <c r="G389" s="37" t="s">
        <v>759</v>
      </c>
      <c r="H389" s="37" t="s">
        <v>764</v>
      </c>
      <c r="I389" s="107">
        <v>1</v>
      </c>
      <c r="J389" s="37">
        <v>750</v>
      </c>
      <c r="K389" s="107" t="s">
        <v>661</v>
      </c>
      <c r="L389" s="10">
        <f>COUNTIF(Drank!A:A,Table1[[#This Row],[ID]])</f>
        <v>2</v>
      </c>
      <c r="M389" s="37" t="s">
        <v>202</v>
      </c>
      <c r="N389" s="37" t="s">
        <v>207</v>
      </c>
      <c r="O389" s="37">
        <v>1</v>
      </c>
      <c r="P389" s="10">
        <v>2020</v>
      </c>
      <c r="Q389" s="37">
        <v>2030</v>
      </c>
      <c r="R389" s="10">
        <f>IF(IFERROR(VLOOKUP(A389,Drank!A:S,15,FALSE),"")=0,"",IFERROR(VLOOKUP(A389,Drank!A:S,15,FALSE),""))</f>
        <v>2022</v>
      </c>
      <c r="S389" s="10">
        <f>IF(IFERROR(VLOOKUP(A389,Drank!A:S,16,FALSE),"")=0,"",IFERROR(VLOOKUP(A389,Drank!A:S,16,FALSE),""))</f>
        <v>2030</v>
      </c>
      <c r="T389" s="10"/>
      <c r="U389" s="37">
        <v>96</v>
      </c>
      <c r="V389" s="18">
        <f>IF(IFERROR(VLOOKUP(A389,Drank!A:T,19,FALSE),"")=0,"",IFERROR(VLOOKUP(A389,Drank!A:T,19,FALSE),""))</f>
        <v>93</v>
      </c>
      <c r="W389" s="1">
        <f>IF(IFERROR(VLOOKUP(A389,Drank!A:T,20,FALSE),"")=0,"",IFERROR(VLOOKUP(A389,Drank!A:T,20,FALSE),""))</f>
        <v>43976</v>
      </c>
      <c r="X389" s="10">
        <f>SUMIF(A:A,A389,I:I)</f>
        <v>10</v>
      </c>
      <c r="Y389" s="10">
        <f>IF(Table1[[#This Row],[Drank]]&gt;0,VLOOKUP(Table1[[#This Row],[ID]],Drank!A:P,16,FALSE),IF(Table1[[#This Row],[WALDD]]&gt;0,VLOOKUP(Table1[[#This Row],[ID]],Wine1!A:Q,17,FALSE),Table1[[#This Row],[EP]]))</f>
        <v>2030</v>
      </c>
      <c r="Z389" s="18">
        <f>IF(Table1[[#This Row],[My Rating]]="",IF(Table1[[#This Row],[WA Rating Clean]]="","",Table1[[#This Row],[WA Rating Clean]]),Table1[[#This Row],[My Rating]])</f>
        <v>93</v>
      </c>
      <c r="AA389" s="37">
        <v>2022</v>
      </c>
      <c r="AB389" s="128">
        <v>24.97</v>
      </c>
      <c r="AC389" s="2">
        <f t="shared" si="33"/>
        <v>24.97</v>
      </c>
      <c r="AD389" s="8">
        <v>2</v>
      </c>
      <c r="AE389" s="10">
        <f>IF(Table1[[#This Row],[P/750]]&lt;20,1,IF(Table1[[#This Row],[P/750]]&lt;50,2,3))</f>
        <v>2</v>
      </c>
      <c r="AF389" s="10">
        <f>IF(Table1[[#This Row],[P/750]]&lt;Expenses!$C$30,1,IF(Table1[[#This Row],[P/750]]&lt;Expenses!$C$31,2,IF(Table1[[#This Row],[P/750]]&lt;Expenses!$C$32,3,4)))</f>
        <v>2</v>
      </c>
      <c r="AH389" s="37" t="s">
        <v>384</v>
      </c>
      <c r="AI389" s="11">
        <f>Table1[[#This Row],[Price]]/Table1[[#This Row],[Size (ml)]]*750</f>
        <v>24.970000000000002</v>
      </c>
      <c r="AJ389" s="37">
        <v>96</v>
      </c>
      <c r="AK389" s="10">
        <f>COUNTIF(UniqueID!A:A,Table1[[#This Row],[ID]])</f>
        <v>0</v>
      </c>
      <c r="AL389" s="10" t="str">
        <f>VLOOKUP(Table1[[#This Row],[Cellar Location]],Location!A:F,6,FALSE)</f>
        <v>S</v>
      </c>
      <c r="AN389" s="1">
        <v>43948</v>
      </c>
      <c r="AO389" s="10" t="str">
        <f>TEXT(Table1[[#This Row],[Purchased]],"mmmm")</f>
        <v>April</v>
      </c>
      <c r="AP389" s="10" t="str">
        <f>TEXT(Table1[[#This Row],[Purchased]],"yyyy")</f>
        <v>2020</v>
      </c>
      <c r="AQ389" s="10"/>
    </row>
    <row r="390" spans="1:43" s="37" customFormat="1" x14ac:dyDescent="0.25">
      <c r="A390" s="37" t="str">
        <f t="shared" si="32"/>
        <v>2016Quinta do ValladoTouriga Nacional</v>
      </c>
      <c r="B390" s="8">
        <v>2016</v>
      </c>
      <c r="C390" s="9" t="s">
        <v>210</v>
      </c>
      <c r="D390" s="9" t="s">
        <v>211</v>
      </c>
      <c r="E390" s="68" t="s">
        <v>1221</v>
      </c>
      <c r="F390" s="9" t="s">
        <v>804</v>
      </c>
      <c r="G390" s="9" t="s">
        <v>805</v>
      </c>
      <c r="H390" s="9"/>
      <c r="I390" s="107">
        <v>1</v>
      </c>
      <c r="J390" s="37">
        <v>750</v>
      </c>
      <c r="K390" s="107" t="s">
        <v>643</v>
      </c>
      <c r="L390" s="37">
        <f>COUNTIF(Drank!A:A,Table1[[#This Row],[ID]])</f>
        <v>4</v>
      </c>
      <c r="M390" s="37" t="s">
        <v>202</v>
      </c>
      <c r="N390" s="37" t="s">
        <v>207</v>
      </c>
      <c r="O390" s="37">
        <v>1</v>
      </c>
      <c r="P390" s="37">
        <v>2020</v>
      </c>
      <c r="Q390" s="37">
        <v>2032</v>
      </c>
      <c r="R390" s="37">
        <f>IF(IFERROR(VLOOKUP(A390,Drank!A:S,15,FALSE),"")=0,"",IFERROR(VLOOKUP(A390,Drank!A:S,15,FALSE),""))</f>
        <v>2021</v>
      </c>
      <c r="S390" s="37">
        <f>IF(IFERROR(VLOOKUP(A390,Drank!A:S,16,FALSE),"")=0,"",IFERROR(VLOOKUP(A390,Drank!A:S,16,FALSE),""))</f>
        <v>2030</v>
      </c>
      <c r="U390" s="37">
        <v>93</v>
      </c>
      <c r="V390" s="18">
        <f>IF(IFERROR(VLOOKUP(A390,Drank!A:T,19,FALSE),"")=0,"",IFERROR(VLOOKUP(A390,Drank!A:T,19,FALSE),""))</f>
        <v>92</v>
      </c>
      <c r="W390" s="1">
        <f>IF(IFERROR(VLOOKUP(A390,Drank!A:T,20,FALSE),"")=0,"",IFERROR(VLOOKUP(A390,Drank!A:T,20,FALSE),""))</f>
        <v>43847</v>
      </c>
      <c r="X390" s="37">
        <f>SUMIF(A:A,A390,I:I)</f>
        <v>7</v>
      </c>
      <c r="Y390" s="37">
        <f>IF(Table1[[#This Row],[Drank]]&gt;0,VLOOKUP(Table1[[#This Row],[ID]],Drank!A:P,16,FALSE),IF(Table1[[#This Row],[WALDD]]&gt;0,VLOOKUP(Table1[[#This Row],[ID]],Wine1!A:Q,17,FALSE),Table1[[#This Row],[EP]]))</f>
        <v>2030</v>
      </c>
      <c r="Z390" s="18">
        <f>IF(Table1[[#This Row],[My Rating]]="",IF(Table1[[#This Row],[WA Rating Clean]]="","",Table1[[#This Row],[WA Rating Clean]]),Table1[[#This Row],[My Rating]])</f>
        <v>92</v>
      </c>
      <c r="AA390" s="37">
        <v>2022</v>
      </c>
      <c r="AB390" s="128">
        <v>24.99</v>
      </c>
      <c r="AC390" s="2">
        <f t="shared" si="33"/>
        <v>24.99</v>
      </c>
      <c r="AD390" s="8">
        <v>2</v>
      </c>
      <c r="AE390" s="37">
        <f>IF(Table1[[#This Row],[P/750]]&lt;20,1,IF(Table1[[#This Row],[P/750]]&lt;50,2,3))</f>
        <v>2</v>
      </c>
      <c r="AF390" s="37">
        <f>IF(Table1[[#This Row],[P/750]]&lt;Expenses!$C$30,1,IF(Table1[[#This Row],[P/750]]&lt;Expenses!$C$31,2,IF(Table1[[#This Row],[P/750]]&lt;Expenses!$C$32,3,4)))</f>
        <v>2</v>
      </c>
      <c r="AH390" s="37" t="s">
        <v>384</v>
      </c>
      <c r="AI390" s="11">
        <f>Table1[[#This Row],[Price]]/Table1[[#This Row],[Size (ml)]]*750</f>
        <v>24.989999999999995</v>
      </c>
      <c r="AJ390" s="37">
        <v>93</v>
      </c>
      <c r="AK390" s="37">
        <f>COUNTIF(UniqueID!A:A,Table1[[#This Row],[ID]])</f>
        <v>1</v>
      </c>
      <c r="AL390" s="37" t="str">
        <f>VLOOKUP(Table1[[#This Row],[Cellar Location]],Location!A:F,6,FALSE)</f>
        <v>S</v>
      </c>
      <c r="AO390" s="37" t="str">
        <f>TEXT(Table1[[#This Row],[Purchased]],"mmmm")</f>
        <v>January</v>
      </c>
      <c r="AP390" s="10" t="str">
        <f>TEXT(Table1[[#This Row],[Purchased]],"yyyy")</f>
        <v>1900</v>
      </c>
      <c r="AQ390" s="10"/>
    </row>
    <row r="391" spans="1:43" s="37" customFormat="1" x14ac:dyDescent="0.25">
      <c r="A391" s="37" t="str">
        <f t="shared" si="32"/>
        <v>2012San RusticoAmarone della Valpolicella Classico</v>
      </c>
      <c r="B391" s="37">
        <v>2012</v>
      </c>
      <c r="C391" s="37" t="s">
        <v>444</v>
      </c>
      <c r="D391" s="37" t="s">
        <v>26</v>
      </c>
      <c r="E391" s="69" t="s">
        <v>1252</v>
      </c>
      <c r="F391" s="37" t="s">
        <v>728</v>
      </c>
      <c r="G391" s="37" t="s">
        <v>799</v>
      </c>
      <c r="H391" s="37" t="s">
        <v>800</v>
      </c>
      <c r="I391" s="107">
        <v>1</v>
      </c>
      <c r="J391" s="37">
        <v>750</v>
      </c>
      <c r="K391" s="107" t="s">
        <v>643</v>
      </c>
      <c r="L391" s="10">
        <f>COUNTIF(Drank!A:A,Table1[[#This Row],[ID]])</f>
        <v>1</v>
      </c>
      <c r="M391" s="37" t="s">
        <v>202</v>
      </c>
      <c r="N391" s="37" t="s">
        <v>207</v>
      </c>
      <c r="O391" s="37">
        <v>1</v>
      </c>
      <c r="P391" s="10">
        <v>2019</v>
      </c>
      <c r="Q391" s="37">
        <v>2027</v>
      </c>
      <c r="R391" s="10">
        <f>IF(IFERROR(VLOOKUP(A391,Drank!A:S,15,FALSE),"")=0,"",IFERROR(VLOOKUP(A391,Drank!A:S,15,FALSE),""))</f>
        <v>2022</v>
      </c>
      <c r="S391" s="10">
        <f>IF(IFERROR(VLOOKUP(A391,Drank!A:S,16,FALSE),"")=0,"",IFERROR(VLOOKUP(A391,Drank!A:S,16,FALSE),""))</f>
        <v>2030</v>
      </c>
      <c r="T391" s="10"/>
      <c r="U391" s="37">
        <v>91</v>
      </c>
      <c r="V391" s="18">
        <f>IF(IFERROR(VLOOKUP(A391,Drank!A:T,19,FALSE),"")=0,"",IFERROR(VLOOKUP(A391,Drank!A:T,19,FALSE),""))</f>
        <v>91</v>
      </c>
      <c r="W391" s="1">
        <f>IF(IFERROR(VLOOKUP(A391,Drank!A:T,20,FALSE),"")=0,"",IFERROR(VLOOKUP(A391,Drank!A:T,20,FALSE),""))</f>
        <v>43834</v>
      </c>
      <c r="X391" s="10">
        <f>SUMIF(A:A,A391,I:I)</f>
        <v>5</v>
      </c>
      <c r="Y391" s="10">
        <f>IF(Table1[[#This Row],[Drank]]&gt;0,VLOOKUP(Table1[[#This Row],[ID]],Drank!A:P,16,FALSE),IF(Table1[[#This Row],[WALDD]]&gt;0,VLOOKUP(Table1[[#This Row],[ID]],Wine1!A:Q,17,FALSE),Table1[[#This Row],[EP]]))</f>
        <v>2030</v>
      </c>
      <c r="Z391" s="18">
        <f>IF(Table1[[#This Row],[My Rating]]="",IF(Table1[[#This Row],[WA Rating Clean]]="","",Table1[[#This Row],[WA Rating Clean]]),Table1[[#This Row],[My Rating]])</f>
        <v>91</v>
      </c>
      <c r="AA391" s="37">
        <v>2022</v>
      </c>
      <c r="AB391" s="128">
        <v>24.99</v>
      </c>
      <c r="AC391" s="2">
        <f t="shared" si="33"/>
        <v>24.99</v>
      </c>
      <c r="AD391" s="8">
        <v>2</v>
      </c>
      <c r="AE391" s="10">
        <f>IF(Table1[[#This Row],[P/750]]&lt;20,1,IF(Table1[[#This Row],[P/750]]&lt;50,2,3))</f>
        <v>2</v>
      </c>
      <c r="AF391" s="10">
        <f>IF(Table1[[#This Row],[P/750]]&lt;Expenses!$C$30,1,IF(Table1[[#This Row],[P/750]]&lt;Expenses!$C$31,2,IF(Table1[[#This Row],[P/750]]&lt;Expenses!$C$32,3,4)))</f>
        <v>2</v>
      </c>
      <c r="AH391" s="37" t="s">
        <v>384</v>
      </c>
      <c r="AI391" s="11">
        <f>Table1[[#This Row],[Price]]/Table1[[#This Row],[Size (ml)]]*750</f>
        <v>24.989999999999995</v>
      </c>
      <c r="AJ391" s="37">
        <v>91</v>
      </c>
      <c r="AK391" s="37">
        <f>COUNTIF(UniqueID!A:A,Table1[[#This Row],[ID]])</f>
        <v>1</v>
      </c>
      <c r="AL391" s="37" t="str">
        <f>VLOOKUP(Table1[[#This Row],[Cellar Location]],Location!A:F,6,FALSE)</f>
        <v>S</v>
      </c>
      <c r="AO391" s="37" t="str">
        <f>TEXT(Table1[[#This Row],[Purchased]],"mmmm")</f>
        <v>January</v>
      </c>
      <c r="AP391" s="10" t="str">
        <f>TEXT(Table1[[#This Row],[Purchased]],"yyyy")</f>
        <v>1900</v>
      </c>
      <c r="AQ391" s="10"/>
    </row>
    <row r="392" spans="1:43" s="37" customFormat="1" x14ac:dyDescent="0.25">
      <c r="A392" s="37" t="str">
        <f t="shared" si="32"/>
        <v>2014Telmo RodriguezPegaso Barrancos de Pizarra</v>
      </c>
      <c r="B392" s="37">
        <v>2014</v>
      </c>
      <c r="C392" s="37" t="s">
        <v>816</v>
      </c>
      <c r="D392" s="25" t="s">
        <v>432</v>
      </c>
      <c r="E392" s="67" t="s">
        <v>1248</v>
      </c>
      <c r="F392" s="37" t="s">
        <v>729</v>
      </c>
      <c r="G392" s="37" t="s">
        <v>1718</v>
      </c>
      <c r="H392" s="37" t="s">
        <v>817</v>
      </c>
      <c r="I392" s="107">
        <v>1</v>
      </c>
      <c r="J392" s="37">
        <v>750</v>
      </c>
      <c r="K392" s="107" t="s">
        <v>649</v>
      </c>
      <c r="L392" s="10">
        <f>COUNTIF(Drank!A:A,Table1[[#This Row],[ID]])</f>
        <v>0</v>
      </c>
      <c r="M392" s="37" t="s">
        <v>202</v>
      </c>
      <c r="N392" s="37" t="s">
        <v>207</v>
      </c>
      <c r="O392" s="37">
        <v>1</v>
      </c>
      <c r="P392" s="37">
        <v>2017</v>
      </c>
      <c r="Q392" s="37">
        <v>2030</v>
      </c>
      <c r="R392" s="10" t="str">
        <f>IF(IFERROR(VLOOKUP(A392,Drank!A:S,15,FALSE),"")=0,"",IFERROR(VLOOKUP(A392,Drank!A:S,15,FALSE),""))</f>
        <v/>
      </c>
      <c r="S392" s="10" t="str">
        <f>IF(IFERROR(VLOOKUP(A392,Drank!A:S,16,FALSE),"")=0,"",IFERROR(VLOOKUP(A392,Drank!A:S,16,FALSE),""))</f>
        <v/>
      </c>
      <c r="T392" s="10"/>
      <c r="U392" s="37">
        <v>95</v>
      </c>
      <c r="V392" s="18" t="str">
        <f>IF(IFERROR(VLOOKUP(A392,Drank!A:T,19,FALSE),"")=0,"",IFERROR(VLOOKUP(A392,Drank!A:T,19,FALSE),""))</f>
        <v/>
      </c>
      <c r="W392" s="1" t="str">
        <f>IF(IFERROR(VLOOKUP(A392,Drank!A:T,20,FALSE),"")=0,"",IFERROR(VLOOKUP(A392,Drank!A:T,20,FALSE),""))</f>
        <v/>
      </c>
      <c r="X392" s="10">
        <f>SUMIF(A:A,A392,I:I)</f>
        <v>6</v>
      </c>
      <c r="Y392" s="10">
        <f>IF(Table1[[#This Row],[Drank]]&gt;0,VLOOKUP(Table1[[#This Row],[ID]],Drank!A:P,16,FALSE),IF(Table1[[#This Row],[WALDD]]&gt;0,VLOOKUP(Table1[[#This Row],[ID]],Wine1!A:Q,17,FALSE),Table1[[#This Row],[EP]]))</f>
        <v>2030</v>
      </c>
      <c r="Z392" s="18">
        <f>IF(Table1[[#This Row],[My Rating]]="",IF(Table1[[#This Row],[WA Rating Clean]]="","",Table1[[#This Row],[WA Rating Clean]]),Table1[[#This Row],[My Rating]])</f>
        <v>95</v>
      </c>
      <c r="AA392" s="37">
        <v>2022</v>
      </c>
      <c r="AB392" s="128">
        <v>25</v>
      </c>
      <c r="AC392" s="2">
        <f t="shared" si="33"/>
        <v>25</v>
      </c>
      <c r="AD392" s="8">
        <v>2</v>
      </c>
      <c r="AE392" s="37">
        <f>IF(Table1[[#This Row],[P/750]]&lt;20,1,IF(Table1[[#This Row],[P/750]]&lt;50,2,3))</f>
        <v>2</v>
      </c>
      <c r="AF392" s="37">
        <f>IF(Table1[[#This Row],[P/750]]&lt;Expenses!$C$30,1,IF(Table1[[#This Row],[P/750]]&lt;Expenses!$C$31,2,IF(Table1[[#This Row],[P/750]]&lt;Expenses!$C$32,3,4)))</f>
        <v>2</v>
      </c>
      <c r="AH392" s="37" t="s">
        <v>385</v>
      </c>
      <c r="AI392" s="11">
        <f>Table1[[#This Row],[Price]]/Table1[[#This Row],[Size (ml)]]*750</f>
        <v>25</v>
      </c>
      <c r="AJ392" s="37">
        <v>95</v>
      </c>
      <c r="AK392" s="37">
        <f>COUNTIF(UniqueID!A:A,Table1[[#This Row],[ID]])</f>
        <v>1</v>
      </c>
      <c r="AL392" s="37" t="str">
        <f>VLOOKUP(Table1[[#This Row],[Cellar Location]],Location!A:F,6,FALSE)</f>
        <v>S</v>
      </c>
      <c r="AO392" s="37" t="str">
        <f>TEXT(Table1[[#This Row],[Purchased]],"mmmm")</f>
        <v>January</v>
      </c>
      <c r="AP392" s="10" t="str">
        <f>TEXT(Table1[[#This Row],[Purchased]],"yyyy")</f>
        <v>1900</v>
      </c>
      <c r="AQ392" s="10"/>
    </row>
    <row r="393" spans="1:43" s="37" customFormat="1" x14ac:dyDescent="0.25">
      <c r="A393" s="20" t="str">
        <f t="shared" si="32"/>
        <v>2015Xavier VignonCotes du Rhone Villages Arcane XIX Le Soleil</v>
      </c>
      <c r="B393" s="37">
        <v>2015</v>
      </c>
      <c r="C393" s="19" t="s">
        <v>405</v>
      </c>
      <c r="D393" s="25" t="s">
        <v>1856</v>
      </c>
      <c r="E393" s="68" t="s">
        <v>1222</v>
      </c>
      <c r="F393" s="37" t="s">
        <v>742</v>
      </c>
      <c r="G393" s="37" t="s">
        <v>759</v>
      </c>
      <c r="H393" s="37" t="s">
        <v>760</v>
      </c>
      <c r="I393" s="107">
        <v>1</v>
      </c>
      <c r="J393" s="107">
        <v>750</v>
      </c>
      <c r="K393" s="107" t="s">
        <v>647</v>
      </c>
      <c r="L393" s="37">
        <f>COUNTIF(Drank!A:A,Table1[[#This Row],[ID]])</f>
        <v>2</v>
      </c>
      <c r="M393" s="37" t="s">
        <v>202</v>
      </c>
      <c r="N393" s="37" t="s">
        <v>207</v>
      </c>
      <c r="O393" s="37">
        <v>1</v>
      </c>
      <c r="P393" s="37">
        <v>2017</v>
      </c>
      <c r="Q393" s="37">
        <v>2027</v>
      </c>
      <c r="R393" s="10">
        <f>IF(IFERROR(VLOOKUP(A393,Drank!A:S,15,FALSE),"")=0,"",IFERROR(VLOOKUP(A393,Drank!A:S,15,FALSE),""))</f>
        <v>2021</v>
      </c>
      <c r="S393" s="10">
        <f>IF(IFERROR(VLOOKUP(A393,Drank!A:S,16,FALSE),"")=0,"",IFERROR(VLOOKUP(A393,Drank!A:S,16,FALSE),""))</f>
        <v>2025</v>
      </c>
      <c r="T393" s="10"/>
      <c r="U393" s="37">
        <v>94</v>
      </c>
      <c r="V393" s="18">
        <f>IF(IFERROR(VLOOKUP(A393,Drank!A:T,19,FALSE),"")=0,"",IFERROR(VLOOKUP(A393,Drank!A:T,19,FALSE),""))</f>
        <v>93</v>
      </c>
      <c r="W393" s="1">
        <f>IF(IFERROR(VLOOKUP(A393,Drank!A:T,20,FALSE),"")=0,"",IFERROR(VLOOKUP(A393,Drank!A:T,20,FALSE),""))</f>
        <v>44071</v>
      </c>
      <c r="X393" s="10">
        <f>SUMIF(A:A,A393,I:I)</f>
        <v>6</v>
      </c>
      <c r="Y393" s="37">
        <f>IF(Table1[[#This Row],[Drank]]&gt;0,VLOOKUP(Table1[[#This Row],[ID]],Drank!A:P,16,FALSE),IF(Table1[[#This Row],[WALDD]]&gt;0,VLOOKUP(Table1[[#This Row],[ID]],Wine1!A:Q,17,FALSE),Table1[[#This Row],[EP]]))</f>
        <v>2025</v>
      </c>
      <c r="Z393" s="18">
        <f>IF(Table1[[#This Row],[My Rating]]="",IF(Table1[[#This Row],[WA Rating Clean]]="","",Table1[[#This Row],[WA Rating Clean]]),Table1[[#This Row],[My Rating]])</f>
        <v>93</v>
      </c>
      <c r="AA393" s="37">
        <v>2021</v>
      </c>
      <c r="AB393" s="128">
        <v>20</v>
      </c>
      <c r="AC393" s="2">
        <f t="shared" si="33"/>
        <v>20</v>
      </c>
      <c r="AD393" s="8">
        <v>2</v>
      </c>
      <c r="AE393" s="37">
        <f>IF(Table1[[#This Row],[P/750]]&lt;20,1,IF(Table1[[#This Row],[P/750]]&lt;50,2,3))</f>
        <v>2</v>
      </c>
      <c r="AF393" s="37">
        <f>IF(Table1[[#This Row],[P/750]]&lt;Expenses!$C$30,1,IF(Table1[[#This Row],[P/750]]&lt;Expenses!$C$31,2,IF(Table1[[#This Row],[P/750]]&lt;Expenses!$C$32,3,4)))</f>
        <v>2</v>
      </c>
      <c r="AH393" s="37" t="s">
        <v>385</v>
      </c>
      <c r="AI393" s="11">
        <f>Table1[[#This Row],[Price]]/Table1[[#This Row],[Size (ml)]]*750</f>
        <v>20</v>
      </c>
      <c r="AJ393" s="37">
        <v>94</v>
      </c>
      <c r="AK393" s="37">
        <f>COUNTIF(UniqueID!A:A,Table1[[#This Row],[ID]])</f>
        <v>0</v>
      </c>
      <c r="AL393" s="37" t="str">
        <f>VLOOKUP(Table1[[#This Row],[Cellar Location]],Location!A:F,6,FALSE)</f>
        <v>S</v>
      </c>
      <c r="AO393" s="37" t="str">
        <f>TEXT(Table1[[#This Row],[Purchased]],"mmmm")</f>
        <v>January</v>
      </c>
      <c r="AP393" s="10" t="str">
        <f>TEXT(Table1[[#This Row],[Purchased]],"yyyy")</f>
        <v>1900</v>
      </c>
      <c r="AQ393" s="10"/>
    </row>
    <row r="394" spans="1:43" s="37" customFormat="1" x14ac:dyDescent="0.25">
      <c r="A394" s="37" t="str">
        <f t="shared" si="32"/>
        <v>2017FulcrumPinot Noir Fulcrum Gapâ€™s Crown Vineyard</v>
      </c>
      <c r="B394" s="37">
        <v>2017</v>
      </c>
      <c r="C394" s="8" t="s">
        <v>397</v>
      </c>
      <c r="D394" s="37" t="s">
        <v>398</v>
      </c>
      <c r="E394" s="64" t="s">
        <v>263</v>
      </c>
      <c r="F394" s="37" t="s">
        <v>727</v>
      </c>
      <c r="G394" s="37" t="s">
        <v>806</v>
      </c>
      <c r="H394" s="37" t="s">
        <v>831</v>
      </c>
      <c r="I394" s="107">
        <v>1</v>
      </c>
      <c r="J394" s="37">
        <v>750</v>
      </c>
      <c r="K394" s="107" t="s">
        <v>653</v>
      </c>
      <c r="L394" s="37">
        <f>COUNTIF(Drank!A:A,Table1[[#This Row],[ID]])</f>
        <v>0</v>
      </c>
      <c r="M394" s="37" t="s">
        <v>202</v>
      </c>
      <c r="N394" s="37" t="s">
        <v>207</v>
      </c>
      <c r="O394" s="37">
        <v>0</v>
      </c>
      <c r="R394" s="10" t="str">
        <f>IF(IFERROR(VLOOKUP(A394,Drank!A:S,15,FALSE),"")=0,"",IFERROR(VLOOKUP(A394,Drank!A:S,15,FALSE),""))</f>
        <v/>
      </c>
      <c r="S394" s="10" t="str">
        <f>IF(IFERROR(VLOOKUP(A394,Drank!A:S,16,FALSE),"")=0,"",IFERROR(VLOOKUP(A394,Drank!A:S,16,FALSE),""))</f>
        <v/>
      </c>
      <c r="T394" s="10">
        <v>2032</v>
      </c>
      <c r="V394" s="18" t="str">
        <f>IF(IFERROR(VLOOKUP(A394,Drank!A:T,19,FALSE),"")=0,"",IFERROR(VLOOKUP(A394,Drank!A:T,19,FALSE),""))</f>
        <v/>
      </c>
      <c r="W394" s="1" t="str">
        <f>IF(IFERROR(VLOOKUP(A394,Drank!A:T,20,FALSE),"")=0,"",IFERROR(VLOOKUP(A394,Drank!A:T,20,FALSE),""))</f>
        <v/>
      </c>
      <c r="X394" s="10">
        <f>SUMIF(A:A,A394,I:I)</f>
        <v>1</v>
      </c>
      <c r="Y394" s="37">
        <f>IF(Table1[[#This Row],[Drank]]&gt;0,VLOOKUP(Table1[[#This Row],[ID]],Drank!A:P,16,FALSE),IF(Table1[[#This Row],[WALDD]]&gt;0,VLOOKUP(Table1[[#This Row],[ID]],Wine1!A:Q,17,FALSE),Table1[[#This Row],[EP]]))</f>
        <v>2032</v>
      </c>
      <c r="Z394" s="18" t="str">
        <f>IF(Table1[[#This Row],[My Rating]]="",IF(Table1[[#This Row],[WA Rating Clean]]="","",Table1[[#This Row],[WA Rating Clean]]),Table1[[#This Row],[My Rating]])</f>
        <v/>
      </c>
      <c r="AA394" s="8">
        <v>2022</v>
      </c>
      <c r="AB394" s="128">
        <v>69</v>
      </c>
      <c r="AC394" s="2">
        <f t="shared" si="33"/>
        <v>69</v>
      </c>
      <c r="AD394" s="8">
        <v>2</v>
      </c>
      <c r="AE394" s="37">
        <f>IF(Table1[[#This Row],[P/750]]&lt;20,1,IF(Table1[[#This Row],[P/750]]&lt;50,2,3))</f>
        <v>3</v>
      </c>
      <c r="AF394" s="37">
        <f>IF(Table1[[#This Row],[P/750]]&lt;Expenses!$C$30,1,IF(Table1[[#This Row],[P/750]]&lt;Expenses!$C$31,2,IF(Table1[[#This Row],[P/750]]&lt;Expenses!$C$32,3,4)))</f>
        <v>4</v>
      </c>
      <c r="AH394" s="37" t="s">
        <v>1144</v>
      </c>
      <c r="AI394" s="11">
        <f>Table1[[#This Row],[Price]]/Table1[[#This Row],[Size (ml)]]*750</f>
        <v>69</v>
      </c>
      <c r="AK394" s="37">
        <f>COUNTIF(UniqueID!A:A,Table1[[#This Row],[ID]])</f>
        <v>1</v>
      </c>
      <c r="AL394" s="37" t="str">
        <f>VLOOKUP(Table1[[#This Row],[Cellar Location]],Location!A:F,6,FALSE)</f>
        <v>S</v>
      </c>
      <c r="AO394" s="37" t="str">
        <f>TEXT(Table1[[#This Row],[Purchased]],"mmmm")</f>
        <v>January</v>
      </c>
      <c r="AP394" s="10" t="str">
        <f>TEXT(Table1[[#This Row],[Purchased]],"yyyy")</f>
        <v>1900</v>
      </c>
      <c r="AQ394" s="10"/>
    </row>
    <row r="395" spans="1:43" s="37" customFormat="1" x14ac:dyDescent="0.25">
      <c r="A395" s="37" t="str">
        <f t="shared" si="32"/>
        <v>2016Produttori del BarbarescoBarbaresco</v>
      </c>
      <c r="B395" s="37">
        <v>2016</v>
      </c>
      <c r="C395" s="37" t="s">
        <v>248</v>
      </c>
      <c r="D395" s="37" t="s">
        <v>249</v>
      </c>
      <c r="E395" s="67" t="s">
        <v>1206</v>
      </c>
      <c r="F395" s="37" t="s">
        <v>728</v>
      </c>
      <c r="G395" s="37" t="s">
        <v>778</v>
      </c>
      <c r="H395" s="37" t="s">
        <v>249</v>
      </c>
      <c r="I395" s="37">
        <v>1</v>
      </c>
      <c r="J395" s="107">
        <v>750</v>
      </c>
      <c r="K395" s="8" t="s">
        <v>1850</v>
      </c>
      <c r="L395" s="10">
        <f>COUNTIF(Drank!A:A,Table1[[#This Row],[ID]])</f>
        <v>2</v>
      </c>
      <c r="M395" s="37" t="s">
        <v>202</v>
      </c>
      <c r="N395" s="37" t="s">
        <v>207</v>
      </c>
      <c r="O395" s="37">
        <v>1</v>
      </c>
      <c r="P395" s="37">
        <v>2022</v>
      </c>
      <c r="Q395" s="37">
        <v>2040</v>
      </c>
      <c r="R395" s="10">
        <f>IF(IFERROR(VLOOKUP(A395,Drank!A:S,15,FALSE),"")=0,"",IFERROR(VLOOKUP(A395,Drank!A:S,15,FALSE),""))</f>
        <v>2021</v>
      </c>
      <c r="S395" s="10">
        <f>IF(IFERROR(VLOOKUP(A395,Drank!A:S,16,FALSE),"")=0,"",IFERROR(VLOOKUP(A395,Drank!A:S,16,FALSE),""))</f>
        <v>2032</v>
      </c>
      <c r="T395" s="10"/>
      <c r="U395" s="37">
        <v>95</v>
      </c>
      <c r="V395" s="18">
        <f>IF(IFERROR(VLOOKUP(A395,Drank!A:T,19,FALSE),"")=0,"",IFERROR(VLOOKUP(A395,Drank!A:T,19,FALSE),""))</f>
        <v>95.5</v>
      </c>
      <c r="W395" s="1">
        <f>IF(IFERROR(VLOOKUP(A395,Drank!A:T,20,FALSE),"")=0,"",IFERROR(VLOOKUP(A395,Drank!A:T,20,FALSE),""))</f>
        <v>44079</v>
      </c>
      <c r="X395" s="10">
        <f>SUMIF(A:A,A395,I:I)</f>
        <v>41</v>
      </c>
      <c r="Y395" s="10">
        <f>IF(Table1[[#This Row],[Drank]]&gt;0,VLOOKUP(Table1[[#This Row],[ID]],Drank!A:P,16,FALSE),IF(Table1[[#This Row],[WALDD]]&gt;0,VLOOKUP(Table1[[#This Row],[ID]],Wine1!A:Q,17,FALSE),Table1[[#This Row],[EP]]))</f>
        <v>2032</v>
      </c>
      <c r="Z395" s="18">
        <f>IF(Table1[[#This Row],[My Rating]]="",IF(Table1[[#This Row],[WA Rating Clean]]="","",Table1[[#This Row],[WA Rating Clean]]),Table1[[#This Row],[My Rating]])</f>
        <v>95.5</v>
      </c>
      <c r="AA395" s="37">
        <v>2022</v>
      </c>
      <c r="AB395" s="128">
        <v>42.36</v>
      </c>
      <c r="AC395" s="2">
        <f t="shared" si="33"/>
        <v>42.36</v>
      </c>
      <c r="AD395" s="8">
        <v>1</v>
      </c>
      <c r="AE395" s="10">
        <f>IF(Table1[[#This Row],[P/750]]&lt;20,1,IF(Table1[[#This Row],[P/750]]&lt;50,2,3))</f>
        <v>2</v>
      </c>
      <c r="AF395" s="10">
        <f>IF(Table1[[#This Row],[P/750]]&lt;Expenses!$C$30,1,IF(Table1[[#This Row],[P/750]]&lt;Expenses!$C$31,2,IF(Table1[[#This Row],[P/750]]&lt;Expenses!$C$32,3,4)))</f>
        <v>3</v>
      </c>
      <c r="AH395" s="37" t="s">
        <v>1128</v>
      </c>
      <c r="AI395" s="11">
        <f>Table1[[#This Row],[Price]]/Table1[[#This Row],[Size (ml)]]*750</f>
        <v>42.36</v>
      </c>
      <c r="AJ395" s="37">
        <v>95</v>
      </c>
      <c r="AK395" s="10">
        <f>COUNTIF(UniqueID!A:A,Table1[[#This Row],[ID]])</f>
        <v>1</v>
      </c>
      <c r="AL395" s="10" t="str">
        <f>VLOOKUP(Table1[[#This Row],[Cellar Location]],Location!A:F,6,FALSE)</f>
        <v>S</v>
      </c>
      <c r="AN395" s="1">
        <v>44070</v>
      </c>
      <c r="AO395" s="10" t="str">
        <f>TEXT(Table1[[#This Row],[Purchased]],"mmmm")</f>
        <v>August</v>
      </c>
      <c r="AP395" s="10" t="str">
        <f>TEXT(Table1[[#This Row],[Purchased]],"yyyy")</f>
        <v>2020</v>
      </c>
      <c r="AQ395" s="1"/>
    </row>
    <row r="396" spans="1:43" s="37" customFormat="1" x14ac:dyDescent="0.25">
      <c r="A396" s="37" t="str">
        <f t="shared" si="32"/>
        <v>2017Domaine Roger SabonChateauneuf du Pape Reserve</v>
      </c>
      <c r="B396" s="37">
        <v>2017</v>
      </c>
      <c r="C396" s="9" t="s">
        <v>359</v>
      </c>
      <c r="D396" s="9" t="s">
        <v>360</v>
      </c>
      <c r="E396" s="67" t="s">
        <v>1222</v>
      </c>
      <c r="F396" s="37" t="s">
        <v>742</v>
      </c>
      <c r="G396" s="37" t="s">
        <v>759</v>
      </c>
      <c r="H396" s="9" t="s">
        <v>762</v>
      </c>
      <c r="I396" s="107">
        <v>1</v>
      </c>
      <c r="J396" s="37">
        <v>750</v>
      </c>
      <c r="K396" s="107" t="s">
        <v>650</v>
      </c>
      <c r="L396" s="37">
        <f>COUNTIF(Drank!A:A,Table1[[#This Row],[ID]])</f>
        <v>0</v>
      </c>
      <c r="M396" s="37" t="s">
        <v>202</v>
      </c>
      <c r="N396" s="37" t="s">
        <v>207</v>
      </c>
      <c r="O396" s="37">
        <v>1</v>
      </c>
      <c r="P396" s="37">
        <v>2020</v>
      </c>
      <c r="Q396" s="37">
        <v>2035</v>
      </c>
      <c r="R396" s="10" t="str">
        <f>IF(IFERROR(VLOOKUP(A396,Drank!A:S,15,FALSE),"")=0,"",IFERROR(VLOOKUP(A396,Drank!A:S,15,FALSE),""))</f>
        <v/>
      </c>
      <c r="S396" s="10" t="str">
        <f>IF(IFERROR(VLOOKUP(A396,Drank!A:S,16,FALSE),"")=0,"",IFERROR(VLOOKUP(A396,Drank!A:S,16,FALSE),""))</f>
        <v/>
      </c>
      <c r="T396" s="10"/>
      <c r="U396" s="37">
        <v>95</v>
      </c>
      <c r="V396" s="18" t="str">
        <f>IF(IFERROR(VLOOKUP(A396,Drank!A:T,19,FALSE),"")=0,"",IFERROR(VLOOKUP(A396,Drank!A:T,19,FALSE),""))</f>
        <v/>
      </c>
      <c r="W396" s="1" t="str">
        <f>IF(IFERROR(VLOOKUP(A396,Drank!A:T,20,FALSE),"")=0,"",IFERROR(VLOOKUP(A396,Drank!A:T,20,FALSE),""))</f>
        <v/>
      </c>
      <c r="X396" s="10">
        <f>SUMIF(A:A,A396,I:I)</f>
        <v>4</v>
      </c>
      <c r="Y396" s="37">
        <f>IF(Table1[[#This Row],[Drank]]&gt;0,VLOOKUP(Table1[[#This Row],[ID]],Drank!A:P,16,FALSE),IF(Table1[[#This Row],[WALDD]]&gt;0,VLOOKUP(Table1[[#This Row],[ID]],Wine1!A:Q,17,FALSE),Table1[[#This Row],[EP]]))</f>
        <v>2035</v>
      </c>
      <c r="Z396" s="18">
        <f>IF(Table1[[#This Row],[My Rating]]="",IF(Table1[[#This Row],[WA Rating Clean]]="","",Table1[[#This Row],[WA Rating Clean]]),Table1[[#This Row],[My Rating]])</f>
        <v>95</v>
      </c>
      <c r="AA396" s="8">
        <v>2022</v>
      </c>
      <c r="AB396" s="128">
        <v>39.99</v>
      </c>
      <c r="AC396" s="2">
        <f t="shared" si="33"/>
        <v>39.99</v>
      </c>
      <c r="AD396" s="8">
        <v>2</v>
      </c>
      <c r="AE396" s="37">
        <f>IF(Table1[[#This Row],[P/750]]&lt;20,1,IF(Table1[[#This Row],[P/750]]&lt;50,2,3))</f>
        <v>2</v>
      </c>
      <c r="AF396" s="37">
        <f>IF(Table1[[#This Row],[P/750]]&lt;Expenses!$C$30,1,IF(Table1[[#This Row],[P/750]]&lt;Expenses!$C$31,2,IF(Table1[[#This Row],[P/750]]&lt;Expenses!$C$32,3,4)))</f>
        <v>3</v>
      </c>
      <c r="AH396" s="37" t="s">
        <v>384</v>
      </c>
      <c r="AI396" s="11">
        <f>Table1[[#This Row],[Price]]/Table1[[#This Row],[Size (ml)]]*750</f>
        <v>39.99</v>
      </c>
      <c r="AJ396" s="37">
        <v>95</v>
      </c>
      <c r="AK396" s="37">
        <f>COUNTIF(UniqueID!A:A,Table1[[#This Row],[ID]])</f>
        <v>1</v>
      </c>
      <c r="AL396" s="37" t="str">
        <f>VLOOKUP(Table1[[#This Row],[Cellar Location]],Location!A:F,6,FALSE)</f>
        <v>S</v>
      </c>
      <c r="AO396" s="37" t="str">
        <f>TEXT(Table1[[#This Row],[Purchased]],"mmmm")</f>
        <v>January</v>
      </c>
      <c r="AP396" s="10" t="str">
        <f>TEXT(Table1[[#This Row],[Purchased]],"yyyy")</f>
        <v>1900</v>
      </c>
      <c r="AQ396" s="10"/>
    </row>
    <row r="397" spans="1:43" s="37" customFormat="1" x14ac:dyDescent="0.25">
      <c r="A397" s="37" t="str">
        <f t="shared" si="32"/>
        <v>2015OdderoBarolo</v>
      </c>
      <c r="B397" s="37">
        <v>2015</v>
      </c>
      <c r="C397" s="9" t="s">
        <v>1173</v>
      </c>
      <c r="D397" s="9" t="s">
        <v>268</v>
      </c>
      <c r="E397" s="37" t="s">
        <v>1206</v>
      </c>
      <c r="F397" s="37" t="s">
        <v>728</v>
      </c>
      <c r="G397" s="37" t="s">
        <v>778</v>
      </c>
      <c r="H397" s="37" t="s">
        <v>268</v>
      </c>
      <c r="I397" s="107">
        <v>1</v>
      </c>
      <c r="J397" s="37">
        <v>375</v>
      </c>
      <c r="K397" s="107" t="s">
        <v>1234</v>
      </c>
      <c r="L397" s="10">
        <f>COUNTIF(Drank!A:A,Table1[[#This Row],[ID]])</f>
        <v>2</v>
      </c>
      <c r="M397" s="37" t="s">
        <v>202</v>
      </c>
      <c r="N397" s="37" t="s">
        <v>207</v>
      </c>
      <c r="O397" s="37">
        <v>1</v>
      </c>
      <c r="P397" s="37">
        <v>2020</v>
      </c>
      <c r="Q397" s="37">
        <v>2035</v>
      </c>
      <c r="R397" s="10">
        <f>IF(IFERROR(VLOOKUP(A397,Drank!A:S,15,FALSE),"")=0,"",IFERROR(VLOOKUP(A397,Drank!A:S,15,FALSE),""))</f>
        <v>2022</v>
      </c>
      <c r="S397" s="10">
        <f>IF(IFERROR(VLOOKUP(A397,Drank!A:S,16,FALSE),"")=0,"",IFERROR(VLOOKUP(A397,Drank!A:S,16,FALSE),""))</f>
        <v>2035</v>
      </c>
      <c r="T397" s="10"/>
      <c r="U397" s="37" t="s">
        <v>74</v>
      </c>
      <c r="V397" s="18">
        <f>IF(IFERROR(VLOOKUP(A397,Drank!A:T,19,FALSE),"")=0,"",IFERROR(VLOOKUP(A397,Drank!A:T,19,FALSE),""))</f>
        <v>93</v>
      </c>
      <c r="W397" s="1">
        <f>IF(IFERROR(VLOOKUP(A397,Drank!A:T,20,FALSE),"")=0,"",IFERROR(VLOOKUP(A397,Drank!A:T,20,FALSE),""))</f>
        <v>43905</v>
      </c>
      <c r="X397" s="10">
        <f>SUMIF(A:A,A397,I:I)</f>
        <v>22</v>
      </c>
      <c r="Y397" s="10">
        <f>IF(Table1[[#This Row],[Drank]]&gt;0,VLOOKUP(Table1[[#This Row],[ID]],Drank!A:P,16,FALSE),IF(Table1[[#This Row],[WALDD]]&gt;0,VLOOKUP(Table1[[#This Row],[ID]],Wine1!A:Q,17,FALSE),Table1[[#This Row],[EP]]))</f>
        <v>2035</v>
      </c>
      <c r="Z397" s="18">
        <f>IF(Table1[[#This Row],[My Rating]]="",IF(Table1[[#This Row],[WA Rating Clean]]="","",Table1[[#This Row],[WA Rating Clean]]),Table1[[#This Row],[My Rating]])</f>
        <v>93</v>
      </c>
      <c r="AA397" s="8">
        <v>2022</v>
      </c>
      <c r="AB397" s="128">
        <v>26.48</v>
      </c>
      <c r="AC397" s="2">
        <f t="shared" si="33"/>
        <v>26.48</v>
      </c>
      <c r="AD397" s="8">
        <v>2</v>
      </c>
      <c r="AE397" s="10">
        <f>IF(Table1[[#This Row],[P/750]]&lt;20,1,IF(Table1[[#This Row],[P/750]]&lt;50,2,3))</f>
        <v>3</v>
      </c>
      <c r="AF397" s="10">
        <f>IF(Table1[[#This Row],[P/750]]&lt;Expenses!$C$30,1,IF(Table1[[#This Row],[P/750]]&lt;Expenses!$C$31,2,IF(Table1[[#This Row],[P/750]]&lt;Expenses!$C$32,3,4)))</f>
        <v>3</v>
      </c>
      <c r="AH397" s="37" t="s">
        <v>1175</v>
      </c>
      <c r="AI397" s="11">
        <f>Table1[[#This Row],[Price]]/Table1[[#This Row],[Size (ml)]]*750</f>
        <v>52.96</v>
      </c>
      <c r="AJ397" s="37">
        <v>93</v>
      </c>
      <c r="AK397" s="10">
        <f>COUNTIF(UniqueID!A:A,Table1[[#This Row],[ID]])</f>
        <v>1</v>
      </c>
      <c r="AL397" s="10" t="str">
        <f>VLOOKUP(Table1[[#This Row],[Cellar Location]],Location!A:F,6,FALSE)</f>
        <v>S</v>
      </c>
      <c r="AN397" s="1">
        <v>43858</v>
      </c>
      <c r="AO397" s="37" t="str">
        <f>TEXT(Table1[[#This Row],[Purchased]],"mmmm")</f>
        <v>January</v>
      </c>
      <c r="AP397" s="10" t="str">
        <f>TEXT(Table1[[#This Row],[Purchased]],"yyyy")</f>
        <v>2020</v>
      </c>
      <c r="AQ397" s="10"/>
    </row>
    <row r="398" spans="1:43" s="37" customFormat="1" x14ac:dyDescent="0.25">
      <c r="A398" s="37" t="str">
        <f t="shared" si="32"/>
        <v>2015OdderoBarolo</v>
      </c>
      <c r="B398" s="37">
        <v>2015</v>
      </c>
      <c r="C398" s="9" t="s">
        <v>1173</v>
      </c>
      <c r="D398" s="9" t="s">
        <v>268</v>
      </c>
      <c r="E398" s="37" t="s">
        <v>1206</v>
      </c>
      <c r="F398" s="37" t="s">
        <v>728</v>
      </c>
      <c r="G398" s="37" t="s">
        <v>778</v>
      </c>
      <c r="H398" s="37" t="s">
        <v>268</v>
      </c>
      <c r="I398" s="107">
        <v>1</v>
      </c>
      <c r="J398" s="37">
        <v>750</v>
      </c>
      <c r="K398" s="107" t="s">
        <v>1235</v>
      </c>
      <c r="L398" s="10">
        <f>COUNTIF(Drank!A:A,Table1[[#This Row],[ID]])</f>
        <v>2</v>
      </c>
      <c r="M398" s="37" t="s">
        <v>202</v>
      </c>
      <c r="N398" s="37" t="s">
        <v>207</v>
      </c>
      <c r="O398" s="37">
        <v>1</v>
      </c>
      <c r="P398" s="37">
        <v>2020</v>
      </c>
      <c r="Q398" s="37">
        <v>2035</v>
      </c>
      <c r="R398" s="10">
        <f>IF(IFERROR(VLOOKUP(A398,Drank!A:S,15,FALSE),"")=0,"",IFERROR(VLOOKUP(A398,Drank!A:S,15,FALSE),""))</f>
        <v>2022</v>
      </c>
      <c r="S398" s="10">
        <f>IF(IFERROR(VLOOKUP(A398,Drank!A:S,16,FALSE),"")=0,"",IFERROR(VLOOKUP(A398,Drank!A:S,16,FALSE),""))</f>
        <v>2035</v>
      </c>
      <c r="T398" s="10"/>
      <c r="U398" s="37" t="s">
        <v>74</v>
      </c>
      <c r="V398" s="18">
        <f>IF(IFERROR(VLOOKUP(A398,Drank!A:T,19,FALSE),"")=0,"",IFERROR(VLOOKUP(A398,Drank!A:T,19,FALSE),""))</f>
        <v>93</v>
      </c>
      <c r="W398" s="1">
        <f>IF(IFERROR(VLOOKUP(A398,Drank!A:T,20,FALSE),"")=0,"",IFERROR(VLOOKUP(A398,Drank!A:T,20,FALSE),""))</f>
        <v>43905</v>
      </c>
      <c r="X398" s="10">
        <f>SUMIF(A:A,A398,I:I)</f>
        <v>22</v>
      </c>
      <c r="Y398" s="10">
        <f>IF(Table1[[#This Row],[Drank]]&gt;0,VLOOKUP(Table1[[#This Row],[ID]],Drank!A:P,16,FALSE),IF(Table1[[#This Row],[WALDD]]&gt;0,VLOOKUP(Table1[[#This Row],[ID]],Wine1!A:Q,17,FALSE),Table1[[#This Row],[EP]]))</f>
        <v>2035</v>
      </c>
      <c r="Z398" s="18">
        <f>IF(Table1[[#This Row],[My Rating]]="",IF(Table1[[#This Row],[WA Rating Clean]]="","",Table1[[#This Row],[WA Rating Clean]]),Table1[[#This Row],[My Rating]])</f>
        <v>93</v>
      </c>
      <c r="AA398" s="8">
        <v>2022</v>
      </c>
      <c r="AB398" s="128">
        <v>40.229999999999997</v>
      </c>
      <c r="AC398" s="2">
        <f t="shared" si="33"/>
        <v>40.229999999999997</v>
      </c>
      <c r="AD398" s="8">
        <v>2</v>
      </c>
      <c r="AE398" s="10">
        <f>IF(Table1[[#This Row],[P/750]]&lt;20,1,IF(Table1[[#This Row],[P/750]]&lt;50,2,3))</f>
        <v>2</v>
      </c>
      <c r="AF398" s="10">
        <f>IF(Table1[[#This Row],[P/750]]&lt;Expenses!$C$30,1,IF(Table1[[#This Row],[P/750]]&lt;Expenses!$C$31,2,IF(Table1[[#This Row],[P/750]]&lt;Expenses!$C$32,3,4)))</f>
        <v>3</v>
      </c>
      <c r="AH398" s="37" t="s">
        <v>1174</v>
      </c>
      <c r="AI398" s="11">
        <f>Table1[[#This Row],[Price]]/Table1[[#This Row],[Size (ml)]]*750</f>
        <v>40.229999999999997</v>
      </c>
      <c r="AJ398" s="37">
        <v>93</v>
      </c>
      <c r="AK398" s="10">
        <f>COUNTIF(UniqueID!A:A,Table1[[#This Row],[ID]])</f>
        <v>1</v>
      </c>
      <c r="AL398" s="10" t="str">
        <f>VLOOKUP(Table1[[#This Row],[Cellar Location]],Location!A:F,6,FALSE)</f>
        <v>S</v>
      </c>
      <c r="AN398" s="1">
        <v>43858</v>
      </c>
      <c r="AO398" s="37" t="str">
        <f>TEXT(Table1[[#This Row],[Purchased]],"mmmm")</f>
        <v>January</v>
      </c>
      <c r="AP398" s="10" t="str">
        <f>TEXT(Table1[[#This Row],[Purchased]],"yyyy")</f>
        <v>2020</v>
      </c>
      <c r="AQ398" s="10"/>
    </row>
    <row r="399" spans="1:43" s="37" customFormat="1" x14ac:dyDescent="0.25">
      <c r="A399" s="37" t="str">
        <f t="shared" si="32"/>
        <v>2016Produttori del BarbarescoBarbaresco</v>
      </c>
      <c r="B399" s="37">
        <v>2016</v>
      </c>
      <c r="C399" s="37" t="s">
        <v>248</v>
      </c>
      <c r="D399" s="37" t="s">
        <v>249</v>
      </c>
      <c r="E399" s="67" t="s">
        <v>1206</v>
      </c>
      <c r="F399" s="37" t="s">
        <v>728</v>
      </c>
      <c r="G399" s="37" t="s">
        <v>778</v>
      </c>
      <c r="H399" s="37" t="s">
        <v>249</v>
      </c>
      <c r="I399" s="107">
        <v>1</v>
      </c>
      <c r="J399" s="37">
        <v>750</v>
      </c>
      <c r="K399" s="107" t="s">
        <v>1408</v>
      </c>
      <c r="L399" s="37">
        <f>COUNTIF(Drank!A:A,Table1[[#This Row],[ID]])</f>
        <v>2</v>
      </c>
      <c r="M399" s="37" t="s">
        <v>202</v>
      </c>
      <c r="N399" s="37" t="s">
        <v>207</v>
      </c>
      <c r="O399" s="37">
        <v>1</v>
      </c>
      <c r="P399" s="37">
        <v>2022</v>
      </c>
      <c r="Q399" s="37">
        <v>2040</v>
      </c>
      <c r="R399" s="10">
        <f>IF(IFERROR(VLOOKUP(A399,Drank!A:S,15,FALSE),"")=0,"",IFERROR(VLOOKUP(A399,Drank!A:S,15,FALSE),""))</f>
        <v>2021</v>
      </c>
      <c r="S399" s="10">
        <f>IF(IFERROR(VLOOKUP(A399,Drank!A:S,16,FALSE),"")=0,"",IFERROR(VLOOKUP(A399,Drank!A:S,16,FALSE),""))</f>
        <v>2032</v>
      </c>
      <c r="T399" s="10"/>
      <c r="U399" s="37">
        <v>95</v>
      </c>
      <c r="V399" s="18">
        <f>IF(IFERROR(VLOOKUP(A399,Drank!A:T,19,FALSE),"")=0,"",IFERROR(VLOOKUP(A399,Drank!A:T,19,FALSE),""))</f>
        <v>95.5</v>
      </c>
      <c r="W399" s="1">
        <f>IF(IFERROR(VLOOKUP(A399,Drank!A:T,20,FALSE),"")=0,"",IFERROR(VLOOKUP(A399,Drank!A:T,20,FALSE),""))</f>
        <v>44079</v>
      </c>
      <c r="X399" s="10">
        <f>SUMIF(A:A,A399,I:I)</f>
        <v>41</v>
      </c>
      <c r="Y399" s="37">
        <f>IF(Table1[[#This Row],[Drank]]&gt;0,VLOOKUP(Table1[[#This Row],[ID]],Drank!A:P,16,FALSE),IF(Table1[[#This Row],[WALDD]]&gt;0,VLOOKUP(Table1[[#This Row],[ID]],Wine1!A:Q,17,FALSE),Table1[[#This Row],[EP]]))</f>
        <v>2032</v>
      </c>
      <c r="Z399" s="18">
        <f>IF(Table1[[#This Row],[My Rating]]="",IF(Table1[[#This Row],[WA Rating Clean]]="","",Table1[[#This Row],[WA Rating Clean]]),Table1[[#This Row],[My Rating]])</f>
        <v>95.5</v>
      </c>
      <c r="AA399" s="8">
        <v>2022</v>
      </c>
      <c r="AB399" s="128">
        <v>46.94</v>
      </c>
      <c r="AC399" s="2">
        <f t="shared" si="33"/>
        <v>46.94</v>
      </c>
      <c r="AD399" s="8">
        <v>2</v>
      </c>
      <c r="AE399" s="37">
        <f>IF(Table1[[#This Row],[P/750]]&lt;20,1,IF(Table1[[#This Row],[P/750]]&lt;50,2,3))</f>
        <v>2</v>
      </c>
      <c r="AF399" s="37">
        <f>IF(Table1[[#This Row],[P/750]]&lt;Expenses!$C$30,1,IF(Table1[[#This Row],[P/750]]&lt;Expenses!$C$31,2,IF(Table1[[#This Row],[P/750]]&lt;Expenses!$C$32,3,4)))</f>
        <v>3</v>
      </c>
      <c r="AH399" s="37" t="s">
        <v>1128</v>
      </c>
      <c r="AI399" s="11">
        <f>Table1[[#This Row],[Price]]/Table1[[#This Row],[Size (ml)]]*750</f>
        <v>46.94</v>
      </c>
      <c r="AJ399" s="37">
        <v>95</v>
      </c>
      <c r="AK399" s="37">
        <f>COUNTIF(UniqueID!A:A,Table1[[#This Row],[ID]])</f>
        <v>1</v>
      </c>
      <c r="AL399" s="37" t="str">
        <f>VLOOKUP(Table1[[#This Row],[Cellar Location]],Location!A:F,6,FALSE)</f>
        <v>S</v>
      </c>
      <c r="AN399" s="1">
        <v>43966</v>
      </c>
      <c r="AO399" s="37" t="str">
        <f>TEXT(Table1[[#This Row],[Purchased]],"mmmm")</f>
        <v>May</v>
      </c>
      <c r="AP399" s="10" t="str">
        <f>TEXT(Table1[[#This Row],[Purchased]],"yyyy")</f>
        <v>2020</v>
      </c>
      <c r="AQ399" s="10"/>
    </row>
    <row r="400" spans="1:43" s="37" customFormat="1" x14ac:dyDescent="0.25">
      <c r="A400" s="37" t="str">
        <f t="shared" si="32"/>
        <v>2016Xavier VignonChateauneuf du Pape Cuvee Anonyme</v>
      </c>
      <c r="B400" s="37">
        <v>2016</v>
      </c>
      <c r="C400" s="37" t="s">
        <v>405</v>
      </c>
      <c r="D400" s="25" t="s">
        <v>454</v>
      </c>
      <c r="E400" s="69" t="s">
        <v>1267</v>
      </c>
      <c r="F400" s="37" t="s">
        <v>742</v>
      </c>
      <c r="G400" s="37" t="s">
        <v>759</v>
      </c>
      <c r="H400" s="9" t="s">
        <v>762</v>
      </c>
      <c r="I400" s="107">
        <v>1</v>
      </c>
      <c r="J400" s="37">
        <v>750</v>
      </c>
      <c r="K400" s="108" t="s">
        <v>590</v>
      </c>
      <c r="L400" s="10">
        <f>COUNTIF(Drank!A:A,Table1[[#This Row],[ID]])</f>
        <v>0</v>
      </c>
      <c r="M400" s="37" t="s">
        <v>202</v>
      </c>
      <c r="N400" s="37" t="s">
        <v>207</v>
      </c>
      <c r="O400" s="37">
        <v>1</v>
      </c>
      <c r="P400" s="10">
        <v>2020</v>
      </c>
      <c r="Q400" s="37">
        <v>2035</v>
      </c>
      <c r="R400" s="10" t="str">
        <f>IF(IFERROR(VLOOKUP(A400,Drank!A:S,15,FALSE),"")=0,"",IFERROR(VLOOKUP(A400,Drank!A:S,15,FALSE),""))</f>
        <v/>
      </c>
      <c r="S400" s="10" t="str">
        <f>IF(IFERROR(VLOOKUP(A400,Drank!A:S,16,FALSE),"")=0,"",IFERROR(VLOOKUP(A400,Drank!A:S,16,FALSE),""))</f>
        <v/>
      </c>
      <c r="T400" s="10"/>
      <c r="U400" s="37">
        <v>95</v>
      </c>
      <c r="V400" s="18" t="str">
        <f>IF(IFERROR(VLOOKUP(A400,Drank!A:T,19,FALSE),"")=0,"",IFERROR(VLOOKUP(A400,Drank!A:T,19,FALSE),""))</f>
        <v/>
      </c>
      <c r="W400" s="1" t="str">
        <f>IF(IFERROR(VLOOKUP(A400,Drank!A:T,20,FALSE),"")=0,"",IFERROR(VLOOKUP(A400,Drank!A:T,20,FALSE),""))</f>
        <v/>
      </c>
      <c r="X400" s="10">
        <f>SUMIF(A:A,A400,I:I)</f>
        <v>4</v>
      </c>
      <c r="Y400" s="10">
        <f>IF(Table1[[#This Row],[Drank]]&gt;0,VLOOKUP(Table1[[#This Row],[ID]],Drank!A:P,16,FALSE),IF(Table1[[#This Row],[WALDD]]&gt;0,VLOOKUP(Table1[[#This Row],[ID]],Wine1!A:Q,17,FALSE),Table1[[#This Row],[EP]]))</f>
        <v>2035</v>
      </c>
      <c r="Z400" s="18">
        <f>IF(Table1[[#This Row],[My Rating]]="",IF(Table1[[#This Row],[WA Rating Clean]]="","",Table1[[#This Row],[WA Rating Clean]]),Table1[[#This Row],[My Rating]])</f>
        <v>95</v>
      </c>
      <c r="AA400" s="37">
        <v>2022</v>
      </c>
      <c r="AB400" s="128">
        <v>39.99</v>
      </c>
      <c r="AC400" s="2">
        <f t="shared" si="33"/>
        <v>39.99</v>
      </c>
      <c r="AD400" s="8">
        <v>2</v>
      </c>
      <c r="AE400" s="10">
        <f>IF(Table1[[#This Row],[P/750]]&lt;20,1,IF(Table1[[#This Row],[P/750]]&lt;50,2,3))</f>
        <v>2</v>
      </c>
      <c r="AF400" s="10">
        <f>IF(Table1[[#This Row],[P/750]]&lt;Expenses!$C$30,1,IF(Table1[[#This Row],[P/750]]&lt;Expenses!$C$31,2,IF(Table1[[#This Row],[P/750]]&lt;Expenses!$C$32,3,4)))</f>
        <v>3</v>
      </c>
      <c r="AH400" s="37" t="s">
        <v>385</v>
      </c>
      <c r="AI400" s="11">
        <f>Table1[[#This Row],[Price]]/Table1[[#This Row],[Size (ml)]]*750</f>
        <v>39.99</v>
      </c>
      <c r="AJ400" s="37">
        <v>95</v>
      </c>
      <c r="AK400" s="37">
        <f>COUNTIF(UniqueID!A:A,Table1[[#This Row],[ID]])</f>
        <v>1</v>
      </c>
      <c r="AL400" s="37" t="str">
        <f>VLOOKUP(Table1[[#This Row],[Cellar Location]],Location!A:F,6,FALSE)</f>
        <v>S</v>
      </c>
      <c r="AO400" s="37" t="str">
        <f>TEXT(Table1[[#This Row],[Purchased]],"mmmm")</f>
        <v>January</v>
      </c>
      <c r="AP400" s="10" t="str">
        <f>TEXT(Table1[[#This Row],[Purchased]],"yyyy")</f>
        <v>1900</v>
      </c>
      <c r="AQ400" s="10"/>
    </row>
    <row r="401" spans="1:43" x14ac:dyDescent="0.25">
      <c r="A401" t="str">
        <f t="shared" si="32"/>
        <v>2016G.D. VajraBarolo Albe</v>
      </c>
      <c r="B401" s="37">
        <v>2016</v>
      </c>
      <c r="C401" s="37" t="s">
        <v>81</v>
      </c>
      <c r="D401" s="37" t="s">
        <v>82</v>
      </c>
      <c r="E401" s="67" t="s">
        <v>1206</v>
      </c>
      <c r="F401" s="37" t="s">
        <v>728</v>
      </c>
      <c r="G401" s="37" t="s">
        <v>778</v>
      </c>
      <c r="H401" s="37" t="s">
        <v>268</v>
      </c>
      <c r="I401" s="8">
        <v>1</v>
      </c>
      <c r="J401" s="38">
        <v>750</v>
      </c>
      <c r="K401" s="38" t="s">
        <v>1139</v>
      </c>
      <c r="L401" s="10">
        <f>COUNTIF(Drank!A:A,Table1[[#This Row],[ID]])</f>
        <v>0</v>
      </c>
      <c r="M401" t="s">
        <v>202</v>
      </c>
      <c r="N401" t="s">
        <v>207</v>
      </c>
      <c r="O401">
        <v>1</v>
      </c>
      <c r="P401" s="10">
        <v>2022</v>
      </c>
      <c r="Q401">
        <v>2035</v>
      </c>
      <c r="R401" s="10" t="str">
        <f>IF(IFERROR(VLOOKUP(A401,Drank!A:S,15,FALSE),"")=0,"",IFERROR(VLOOKUP(A401,Drank!A:S,15,FALSE),""))</f>
        <v/>
      </c>
      <c r="S401" s="10" t="str">
        <f>IF(IFERROR(VLOOKUP(A401,Drank!A:S,16,FALSE),"")=0,"",IFERROR(VLOOKUP(A401,Drank!A:S,16,FALSE),""))</f>
        <v/>
      </c>
      <c r="T401" s="10"/>
      <c r="U401">
        <v>94</v>
      </c>
      <c r="V401" s="18" t="str">
        <f>IF(IFERROR(VLOOKUP(A401,Drank!A:T,19,FALSE),"")=0,"",IFERROR(VLOOKUP(A401,Drank!A:T,19,FALSE),""))</f>
        <v/>
      </c>
      <c r="W401" s="1" t="str">
        <f>IF(IFERROR(VLOOKUP(A401,Drank!A:T,20,FALSE),"")=0,"",IFERROR(VLOOKUP(A401,Drank!A:T,20,FALSE),""))</f>
        <v/>
      </c>
      <c r="X401" s="10">
        <f>SUMIF(A:A,A401,I:I)</f>
        <v>6</v>
      </c>
      <c r="Y401" s="10">
        <f>IF(Table1[[#This Row],[Drank]]&gt;0,VLOOKUP(Table1[[#This Row],[ID]],Drank!A:P,16,FALSE),IF(Table1[[#This Row],[WALDD]]&gt;0,VLOOKUP(Table1[[#This Row],[ID]],Wine1!A:Q,17,FALSE),Table1[[#This Row],[EP]]))</f>
        <v>2035</v>
      </c>
      <c r="Z401" s="18">
        <f>IF(Table1[[#This Row],[My Rating]]="",IF(Table1[[#This Row],[WA Rating Clean]]="","",Table1[[#This Row],[WA Rating Clean]]),Table1[[#This Row],[My Rating]])</f>
        <v>94</v>
      </c>
      <c r="AA401" s="37">
        <v>2022</v>
      </c>
      <c r="AB401" s="128">
        <v>37.14</v>
      </c>
      <c r="AC401" s="2">
        <f t="shared" si="33"/>
        <v>37.14</v>
      </c>
      <c r="AD401" s="8">
        <v>1</v>
      </c>
      <c r="AE401" s="10">
        <f>IF(Table1[[#This Row],[P/750]]&lt;20,1,IF(Table1[[#This Row],[P/750]]&lt;50,2,3))</f>
        <v>2</v>
      </c>
      <c r="AF401" s="10">
        <f>IF(Table1[[#This Row],[P/750]]&lt;Expenses!$C$30,1,IF(Table1[[#This Row],[P/750]]&lt;Expenses!$C$31,2,IF(Table1[[#This Row],[P/750]]&lt;Expenses!$C$32,3,4)))</f>
        <v>3</v>
      </c>
      <c r="AH401" s="37" t="s">
        <v>1139</v>
      </c>
      <c r="AI401" s="11">
        <f>Table1[[#This Row],[Price]]/Table1[[#This Row],[Size (ml)]]*750</f>
        <v>37.14</v>
      </c>
      <c r="AJ401">
        <v>94</v>
      </c>
      <c r="AK401" s="10">
        <f>COUNTIF(UniqueID!A:A,Table1[[#This Row],[ID]])</f>
        <v>0</v>
      </c>
      <c r="AL401" s="10" t="str">
        <f>VLOOKUP(Table1[[#This Row],[Cellar Location]],Location!A:F,6,FALSE)</f>
        <v>W</v>
      </c>
      <c r="AN401" s="1">
        <v>44058</v>
      </c>
      <c r="AO401" s="10" t="str">
        <f>TEXT(Table1[[#This Row],[Purchased]],"mmmm")</f>
        <v>August</v>
      </c>
      <c r="AP401" s="10" t="str">
        <f>TEXT(Table1[[#This Row],[Purchased]],"yyyy")</f>
        <v>2020</v>
      </c>
      <c r="AQ401" s="1">
        <v>44132</v>
      </c>
    </row>
    <row r="402" spans="1:43" x14ac:dyDescent="0.25">
      <c r="A402" t="str">
        <f t="shared" si="32"/>
        <v>2015Doisy-VedrinesDoisy-Vedrines</v>
      </c>
      <c r="B402" s="37">
        <v>2015</v>
      </c>
      <c r="C402" s="9" t="s">
        <v>843</v>
      </c>
      <c r="D402" s="9" t="s">
        <v>843</v>
      </c>
      <c r="E402" s="69" t="s">
        <v>1261</v>
      </c>
      <c r="F402" s="37" t="s">
        <v>742</v>
      </c>
      <c r="G402" s="37" t="s">
        <v>748</v>
      </c>
      <c r="H402" s="37" t="s">
        <v>753</v>
      </c>
      <c r="I402" s="37">
        <v>1</v>
      </c>
      <c r="J402">
        <v>375</v>
      </c>
      <c r="K402" s="8" t="s">
        <v>658</v>
      </c>
      <c r="L402" s="10">
        <f>COUNTIF(Drank!A:A,Table1[[#This Row],[ID]])</f>
        <v>0</v>
      </c>
      <c r="M402" t="s">
        <v>201</v>
      </c>
      <c r="N402" t="s">
        <v>206</v>
      </c>
      <c r="O402">
        <v>1</v>
      </c>
      <c r="P402" s="10">
        <v>2019</v>
      </c>
      <c r="Q402">
        <v>2040</v>
      </c>
      <c r="R402" s="10" t="str">
        <f>IF(IFERROR(VLOOKUP(A402,Drank!A:S,15,FALSE),"")=0,"",IFERROR(VLOOKUP(A402,Drank!A:S,15,FALSE),""))</f>
        <v/>
      </c>
      <c r="S402" s="10" t="str">
        <f>IF(IFERROR(VLOOKUP(A402,Drank!A:S,16,FALSE),"")=0,"",IFERROR(VLOOKUP(A402,Drank!A:S,16,FALSE),""))</f>
        <v/>
      </c>
      <c r="T402" s="10"/>
      <c r="U402" t="s">
        <v>853</v>
      </c>
      <c r="V402" s="18" t="str">
        <f>IF(IFERROR(VLOOKUP(A402,Drank!A:T,19,FALSE),"")=0,"",IFERROR(VLOOKUP(A402,Drank!A:T,19,FALSE),""))</f>
        <v/>
      </c>
      <c r="W402" s="1" t="str">
        <f>IF(IFERROR(VLOOKUP(A402,Drank!A:T,20,FALSE),"")=0,"",IFERROR(VLOOKUP(A402,Drank!A:T,20,FALSE),""))</f>
        <v/>
      </c>
      <c r="X402" s="10">
        <f>SUMIF(A:A,A402,I:I)</f>
        <v>4</v>
      </c>
      <c r="Y402" s="10">
        <f>IF(Table1[[#This Row],[Drank]]&gt;0,VLOOKUP(Table1[[#This Row],[ID]],Drank!A:P,16,FALSE),IF(Table1[[#This Row],[WALDD]]&gt;0,VLOOKUP(Table1[[#This Row],[ID]],Wine1!A:Q,17,FALSE),Table1[[#This Row],[EP]]))</f>
        <v>2040</v>
      </c>
      <c r="Z402" s="18">
        <f>IF(Table1[[#This Row],[My Rating]]="",IF(Table1[[#This Row],[WA Rating Clean]]="","",Table1[[#This Row],[WA Rating Clean]]),Table1[[#This Row],[My Rating]])</f>
        <v>94</v>
      </c>
      <c r="AA402" s="37">
        <v>2022</v>
      </c>
      <c r="AB402" s="128">
        <v>22.99</v>
      </c>
      <c r="AC402" s="2">
        <f t="shared" si="33"/>
        <v>22.99</v>
      </c>
      <c r="AD402" s="8">
        <v>0</v>
      </c>
      <c r="AE402" s="10">
        <f>IF(Table1[[#This Row],[P/750]]&lt;20,1,IF(Table1[[#This Row],[P/750]]&lt;50,2,3))</f>
        <v>2</v>
      </c>
      <c r="AF402" s="10">
        <f>IF(Table1[[#This Row],[P/750]]&lt;Expenses!$C$30,1,IF(Table1[[#This Row],[P/750]]&lt;Expenses!$C$31,2,IF(Table1[[#This Row],[P/750]]&lt;Expenses!$C$32,3,4)))</f>
        <v>3</v>
      </c>
      <c r="AH402" t="s">
        <v>1139</v>
      </c>
      <c r="AI402" s="11">
        <f>Table1[[#This Row],[Price]]/Table1[[#This Row],[Size (ml)]]*750</f>
        <v>45.98</v>
      </c>
      <c r="AJ402">
        <v>94</v>
      </c>
      <c r="AK402" s="10">
        <f>COUNTIF(UniqueID!A:A,Table1[[#This Row],[ID]])</f>
        <v>1</v>
      </c>
      <c r="AL402" s="37" t="str">
        <f>VLOOKUP(Table1[[#This Row],[Cellar Location]],Location!A:F,6,FALSE)</f>
        <v>C</v>
      </c>
      <c r="AN402" s="37"/>
      <c r="AO402" s="37" t="str">
        <f>TEXT(Table1[[#This Row],[Purchased]],"mmmm")</f>
        <v>January</v>
      </c>
      <c r="AP402" s="10" t="str">
        <f>TEXT(Table1[[#This Row],[Purchased]],"yyyy")</f>
        <v>1900</v>
      </c>
      <c r="AQ402" s="10"/>
    </row>
    <row r="403" spans="1:43" x14ac:dyDescent="0.25">
      <c r="A403" s="37" t="str">
        <f t="shared" si="32"/>
        <v>2016Doisy-VedrinesPetit-Vedrines</v>
      </c>
      <c r="B403" s="37">
        <v>2016</v>
      </c>
      <c r="C403" s="37" t="s">
        <v>843</v>
      </c>
      <c r="D403" s="37" t="s">
        <v>1686</v>
      </c>
      <c r="E403" s="69" t="s">
        <v>1688</v>
      </c>
      <c r="F403" s="37" t="s">
        <v>742</v>
      </c>
      <c r="G403" s="37" t="s">
        <v>748</v>
      </c>
      <c r="H403" s="37" t="s">
        <v>260</v>
      </c>
      <c r="I403" s="8">
        <v>1</v>
      </c>
      <c r="J403" s="38">
        <v>375</v>
      </c>
      <c r="K403" s="38" t="s">
        <v>1687</v>
      </c>
      <c r="L403" s="10">
        <f>COUNTIF(Drank!A:A,Table1[[#This Row],[ID]])</f>
        <v>0</v>
      </c>
      <c r="M403" t="s">
        <v>201</v>
      </c>
      <c r="N403" t="s">
        <v>206</v>
      </c>
      <c r="O403">
        <v>0</v>
      </c>
      <c r="P403" s="37"/>
      <c r="R403" s="10" t="str">
        <f>IF(IFERROR(VLOOKUP(A403,Drank!A:S,15,FALSE),"")=0,"",IFERROR(VLOOKUP(A403,Drank!A:S,15,FALSE),""))</f>
        <v/>
      </c>
      <c r="S403" s="10" t="str">
        <f>IF(IFERROR(VLOOKUP(A403,Drank!A:S,16,FALSE),"")=0,"",IFERROR(VLOOKUP(A403,Drank!A:S,16,FALSE),""))</f>
        <v/>
      </c>
      <c r="T403" s="10"/>
      <c r="V403" s="18" t="str">
        <f>IF(IFERROR(VLOOKUP(A403,Drank!A:T,19,FALSE),"")=0,"",IFERROR(VLOOKUP(A403,Drank!A:T,19,FALSE),""))</f>
        <v/>
      </c>
      <c r="W403" s="1" t="str">
        <f>IF(IFERROR(VLOOKUP(A403,Drank!A:T,20,FALSE),"")=0,"",IFERROR(VLOOKUP(A403,Drank!A:T,20,FALSE),""))</f>
        <v/>
      </c>
      <c r="X403" s="10">
        <f>SUMIF(A:A,A403,I:I)</f>
        <v>24</v>
      </c>
      <c r="Y403" s="10">
        <f>IF(Table1[[#This Row],[Drank]]&gt;0,VLOOKUP(Table1[[#This Row],[ID]],Drank!A:P,16,FALSE),IF(Table1[[#This Row],[WALDD]]&gt;0,VLOOKUP(Table1[[#This Row],[ID]],Wine1!A:Q,17,FALSE),Table1[[#This Row],[EP]]))</f>
        <v>0</v>
      </c>
      <c r="Z403" s="18" t="str">
        <f>IF(Table1[[#This Row],[My Rating]]="",IF(Table1[[#This Row],[WA Rating Clean]]="","",Table1[[#This Row],[WA Rating Clean]]),Table1[[#This Row],[My Rating]])</f>
        <v/>
      </c>
      <c r="AA403" s="8">
        <v>2023</v>
      </c>
      <c r="AB403" s="128">
        <v>16.399999999999999</v>
      </c>
      <c r="AC403" s="2">
        <f t="shared" si="33"/>
        <v>16.399999999999999</v>
      </c>
      <c r="AD403" s="8">
        <v>1</v>
      </c>
      <c r="AE403" s="10">
        <f>IF(Table1[[#This Row],[P/750]]&lt;20,1,IF(Table1[[#This Row],[P/750]]&lt;50,2,3))</f>
        <v>2</v>
      </c>
      <c r="AF403" s="10">
        <f>IF(Table1[[#This Row],[P/750]]&lt;Expenses!$C$30,1,IF(Table1[[#This Row],[P/750]]&lt;Expenses!$C$31,2,IF(Table1[[#This Row],[P/750]]&lt;Expenses!$C$32,3,4)))</f>
        <v>3</v>
      </c>
      <c r="AH403" s="37" t="s">
        <v>1189</v>
      </c>
      <c r="AI403" s="11">
        <f>Table1[[#This Row],[Price]]/Table1[[#This Row],[Size (ml)]]*750</f>
        <v>32.799999999999997</v>
      </c>
      <c r="AK403" s="10">
        <f>COUNTIF(UniqueID!A:A,Table1[[#This Row],[ID]])</f>
        <v>0</v>
      </c>
      <c r="AL403" s="10" t="str">
        <f>VLOOKUP(Table1[[#This Row],[Cellar Location]],Location!A:F,6,FALSE)</f>
        <v>W</v>
      </c>
      <c r="AN403" s="1">
        <v>44061</v>
      </c>
      <c r="AO403" s="10" t="str">
        <f>TEXT(Table1[[#This Row],[Purchased]],"mmmm")</f>
        <v>August</v>
      </c>
      <c r="AP403" s="10" t="str">
        <f>TEXT(Table1[[#This Row],[Purchased]],"yyyy")</f>
        <v>2020</v>
      </c>
      <c r="AQ403" s="1">
        <v>44137</v>
      </c>
    </row>
    <row r="404" spans="1:43" x14ac:dyDescent="0.25">
      <c r="A404" s="37" t="str">
        <f t="shared" si="32"/>
        <v>2016Doisy-VedrinesPetit-Vedrines</v>
      </c>
      <c r="B404" s="37">
        <v>2016</v>
      </c>
      <c r="C404" s="37" t="s">
        <v>843</v>
      </c>
      <c r="D404" s="37" t="s">
        <v>1686</v>
      </c>
      <c r="E404" s="69" t="s">
        <v>1688</v>
      </c>
      <c r="F404" s="37" t="s">
        <v>742</v>
      </c>
      <c r="G404" s="37" t="s">
        <v>748</v>
      </c>
      <c r="H404" s="37" t="s">
        <v>260</v>
      </c>
      <c r="I404" s="8">
        <v>1</v>
      </c>
      <c r="J404" s="38">
        <v>375</v>
      </c>
      <c r="K404" s="38" t="s">
        <v>1687</v>
      </c>
      <c r="L404" s="10">
        <f>COUNTIF(Drank!A:A,Table1[[#This Row],[ID]])</f>
        <v>0</v>
      </c>
      <c r="M404" t="s">
        <v>201</v>
      </c>
      <c r="N404" t="s">
        <v>206</v>
      </c>
      <c r="O404">
        <v>0</v>
      </c>
      <c r="P404" s="37"/>
      <c r="R404" s="10" t="str">
        <f>IF(IFERROR(VLOOKUP(A404,Drank!A:S,15,FALSE),"")=0,"",IFERROR(VLOOKUP(A404,Drank!A:S,15,FALSE),""))</f>
        <v/>
      </c>
      <c r="S404" s="10" t="str">
        <f>IF(IFERROR(VLOOKUP(A404,Drank!A:S,16,FALSE),"")=0,"",IFERROR(VLOOKUP(A404,Drank!A:S,16,FALSE),""))</f>
        <v/>
      </c>
      <c r="T404" s="10"/>
      <c r="V404" s="18" t="str">
        <f>IF(IFERROR(VLOOKUP(A404,Drank!A:T,19,FALSE),"")=0,"",IFERROR(VLOOKUP(A404,Drank!A:T,19,FALSE),""))</f>
        <v/>
      </c>
      <c r="W404" s="1" t="str">
        <f>IF(IFERROR(VLOOKUP(A404,Drank!A:T,20,FALSE),"")=0,"",IFERROR(VLOOKUP(A404,Drank!A:T,20,FALSE),""))</f>
        <v/>
      </c>
      <c r="X404" s="10">
        <f>SUMIF(A:A,A404,I:I)</f>
        <v>24</v>
      </c>
      <c r="Y404" s="10">
        <f>IF(Table1[[#This Row],[Drank]]&gt;0,VLOOKUP(Table1[[#This Row],[ID]],Drank!A:P,16,FALSE),IF(Table1[[#This Row],[WALDD]]&gt;0,VLOOKUP(Table1[[#This Row],[ID]],Wine1!A:Q,17,FALSE),Table1[[#This Row],[EP]]))</f>
        <v>0</v>
      </c>
      <c r="Z404" s="18" t="str">
        <f>IF(Table1[[#This Row],[My Rating]]="",IF(Table1[[#This Row],[WA Rating Clean]]="","",Table1[[#This Row],[WA Rating Clean]]),Table1[[#This Row],[My Rating]])</f>
        <v/>
      </c>
      <c r="AA404" s="8">
        <v>2023</v>
      </c>
      <c r="AB404" s="128">
        <v>16.399999999999999</v>
      </c>
      <c r="AC404" s="2">
        <f t="shared" si="33"/>
        <v>16.399999999999999</v>
      </c>
      <c r="AD404" s="8">
        <v>1</v>
      </c>
      <c r="AE404" s="10">
        <f>IF(Table1[[#This Row],[P/750]]&lt;20,1,IF(Table1[[#This Row],[P/750]]&lt;50,2,3))</f>
        <v>2</v>
      </c>
      <c r="AF404" s="10">
        <f>IF(Table1[[#This Row],[P/750]]&lt;Expenses!$C$30,1,IF(Table1[[#This Row],[P/750]]&lt;Expenses!$C$31,2,IF(Table1[[#This Row],[P/750]]&lt;Expenses!$C$32,3,4)))</f>
        <v>3</v>
      </c>
      <c r="AH404" t="s">
        <v>1189</v>
      </c>
      <c r="AI404" s="11">
        <f>Table1[[#This Row],[Price]]/Table1[[#This Row],[Size (ml)]]*750</f>
        <v>32.799999999999997</v>
      </c>
      <c r="AK404" s="10">
        <f>COUNTIF(UniqueID!A:A,Table1[[#This Row],[ID]])</f>
        <v>0</v>
      </c>
      <c r="AL404" s="10" t="str">
        <f>VLOOKUP(Table1[[#This Row],[Cellar Location]],Location!A:F,6,FALSE)</f>
        <v>W</v>
      </c>
      <c r="AN404" s="1">
        <v>44061</v>
      </c>
      <c r="AO404" s="10" t="str">
        <f>TEXT(Table1[[#This Row],[Purchased]],"mmmm")</f>
        <v>August</v>
      </c>
      <c r="AP404" s="10" t="str">
        <f>TEXT(Table1[[#This Row],[Purchased]],"yyyy")</f>
        <v>2020</v>
      </c>
      <c r="AQ404" s="1">
        <v>44137</v>
      </c>
    </row>
    <row r="405" spans="1:43" x14ac:dyDescent="0.25">
      <c r="A405" t="str">
        <f t="shared" si="32"/>
        <v>2010Cosimo TaurinoSalice Salentino Riserva</v>
      </c>
      <c r="B405" s="8">
        <v>2010</v>
      </c>
      <c r="C405" s="37" t="s">
        <v>56</v>
      </c>
      <c r="D405" s="8" t="s">
        <v>57</v>
      </c>
      <c r="E405" s="67" t="s">
        <v>1204</v>
      </c>
      <c r="F405" s="37" t="s">
        <v>728</v>
      </c>
      <c r="G405" s="37" t="s">
        <v>785</v>
      </c>
      <c r="H405" s="37" t="s">
        <v>769</v>
      </c>
      <c r="I405" s="37">
        <v>1</v>
      </c>
      <c r="J405" s="37">
        <v>750</v>
      </c>
      <c r="K405" s="8" t="s">
        <v>1828</v>
      </c>
      <c r="L405" s="10">
        <f>COUNTIF(Drank!A:A,Table1[[#This Row],[ID]])</f>
        <v>33</v>
      </c>
      <c r="M405" t="s">
        <v>202</v>
      </c>
      <c r="N405" t="s">
        <v>207</v>
      </c>
      <c r="O405">
        <v>1</v>
      </c>
      <c r="P405" s="10"/>
      <c r="R405" s="10">
        <f>IF(IFERROR(VLOOKUP(A405,Drank!A:S,15,FALSE),"")=0,"",IFERROR(VLOOKUP(A405,Drank!A:S,15,FALSE),""))</f>
        <v>2020</v>
      </c>
      <c r="S405" s="10">
        <f>IF(IFERROR(VLOOKUP(A405,Drank!A:S,16,FALSE),"")=0,"",IFERROR(VLOOKUP(A405,Drank!A:S,16,FALSE),""))</f>
        <v>2021</v>
      </c>
      <c r="T405" s="10"/>
      <c r="V405" s="18">
        <f>IF(IFERROR(VLOOKUP(A405,Drank!A:T,19,FALSE),"")=0,"",IFERROR(VLOOKUP(A405,Drank!A:T,19,FALSE),""))</f>
        <v>89.46875</v>
      </c>
      <c r="W405" s="1">
        <f>IF(IFERROR(VLOOKUP(A405,Drank!A:T,20,FALSE),"")=0,"",IFERROR(VLOOKUP(A405,Drank!A:T,20,FALSE),""))</f>
        <v>44092</v>
      </c>
      <c r="X405" s="10">
        <f>SUMIF(A:A,A405,I:I)</f>
        <v>19</v>
      </c>
      <c r="Y405" s="10">
        <f>IF(Table1[[#This Row],[Drank]]&gt;0,VLOOKUP(Table1[[#This Row],[ID]],Drank!A:P,16,FALSE),IF(Table1[[#This Row],[WALDD]]&gt;0,VLOOKUP(Table1[[#This Row],[ID]],Wine1!A:Q,17,FALSE),Table1[[#This Row],[EP]]))</f>
        <v>2021</v>
      </c>
      <c r="Z405" s="18">
        <f>IF(Table1[[#This Row],[My Rating]]="",IF(Table1[[#This Row],[WA Rating Clean]]="","",Table1[[#This Row],[WA Rating Clean]]),Table1[[#This Row],[My Rating]])</f>
        <v>89.46875</v>
      </c>
      <c r="AA405" s="37">
        <v>2023</v>
      </c>
      <c r="AB405" s="128">
        <v>14.65</v>
      </c>
      <c r="AC405" s="2">
        <f t="shared" si="33"/>
        <v>14.65</v>
      </c>
      <c r="AD405" s="8">
        <v>1</v>
      </c>
      <c r="AE405" s="10">
        <f>IF(Table1[[#This Row],[P/750]]&lt;20,1,IF(Table1[[#This Row],[P/750]]&lt;50,2,3))</f>
        <v>1</v>
      </c>
      <c r="AF405" s="10">
        <f>IF(Table1[[#This Row],[P/750]]&lt;Expenses!$C$30,1,IF(Table1[[#This Row],[P/750]]&lt;Expenses!$C$31,2,IF(Table1[[#This Row],[P/750]]&lt;Expenses!$C$32,3,4)))</f>
        <v>1</v>
      </c>
      <c r="AH405" t="s">
        <v>1128</v>
      </c>
      <c r="AI405" s="11">
        <f>Table1[[#This Row],[Price]]/Table1[[#This Row],[Size (ml)]]*750</f>
        <v>14.65</v>
      </c>
      <c r="AK405" s="10">
        <f>COUNTIF(UniqueID!A:A,Table1[[#This Row],[ID]])</f>
        <v>1</v>
      </c>
      <c r="AL405" s="10" t="str">
        <f>VLOOKUP(Table1[[#This Row],[Cellar Location]],Location!A:F,6,FALSE)</f>
        <v>C</v>
      </c>
      <c r="AN405" s="1">
        <v>44070</v>
      </c>
      <c r="AO405" s="10" t="str">
        <f>TEXT(Table1[[#This Row],[Purchased]],"mmmm")</f>
        <v>August</v>
      </c>
      <c r="AP405" s="10" t="str">
        <f>TEXT(Table1[[#This Row],[Purchased]],"yyyy")</f>
        <v>2020</v>
      </c>
      <c r="AQ405" s="1"/>
    </row>
    <row r="406" spans="1:43" x14ac:dyDescent="0.25">
      <c r="A406" s="8" t="str">
        <f t="shared" si="32"/>
        <v>2010Diez-CaballeroReserva</v>
      </c>
      <c r="B406" s="37">
        <v>2010</v>
      </c>
      <c r="C406" s="8" t="s">
        <v>1216</v>
      </c>
      <c r="D406" s="37" t="s">
        <v>106</v>
      </c>
      <c r="E406" s="67" t="s">
        <v>1220</v>
      </c>
      <c r="F406" s="37" t="s">
        <v>729</v>
      </c>
      <c r="G406" s="37" t="s">
        <v>823</v>
      </c>
      <c r="I406" s="107">
        <v>1</v>
      </c>
      <c r="J406">
        <v>750</v>
      </c>
      <c r="K406" s="107" t="s">
        <v>653</v>
      </c>
      <c r="L406" s="10">
        <f>COUNTIF(Drank!A:A,Table1[[#This Row],[ID]])</f>
        <v>3</v>
      </c>
      <c r="M406" t="s">
        <v>202</v>
      </c>
      <c r="N406" t="s">
        <v>207</v>
      </c>
      <c r="O406">
        <v>1</v>
      </c>
      <c r="P406" s="37">
        <v>2016</v>
      </c>
      <c r="Q406">
        <v>2022</v>
      </c>
      <c r="R406" s="10">
        <f>IF(IFERROR(VLOOKUP(A406,Drank!A:S,15,FALSE),"")=0,"",IFERROR(VLOOKUP(A406,Drank!A:S,15,FALSE),""))</f>
        <v>2020</v>
      </c>
      <c r="S406" s="10">
        <f>IF(IFERROR(VLOOKUP(A406,Drank!A:S,16,FALSE),"")=0,"",IFERROR(VLOOKUP(A406,Drank!A:S,16,FALSE),""))</f>
        <v>2021</v>
      </c>
      <c r="T406" s="10"/>
      <c r="U406" t="s">
        <v>196</v>
      </c>
      <c r="V406" s="18">
        <f>IF(IFERROR(VLOOKUP(A406,Drank!A:T,19,FALSE),"")=0,"",IFERROR(VLOOKUP(A406,Drank!A:T,19,FALSE),""))</f>
        <v>91</v>
      </c>
      <c r="W406" s="1">
        <f>IF(IFERROR(VLOOKUP(A406,Drank!A:T,20,FALSE),"")=0,"",IFERROR(VLOOKUP(A406,Drank!A:T,20,FALSE),""))</f>
        <v>44009</v>
      </c>
      <c r="X406" s="10">
        <f>SUMIF(A:A,A406,I:I)</f>
        <v>9</v>
      </c>
      <c r="Y406" s="10">
        <f>IF(Table1[[#This Row],[Drank]]&gt;0,VLOOKUP(Table1[[#This Row],[ID]],Drank!A:P,16,FALSE),IF(Table1[[#This Row],[WALDD]]&gt;0,VLOOKUP(Table1[[#This Row],[ID]],Wine1!A:Q,17,FALSE),Table1[[#This Row],[EP]]))</f>
        <v>2021</v>
      </c>
      <c r="Z406" s="18">
        <f>IF(Table1[[#This Row],[My Rating]]="",IF(Table1[[#This Row],[WA Rating Clean]]="","",Table1[[#This Row],[WA Rating Clean]]),Table1[[#This Row],[My Rating]])</f>
        <v>91</v>
      </c>
      <c r="AA406" s="37">
        <v>2023</v>
      </c>
      <c r="AB406" s="128">
        <v>16.28</v>
      </c>
      <c r="AC406" s="2">
        <f t="shared" si="33"/>
        <v>16.28</v>
      </c>
      <c r="AD406" s="8">
        <v>2</v>
      </c>
      <c r="AE406" s="61">
        <f>IF(Table1[[#This Row],[P/750]]&lt;20,1,IF(Table1[[#This Row],[P/750]]&lt;50,2,3))</f>
        <v>1</v>
      </c>
      <c r="AF406" s="61">
        <f>IF(Table1[[#This Row],[P/750]]&lt;Expenses!$C$30,1,IF(Table1[[#This Row],[P/750]]&lt;Expenses!$C$31,2,IF(Table1[[#This Row],[P/750]]&lt;Expenses!$C$32,3,4)))</f>
        <v>1</v>
      </c>
      <c r="AH406" s="37" t="s">
        <v>384</v>
      </c>
      <c r="AI406" s="11">
        <f>Table1[[#This Row],[Price]]/Table1[[#This Row],[Size (ml)]]*750</f>
        <v>16.28</v>
      </c>
      <c r="AJ406">
        <v>91</v>
      </c>
      <c r="AK406" s="10">
        <f>COUNTIF(UniqueID!A:A,Table1[[#This Row],[ID]])</f>
        <v>0</v>
      </c>
      <c r="AL406" s="10" t="str">
        <f>VLOOKUP(Table1[[#This Row],[Cellar Location]],Location!A:F,6,FALSE)</f>
        <v>S</v>
      </c>
      <c r="AN406" s="1">
        <v>44000</v>
      </c>
      <c r="AO406" s="10" t="str">
        <f>TEXT(Table1[[#This Row],[Purchased]],"mmmm")</f>
        <v>June</v>
      </c>
      <c r="AP406" s="10" t="str">
        <f>TEXT(Table1[[#This Row],[Purchased]],"yyyy")</f>
        <v>2020</v>
      </c>
      <c r="AQ406" s="10"/>
    </row>
    <row r="407" spans="1:43" x14ac:dyDescent="0.25">
      <c r="A407" s="37" t="str">
        <f t="shared" si="32"/>
        <v>2010Cosimo TaurinoSalice Salentino Riserva</v>
      </c>
      <c r="B407" s="8">
        <v>2010</v>
      </c>
      <c r="C407" s="9" t="s">
        <v>56</v>
      </c>
      <c r="D407" s="19" t="s">
        <v>57</v>
      </c>
      <c r="E407" s="67" t="s">
        <v>1204</v>
      </c>
      <c r="F407" s="37" t="s">
        <v>728</v>
      </c>
      <c r="G407" s="37" t="s">
        <v>785</v>
      </c>
      <c r="H407" s="37" t="s">
        <v>769</v>
      </c>
      <c r="I407" s="107">
        <v>1</v>
      </c>
      <c r="J407">
        <v>750</v>
      </c>
      <c r="K407" s="107" t="s">
        <v>643</v>
      </c>
      <c r="L407" s="37">
        <f>COUNTIF(Drank!A:A,Table1[[#This Row],[ID]])</f>
        <v>33</v>
      </c>
      <c r="M407" t="s">
        <v>202</v>
      </c>
      <c r="N407" t="s">
        <v>207</v>
      </c>
      <c r="O407">
        <v>1</v>
      </c>
      <c r="P407" s="37"/>
      <c r="R407" s="37">
        <f>IF(IFERROR(VLOOKUP(A407,Drank!A:S,15,FALSE),"")=0,"",IFERROR(VLOOKUP(A407,Drank!A:S,15,FALSE),""))</f>
        <v>2020</v>
      </c>
      <c r="S407" s="37">
        <f>IF(IFERROR(VLOOKUP(A407,Drank!A:S,16,FALSE),"")=0,"",IFERROR(VLOOKUP(A407,Drank!A:S,16,FALSE),""))</f>
        <v>2021</v>
      </c>
      <c r="T407" s="37"/>
      <c r="V407" s="18">
        <f>IF(IFERROR(VLOOKUP(A407,Drank!A:T,19,FALSE),"")=0,"",IFERROR(VLOOKUP(A407,Drank!A:T,19,FALSE),""))</f>
        <v>89.46875</v>
      </c>
      <c r="W407" s="1">
        <f>IF(IFERROR(VLOOKUP(A407,Drank!A:T,20,FALSE),"")=0,"",IFERROR(VLOOKUP(A407,Drank!A:T,20,FALSE),""))</f>
        <v>44092</v>
      </c>
      <c r="X407" s="37">
        <f>SUMIF(A:A,A407,I:I)</f>
        <v>19</v>
      </c>
      <c r="Y407" s="37">
        <f>IF(Table1[[#This Row],[Drank]]&gt;0,VLOOKUP(Table1[[#This Row],[ID]],Drank!A:P,16,FALSE),IF(Table1[[#This Row],[WALDD]]&gt;0,VLOOKUP(Table1[[#This Row],[ID]],Wine1!A:Q,17,FALSE),Table1[[#This Row],[EP]]))</f>
        <v>2021</v>
      </c>
      <c r="Z407" s="18">
        <f>IF(Table1[[#This Row],[My Rating]]="",IF(Table1[[#This Row],[WA Rating Clean]]="","",Table1[[#This Row],[WA Rating Clean]]),Table1[[#This Row],[My Rating]])</f>
        <v>89.46875</v>
      </c>
      <c r="AA407" s="37">
        <v>2023</v>
      </c>
      <c r="AB407" s="14">
        <v>11.69</v>
      </c>
      <c r="AC407" s="2">
        <f t="shared" si="33"/>
        <v>11.69</v>
      </c>
      <c r="AD407" s="8">
        <v>2</v>
      </c>
      <c r="AE407" s="37">
        <f>IF(Table1[[#This Row],[P/750]]&lt;20,1,IF(Table1[[#This Row],[P/750]]&lt;50,2,3))</f>
        <v>1</v>
      </c>
      <c r="AF407" s="37">
        <f>IF(Table1[[#This Row],[P/750]]&lt;Expenses!$C$30,1,IF(Table1[[#This Row],[P/750]]&lt;Expenses!$C$31,2,IF(Table1[[#This Row],[P/750]]&lt;Expenses!$C$32,3,4)))</f>
        <v>1</v>
      </c>
      <c r="AH407" s="37" t="s">
        <v>1128</v>
      </c>
      <c r="AI407" s="11">
        <f>Table1[[#This Row],[Price]]/Table1[[#This Row],[Size (ml)]]*750</f>
        <v>11.69</v>
      </c>
      <c r="AK407" s="37">
        <f>COUNTIF(UniqueID!A:A,Table1[[#This Row],[ID]])</f>
        <v>1</v>
      </c>
      <c r="AL407" s="37" t="str">
        <f>VLOOKUP(Table1[[#This Row],[Cellar Location]],Location!A:F,6,FALSE)</f>
        <v>S</v>
      </c>
      <c r="AN407" s="37"/>
      <c r="AO407" s="37" t="str">
        <f>TEXT(Table1[[#This Row],[Purchased]],"mmmm")</f>
        <v>January</v>
      </c>
      <c r="AP407" s="10" t="str">
        <f>TEXT(Table1[[#This Row],[Purchased]],"yyyy")</f>
        <v>1900</v>
      </c>
      <c r="AQ407" s="10"/>
    </row>
    <row r="408" spans="1:43" x14ac:dyDescent="0.25">
      <c r="A408" s="37" t="str">
        <f t="shared" si="32"/>
        <v>2010Cosimo TaurinoSalice Salentino Riserva</v>
      </c>
      <c r="B408" s="8">
        <v>2010</v>
      </c>
      <c r="C408" s="9" t="s">
        <v>56</v>
      </c>
      <c r="D408" s="19" t="s">
        <v>57</v>
      </c>
      <c r="E408" s="67" t="s">
        <v>1204</v>
      </c>
      <c r="F408" s="37" t="s">
        <v>728</v>
      </c>
      <c r="G408" s="37" t="s">
        <v>785</v>
      </c>
      <c r="H408" s="37" t="s">
        <v>769</v>
      </c>
      <c r="I408" s="107">
        <v>1</v>
      </c>
      <c r="J408" s="37">
        <v>750</v>
      </c>
      <c r="K408" s="107" t="s">
        <v>643</v>
      </c>
      <c r="L408" s="37">
        <f>COUNTIF(Drank!A:A,Table1[[#This Row],[ID]])</f>
        <v>33</v>
      </c>
      <c r="M408" t="s">
        <v>202</v>
      </c>
      <c r="N408" t="s">
        <v>207</v>
      </c>
      <c r="O408">
        <v>1</v>
      </c>
      <c r="P408" s="37"/>
      <c r="R408" s="37">
        <f>IF(IFERROR(VLOOKUP(A408,Drank!A:S,15,FALSE),"")=0,"",IFERROR(VLOOKUP(A408,Drank!A:S,15,FALSE),""))</f>
        <v>2020</v>
      </c>
      <c r="S408" s="37">
        <f>IF(IFERROR(VLOOKUP(A408,Drank!A:S,16,FALSE),"")=0,"",IFERROR(VLOOKUP(A408,Drank!A:S,16,FALSE),""))</f>
        <v>2021</v>
      </c>
      <c r="T408" s="37"/>
      <c r="V408" s="18">
        <f>IF(IFERROR(VLOOKUP(A408,Drank!A:T,19,FALSE),"")=0,"",IFERROR(VLOOKUP(A408,Drank!A:T,19,FALSE),""))</f>
        <v>89.46875</v>
      </c>
      <c r="W408" s="1">
        <f>IF(IFERROR(VLOOKUP(A408,Drank!A:T,20,FALSE),"")=0,"",IFERROR(VLOOKUP(A408,Drank!A:T,20,FALSE),""))</f>
        <v>44092</v>
      </c>
      <c r="X408" s="37">
        <f>SUMIF(A:A,A408,I:I)</f>
        <v>19</v>
      </c>
      <c r="Y408" s="37">
        <f>IF(Table1[[#This Row],[Drank]]&gt;0,VLOOKUP(Table1[[#This Row],[ID]],Drank!A:P,16,FALSE),IF(Table1[[#This Row],[WALDD]]&gt;0,VLOOKUP(Table1[[#This Row],[ID]],Wine1!A:Q,17,FALSE),Table1[[#This Row],[EP]]))</f>
        <v>2021</v>
      </c>
      <c r="Z408" s="18">
        <f>IF(Table1[[#This Row],[My Rating]]="",IF(Table1[[#This Row],[WA Rating Clean]]="","",Table1[[#This Row],[WA Rating Clean]]),Table1[[#This Row],[My Rating]])</f>
        <v>89.46875</v>
      </c>
      <c r="AA408" s="37">
        <v>2023</v>
      </c>
      <c r="AB408" s="14">
        <v>11.69</v>
      </c>
      <c r="AC408" s="2">
        <f t="shared" si="33"/>
        <v>11.69</v>
      </c>
      <c r="AD408" s="8">
        <v>2</v>
      </c>
      <c r="AE408" s="37">
        <f>IF(Table1[[#This Row],[P/750]]&lt;20,1,IF(Table1[[#This Row],[P/750]]&lt;50,2,3))</f>
        <v>1</v>
      </c>
      <c r="AF408" s="37">
        <f>IF(Table1[[#This Row],[P/750]]&lt;Expenses!$C$30,1,IF(Table1[[#This Row],[P/750]]&lt;Expenses!$C$31,2,IF(Table1[[#This Row],[P/750]]&lt;Expenses!$C$32,3,4)))</f>
        <v>1</v>
      </c>
      <c r="AH408" s="37" t="s">
        <v>1128</v>
      </c>
      <c r="AI408" s="11">
        <f>Table1[[#This Row],[Price]]/Table1[[#This Row],[Size (ml)]]*750</f>
        <v>11.69</v>
      </c>
      <c r="AJ408" s="37"/>
      <c r="AK408" s="37">
        <f>COUNTIF(UniqueID!A:A,Table1[[#This Row],[ID]])</f>
        <v>1</v>
      </c>
      <c r="AL408" s="37" t="str">
        <f>VLOOKUP(Table1[[#This Row],[Cellar Location]],Location!A:F,6,FALSE)</f>
        <v>S</v>
      </c>
      <c r="AN408" s="37"/>
      <c r="AO408" s="37" t="str">
        <f>TEXT(Table1[[#This Row],[Purchased]],"mmmm")</f>
        <v>January</v>
      </c>
      <c r="AP408" s="10" t="str">
        <f>TEXT(Table1[[#This Row],[Purchased]],"yyyy")</f>
        <v>1900</v>
      </c>
      <c r="AQ408" s="10"/>
    </row>
    <row r="409" spans="1:43" x14ac:dyDescent="0.25">
      <c r="A409" t="str">
        <f t="shared" si="32"/>
        <v>2016Diez-CaballeroCrianza</v>
      </c>
      <c r="B409" s="8">
        <v>2016</v>
      </c>
      <c r="C409" s="19" t="s">
        <v>1216</v>
      </c>
      <c r="D409" s="9" t="s">
        <v>108</v>
      </c>
      <c r="E409" s="67" t="s">
        <v>1220</v>
      </c>
      <c r="F409" s="37" t="s">
        <v>729</v>
      </c>
      <c r="G409" s="37" t="s">
        <v>823</v>
      </c>
      <c r="I409" s="107">
        <v>1</v>
      </c>
      <c r="J409" s="37">
        <v>750</v>
      </c>
      <c r="K409" s="107" t="s">
        <v>926</v>
      </c>
      <c r="L409" s="10">
        <f>COUNTIF(Drank!A:A,Table1[[#This Row],[ID]])</f>
        <v>1</v>
      </c>
      <c r="M409" t="s">
        <v>202</v>
      </c>
      <c r="N409" t="s">
        <v>207</v>
      </c>
      <c r="O409">
        <v>1</v>
      </c>
      <c r="P409" s="37"/>
      <c r="R409" s="10">
        <f>IF(IFERROR(VLOOKUP(A409,Drank!A:S,15,FALSE),"")=0,"",IFERROR(VLOOKUP(A409,Drank!A:S,15,FALSE),""))</f>
        <v>2020</v>
      </c>
      <c r="S409" s="10">
        <f>IF(IFERROR(VLOOKUP(A409,Drank!A:S,16,FALSE),"")=0,"",IFERROR(VLOOKUP(A409,Drank!A:S,16,FALSE),""))</f>
        <v>2022</v>
      </c>
      <c r="T409" s="10">
        <v>2023</v>
      </c>
      <c r="V409" s="18">
        <f>IF(IFERROR(VLOOKUP(A409,Drank!A:T,19,FALSE),"")=0,"",IFERROR(VLOOKUP(A409,Drank!A:T,19,FALSE),""))</f>
        <v>90</v>
      </c>
      <c r="W409" s="1">
        <f>IF(IFERROR(VLOOKUP(A409,Drank!A:T,20,FALSE),"")=0,"",IFERROR(VLOOKUP(A409,Drank!A:T,20,FALSE),""))</f>
        <v>43823</v>
      </c>
      <c r="X409" s="10">
        <f>SUMIF(A:A,A409,I:I)</f>
        <v>3</v>
      </c>
      <c r="Y409" s="10">
        <f>IF(Table1[[#This Row],[Drank]]&gt;0,VLOOKUP(Table1[[#This Row],[ID]],Drank!A:P,16,FALSE),IF(Table1[[#This Row],[WALDD]]&gt;0,VLOOKUP(Table1[[#This Row],[ID]],Wine1!A:Q,17,FALSE),Table1[[#This Row],[EP]]))</f>
        <v>2022</v>
      </c>
      <c r="Z409" s="18">
        <f>IF(Table1[[#This Row],[My Rating]]="",IF(Table1[[#This Row],[WA Rating Clean]]="","",Table1[[#This Row],[WA Rating Clean]]),Table1[[#This Row],[My Rating]])</f>
        <v>90</v>
      </c>
      <c r="AA409" s="37">
        <v>2023</v>
      </c>
      <c r="AB409" s="128">
        <v>13.99</v>
      </c>
      <c r="AC409" s="2">
        <f t="shared" si="33"/>
        <v>13.99</v>
      </c>
      <c r="AD409" s="8">
        <v>2</v>
      </c>
      <c r="AE409" s="10">
        <f>IF(Table1[[#This Row],[P/750]]&lt;20,1,IF(Table1[[#This Row],[P/750]]&lt;50,2,3))</f>
        <v>1</v>
      </c>
      <c r="AF409" s="10">
        <f>IF(Table1[[#This Row],[P/750]]&lt;Expenses!$C$30,1,IF(Table1[[#This Row],[P/750]]&lt;Expenses!$C$31,2,IF(Table1[[#This Row],[P/750]]&lt;Expenses!$C$32,3,4)))</f>
        <v>1</v>
      </c>
      <c r="AH409" s="37" t="s">
        <v>384</v>
      </c>
      <c r="AI409" s="11">
        <f>Table1[[#This Row],[Price]]/Table1[[#This Row],[Size (ml)]]*750</f>
        <v>13.99</v>
      </c>
      <c r="AJ409" s="37"/>
      <c r="AK409" s="10">
        <f>COUNTIF(UniqueID!A:A,Table1[[#This Row],[ID]])</f>
        <v>1</v>
      </c>
      <c r="AL409" s="37" t="str">
        <f>VLOOKUP(Table1[[#This Row],[Cellar Location]],Location!A:F,6,FALSE)</f>
        <v>S</v>
      </c>
      <c r="AN409" s="1">
        <v>43816</v>
      </c>
      <c r="AO409" t="str">
        <f>TEXT(Table1[[#This Row],[Purchased]],"mmmm")</f>
        <v>December</v>
      </c>
      <c r="AP409" s="10" t="str">
        <f>TEXT(Table1[[#This Row],[Purchased]],"yyyy")</f>
        <v>2019</v>
      </c>
      <c r="AQ409" s="10"/>
    </row>
    <row r="410" spans="1:43" x14ac:dyDescent="0.25">
      <c r="A410" t="str">
        <f t="shared" si="32"/>
        <v>2015Diez-CaballeroCrianza</v>
      </c>
      <c r="B410" s="8">
        <v>2015</v>
      </c>
      <c r="C410" s="19" t="s">
        <v>1216</v>
      </c>
      <c r="D410" s="9" t="s">
        <v>108</v>
      </c>
      <c r="E410" s="67" t="s">
        <v>1220</v>
      </c>
      <c r="F410" s="37" t="s">
        <v>729</v>
      </c>
      <c r="G410" s="37" t="s">
        <v>823</v>
      </c>
      <c r="I410" s="107">
        <v>1</v>
      </c>
      <c r="J410" s="37">
        <v>750</v>
      </c>
      <c r="K410" s="108" t="s">
        <v>619</v>
      </c>
      <c r="L410" s="37">
        <f>COUNTIF(Drank!A:A,Table1[[#This Row],[ID]])</f>
        <v>18</v>
      </c>
      <c r="M410" t="s">
        <v>202</v>
      </c>
      <c r="N410" t="s">
        <v>207</v>
      </c>
      <c r="O410">
        <v>1</v>
      </c>
      <c r="P410" s="37">
        <v>2018</v>
      </c>
      <c r="Q410">
        <v>2022</v>
      </c>
      <c r="R410" s="37">
        <f>IF(IFERROR(VLOOKUP(A410,Drank!A:S,15,FALSE),"")=0,"",IFERROR(VLOOKUP(A410,Drank!A:S,15,FALSE),""))</f>
        <v>2021</v>
      </c>
      <c r="S410" s="37">
        <f>IF(IFERROR(VLOOKUP(A410,Drank!A:S,16,FALSE),"")=0,"",IFERROR(VLOOKUP(A410,Drank!A:S,16,FALSE),""))</f>
        <v>2022</v>
      </c>
      <c r="T410" s="37"/>
      <c r="U410">
        <v>92</v>
      </c>
      <c r="V410" s="18">
        <f>IF(IFERROR(VLOOKUP(A410,Drank!A:T,19,FALSE),"")=0,"",IFERROR(VLOOKUP(A410,Drank!A:T,19,FALSE),""))</f>
        <v>91.235294117647058</v>
      </c>
      <c r="W410" s="1">
        <f>IF(IFERROR(VLOOKUP(A410,Drank!A:T,20,FALSE),"")=0,"",IFERROR(VLOOKUP(A410,Drank!A:T,20,FALSE),""))</f>
        <v>44055</v>
      </c>
      <c r="X410" s="37">
        <f>SUMIF(A:A,A410,I:I)</f>
        <v>4</v>
      </c>
      <c r="Y410" s="37">
        <f>IF(Table1[[#This Row],[Drank]]&gt;0,VLOOKUP(Table1[[#This Row],[ID]],Drank!A:P,16,FALSE),IF(Table1[[#This Row],[WALDD]]&gt;0,VLOOKUP(Table1[[#This Row],[ID]],Wine1!A:Q,17,FALSE),Table1[[#This Row],[EP]]))</f>
        <v>2022</v>
      </c>
      <c r="Z410" s="18">
        <f>IF(Table1[[#This Row],[My Rating]]="",IF(Table1[[#This Row],[WA Rating Clean]]="","",Table1[[#This Row],[WA Rating Clean]]),Table1[[#This Row],[My Rating]])</f>
        <v>91.235294117647058</v>
      </c>
      <c r="AA410" s="37">
        <v>2023</v>
      </c>
      <c r="AB410" s="14">
        <v>14</v>
      </c>
      <c r="AC410" s="2">
        <f t="shared" si="33"/>
        <v>14</v>
      </c>
      <c r="AD410" s="8">
        <v>2</v>
      </c>
      <c r="AE410" s="37">
        <f>IF(Table1[[#This Row],[P/750]]&lt;20,1,IF(Table1[[#This Row],[P/750]]&lt;50,2,3))</f>
        <v>1</v>
      </c>
      <c r="AF410" s="37">
        <f>IF(Table1[[#This Row],[P/750]]&lt;Expenses!$C$30,1,IF(Table1[[#This Row],[P/750]]&lt;Expenses!$C$31,2,IF(Table1[[#This Row],[P/750]]&lt;Expenses!$C$32,3,4)))</f>
        <v>1</v>
      </c>
      <c r="AH410" s="37" t="s">
        <v>384</v>
      </c>
      <c r="AI410" s="11">
        <f>Table1[[#This Row],[Price]]/Table1[[#This Row],[Size (ml)]]*750</f>
        <v>14.000000000000002</v>
      </c>
      <c r="AJ410" s="37">
        <v>92</v>
      </c>
      <c r="AK410" s="37">
        <f>COUNTIF(UniqueID!A:A,Table1[[#This Row],[ID]])</f>
        <v>1</v>
      </c>
      <c r="AL410" s="37" t="str">
        <f>VLOOKUP(Table1[[#This Row],[Cellar Location]],Location!A:F,6,FALSE)</f>
        <v>S</v>
      </c>
      <c r="AN410" s="37"/>
      <c r="AO410" s="37" t="str">
        <f>TEXT(Table1[[#This Row],[Purchased]],"mmmm")</f>
        <v>January</v>
      </c>
      <c r="AP410" s="10" t="str">
        <f>TEXT(Table1[[#This Row],[Purchased]],"yyyy")</f>
        <v>1900</v>
      </c>
      <c r="AQ410" s="10"/>
    </row>
    <row r="411" spans="1:43" x14ac:dyDescent="0.25">
      <c r="A411" t="str">
        <f t="shared" si="32"/>
        <v>2013Marques de RiscalReserva</v>
      </c>
      <c r="B411" s="37">
        <v>2013</v>
      </c>
      <c r="C411" s="37" t="s">
        <v>1536</v>
      </c>
      <c r="D411" s="37" t="s">
        <v>106</v>
      </c>
      <c r="E411" s="67" t="s">
        <v>1296</v>
      </c>
      <c r="F411" s="37" t="s">
        <v>729</v>
      </c>
      <c r="G411" s="37" t="s">
        <v>823</v>
      </c>
      <c r="I411" s="107">
        <v>1</v>
      </c>
      <c r="J411">
        <v>750</v>
      </c>
      <c r="K411" s="107" t="s">
        <v>1408</v>
      </c>
      <c r="L411" s="10">
        <f>COUNTIF(Drank!A:A,Table1[[#This Row],[ID]])</f>
        <v>5</v>
      </c>
      <c r="M411" t="s">
        <v>202</v>
      </c>
      <c r="N411" t="s">
        <v>207</v>
      </c>
      <c r="O411">
        <v>1</v>
      </c>
      <c r="P411" s="37"/>
      <c r="R411" s="10">
        <f>IF(IFERROR(VLOOKUP(A411,Drank!A:S,15,FALSE),"")=0,"",IFERROR(VLOOKUP(A411,Drank!A:S,15,FALSE),""))</f>
        <v>2020</v>
      </c>
      <c r="S411" s="10">
        <f>IF(IFERROR(VLOOKUP(A411,Drank!A:S,16,FALSE),"")=0,"",IFERROR(VLOOKUP(A411,Drank!A:S,16,FALSE),""))</f>
        <v>2023</v>
      </c>
      <c r="T411" s="10"/>
      <c r="V411" s="18">
        <f>IF(IFERROR(VLOOKUP(A411,Drank!A:T,19,FALSE),"")=0,"",IFERROR(VLOOKUP(A411,Drank!A:T,19,FALSE),""))</f>
        <v>90.8</v>
      </c>
      <c r="W411" s="1">
        <f>IF(IFERROR(VLOOKUP(A411,Drank!A:T,20,FALSE),"")=0,"",IFERROR(VLOOKUP(A411,Drank!A:T,20,FALSE),""))</f>
        <v>44015</v>
      </c>
      <c r="X411" s="10">
        <f>SUMIF(A:A,A411,I:I)</f>
        <v>3</v>
      </c>
      <c r="Y411" s="10">
        <f>IF(Table1[[#This Row],[Drank]]&gt;0,VLOOKUP(Table1[[#This Row],[ID]],Drank!A:P,16,FALSE),IF(Table1[[#This Row],[WALDD]]&gt;0,VLOOKUP(Table1[[#This Row],[ID]],Wine1!A:Q,17,FALSE),Table1[[#This Row],[EP]]))</f>
        <v>2023</v>
      </c>
      <c r="Z411" s="18">
        <f>IF(Table1[[#This Row],[My Rating]]="",IF(Table1[[#This Row],[WA Rating Clean]]="","",Table1[[#This Row],[WA Rating Clean]]),Table1[[#This Row],[My Rating]])</f>
        <v>90.8</v>
      </c>
      <c r="AA411" s="37">
        <v>2023</v>
      </c>
      <c r="AB411" s="128">
        <v>17.600000000000001</v>
      </c>
      <c r="AC411" s="2">
        <f t="shared" si="33"/>
        <v>17.600000000000001</v>
      </c>
      <c r="AD411" s="8">
        <v>2</v>
      </c>
      <c r="AE411" s="10">
        <f>IF(Table1[[#This Row],[P/750]]&lt;20,1,IF(Table1[[#This Row],[P/750]]&lt;50,2,3))</f>
        <v>1</v>
      </c>
      <c r="AF411" s="10">
        <f>IF(Table1[[#This Row],[P/750]]&lt;Expenses!$C$30,1,IF(Table1[[#This Row],[P/750]]&lt;Expenses!$C$31,2,IF(Table1[[#This Row],[P/750]]&lt;Expenses!$C$32,3,4)))</f>
        <v>2</v>
      </c>
      <c r="AH411" s="37" t="s">
        <v>1128</v>
      </c>
      <c r="AI411" s="11">
        <f>Table1[[#This Row],[Price]]/Table1[[#This Row],[Size (ml)]]*750</f>
        <v>17.600000000000001</v>
      </c>
      <c r="AK411" s="10">
        <f>COUNTIF(UniqueID!A:A,Table1[[#This Row],[ID]])</f>
        <v>0</v>
      </c>
      <c r="AL411" s="10" t="str">
        <f>VLOOKUP(Table1[[#This Row],[Cellar Location]],Location!A:F,6,FALSE)</f>
        <v>S</v>
      </c>
      <c r="AN411" s="1">
        <v>43966</v>
      </c>
      <c r="AO411" s="10" t="str">
        <f>TEXT(Table1[[#This Row],[Purchased]],"mmmm")</f>
        <v>May</v>
      </c>
      <c r="AP411" s="10" t="str">
        <f>TEXT(Table1[[#This Row],[Purchased]],"yyyy")</f>
        <v>2020</v>
      </c>
      <c r="AQ411" s="10"/>
    </row>
    <row r="412" spans="1:43" s="37" customFormat="1" x14ac:dyDescent="0.25">
      <c r="A412" s="37" t="str">
        <f t="shared" si="32"/>
        <v>2015BertaniValpolicella Ripasso</v>
      </c>
      <c r="B412" s="37">
        <v>2015</v>
      </c>
      <c r="C412" s="8" t="s">
        <v>9</v>
      </c>
      <c r="D412" s="37" t="s">
        <v>115</v>
      </c>
      <c r="E412" s="64" t="s">
        <v>262</v>
      </c>
      <c r="F412" s="37" t="s">
        <v>728</v>
      </c>
      <c r="G412" s="37" t="s">
        <v>799</v>
      </c>
      <c r="H412" s="37" t="s">
        <v>803</v>
      </c>
      <c r="I412" s="37">
        <v>1</v>
      </c>
      <c r="J412" s="107">
        <v>750</v>
      </c>
      <c r="K412" s="37" t="s">
        <v>1403</v>
      </c>
      <c r="L412" s="37">
        <f>COUNTIF(Drank!A:A,Table1[[#This Row],[ID]])</f>
        <v>2</v>
      </c>
      <c r="M412" s="37" t="s">
        <v>202</v>
      </c>
      <c r="N412" s="37" t="s">
        <v>207</v>
      </c>
      <c r="O412" s="37">
        <v>1</v>
      </c>
      <c r="R412" s="37">
        <f>IF(IFERROR(VLOOKUP(A412,Drank!A:S,15,FALSE),"")=0,"",IFERROR(VLOOKUP(A412,Drank!A:S,15,FALSE),""))</f>
        <v>2023</v>
      </c>
      <c r="S412" s="37">
        <f>IF(IFERROR(VLOOKUP(A412,Drank!A:S,16,FALSE),"")=0,"",IFERROR(VLOOKUP(A412,Drank!A:S,16,FALSE),""))</f>
        <v>2023</v>
      </c>
      <c r="V412" s="18">
        <f>IF(IFERROR(VLOOKUP(A412,Drank!A:T,19,FALSE),"")=0,"",IFERROR(VLOOKUP(A412,Drank!A:T,19,FALSE),""))</f>
        <v>91</v>
      </c>
      <c r="W412" s="1">
        <f>IF(IFERROR(VLOOKUP(A412,Drank!A:T,20,FALSE),"")=0,"",IFERROR(VLOOKUP(A412,Drank!A:T,20,FALSE),""))</f>
        <v>43947</v>
      </c>
      <c r="X412" s="37">
        <f>SUMIF(A:A,A412,I:I)</f>
        <v>1</v>
      </c>
      <c r="Y412" s="37">
        <f>IF(Table1[[#This Row],[Drank]]&gt;0,VLOOKUP(Table1[[#This Row],[ID]],Drank!A:P,16,FALSE),IF(Table1[[#This Row],[WALDD]]&gt;0,VLOOKUP(Table1[[#This Row],[ID]],Wine1!A:Q,17,FALSE),Table1[[#This Row],[EP]]))</f>
        <v>2023</v>
      </c>
      <c r="Z412" s="18">
        <f>IF(Table1[[#This Row],[My Rating]]="",IF(Table1[[#This Row],[WA Rating Clean]]="","",Table1[[#This Row],[WA Rating Clean]]),Table1[[#This Row],[My Rating]])</f>
        <v>91</v>
      </c>
      <c r="AA412" s="37">
        <v>2023</v>
      </c>
      <c r="AB412" s="128">
        <v>22.49</v>
      </c>
      <c r="AC412" s="2">
        <f t="shared" si="33"/>
        <v>22.49</v>
      </c>
      <c r="AD412" s="8">
        <v>0</v>
      </c>
      <c r="AE412" s="37">
        <f>IF(Table1[[#This Row],[P/750]]&lt;20,1,IF(Table1[[#This Row],[P/750]]&lt;50,2,3))</f>
        <v>2</v>
      </c>
      <c r="AF412" s="37">
        <f>IF(Table1[[#This Row],[P/750]]&lt;Expenses!$C$30,1,IF(Table1[[#This Row],[P/750]]&lt;Expenses!$C$31,2,IF(Table1[[#This Row],[P/750]]&lt;Expenses!$C$32,3,4)))</f>
        <v>2</v>
      </c>
      <c r="AH412" s="37" t="s">
        <v>1128</v>
      </c>
      <c r="AI412" s="11">
        <f>Table1[[#This Row],[Price]]/Table1[[#This Row],[Size (ml)]]*750</f>
        <v>22.49</v>
      </c>
      <c r="AK412" s="37">
        <f>COUNTIF(UniqueID!A:A,Table1[[#This Row],[ID]])</f>
        <v>1</v>
      </c>
      <c r="AL412" s="37" t="str">
        <f>VLOOKUP(Table1[[#This Row],[Cellar Location]],Location!A:F,6,FALSE)</f>
        <v>S</v>
      </c>
      <c r="AO412" s="37" t="str">
        <f>TEXT(Table1[[#This Row],[Purchased]],"mmmm")</f>
        <v>January</v>
      </c>
      <c r="AP412" s="10" t="str">
        <f>TEXT(Table1[[#This Row],[Purchased]],"yyyy")</f>
        <v>1900</v>
      </c>
      <c r="AQ412" s="10"/>
    </row>
    <row r="413" spans="1:43" s="37" customFormat="1" x14ac:dyDescent="0.25">
      <c r="A413" s="37" t="str">
        <f t="shared" ref="A413:A476" si="34">CONCATENATE(B413,C413,D413)</f>
        <v>2004Ciacci Piccolomini d AragonaBrunello di Montalcino</v>
      </c>
      <c r="B413" s="37">
        <v>2004</v>
      </c>
      <c r="C413" s="37" t="s">
        <v>1123</v>
      </c>
      <c r="D413" s="37" t="s">
        <v>19</v>
      </c>
      <c r="E413" s="67" t="s">
        <v>1250</v>
      </c>
      <c r="F413" s="37" t="s">
        <v>728</v>
      </c>
      <c r="G413" s="37" t="s">
        <v>790</v>
      </c>
      <c r="H413" s="37" t="s">
        <v>19</v>
      </c>
      <c r="I413" s="107">
        <v>1</v>
      </c>
      <c r="J413" s="37">
        <v>750</v>
      </c>
      <c r="K413" s="107" t="s">
        <v>1150</v>
      </c>
      <c r="L413" s="10">
        <f>COUNTIF(Drank!A:A,Table1[[#This Row],[ID]])</f>
        <v>1</v>
      </c>
      <c r="M413" s="37" t="s">
        <v>202</v>
      </c>
      <c r="N413" s="37" t="s">
        <v>207</v>
      </c>
      <c r="O413" s="37">
        <v>1</v>
      </c>
      <c r="P413" s="10">
        <v>2012</v>
      </c>
      <c r="Q413" s="37">
        <v>2022</v>
      </c>
      <c r="R413" s="10">
        <f>IF(IFERROR(VLOOKUP(A413,Drank!A:S,15,FALSE),"")=0,"",IFERROR(VLOOKUP(A413,Drank!A:S,15,FALSE),""))</f>
        <v>2023</v>
      </c>
      <c r="S413" s="10">
        <f>IF(IFERROR(VLOOKUP(A413,Drank!A:S,16,FALSE),"")=0,"",IFERROR(VLOOKUP(A413,Drank!A:S,16,FALSE),""))</f>
        <v>2023</v>
      </c>
      <c r="T413" s="10"/>
      <c r="U413" s="37">
        <v>92</v>
      </c>
      <c r="V413" s="18">
        <f>IF(IFERROR(VLOOKUP(A413,Drank!A:T,19,FALSE),"")=0,"",IFERROR(VLOOKUP(A413,Drank!A:T,19,FALSE),""))</f>
        <v>92</v>
      </c>
      <c r="W413" s="1">
        <f>IF(IFERROR(VLOOKUP(A413,Drank!A:T,20,FALSE),"")=0,"",IFERROR(VLOOKUP(A413,Drank!A:T,20,FALSE),""))</f>
        <v>43884</v>
      </c>
      <c r="X413" s="10">
        <f>SUMIF(A:A,A413,I:I)</f>
        <v>1</v>
      </c>
      <c r="Y413" s="10">
        <f>IF(Table1[[#This Row],[Drank]]&gt;0,VLOOKUP(Table1[[#This Row],[ID]],Drank!A:P,16,FALSE),IF(Table1[[#This Row],[WALDD]]&gt;0,VLOOKUP(Table1[[#This Row],[ID]],Wine1!A:Q,17,FALSE),Table1[[#This Row],[EP]]))</f>
        <v>2023</v>
      </c>
      <c r="Z413" s="18">
        <f>IF(Table1[[#This Row],[My Rating]]="",IF(Table1[[#This Row],[WA Rating Clean]]="","",Table1[[#This Row],[WA Rating Clean]]),Table1[[#This Row],[My Rating]])</f>
        <v>92</v>
      </c>
      <c r="AA413" s="37">
        <v>2023</v>
      </c>
      <c r="AB413" s="128">
        <v>54.99</v>
      </c>
      <c r="AC413" s="2">
        <f t="shared" ref="AC413:AC476" si="35">AB413*I413</f>
        <v>54.99</v>
      </c>
      <c r="AD413" s="8">
        <v>2</v>
      </c>
      <c r="AE413" s="10">
        <f>IF(Table1[[#This Row],[P/750]]&lt;20,1,IF(Table1[[#This Row],[P/750]]&lt;50,2,3))</f>
        <v>3</v>
      </c>
      <c r="AF413" s="10">
        <f>IF(Table1[[#This Row],[P/750]]&lt;Expenses!$C$30,1,IF(Table1[[#This Row],[P/750]]&lt;Expenses!$C$31,2,IF(Table1[[#This Row],[P/750]]&lt;Expenses!$C$32,3,4)))</f>
        <v>3</v>
      </c>
      <c r="AH413" s="37" t="s">
        <v>415</v>
      </c>
      <c r="AI413" s="11">
        <f>Table1[[#This Row],[Price]]/Table1[[#This Row],[Size (ml)]]*750</f>
        <v>54.989999999999995</v>
      </c>
      <c r="AJ413" s="37">
        <v>92</v>
      </c>
      <c r="AK413" s="10">
        <f>COUNTIF(UniqueID!A:A,Table1[[#This Row],[ID]])</f>
        <v>1</v>
      </c>
      <c r="AL413" s="10" t="str">
        <f>VLOOKUP(Table1[[#This Row],[Cellar Location]],Location!A:F,6,FALSE)</f>
        <v>S</v>
      </c>
      <c r="AN413" s="1">
        <v>43832</v>
      </c>
      <c r="AO413" s="37" t="str">
        <f>TEXT(Table1[[#This Row],[Purchased]],"mmmm")</f>
        <v>January</v>
      </c>
      <c r="AP413" s="10" t="str">
        <f>TEXT(Table1[[#This Row],[Purchased]],"yyyy")</f>
        <v>2020</v>
      </c>
      <c r="AQ413" s="10"/>
    </row>
    <row r="414" spans="1:43" s="37" customFormat="1" x14ac:dyDescent="0.25">
      <c r="A414" s="37" t="str">
        <f t="shared" si="34"/>
        <v>2017Domaine la Bastide Saint DominiqueVentoux Reserve Saint Dominique</v>
      </c>
      <c r="B414" s="37">
        <v>2017</v>
      </c>
      <c r="C414" s="9" t="s">
        <v>605</v>
      </c>
      <c r="D414" s="9" t="s">
        <v>606</v>
      </c>
      <c r="E414" s="67" t="s">
        <v>1248</v>
      </c>
      <c r="F414" s="37" t="s">
        <v>742</v>
      </c>
      <c r="G414" s="37" t="s">
        <v>759</v>
      </c>
      <c r="H414" s="37" t="s">
        <v>763</v>
      </c>
      <c r="I414" s="107">
        <v>1</v>
      </c>
      <c r="J414" s="37">
        <v>750</v>
      </c>
      <c r="K414" s="107" t="s">
        <v>626</v>
      </c>
      <c r="L414" s="10">
        <f>COUNTIF(Drank!A:A,Table1[[#This Row],[ID]])</f>
        <v>1</v>
      </c>
      <c r="M414" s="37" t="s">
        <v>202</v>
      </c>
      <c r="N414" s="37" t="s">
        <v>207</v>
      </c>
      <c r="O414" s="37">
        <v>1</v>
      </c>
      <c r="P414" s="10">
        <v>2018</v>
      </c>
      <c r="Q414" s="37">
        <v>2023</v>
      </c>
      <c r="R414" s="10">
        <f>IF(IFERROR(VLOOKUP(A414,Drank!A:S,15,FALSE),"")=0,"",IFERROR(VLOOKUP(A414,Drank!A:S,15,FALSE),""))</f>
        <v>2020</v>
      </c>
      <c r="S414" s="10">
        <f>IF(IFERROR(VLOOKUP(A414,Drank!A:S,16,FALSE),"")=0,"",IFERROR(VLOOKUP(A414,Drank!A:S,16,FALSE),""))</f>
        <v>2023</v>
      </c>
      <c r="T414" s="10"/>
      <c r="U414" s="37">
        <v>91</v>
      </c>
      <c r="V414" s="18">
        <f>IF(IFERROR(VLOOKUP(A414,Drank!A:T,19,FALSE),"")=0,"",IFERROR(VLOOKUP(A414,Drank!A:T,19,FALSE),""))</f>
        <v>90</v>
      </c>
      <c r="W414" s="1">
        <f>IF(IFERROR(VLOOKUP(A414,Drank!A:T,20,FALSE),"")=0,"",IFERROR(VLOOKUP(A414,Drank!A:T,20,FALSE),""))</f>
        <v>43919</v>
      </c>
      <c r="X414" s="10">
        <f>SUMIF(A:A,A414,I:I)</f>
        <v>3</v>
      </c>
      <c r="Y414" s="10">
        <f>IF(Table1[[#This Row],[Drank]]&gt;0,VLOOKUP(Table1[[#This Row],[ID]],Drank!A:P,16,FALSE),IF(Table1[[#This Row],[WALDD]]&gt;0,VLOOKUP(Table1[[#This Row],[ID]],Wine1!A:Q,17,FALSE),Table1[[#This Row],[EP]]))</f>
        <v>2023</v>
      </c>
      <c r="Z414" s="18">
        <f>IF(Table1[[#This Row],[My Rating]]="",IF(Table1[[#This Row],[WA Rating Clean]]="","",Table1[[#This Row],[WA Rating Clean]]),Table1[[#This Row],[My Rating]])</f>
        <v>90</v>
      </c>
      <c r="AA414" s="37">
        <v>2023</v>
      </c>
      <c r="AB414" s="128">
        <v>9.99</v>
      </c>
      <c r="AC414" s="2">
        <f t="shared" si="35"/>
        <v>9.99</v>
      </c>
      <c r="AD414" s="8">
        <v>2</v>
      </c>
      <c r="AE414" s="10">
        <f>IF(Table1[[#This Row],[P/750]]&lt;20,1,IF(Table1[[#This Row],[P/750]]&lt;50,2,3))</f>
        <v>1</v>
      </c>
      <c r="AF414" s="10">
        <f>IF(Table1[[#This Row],[P/750]]&lt;Expenses!$C$30,1,IF(Table1[[#This Row],[P/750]]&lt;Expenses!$C$31,2,IF(Table1[[#This Row],[P/750]]&lt;Expenses!$C$32,3,4)))</f>
        <v>1</v>
      </c>
      <c r="AH414" s="37" t="s">
        <v>384</v>
      </c>
      <c r="AI414" s="11">
        <f>Table1[[#This Row],[Price]]/Table1[[#This Row],[Size (ml)]]*750</f>
        <v>9.99</v>
      </c>
      <c r="AJ414" s="37">
        <v>91</v>
      </c>
      <c r="AK414" s="37">
        <f>COUNTIF(UniqueID!A:A,Table1[[#This Row],[ID]])</f>
        <v>1</v>
      </c>
      <c r="AL414" s="37" t="str">
        <f>VLOOKUP(Table1[[#This Row],[Cellar Location]],Location!A:F,6,FALSE)</f>
        <v>S</v>
      </c>
      <c r="AN414" s="1">
        <v>43803</v>
      </c>
      <c r="AO414" s="37" t="str">
        <f>TEXT(Table1[[#This Row],[Purchased]],"mmmm")</f>
        <v>December</v>
      </c>
      <c r="AP414" s="10" t="str">
        <f>TEXT(Table1[[#This Row],[Purchased]],"yyyy")</f>
        <v>2019</v>
      </c>
      <c r="AQ414" s="10"/>
    </row>
    <row r="415" spans="1:43" x14ac:dyDescent="0.25">
      <c r="A415" s="37" t="str">
        <f t="shared" si="34"/>
        <v>2009LoackerBrunello di Montalcino Corte Pavone</v>
      </c>
      <c r="B415" s="37">
        <v>2009</v>
      </c>
      <c r="C415" s="9" t="s">
        <v>42</v>
      </c>
      <c r="D415" s="9" t="s">
        <v>43</v>
      </c>
      <c r="E415" s="64" t="s">
        <v>280</v>
      </c>
      <c r="F415" s="37" t="s">
        <v>728</v>
      </c>
      <c r="G415" s="37" t="s">
        <v>790</v>
      </c>
      <c r="H415" s="37" t="s">
        <v>19</v>
      </c>
      <c r="I415" s="107">
        <v>1</v>
      </c>
      <c r="J415" s="37">
        <v>750</v>
      </c>
      <c r="K415" s="107" t="s">
        <v>650</v>
      </c>
      <c r="L415" s="37">
        <f>COUNTIF(Drank!A:A,Table1[[#This Row],[ID]])</f>
        <v>1</v>
      </c>
      <c r="M415" t="s">
        <v>202</v>
      </c>
      <c r="N415" t="s">
        <v>207</v>
      </c>
      <c r="O415">
        <v>1</v>
      </c>
      <c r="P415" s="37">
        <v>2015</v>
      </c>
      <c r="Q415">
        <v>2020</v>
      </c>
      <c r="R415" s="37">
        <f>IF(IFERROR(VLOOKUP(A415,Drank!A:S,15,FALSE),"")=0,"",IFERROR(VLOOKUP(A415,Drank!A:S,15,FALSE),""))</f>
        <v>2023</v>
      </c>
      <c r="S415" s="37">
        <f>IF(IFERROR(VLOOKUP(A415,Drank!A:S,16,FALSE),"")=0,"",IFERROR(VLOOKUP(A415,Drank!A:S,16,FALSE),""))</f>
        <v>2023</v>
      </c>
      <c r="T415" s="37"/>
      <c r="U415">
        <v>89</v>
      </c>
      <c r="V415" s="18">
        <f>IF(IFERROR(VLOOKUP(A415,Drank!A:T,19,FALSE),"")=0,"",IFERROR(VLOOKUP(A415,Drank!A:T,19,FALSE),""))</f>
        <v>90</v>
      </c>
      <c r="W415" s="1">
        <f>IF(IFERROR(VLOOKUP(A415,Drank!A:T,20,FALSE),"")=0,"",IFERROR(VLOOKUP(A415,Drank!A:T,20,FALSE),""))</f>
        <v>43466</v>
      </c>
      <c r="X415" s="37">
        <f>SUMIF(A:A,A415,I:I)</f>
        <v>2</v>
      </c>
      <c r="Y415" s="37">
        <f>IF(Table1[[#This Row],[Drank]]&gt;0,VLOOKUP(Table1[[#This Row],[ID]],Drank!A:P,16,FALSE),IF(Table1[[#This Row],[WALDD]]&gt;0,VLOOKUP(Table1[[#This Row],[ID]],Wine1!A:Q,17,FALSE),Table1[[#This Row],[EP]]))</f>
        <v>2023</v>
      </c>
      <c r="Z415" s="18">
        <f>IF(Table1[[#This Row],[My Rating]]="",IF(Table1[[#This Row],[WA Rating Clean]]="","",Table1[[#This Row],[WA Rating Clean]]),Table1[[#This Row],[My Rating]])</f>
        <v>90</v>
      </c>
      <c r="AA415" s="37">
        <v>2023</v>
      </c>
      <c r="AB415" s="128">
        <v>27.99</v>
      </c>
      <c r="AC415" s="2">
        <f t="shared" si="35"/>
        <v>27.99</v>
      </c>
      <c r="AD415" s="8">
        <v>2</v>
      </c>
      <c r="AE415" s="37">
        <f>IF(Table1[[#This Row],[P/750]]&lt;20,1,IF(Table1[[#This Row],[P/750]]&lt;50,2,3))</f>
        <v>2</v>
      </c>
      <c r="AF415" s="37">
        <f>IF(Table1[[#This Row],[P/750]]&lt;Expenses!$C$30,1,IF(Table1[[#This Row],[P/750]]&lt;Expenses!$C$31,2,IF(Table1[[#This Row],[P/750]]&lt;Expenses!$C$32,3,4)))</f>
        <v>2</v>
      </c>
      <c r="AH415" s="37" t="s">
        <v>384</v>
      </c>
      <c r="AI415" s="11">
        <f>Table1[[#This Row],[Price]]/Table1[[#This Row],[Size (ml)]]*750</f>
        <v>27.99</v>
      </c>
      <c r="AJ415" s="37">
        <v>89</v>
      </c>
      <c r="AK415" s="37">
        <f>COUNTIF(UniqueID!A:A,Table1[[#This Row],[ID]])</f>
        <v>1</v>
      </c>
      <c r="AL415" s="37" t="str">
        <f>VLOOKUP(Table1[[#This Row],[Cellar Location]],Location!A:F,6,FALSE)</f>
        <v>S</v>
      </c>
      <c r="AN415" s="37"/>
      <c r="AO415" s="37" t="str">
        <f>TEXT(Table1[[#This Row],[Purchased]],"mmmm")</f>
        <v>January</v>
      </c>
      <c r="AP415" s="10" t="str">
        <f>TEXT(Table1[[#This Row],[Purchased]],"yyyy")</f>
        <v>1900</v>
      </c>
      <c r="AQ415" s="10"/>
    </row>
    <row r="416" spans="1:43" x14ac:dyDescent="0.25">
      <c r="A416" t="str">
        <f t="shared" si="34"/>
        <v>2018Masseria Li VeliPrimitivo Orion</v>
      </c>
      <c r="B416" s="8">
        <v>2018</v>
      </c>
      <c r="C416" s="8" t="s">
        <v>630</v>
      </c>
      <c r="D416" s="8" t="s">
        <v>631</v>
      </c>
      <c r="E416" s="64" t="s">
        <v>588</v>
      </c>
      <c r="F416" s="37" t="s">
        <v>728</v>
      </c>
      <c r="G416" s="37" t="s">
        <v>785</v>
      </c>
      <c r="H416" s="37" t="s">
        <v>786</v>
      </c>
      <c r="I416" s="107">
        <v>1</v>
      </c>
      <c r="J416" s="37">
        <v>750</v>
      </c>
      <c r="K416" s="107" t="s">
        <v>1408</v>
      </c>
      <c r="L416" s="10">
        <f>COUNTIF(Drank!A:A,Table1[[#This Row],[ID]])</f>
        <v>9</v>
      </c>
      <c r="M416" t="s">
        <v>202</v>
      </c>
      <c r="N416" t="s">
        <v>207</v>
      </c>
      <c r="O416">
        <v>1</v>
      </c>
      <c r="P416" s="37"/>
      <c r="R416" s="10">
        <f>IF(IFERROR(VLOOKUP(A416,Drank!A:S,15,FALSE),"")=0,"",IFERROR(VLOOKUP(A416,Drank!A:S,15,FALSE),""))</f>
        <v>2020</v>
      </c>
      <c r="S416" s="10">
        <f>IF(IFERROR(VLOOKUP(A416,Drank!A:S,16,FALSE),"")=0,"",IFERROR(VLOOKUP(A416,Drank!A:S,16,FALSE),""))</f>
        <v>2023</v>
      </c>
      <c r="T416" s="10"/>
      <c r="V416" s="18">
        <f>IF(IFERROR(VLOOKUP(A416,Drank!A:T,19,FALSE),"")=0,"",IFERROR(VLOOKUP(A416,Drank!A:T,19,FALSE),""))</f>
        <v>88.555555555555557</v>
      </c>
      <c r="W416" s="1">
        <f>IF(IFERROR(VLOOKUP(A416,Drank!A:T,20,FALSE),"")=0,"",IFERROR(VLOOKUP(A416,Drank!A:T,20,FALSE),""))</f>
        <v>44037</v>
      </c>
      <c r="X416" s="10">
        <f>SUMIF(A:A,A416,I:I)</f>
        <v>3</v>
      </c>
      <c r="Y416" s="10">
        <f>IF(Table1[[#This Row],[Drank]]&gt;0,VLOOKUP(Table1[[#This Row],[ID]],Drank!A:P,16,FALSE),IF(Table1[[#This Row],[WALDD]]&gt;0,VLOOKUP(Table1[[#This Row],[ID]],Wine1!A:Q,17,FALSE),Table1[[#This Row],[EP]]))</f>
        <v>2023</v>
      </c>
      <c r="Z416" s="18">
        <f>IF(Table1[[#This Row],[My Rating]]="",IF(Table1[[#This Row],[WA Rating Clean]]="","",Table1[[#This Row],[WA Rating Clean]]),Table1[[#This Row],[My Rating]])</f>
        <v>88.555555555555557</v>
      </c>
      <c r="AA416" s="8">
        <v>2023</v>
      </c>
      <c r="AB416" s="128">
        <v>14.66</v>
      </c>
      <c r="AC416" s="2">
        <f t="shared" si="35"/>
        <v>14.66</v>
      </c>
      <c r="AD416" s="8">
        <v>2</v>
      </c>
      <c r="AE416" s="10">
        <f>IF(Table1[[#This Row],[P/750]]&lt;20,1,IF(Table1[[#This Row],[P/750]]&lt;50,2,3))</f>
        <v>1</v>
      </c>
      <c r="AF416" s="10">
        <f>IF(Table1[[#This Row],[P/750]]&lt;Expenses!$C$30,1,IF(Table1[[#This Row],[P/750]]&lt;Expenses!$C$31,2,IF(Table1[[#This Row],[P/750]]&lt;Expenses!$C$32,3,4)))</f>
        <v>1</v>
      </c>
      <c r="AH416" s="37" t="s">
        <v>1128</v>
      </c>
      <c r="AI416" s="11">
        <f>Table1[[#This Row],[Price]]/Table1[[#This Row],[Size (ml)]]*750</f>
        <v>14.66</v>
      </c>
      <c r="AJ416" s="37"/>
      <c r="AK416" s="10">
        <f>COUNTIF(UniqueID!A:A,Table1[[#This Row],[ID]])</f>
        <v>1</v>
      </c>
      <c r="AL416" s="37" t="str">
        <f>VLOOKUP(Table1[[#This Row],[Cellar Location]],Location!A:F,6,FALSE)</f>
        <v>S</v>
      </c>
      <c r="AN416" s="1">
        <v>43966</v>
      </c>
      <c r="AO416" s="37" t="str">
        <f>TEXT(Table1[[#This Row],[Purchased]],"mmmm")</f>
        <v>May</v>
      </c>
      <c r="AP416" s="10" t="str">
        <f>TEXT(Table1[[#This Row],[Purchased]],"yyyy")</f>
        <v>2020</v>
      </c>
      <c r="AQ416" s="10"/>
    </row>
    <row r="417" spans="1:43" x14ac:dyDescent="0.25">
      <c r="A417" t="str">
        <f t="shared" si="34"/>
        <v>2017Georges DuboeufSaint-Amour Chateau de Saint-Amour</v>
      </c>
      <c r="B417" s="37">
        <v>2017</v>
      </c>
      <c r="C417" s="9" t="s">
        <v>335</v>
      </c>
      <c r="D417" s="35" t="s">
        <v>1209</v>
      </c>
      <c r="E417" s="69" t="s">
        <v>1295</v>
      </c>
      <c r="F417" s="37" t="s">
        <v>742</v>
      </c>
      <c r="G417" s="37" t="s">
        <v>745</v>
      </c>
      <c r="H417" s="37" t="s">
        <v>747</v>
      </c>
      <c r="I417" s="107">
        <v>1</v>
      </c>
      <c r="J417">
        <v>750</v>
      </c>
      <c r="K417" s="107" t="s">
        <v>655</v>
      </c>
      <c r="L417" s="37">
        <f>COUNTIF(Drank!A:A,Table1[[#This Row],[ID]])</f>
        <v>2</v>
      </c>
      <c r="M417" t="s">
        <v>202</v>
      </c>
      <c r="N417" t="s">
        <v>207</v>
      </c>
      <c r="O417">
        <v>1</v>
      </c>
      <c r="P417" s="37">
        <v>2018</v>
      </c>
      <c r="Q417">
        <v>2022</v>
      </c>
      <c r="R417" s="10">
        <f>IF(IFERROR(VLOOKUP(A417,Drank!A:S,15,FALSE),"")=0,"",IFERROR(VLOOKUP(A417,Drank!A:S,15,FALSE),""))</f>
        <v>2021</v>
      </c>
      <c r="S417" s="10">
        <f>IF(IFERROR(VLOOKUP(A417,Drank!A:S,16,FALSE),"")=0,"",IFERROR(VLOOKUP(A417,Drank!A:S,16,FALSE),""))</f>
        <v>2023</v>
      </c>
      <c r="T417" s="10"/>
      <c r="U417">
        <v>90</v>
      </c>
      <c r="V417" s="18">
        <f>IF(IFERROR(VLOOKUP(A417,Drank!A:T,19,FALSE),"")=0,"",IFERROR(VLOOKUP(A417,Drank!A:T,19,FALSE),""))</f>
        <v>89.5</v>
      </c>
      <c r="W417" s="1">
        <f>IF(IFERROR(VLOOKUP(A417,Drank!A:T,20,FALSE),"")=0,"",IFERROR(VLOOKUP(A417,Drank!A:T,20,FALSE),""))</f>
        <v>44056</v>
      </c>
      <c r="X417" s="10">
        <f>SUMIF(A:A,A417,I:I)</f>
        <v>2</v>
      </c>
      <c r="Y417" s="37">
        <f>IF(Table1[[#This Row],[Drank]]&gt;0,VLOOKUP(Table1[[#This Row],[ID]],Drank!A:P,16,FALSE),IF(Table1[[#This Row],[WALDD]]&gt;0,VLOOKUP(Table1[[#This Row],[ID]],Wine1!A:Q,17,FALSE),Table1[[#This Row],[EP]]))</f>
        <v>2023</v>
      </c>
      <c r="Z417" s="18">
        <f>IF(Table1[[#This Row],[My Rating]]="",IF(Table1[[#This Row],[WA Rating Clean]]="","",Table1[[#This Row],[WA Rating Clean]]),Table1[[#This Row],[My Rating]])</f>
        <v>89.5</v>
      </c>
      <c r="AA417" s="37">
        <v>2023</v>
      </c>
      <c r="AB417" s="128">
        <v>17.989999999999998</v>
      </c>
      <c r="AC417" s="2">
        <f t="shared" si="35"/>
        <v>17.989999999999998</v>
      </c>
      <c r="AD417" s="8">
        <v>2</v>
      </c>
      <c r="AE417" s="37">
        <f>IF(Table1[[#This Row],[P/750]]&lt;20,1,IF(Table1[[#This Row],[P/750]]&lt;50,2,3))</f>
        <v>1</v>
      </c>
      <c r="AF417" s="37">
        <f>IF(Table1[[#This Row],[P/750]]&lt;Expenses!$C$30,1,IF(Table1[[#This Row],[P/750]]&lt;Expenses!$C$31,2,IF(Table1[[#This Row],[P/750]]&lt;Expenses!$C$32,3,4)))</f>
        <v>2</v>
      </c>
      <c r="AH417" s="37" t="s">
        <v>384</v>
      </c>
      <c r="AI417" s="11">
        <f>Table1[[#This Row],[Price]]/Table1[[#This Row],[Size (ml)]]*750</f>
        <v>17.989999999999998</v>
      </c>
      <c r="AJ417">
        <v>90</v>
      </c>
      <c r="AK417" s="37">
        <f>COUNTIF(UniqueID!A:A,Table1[[#This Row],[ID]])</f>
        <v>1</v>
      </c>
      <c r="AL417" s="37" t="str">
        <f>VLOOKUP(Table1[[#This Row],[Cellar Location]],Location!A:F,6,FALSE)</f>
        <v>S</v>
      </c>
      <c r="AN417" s="37"/>
      <c r="AO417" s="37" t="str">
        <f>TEXT(Table1[[#This Row],[Purchased]],"mmmm")</f>
        <v>January</v>
      </c>
      <c r="AP417" s="10" t="str">
        <f>TEXT(Table1[[#This Row],[Purchased]],"yyyy")</f>
        <v>1900</v>
      </c>
      <c r="AQ417" s="10"/>
    </row>
    <row r="418" spans="1:43" x14ac:dyDescent="0.25">
      <c r="A418" t="str">
        <f t="shared" si="34"/>
        <v>2015AllegriniPalazzo della Torre</v>
      </c>
      <c r="B418" s="37">
        <v>2015</v>
      </c>
      <c r="C418" s="37" t="s">
        <v>111</v>
      </c>
      <c r="D418" s="37" t="s">
        <v>112</v>
      </c>
      <c r="E418" s="67" t="s">
        <v>1258</v>
      </c>
      <c r="F418" s="37" t="s">
        <v>728</v>
      </c>
      <c r="G418" s="37" t="s">
        <v>799</v>
      </c>
      <c r="H418" s="37" t="s">
        <v>800</v>
      </c>
      <c r="I418" s="107">
        <v>1</v>
      </c>
      <c r="J418">
        <v>750</v>
      </c>
      <c r="K418" s="107" t="s">
        <v>644</v>
      </c>
      <c r="L418" s="37">
        <f>COUNTIF(Drank!A:A,Table1[[#This Row],[ID]])</f>
        <v>11</v>
      </c>
      <c r="M418" t="s">
        <v>202</v>
      </c>
      <c r="N418" t="s">
        <v>207</v>
      </c>
      <c r="O418">
        <v>1</v>
      </c>
      <c r="P418" s="37">
        <v>2019</v>
      </c>
      <c r="Q418">
        <v>2025</v>
      </c>
      <c r="R418" s="10">
        <f>IF(IFERROR(VLOOKUP(A418,Drank!A:S,15,FALSE),"")=0,"",IFERROR(VLOOKUP(A418,Drank!A:S,15,FALSE),""))</f>
        <v>2020</v>
      </c>
      <c r="S418" s="10">
        <f>IF(IFERROR(VLOOKUP(A418,Drank!A:S,16,FALSE),"")=0,"",IFERROR(VLOOKUP(A418,Drank!A:S,16,FALSE),""))</f>
        <v>2023</v>
      </c>
      <c r="T418" s="10"/>
      <c r="U418" t="s">
        <v>1404</v>
      </c>
      <c r="V418" s="18">
        <f>IF(IFERROR(VLOOKUP(A418,Drank!A:T,19,FALSE),"")=0,"",IFERROR(VLOOKUP(A418,Drank!A:T,19,FALSE),""))</f>
        <v>90.909090909090907</v>
      </c>
      <c r="W418" s="1">
        <f>IF(IFERROR(VLOOKUP(A418,Drank!A:T,20,FALSE),"")=0,"",IFERROR(VLOOKUP(A418,Drank!A:T,20,FALSE),""))</f>
        <v>44051</v>
      </c>
      <c r="X418" s="10">
        <f>SUMIF(A:A,A418,I:I)</f>
        <v>6</v>
      </c>
      <c r="Y418" s="37">
        <f>IF(Table1[[#This Row],[Drank]]&gt;0,VLOOKUP(Table1[[#This Row],[ID]],Drank!A:P,16,FALSE),IF(Table1[[#This Row],[WALDD]]&gt;0,VLOOKUP(Table1[[#This Row],[ID]],Wine1!A:Q,17,FALSE),Table1[[#This Row],[EP]]))</f>
        <v>2023</v>
      </c>
      <c r="Z418" s="18">
        <f>IF(Table1[[#This Row],[My Rating]]="",IF(Table1[[#This Row],[WA Rating Clean]]="","",Table1[[#This Row],[WA Rating Clean]]),Table1[[#This Row],[My Rating]])</f>
        <v>90.909090909090907</v>
      </c>
      <c r="AA418" s="37">
        <v>2023</v>
      </c>
      <c r="AB418" s="128">
        <v>17.989999999999998</v>
      </c>
      <c r="AC418" s="2">
        <f t="shared" si="35"/>
        <v>17.989999999999998</v>
      </c>
      <c r="AD418" s="8">
        <v>2</v>
      </c>
      <c r="AE418" s="37">
        <f>IF(Table1[[#This Row],[P/750]]&lt;20,1,IF(Table1[[#This Row],[P/750]]&lt;50,2,3))</f>
        <v>1</v>
      </c>
      <c r="AF418" s="37">
        <f>IF(Table1[[#This Row],[P/750]]&lt;Expenses!$C$30,1,IF(Table1[[#This Row],[P/750]]&lt;Expenses!$C$31,2,IF(Table1[[#This Row],[P/750]]&lt;Expenses!$C$32,3,4)))</f>
        <v>2</v>
      </c>
      <c r="AG418">
        <v>3</v>
      </c>
      <c r="AH418" s="25" t="s">
        <v>1128</v>
      </c>
      <c r="AI418" s="11">
        <f>Table1[[#This Row],[Price]]/Table1[[#This Row],[Size (ml)]]*750</f>
        <v>17.989999999999998</v>
      </c>
      <c r="AJ418">
        <v>90</v>
      </c>
      <c r="AK418" s="37">
        <f>COUNTIF(UniqueID!A:A,Table1[[#This Row],[ID]])</f>
        <v>1</v>
      </c>
      <c r="AL418" s="37" t="str">
        <f>VLOOKUP(Table1[[#This Row],[Cellar Location]],Location!A:F,6,FALSE)</f>
        <v>S</v>
      </c>
      <c r="AN418" s="37"/>
      <c r="AO418" s="37" t="str">
        <f>TEXT(Table1[[#This Row],[Purchased]],"mmmm")</f>
        <v>January</v>
      </c>
      <c r="AP418" s="10" t="str">
        <f>TEXT(Table1[[#This Row],[Purchased]],"yyyy")</f>
        <v>1900</v>
      </c>
      <c r="AQ418" s="10"/>
    </row>
    <row r="419" spans="1:43" x14ac:dyDescent="0.25">
      <c r="A419" t="str">
        <f t="shared" si="34"/>
        <v>2015AllegriniPalazzo della Torre</v>
      </c>
      <c r="B419" s="37">
        <v>2015</v>
      </c>
      <c r="C419" s="9" t="s">
        <v>111</v>
      </c>
      <c r="D419" s="9" t="s">
        <v>112</v>
      </c>
      <c r="E419" s="67" t="s">
        <v>1258</v>
      </c>
      <c r="F419" s="37" t="s">
        <v>728</v>
      </c>
      <c r="G419" s="37" t="s">
        <v>799</v>
      </c>
      <c r="H419" s="37" t="s">
        <v>800</v>
      </c>
      <c r="I419" s="107">
        <v>1</v>
      </c>
      <c r="J419" s="37">
        <v>750</v>
      </c>
      <c r="K419" s="107" t="s">
        <v>644</v>
      </c>
      <c r="L419" s="37">
        <f>COUNTIF(Drank!A:A,Table1[[#This Row],[ID]])</f>
        <v>11</v>
      </c>
      <c r="M419" t="s">
        <v>202</v>
      </c>
      <c r="N419" t="s">
        <v>207</v>
      </c>
      <c r="O419">
        <v>1</v>
      </c>
      <c r="P419" s="37">
        <v>2019</v>
      </c>
      <c r="Q419">
        <v>2025</v>
      </c>
      <c r="R419" s="10">
        <f>IF(IFERROR(VLOOKUP(A419,Drank!A:S,15,FALSE),"")=0,"",IFERROR(VLOOKUP(A419,Drank!A:S,15,FALSE),""))</f>
        <v>2020</v>
      </c>
      <c r="S419" s="10">
        <f>IF(IFERROR(VLOOKUP(A419,Drank!A:S,16,FALSE),"")=0,"",IFERROR(VLOOKUP(A419,Drank!A:S,16,FALSE),""))</f>
        <v>2023</v>
      </c>
      <c r="T419" s="10"/>
      <c r="U419" t="s">
        <v>1404</v>
      </c>
      <c r="V419" s="18">
        <f>IF(IFERROR(VLOOKUP(A419,Drank!A:T,19,FALSE),"")=0,"",IFERROR(VLOOKUP(A419,Drank!A:T,19,FALSE),""))</f>
        <v>90.909090909090907</v>
      </c>
      <c r="W419" s="1">
        <f>IF(IFERROR(VLOOKUP(A419,Drank!A:T,20,FALSE),"")=0,"",IFERROR(VLOOKUP(A419,Drank!A:T,20,FALSE),""))</f>
        <v>44051</v>
      </c>
      <c r="X419" s="10">
        <f>SUMIF(A:A,A419,I:I)</f>
        <v>6</v>
      </c>
      <c r="Y419" s="37">
        <f>IF(Table1[[#This Row],[Drank]]&gt;0,VLOOKUP(Table1[[#This Row],[ID]],Drank!A:P,16,FALSE),IF(Table1[[#This Row],[WALDD]]&gt;0,VLOOKUP(Table1[[#This Row],[ID]],Wine1!A:Q,17,FALSE),Table1[[#This Row],[EP]]))</f>
        <v>2023</v>
      </c>
      <c r="Z419" s="18">
        <f>IF(Table1[[#This Row],[My Rating]]="",IF(Table1[[#This Row],[WA Rating Clean]]="","",Table1[[#This Row],[WA Rating Clean]]),Table1[[#This Row],[My Rating]])</f>
        <v>90.909090909090907</v>
      </c>
      <c r="AA419" s="37">
        <v>2023</v>
      </c>
      <c r="AB419" s="128">
        <v>17.989999999999998</v>
      </c>
      <c r="AC419" s="2">
        <f t="shared" si="35"/>
        <v>17.989999999999998</v>
      </c>
      <c r="AD419" s="8">
        <v>2</v>
      </c>
      <c r="AE419" s="37">
        <f>IF(Table1[[#This Row],[P/750]]&lt;20,1,IF(Table1[[#This Row],[P/750]]&lt;50,2,3))</f>
        <v>1</v>
      </c>
      <c r="AF419" s="37">
        <f>IF(Table1[[#This Row],[P/750]]&lt;Expenses!$C$30,1,IF(Table1[[#This Row],[P/750]]&lt;Expenses!$C$31,2,IF(Table1[[#This Row],[P/750]]&lt;Expenses!$C$32,3,4)))</f>
        <v>2</v>
      </c>
      <c r="AH419" s="25" t="s">
        <v>1128</v>
      </c>
      <c r="AI419" s="11">
        <f>Table1[[#This Row],[Price]]/Table1[[#This Row],[Size (ml)]]*750</f>
        <v>17.989999999999998</v>
      </c>
      <c r="AJ419" s="37">
        <v>90</v>
      </c>
      <c r="AK419" s="37">
        <f>COUNTIF(UniqueID!A:A,Table1[[#This Row],[ID]])</f>
        <v>1</v>
      </c>
      <c r="AL419" s="37" t="str">
        <f>VLOOKUP(Table1[[#This Row],[Cellar Location]],Location!A:F,6,FALSE)</f>
        <v>S</v>
      </c>
      <c r="AN419" s="37"/>
      <c r="AO419" s="37" t="str">
        <f>TEXT(Table1[[#This Row],[Purchased]],"mmmm")</f>
        <v>January</v>
      </c>
      <c r="AP419" s="10" t="str">
        <f>TEXT(Table1[[#This Row],[Purchased]],"yyyy")</f>
        <v>1900</v>
      </c>
      <c r="AQ419" s="10"/>
    </row>
    <row r="420" spans="1:43" x14ac:dyDescent="0.25">
      <c r="A420" t="str">
        <f t="shared" si="34"/>
        <v>2019G.D. VajraLanghe Nebbiolo Clare J.C.</v>
      </c>
      <c r="B420" s="37">
        <v>2019</v>
      </c>
      <c r="C420" s="37" t="s">
        <v>81</v>
      </c>
      <c r="D420" s="37" t="s">
        <v>1702</v>
      </c>
      <c r="E420" s="37" t="s">
        <v>1206</v>
      </c>
      <c r="F420" s="37" t="s">
        <v>728</v>
      </c>
      <c r="G420" s="37" t="s">
        <v>778</v>
      </c>
      <c r="H420" s="37" t="s">
        <v>1193</v>
      </c>
      <c r="I420" s="8">
        <v>1</v>
      </c>
      <c r="J420" s="38">
        <v>750</v>
      </c>
      <c r="K420" s="38" t="s">
        <v>1687</v>
      </c>
      <c r="L420" s="10">
        <f>COUNTIF(Drank!A:A,Table1[[#This Row],[ID]])</f>
        <v>0</v>
      </c>
      <c r="M420" t="s">
        <v>202</v>
      </c>
      <c r="N420" t="s">
        <v>207</v>
      </c>
      <c r="O420">
        <v>1</v>
      </c>
      <c r="P420" s="37">
        <v>2020</v>
      </c>
      <c r="Q420">
        <v>2023</v>
      </c>
      <c r="R420" s="10" t="str">
        <f>IF(IFERROR(VLOOKUP(A420,Drank!A:S,15,FALSE),"")=0,"",IFERROR(VLOOKUP(A420,Drank!A:S,15,FALSE),""))</f>
        <v/>
      </c>
      <c r="S420" s="10" t="str">
        <f>IF(IFERROR(VLOOKUP(A420,Drank!A:S,16,FALSE),"")=0,"",IFERROR(VLOOKUP(A420,Drank!A:S,16,FALSE),""))</f>
        <v/>
      </c>
      <c r="T420" s="10"/>
      <c r="U420" t="s">
        <v>29</v>
      </c>
      <c r="V420" s="18" t="str">
        <f>IF(IFERROR(VLOOKUP(A420,Drank!A:T,19,FALSE),"")=0,"",IFERROR(VLOOKUP(A420,Drank!A:T,19,FALSE),""))</f>
        <v/>
      </c>
      <c r="W420" s="1" t="str">
        <f>IF(IFERROR(VLOOKUP(A420,Drank!A:T,20,FALSE),"")=0,"",IFERROR(VLOOKUP(A420,Drank!A:T,20,FALSE),""))</f>
        <v/>
      </c>
      <c r="X420" s="10">
        <f>SUMIF(A:A,A420,I:I)</f>
        <v>6</v>
      </c>
      <c r="Y420" s="10">
        <f>IF(Table1[[#This Row],[Drank]]&gt;0,VLOOKUP(Table1[[#This Row],[ID]],Drank!A:P,16,FALSE),IF(Table1[[#This Row],[WALDD]]&gt;0,VLOOKUP(Table1[[#This Row],[ID]],Wine1!A:Q,17,FALSE),Table1[[#This Row],[EP]]))</f>
        <v>2023</v>
      </c>
      <c r="Z420" s="18">
        <f>IF(Table1[[#This Row],[My Rating]]="",IF(Table1[[#This Row],[WA Rating Clean]]="","",Table1[[#This Row],[WA Rating Clean]]),Table1[[#This Row],[My Rating]])</f>
        <v>92</v>
      </c>
      <c r="AA420" s="8">
        <v>2023</v>
      </c>
      <c r="AB420" s="128">
        <v>22.4</v>
      </c>
      <c r="AC420" s="2">
        <f t="shared" si="35"/>
        <v>22.4</v>
      </c>
      <c r="AD420" s="8">
        <v>1</v>
      </c>
      <c r="AE420" s="10">
        <f>IF(Table1[[#This Row],[P/750]]&lt;20,1,IF(Table1[[#This Row],[P/750]]&lt;50,2,3))</f>
        <v>2</v>
      </c>
      <c r="AF420" s="10">
        <f>IF(Table1[[#This Row],[P/750]]&lt;Expenses!$C$30,1,IF(Table1[[#This Row],[P/750]]&lt;Expenses!$C$31,2,IF(Table1[[#This Row],[P/750]]&lt;Expenses!$C$32,3,4)))</f>
        <v>2</v>
      </c>
      <c r="AH420" s="37" t="s">
        <v>1189</v>
      </c>
      <c r="AI420" s="11">
        <f>Table1[[#This Row],[Price]]/Table1[[#This Row],[Size (ml)]]*750</f>
        <v>22.4</v>
      </c>
      <c r="AJ420">
        <v>92</v>
      </c>
      <c r="AK420" s="10">
        <f>COUNTIF(UniqueID!A:A,Table1[[#This Row],[ID]])</f>
        <v>0</v>
      </c>
      <c r="AL420" s="10" t="str">
        <f>VLOOKUP(Table1[[#This Row],[Cellar Location]],Location!A:F,6,FALSE)</f>
        <v>W</v>
      </c>
      <c r="AN420" s="1">
        <v>44061</v>
      </c>
      <c r="AO420" s="10" t="str">
        <f>TEXT(Table1[[#This Row],[Purchased]],"mmmm")</f>
        <v>August</v>
      </c>
      <c r="AP420" s="10" t="str">
        <f>TEXT(Table1[[#This Row],[Purchased]],"yyyy")</f>
        <v>2020</v>
      </c>
      <c r="AQ420" s="1">
        <v>44137</v>
      </c>
    </row>
    <row r="421" spans="1:43" x14ac:dyDescent="0.25">
      <c r="A421" t="str">
        <f t="shared" si="34"/>
        <v>2019G.D. VajraLanghe Nebbiolo Clare J.C.</v>
      </c>
      <c r="B421" s="37">
        <v>2019</v>
      </c>
      <c r="C421" s="37" t="s">
        <v>81</v>
      </c>
      <c r="D421" s="37" t="s">
        <v>1702</v>
      </c>
      <c r="E421" s="37" t="s">
        <v>1206</v>
      </c>
      <c r="F421" s="37" t="s">
        <v>728</v>
      </c>
      <c r="G421" s="37" t="s">
        <v>778</v>
      </c>
      <c r="H421" s="37" t="s">
        <v>1193</v>
      </c>
      <c r="I421" s="8">
        <v>1</v>
      </c>
      <c r="J421" s="38">
        <v>750</v>
      </c>
      <c r="K421" s="38" t="s">
        <v>1687</v>
      </c>
      <c r="L421" s="10">
        <f>COUNTIF(Drank!A:A,Table1[[#This Row],[ID]])</f>
        <v>0</v>
      </c>
      <c r="M421" t="s">
        <v>202</v>
      </c>
      <c r="N421" t="s">
        <v>207</v>
      </c>
      <c r="O421">
        <v>1</v>
      </c>
      <c r="P421" s="37">
        <v>2020</v>
      </c>
      <c r="Q421">
        <v>2023</v>
      </c>
      <c r="R421" s="10" t="str">
        <f>IF(IFERROR(VLOOKUP(A421,Drank!A:S,15,FALSE),"")=0,"",IFERROR(VLOOKUP(A421,Drank!A:S,15,FALSE),""))</f>
        <v/>
      </c>
      <c r="S421" s="10" t="str">
        <f>IF(IFERROR(VLOOKUP(A421,Drank!A:S,16,FALSE),"")=0,"",IFERROR(VLOOKUP(A421,Drank!A:S,16,FALSE),""))</f>
        <v/>
      </c>
      <c r="T421" s="10"/>
      <c r="U421" t="s">
        <v>29</v>
      </c>
      <c r="V421" s="18" t="str">
        <f>IF(IFERROR(VLOOKUP(A421,Drank!A:T,19,FALSE),"")=0,"",IFERROR(VLOOKUP(A421,Drank!A:T,19,FALSE),""))</f>
        <v/>
      </c>
      <c r="W421" s="1" t="str">
        <f>IF(IFERROR(VLOOKUP(A421,Drank!A:T,20,FALSE),"")=0,"",IFERROR(VLOOKUP(A421,Drank!A:T,20,FALSE),""))</f>
        <v/>
      </c>
      <c r="X421" s="10">
        <f>SUMIF(A:A,A421,I:I)</f>
        <v>6</v>
      </c>
      <c r="Y421" s="10">
        <f>IF(Table1[[#This Row],[Drank]]&gt;0,VLOOKUP(Table1[[#This Row],[ID]],Drank!A:P,16,FALSE),IF(Table1[[#This Row],[WALDD]]&gt;0,VLOOKUP(Table1[[#This Row],[ID]],Wine1!A:Q,17,FALSE),Table1[[#This Row],[EP]]))</f>
        <v>2023</v>
      </c>
      <c r="Z421" s="18">
        <f>IF(Table1[[#This Row],[My Rating]]="",IF(Table1[[#This Row],[WA Rating Clean]]="","",Table1[[#This Row],[WA Rating Clean]]),Table1[[#This Row],[My Rating]])</f>
        <v>92</v>
      </c>
      <c r="AA421" s="8">
        <v>2023</v>
      </c>
      <c r="AB421" s="128">
        <v>22.4</v>
      </c>
      <c r="AC421" s="2">
        <f t="shared" si="35"/>
        <v>22.4</v>
      </c>
      <c r="AD421" s="8">
        <v>1</v>
      </c>
      <c r="AE421" s="10">
        <f>IF(Table1[[#This Row],[P/750]]&lt;20,1,IF(Table1[[#This Row],[P/750]]&lt;50,2,3))</f>
        <v>2</v>
      </c>
      <c r="AF421" s="10">
        <f>IF(Table1[[#This Row],[P/750]]&lt;Expenses!$C$30,1,IF(Table1[[#This Row],[P/750]]&lt;Expenses!$C$31,2,IF(Table1[[#This Row],[P/750]]&lt;Expenses!$C$32,3,4)))</f>
        <v>2</v>
      </c>
      <c r="AH421" s="37" t="s">
        <v>1189</v>
      </c>
      <c r="AI421" s="11">
        <f>Table1[[#This Row],[Price]]/Table1[[#This Row],[Size (ml)]]*750</f>
        <v>22.4</v>
      </c>
      <c r="AJ421">
        <v>92</v>
      </c>
      <c r="AK421" s="10">
        <f>COUNTIF(UniqueID!A:A,Table1[[#This Row],[ID]])</f>
        <v>0</v>
      </c>
      <c r="AL421" s="10" t="str">
        <f>VLOOKUP(Table1[[#This Row],[Cellar Location]],Location!A:F,6,FALSE)</f>
        <v>W</v>
      </c>
      <c r="AN421" s="1">
        <v>44061</v>
      </c>
      <c r="AO421" s="10" t="str">
        <f>TEXT(Table1[[#This Row],[Purchased]],"mmmm")</f>
        <v>August</v>
      </c>
      <c r="AP421" s="10" t="str">
        <f>TEXT(Table1[[#This Row],[Purchased]],"yyyy")</f>
        <v>2020</v>
      </c>
      <c r="AQ421" s="1">
        <v>44137</v>
      </c>
    </row>
    <row r="422" spans="1:43" x14ac:dyDescent="0.25">
      <c r="A422" t="str">
        <f t="shared" si="34"/>
        <v>2015GordoYecla</v>
      </c>
      <c r="B422" s="8">
        <v>2015</v>
      </c>
      <c r="C422" s="8" t="s">
        <v>1815</v>
      </c>
      <c r="D422" s="19" t="s">
        <v>1816</v>
      </c>
      <c r="E422" s="63" t="s">
        <v>1817</v>
      </c>
      <c r="F422" s="37" t="s">
        <v>729</v>
      </c>
      <c r="G422" s="37" t="s">
        <v>821</v>
      </c>
      <c r="H422" s="37" t="s">
        <v>1816</v>
      </c>
      <c r="I422" s="37">
        <v>1</v>
      </c>
      <c r="J422" s="8">
        <v>750</v>
      </c>
      <c r="K422" s="8" t="s">
        <v>1833</v>
      </c>
      <c r="L422" s="10">
        <f>COUNTIF(Drank!A:A,Table1[[#This Row],[ID]])</f>
        <v>1</v>
      </c>
      <c r="M422" t="s">
        <v>202</v>
      </c>
      <c r="N422" t="s">
        <v>207</v>
      </c>
      <c r="O422">
        <v>0</v>
      </c>
      <c r="P422" s="10"/>
      <c r="R422" s="10">
        <f>IF(IFERROR(VLOOKUP(A422,Drank!A:S,15,FALSE),"")=0,"",IFERROR(VLOOKUP(A422,Drank!A:S,15,FALSE),""))</f>
        <v>2021</v>
      </c>
      <c r="S422" s="10">
        <f>IF(IFERROR(VLOOKUP(A422,Drank!A:S,16,FALSE),"")=0,"",IFERROR(VLOOKUP(A422,Drank!A:S,16,FALSE),""))</f>
        <v>2025</v>
      </c>
      <c r="T422" s="10">
        <v>2023</v>
      </c>
      <c r="V422" s="18">
        <f>IF(IFERROR(VLOOKUP(A422,Drank!A:T,19,FALSE),"")=0,"",IFERROR(VLOOKUP(A422,Drank!A:T,19,FALSE),""))</f>
        <v>89</v>
      </c>
      <c r="W422" s="1">
        <f>IF(IFERROR(VLOOKUP(A422,Drank!A:T,20,FALSE),"")=0,"",IFERROR(VLOOKUP(A422,Drank!A:T,20,FALSE),""))</f>
        <v>44080</v>
      </c>
      <c r="X422" s="10">
        <f>SUMIF(A:A,A422,I:I)</f>
        <v>5</v>
      </c>
      <c r="Y422" s="10">
        <f>IF(Table1[[#This Row],[Drank]]&gt;0,VLOOKUP(Table1[[#This Row],[ID]],Drank!A:P,16,FALSE),IF(Table1[[#This Row],[WALDD]]&gt;0,VLOOKUP(Table1[[#This Row],[ID]],Wine1!A:Q,17,FALSE),Table1[[#This Row],[EP]]))</f>
        <v>2025</v>
      </c>
      <c r="Z422" s="18">
        <f>IF(Table1[[#This Row],[My Rating]]="",IF(Table1[[#This Row],[WA Rating Clean]]="","",Table1[[#This Row],[WA Rating Clean]]),Table1[[#This Row],[My Rating]])</f>
        <v>89</v>
      </c>
      <c r="AA422" s="37">
        <v>2023</v>
      </c>
      <c r="AB422" s="128">
        <v>13.77</v>
      </c>
      <c r="AC422" s="2">
        <f t="shared" si="35"/>
        <v>13.77</v>
      </c>
      <c r="AD422" s="8"/>
      <c r="AE422" s="10">
        <f>IF(Table1[[#This Row],[P/750]]&lt;20,1,IF(Table1[[#This Row],[P/750]]&lt;50,2,3))</f>
        <v>1</v>
      </c>
      <c r="AF422" s="10">
        <f>IF(Table1[[#This Row],[P/750]]&lt;Expenses!$C$30,1,IF(Table1[[#This Row],[P/750]]&lt;Expenses!$C$31,2,IF(Table1[[#This Row],[P/750]]&lt;Expenses!$C$32,3,4)))</f>
        <v>1</v>
      </c>
      <c r="AH422" s="25" t="s">
        <v>385</v>
      </c>
      <c r="AI422" s="11">
        <f>Table1[[#This Row],[Price]]/Table1[[#This Row],[Size (ml)]]*750</f>
        <v>13.769999999999998</v>
      </c>
      <c r="AK422" s="10">
        <f>COUNTIF(UniqueID!A:A,Table1[[#This Row],[ID]])</f>
        <v>0</v>
      </c>
      <c r="AL422" s="10" t="str">
        <f>VLOOKUP(Table1[[#This Row],[Cellar Location]],Location!A:F,6,FALSE)</f>
        <v>C</v>
      </c>
      <c r="AN422" s="1">
        <v>44068</v>
      </c>
      <c r="AO422" s="10" t="str">
        <f>TEXT(Table1[[#This Row],[Purchased]],"mmmm")</f>
        <v>August</v>
      </c>
      <c r="AP422" s="10" t="str">
        <f>TEXT(Table1[[#This Row],[Purchased]],"yyyy")</f>
        <v>2020</v>
      </c>
      <c r="AQ422" s="1">
        <v>44114</v>
      </c>
    </row>
    <row r="423" spans="1:43" s="37" customFormat="1" x14ac:dyDescent="0.25">
      <c r="A423" s="37" t="str">
        <f t="shared" si="34"/>
        <v>2015GordoYecla</v>
      </c>
      <c r="B423" s="8">
        <v>2015</v>
      </c>
      <c r="C423" s="8" t="s">
        <v>1815</v>
      </c>
      <c r="D423" s="19" t="s">
        <v>1816</v>
      </c>
      <c r="E423" s="63" t="s">
        <v>1817</v>
      </c>
      <c r="F423" s="37" t="s">
        <v>729</v>
      </c>
      <c r="G423" s="37" t="s">
        <v>821</v>
      </c>
      <c r="H423" s="37" t="s">
        <v>1816</v>
      </c>
      <c r="I423" s="37">
        <v>1</v>
      </c>
      <c r="J423" s="8">
        <v>750</v>
      </c>
      <c r="K423" s="8" t="s">
        <v>236</v>
      </c>
      <c r="L423" s="10">
        <f>COUNTIF(Drank!A:A,Table1[[#This Row],[ID]])</f>
        <v>1</v>
      </c>
      <c r="M423" s="37" t="s">
        <v>202</v>
      </c>
      <c r="N423" s="37" t="s">
        <v>207</v>
      </c>
      <c r="O423" s="37">
        <v>0</v>
      </c>
      <c r="P423" s="10"/>
      <c r="R423" s="10">
        <f>IF(IFERROR(VLOOKUP(A423,Drank!A:S,15,FALSE),"")=0,"",IFERROR(VLOOKUP(A423,Drank!A:S,15,FALSE),""))</f>
        <v>2021</v>
      </c>
      <c r="S423" s="10">
        <f>IF(IFERROR(VLOOKUP(A423,Drank!A:S,16,FALSE),"")=0,"",IFERROR(VLOOKUP(A423,Drank!A:S,16,FALSE),""))</f>
        <v>2025</v>
      </c>
      <c r="T423" s="10">
        <v>2023</v>
      </c>
      <c r="V423" s="18">
        <f>IF(IFERROR(VLOOKUP(A423,Drank!A:T,19,FALSE),"")=0,"",IFERROR(VLOOKUP(A423,Drank!A:T,19,FALSE),""))</f>
        <v>89</v>
      </c>
      <c r="W423" s="1">
        <f>IF(IFERROR(VLOOKUP(A423,Drank!A:T,20,FALSE),"")=0,"",IFERROR(VLOOKUP(A423,Drank!A:T,20,FALSE),""))</f>
        <v>44080</v>
      </c>
      <c r="X423" s="10">
        <f>SUMIF(A:A,A423,I:I)</f>
        <v>5</v>
      </c>
      <c r="Y423" s="10">
        <f>IF(Table1[[#This Row],[Drank]]&gt;0,VLOOKUP(Table1[[#This Row],[ID]],Drank!A:P,16,FALSE),IF(Table1[[#This Row],[WALDD]]&gt;0,VLOOKUP(Table1[[#This Row],[ID]],Wine1!A:Q,17,FALSE),Table1[[#This Row],[EP]]))</f>
        <v>2025</v>
      </c>
      <c r="Z423" s="18">
        <f>IF(Table1[[#This Row],[My Rating]]="",IF(Table1[[#This Row],[WA Rating Clean]]="","",Table1[[#This Row],[WA Rating Clean]]),Table1[[#This Row],[My Rating]])</f>
        <v>89</v>
      </c>
      <c r="AA423" s="37">
        <v>2023</v>
      </c>
      <c r="AB423" s="128">
        <v>13.77</v>
      </c>
      <c r="AC423" s="2">
        <f t="shared" si="35"/>
        <v>13.77</v>
      </c>
      <c r="AD423" s="8"/>
      <c r="AE423" s="10">
        <f>IF(Table1[[#This Row],[P/750]]&lt;20,1,IF(Table1[[#This Row],[P/750]]&lt;50,2,3))</f>
        <v>1</v>
      </c>
      <c r="AF423" s="10">
        <f>IF(Table1[[#This Row],[P/750]]&lt;Expenses!$C$30,1,IF(Table1[[#This Row],[P/750]]&lt;Expenses!$C$31,2,IF(Table1[[#This Row],[P/750]]&lt;Expenses!$C$32,3,4)))</f>
        <v>1</v>
      </c>
      <c r="AH423" s="25" t="s">
        <v>385</v>
      </c>
      <c r="AI423" s="11">
        <f>Table1[[#This Row],[Price]]/Table1[[#This Row],[Size (ml)]]*750</f>
        <v>13.769999999999998</v>
      </c>
      <c r="AK423" s="10">
        <f>COUNTIF(UniqueID!A:A,Table1[[#This Row],[ID]])</f>
        <v>0</v>
      </c>
      <c r="AL423" s="10" t="str">
        <f>VLOOKUP(Table1[[#This Row],[Cellar Location]],Location!A:F,6,FALSE)</f>
        <v>C</v>
      </c>
      <c r="AN423" s="1">
        <v>44068</v>
      </c>
      <c r="AO423" s="10" t="str">
        <f>TEXT(Table1[[#This Row],[Purchased]],"mmmm")</f>
        <v>August</v>
      </c>
      <c r="AP423" s="10" t="str">
        <f>TEXT(Table1[[#This Row],[Purchased]],"yyyy")</f>
        <v>2020</v>
      </c>
      <c r="AQ423" s="1">
        <v>44114</v>
      </c>
    </row>
    <row r="424" spans="1:43" s="37" customFormat="1" x14ac:dyDescent="0.25">
      <c r="A424" s="37" t="str">
        <f t="shared" si="34"/>
        <v>2016BrotteGigondas la Marasque</v>
      </c>
      <c r="B424" s="37">
        <v>2016</v>
      </c>
      <c r="C424" s="37" t="s">
        <v>1230</v>
      </c>
      <c r="D424" s="37" t="s">
        <v>1231</v>
      </c>
      <c r="E424" s="67" t="s">
        <v>1233</v>
      </c>
      <c r="F424" s="37" t="s">
        <v>742</v>
      </c>
      <c r="G424" s="37" t="s">
        <v>759</v>
      </c>
      <c r="H424" s="37" t="s">
        <v>764</v>
      </c>
      <c r="I424" s="107">
        <v>1</v>
      </c>
      <c r="J424" s="35">
        <v>750</v>
      </c>
      <c r="K424" s="107" t="s">
        <v>642</v>
      </c>
      <c r="L424" s="10">
        <f>COUNTIF(Drank!A:A,Table1[[#This Row],[ID]])</f>
        <v>1</v>
      </c>
      <c r="M424" s="37" t="s">
        <v>202</v>
      </c>
      <c r="N424" s="37" t="s">
        <v>207</v>
      </c>
      <c r="O424" s="37">
        <v>1</v>
      </c>
      <c r="P424" s="10">
        <v>2018</v>
      </c>
      <c r="Q424" s="37">
        <v>2023</v>
      </c>
      <c r="R424" s="10">
        <f>IF(IFERROR(VLOOKUP(A424,Drank!A:S,15,FALSE),"")=0,"",IFERROR(VLOOKUP(A424,Drank!A:S,15,FALSE),""))</f>
        <v>2020</v>
      </c>
      <c r="S424" s="10">
        <f>IF(IFERROR(VLOOKUP(A424,Drank!A:S,16,FALSE),"")=0,"",IFERROR(VLOOKUP(A424,Drank!A:S,16,FALSE),""))</f>
        <v>2024</v>
      </c>
      <c r="T424" s="10"/>
      <c r="U424" s="37" t="s">
        <v>1232</v>
      </c>
      <c r="V424" s="18">
        <f>IF(IFERROR(VLOOKUP(A424,Drank!A:T,19,FALSE),"")=0,"",IFERROR(VLOOKUP(A424,Drank!A:T,19,FALSE),""))</f>
        <v>91</v>
      </c>
      <c r="W424" s="1">
        <f>IF(IFERROR(VLOOKUP(A424,Drank!A:T,20,FALSE),"")=0,"",IFERROR(VLOOKUP(A424,Drank!A:T,20,FALSE),""))</f>
        <v>43911</v>
      </c>
      <c r="X424" s="10">
        <f>SUMIF(A:A,A424,I:I)</f>
        <v>4</v>
      </c>
      <c r="Y424" s="10">
        <f>IF(Table1[[#This Row],[Drank]]&gt;0,VLOOKUP(Table1[[#This Row],[ID]],Drank!A:P,16,FALSE),IF(Table1[[#This Row],[WALDD]]&gt;0,VLOOKUP(Table1[[#This Row],[ID]],Wine1!A:Q,17,FALSE),Table1[[#This Row],[EP]]))</f>
        <v>2024</v>
      </c>
      <c r="Z424" s="18">
        <f>IF(Table1[[#This Row],[My Rating]]="",IF(Table1[[#This Row],[WA Rating Clean]]="","",Table1[[#This Row],[WA Rating Clean]]),Table1[[#This Row],[My Rating]])</f>
        <v>91</v>
      </c>
      <c r="AA424" s="37">
        <v>2023</v>
      </c>
      <c r="AB424" s="128">
        <v>16.989999999999998</v>
      </c>
      <c r="AC424" s="2">
        <f t="shared" si="35"/>
        <v>16.989999999999998</v>
      </c>
      <c r="AD424" s="8">
        <v>2</v>
      </c>
      <c r="AE424" s="10">
        <f>IF(Table1[[#This Row],[P/750]]&lt;20,1,IF(Table1[[#This Row],[P/750]]&lt;50,2,3))</f>
        <v>1</v>
      </c>
      <c r="AF424" s="10">
        <f>IF(Table1[[#This Row],[P/750]]&lt;Expenses!$C$30,1,IF(Table1[[#This Row],[P/750]]&lt;Expenses!$C$31,2,IF(Table1[[#This Row],[P/750]]&lt;Expenses!$C$32,3,4)))</f>
        <v>2</v>
      </c>
      <c r="AH424" s="37" t="s">
        <v>384</v>
      </c>
      <c r="AI424" s="11">
        <f>Table1[[#This Row],[Price]]/Table1[[#This Row],[Size (ml)]]*750</f>
        <v>16.989999999999998</v>
      </c>
      <c r="AJ424" s="9">
        <v>91</v>
      </c>
      <c r="AK424" s="10">
        <f>COUNTIF(UniqueID!A:A,Table1[[#This Row],[ID]])</f>
        <v>1</v>
      </c>
      <c r="AL424" s="10" t="str">
        <f>VLOOKUP(Table1[[#This Row],[Cellar Location]],Location!A:F,6,FALSE)</f>
        <v>S</v>
      </c>
      <c r="AN424" s="1">
        <v>43863</v>
      </c>
      <c r="AO424" s="37" t="str">
        <f>TEXT(Table1[[#This Row],[Purchased]],"mmmm")</f>
        <v>February</v>
      </c>
      <c r="AP424" s="10" t="str">
        <f>TEXT(Table1[[#This Row],[Purchased]],"yyyy")</f>
        <v>2020</v>
      </c>
      <c r="AQ424" s="10"/>
    </row>
    <row r="425" spans="1:43" s="37" customFormat="1" x14ac:dyDescent="0.25">
      <c r="A425" s="37" t="str">
        <f t="shared" si="34"/>
        <v>2016Chateau de GrangeneuveSainte-Foy</v>
      </c>
      <c r="B425" s="37">
        <v>2016</v>
      </c>
      <c r="C425" s="9" t="s">
        <v>659</v>
      </c>
      <c r="D425" s="9" t="s">
        <v>660</v>
      </c>
      <c r="E425" s="67" t="s">
        <v>1273</v>
      </c>
      <c r="F425" s="37" t="s">
        <v>742</v>
      </c>
      <c r="G425" s="37" t="s">
        <v>748</v>
      </c>
      <c r="I425" s="107">
        <v>1</v>
      </c>
      <c r="J425" s="37">
        <v>750</v>
      </c>
      <c r="K425" s="107" t="s">
        <v>716</v>
      </c>
      <c r="L425" s="10">
        <f>COUNTIF(Drank!A:A,Table1[[#This Row],[ID]])</f>
        <v>1</v>
      </c>
      <c r="M425" s="37" t="s">
        <v>202</v>
      </c>
      <c r="N425" s="37" t="s">
        <v>207</v>
      </c>
      <c r="O425" s="37">
        <v>1</v>
      </c>
      <c r="P425" s="10"/>
      <c r="R425" s="10" t="str">
        <f>IF(IFERROR(VLOOKUP(A425,Drank!A:S,15,FALSE),"")=0,"",IFERROR(VLOOKUP(A425,Drank!A:S,15,FALSE),""))</f>
        <v/>
      </c>
      <c r="S425" s="10">
        <f>IF(IFERROR(VLOOKUP(A425,Drank!A:S,16,FALSE),"")=0,"",IFERROR(VLOOKUP(A425,Drank!A:S,16,FALSE),""))</f>
        <v>2024</v>
      </c>
      <c r="T425" s="10">
        <v>2023</v>
      </c>
      <c r="V425" s="18">
        <f>IF(IFERROR(VLOOKUP(A425,Drank!A:T,19,FALSE),"")=0,"",IFERROR(VLOOKUP(A425,Drank!A:T,19,FALSE),""))</f>
        <v>88</v>
      </c>
      <c r="W425" s="1">
        <f>IF(IFERROR(VLOOKUP(A425,Drank!A:T,20,FALSE),"")=0,"",IFERROR(VLOOKUP(A425,Drank!A:T,20,FALSE),""))</f>
        <v>43813</v>
      </c>
      <c r="X425" s="10">
        <f>SUMIF(A:A,A425,I:I)</f>
        <v>3</v>
      </c>
      <c r="Y425" s="10">
        <f>IF(Table1[[#This Row],[Drank]]&gt;0,VLOOKUP(Table1[[#This Row],[ID]],Drank!A:P,16,FALSE),IF(Table1[[#This Row],[WALDD]]&gt;0,VLOOKUP(Table1[[#This Row],[ID]],Wine1!A:Q,17,FALSE),Table1[[#This Row],[EP]]))</f>
        <v>2024</v>
      </c>
      <c r="Z425" s="18">
        <f>IF(Table1[[#This Row],[My Rating]]="",IF(Table1[[#This Row],[WA Rating Clean]]="","",Table1[[#This Row],[WA Rating Clean]]),Table1[[#This Row],[My Rating]])</f>
        <v>88</v>
      </c>
      <c r="AA425" s="37">
        <v>2023</v>
      </c>
      <c r="AB425" s="128">
        <v>12.99</v>
      </c>
      <c r="AC425" s="2">
        <f t="shared" si="35"/>
        <v>12.99</v>
      </c>
      <c r="AD425" s="8">
        <v>2</v>
      </c>
      <c r="AE425" s="10">
        <f>IF(Table1[[#This Row],[P/750]]&lt;20,1,IF(Table1[[#This Row],[P/750]]&lt;50,2,3))</f>
        <v>1</v>
      </c>
      <c r="AF425" s="10">
        <f>IF(Table1[[#This Row],[P/750]]&lt;Expenses!$C$30,1,IF(Table1[[#This Row],[P/750]]&lt;Expenses!$C$31,2,IF(Table1[[#This Row],[P/750]]&lt;Expenses!$C$32,3,4)))</f>
        <v>1</v>
      </c>
      <c r="AH425" s="37" t="s">
        <v>384</v>
      </c>
      <c r="AI425" s="11">
        <f>Table1[[#This Row],[Price]]/Table1[[#This Row],[Size (ml)]]*750</f>
        <v>12.989999999999998</v>
      </c>
      <c r="AK425" s="37">
        <f>COUNTIF(UniqueID!A:A,Table1[[#This Row],[ID]])</f>
        <v>1</v>
      </c>
      <c r="AL425" s="37" t="str">
        <f>VLOOKUP(Table1[[#This Row],[Cellar Location]],Location!A:F,6,FALSE)</f>
        <v>S</v>
      </c>
      <c r="AN425" s="1">
        <v>43809</v>
      </c>
      <c r="AO425" s="37" t="str">
        <f>TEXT(Table1[[#This Row],[Purchased]],"mmmm")</f>
        <v>December</v>
      </c>
      <c r="AP425" s="10" t="str">
        <f>TEXT(Table1[[#This Row],[Purchased]],"yyyy")</f>
        <v>2019</v>
      </c>
      <c r="AQ425" s="10"/>
    </row>
    <row r="426" spans="1:43" s="37" customFormat="1" x14ac:dyDescent="0.25">
      <c r="A426" s="37" t="str">
        <f t="shared" si="34"/>
        <v>2010CondeNeo</v>
      </c>
      <c r="B426" s="37">
        <v>2010</v>
      </c>
      <c r="C426" s="9" t="s">
        <v>45</v>
      </c>
      <c r="D426" s="9" t="s">
        <v>46</v>
      </c>
      <c r="E426" s="69" t="s">
        <v>276</v>
      </c>
      <c r="F426" s="37" t="s">
        <v>729</v>
      </c>
      <c r="G426" s="37" t="s">
        <v>1718</v>
      </c>
      <c r="H426" s="37" t="s">
        <v>818</v>
      </c>
      <c r="I426" s="107">
        <v>1</v>
      </c>
      <c r="J426" s="37">
        <v>750</v>
      </c>
      <c r="K426" s="107" t="s">
        <v>654</v>
      </c>
      <c r="L426" s="10">
        <f>COUNTIF(Drank!A:A,Table1[[#This Row],[ID]])</f>
        <v>6</v>
      </c>
      <c r="M426" s="37" t="s">
        <v>202</v>
      </c>
      <c r="N426" s="37" t="s">
        <v>207</v>
      </c>
      <c r="O426" s="37">
        <v>1</v>
      </c>
      <c r="P426" s="37">
        <v>2014</v>
      </c>
      <c r="Q426" s="37">
        <v>2020</v>
      </c>
      <c r="R426" s="10">
        <f>IF(IFERROR(VLOOKUP(A426,Drank!A:S,15,FALSE),"")=0,"",IFERROR(VLOOKUP(A426,Drank!A:S,15,FALSE),""))</f>
        <v>2021</v>
      </c>
      <c r="S426" s="10">
        <f>IF(IFERROR(VLOOKUP(A426,Drank!A:S,16,FALSE),"")=0,"",IFERROR(VLOOKUP(A426,Drank!A:S,16,FALSE),""))</f>
        <v>2024</v>
      </c>
      <c r="T426" s="10"/>
      <c r="U426" s="37">
        <v>93</v>
      </c>
      <c r="V426" s="18">
        <f>IF(IFERROR(VLOOKUP(A426,Drank!A:T,19,FALSE),"")=0,"",IFERROR(VLOOKUP(A426,Drank!A:T,19,FALSE),""))</f>
        <v>92.166666666666671</v>
      </c>
      <c r="W426" s="1">
        <f>IF(IFERROR(VLOOKUP(A426,Drank!A:T,20,FALSE),"")=0,"",IFERROR(VLOOKUP(A426,Drank!A:T,20,FALSE),""))</f>
        <v>43987</v>
      </c>
      <c r="X426" s="10">
        <f>SUMIF(A:A,A426,I:I)</f>
        <v>4</v>
      </c>
      <c r="Y426" s="10">
        <f>IF(Table1[[#This Row],[Drank]]&gt;0,VLOOKUP(Table1[[#This Row],[ID]],Drank!A:P,16,FALSE),IF(Table1[[#This Row],[WALDD]]&gt;0,VLOOKUP(Table1[[#This Row],[ID]],Wine1!A:Q,17,FALSE),Table1[[#This Row],[EP]]))</f>
        <v>2024</v>
      </c>
      <c r="Z426" s="18">
        <f>IF(Table1[[#This Row],[My Rating]]="",IF(Table1[[#This Row],[WA Rating Clean]]="","",Table1[[#This Row],[WA Rating Clean]]),Table1[[#This Row],[My Rating]])</f>
        <v>92.166666666666671</v>
      </c>
      <c r="AA426" s="37">
        <v>2023</v>
      </c>
      <c r="AB426" s="128">
        <v>21.99</v>
      </c>
      <c r="AC426" s="2">
        <f t="shared" si="35"/>
        <v>21.99</v>
      </c>
      <c r="AD426" s="8">
        <v>2</v>
      </c>
      <c r="AE426" s="37">
        <f>IF(Table1[[#This Row],[P/750]]&lt;20,1,IF(Table1[[#This Row],[P/750]]&lt;50,2,3))</f>
        <v>2</v>
      </c>
      <c r="AF426" s="37">
        <f>IF(Table1[[#This Row],[P/750]]&lt;Expenses!$C$30,1,IF(Table1[[#This Row],[P/750]]&lt;Expenses!$C$31,2,IF(Table1[[#This Row],[P/750]]&lt;Expenses!$C$32,3,4)))</f>
        <v>2</v>
      </c>
      <c r="AH426" s="37" t="s">
        <v>384</v>
      </c>
      <c r="AI426" s="11">
        <f>Table1[[#This Row],[Price]]/Table1[[#This Row],[Size (ml)]]*750</f>
        <v>21.99</v>
      </c>
      <c r="AJ426" s="37">
        <v>93</v>
      </c>
      <c r="AK426" s="37">
        <f>COUNTIF(UniqueID!A:A,Table1[[#This Row],[ID]])</f>
        <v>1</v>
      </c>
      <c r="AL426" s="37" t="str">
        <f>VLOOKUP(Table1[[#This Row],[Cellar Location]],Location!A:F,6,FALSE)</f>
        <v>S</v>
      </c>
      <c r="AO426" s="37" t="str">
        <f>TEXT(Table1[[#This Row],[Purchased]],"mmmm")</f>
        <v>January</v>
      </c>
      <c r="AP426" s="10" t="str">
        <f>TEXT(Table1[[#This Row],[Purchased]],"yyyy")</f>
        <v>1900</v>
      </c>
      <c r="AQ426" s="10"/>
    </row>
    <row r="427" spans="1:43" s="37" customFormat="1" x14ac:dyDescent="0.25">
      <c r="A427" s="37" t="str">
        <f t="shared" si="34"/>
        <v>2009VirnaBarolo Preda Sarmassa</v>
      </c>
      <c r="B427" s="37">
        <v>2009</v>
      </c>
      <c r="C427" s="9" t="s">
        <v>35</v>
      </c>
      <c r="D427" s="9" t="s">
        <v>36</v>
      </c>
      <c r="E427" s="67" t="s">
        <v>1206</v>
      </c>
      <c r="F427" s="37" t="s">
        <v>728</v>
      </c>
      <c r="G427" s="37" t="s">
        <v>778</v>
      </c>
      <c r="H427" s="9" t="s">
        <v>268</v>
      </c>
      <c r="I427" s="37">
        <v>1</v>
      </c>
      <c r="J427" s="37">
        <v>750</v>
      </c>
      <c r="K427" s="8" t="s">
        <v>11</v>
      </c>
      <c r="L427" s="37">
        <f>COUNTIF(Drank!A:A,Table1[[#This Row],[ID]])</f>
        <v>0</v>
      </c>
      <c r="M427" s="37" t="s">
        <v>202</v>
      </c>
      <c r="N427" s="37" t="s">
        <v>207</v>
      </c>
      <c r="O427" s="37">
        <v>0</v>
      </c>
      <c r="R427" s="37" t="str">
        <f>IF(IFERROR(VLOOKUP(A427,Drank!A:S,15,FALSE),"")=0,"",IFERROR(VLOOKUP(A427,Drank!A:S,15,FALSE),""))</f>
        <v/>
      </c>
      <c r="S427" s="37" t="str">
        <f>IF(IFERROR(VLOOKUP(A427,Drank!A:S,16,FALSE),"")=0,"",IFERROR(VLOOKUP(A427,Drank!A:S,16,FALSE),""))</f>
        <v/>
      </c>
      <c r="T427" s="37">
        <v>2024</v>
      </c>
      <c r="V427" s="18" t="str">
        <f>IF(IFERROR(VLOOKUP(A427,Drank!A:T,19,FALSE),"")=0,"",IFERROR(VLOOKUP(A427,Drank!A:T,19,FALSE),""))</f>
        <v/>
      </c>
      <c r="W427" s="1" t="str">
        <f>IF(IFERROR(VLOOKUP(A427,Drank!A:T,20,FALSE),"")=0,"",IFERROR(VLOOKUP(A427,Drank!A:T,20,FALSE),""))</f>
        <v/>
      </c>
      <c r="X427" s="37">
        <f>SUMIF(A:A,A427,I:I)</f>
        <v>1</v>
      </c>
      <c r="Y427" s="37">
        <f>IF(Table1[[#This Row],[Drank]]&gt;0,VLOOKUP(Table1[[#This Row],[ID]],Drank!A:P,16,FALSE),IF(Table1[[#This Row],[WALDD]]&gt;0,VLOOKUP(Table1[[#This Row],[ID]],Wine1!A:Q,17,FALSE),Table1[[#This Row],[EP]]))</f>
        <v>2024</v>
      </c>
      <c r="Z427" s="18" t="str">
        <f>IF(Table1[[#This Row],[My Rating]]="",IF(Table1[[#This Row],[WA Rating Clean]]="","",Table1[[#This Row],[WA Rating Clean]]),Table1[[#This Row],[My Rating]])</f>
        <v/>
      </c>
      <c r="AA427" s="37">
        <v>2023</v>
      </c>
      <c r="AB427" s="134">
        <v>54</v>
      </c>
      <c r="AC427" s="2">
        <f t="shared" si="35"/>
        <v>54</v>
      </c>
      <c r="AD427" s="8">
        <v>0</v>
      </c>
      <c r="AE427" s="37">
        <f>IF(Table1[[#This Row],[P/750]]&lt;20,1,IF(Table1[[#This Row],[P/750]]&lt;50,2,3))</f>
        <v>3</v>
      </c>
      <c r="AF427" s="37">
        <f>IF(Table1[[#This Row],[P/750]]&lt;Expenses!$C$30,1,IF(Table1[[#This Row],[P/750]]&lt;Expenses!$C$31,2,IF(Table1[[#This Row],[P/750]]&lt;Expenses!$C$32,3,4)))</f>
        <v>3</v>
      </c>
      <c r="AH427" s="37" t="s">
        <v>384</v>
      </c>
      <c r="AI427" s="11">
        <f>Table1[[#This Row],[Price]]/Table1[[#This Row],[Size (ml)]]*750</f>
        <v>53.999999999999993</v>
      </c>
      <c r="AK427" s="37">
        <f>COUNTIF(UniqueID!A:A,Table1[[#This Row],[ID]])</f>
        <v>1</v>
      </c>
      <c r="AL427" s="37" t="str">
        <f>VLOOKUP(Table1[[#This Row],[Cellar Location]],Location!A:F,6,FALSE)</f>
        <v>K</v>
      </c>
      <c r="AO427" s="37" t="str">
        <f>TEXT(Table1[[#This Row],[Purchased]],"mmmm")</f>
        <v>January</v>
      </c>
      <c r="AP427" s="10" t="str">
        <f>TEXT(Table1[[#This Row],[Purchased]],"yyyy")</f>
        <v>1900</v>
      </c>
      <c r="AQ427" s="10"/>
    </row>
    <row r="428" spans="1:43" s="37" customFormat="1" x14ac:dyDescent="0.25">
      <c r="A428" s="37" t="str">
        <f t="shared" si="34"/>
        <v>2005EscuderoVidau</v>
      </c>
      <c r="B428" s="37">
        <v>2005</v>
      </c>
      <c r="C428" s="37" t="s">
        <v>217</v>
      </c>
      <c r="D428" s="37" t="s">
        <v>1658</v>
      </c>
      <c r="E428" s="67" t="s">
        <v>1659</v>
      </c>
      <c r="F428" s="37" t="s">
        <v>729</v>
      </c>
      <c r="G428" s="37" t="s">
        <v>823</v>
      </c>
      <c r="I428" s="8">
        <v>1</v>
      </c>
      <c r="J428" s="38">
        <v>750</v>
      </c>
      <c r="K428" s="38" t="s">
        <v>384</v>
      </c>
      <c r="L428" s="10">
        <f>COUNTIF(Drank!A:A,Table1[[#This Row],[ID]])</f>
        <v>1</v>
      </c>
      <c r="M428" s="37" t="s">
        <v>202</v>
      </c>
      <c r="N428" s="37" t="s">
        <v>207</v>
      </c>
      <c r="O428" s="37">
        <v>1</v>
      </c>
      <c r="P428" s="10">
        <v>2010</v>
      </c>
      <c r="Q428" s="37">
        <v>2020</v>
      </c>
      <c r="R428" s="10" t="str">
        <f>IF(IFERROR(VLOOKUP(A428,Drank!A:S,15,FALSE),"")=0,"",IFERROR(VLOOKUP(A428,Drank!A:S,15,FALSE),""))</f>
        <v/>
      </c>
      <c r="S428" s="10">
        <f>IF(IFERROR(VLOOKUP(A428,Drank!A:S,16,FALSE),"")=0,"",IFERROR(VLOOKUP(A428,Drank!A:S,16,FALSE),""))</f>
        <v>2025</v>
      </c>
      <c r="T428" s="10"/>
      <c r="U428" s="37" t="s">
        <v>1404</v>
      </c>
      <c r="V428" s="18">
        <f>IF(IFERROR(VLOOKUP(A428,Drank!A:T,19,FALSE),"")=0,"",IFERROR(VLOOKUP(A428,Drank!A:T,19,FALSE),""))</f>
        <v>92</v>
      </c>
      <c r="W428" s="1">
        <f>IF(IFERROR(VLOOKUP(A428,Drank!A:T,20,FALSE),"")=0,"",IFERROR(VLOOKUP(A428,Drank!A:T,20,FALSE),""))</f>
        <v>44062</v>
      </c>
      <c r="X428" s="10">
        <f>SUMIF(A:A,A428,I:I)</f>
        <v>11</v>
      </c>
      <c r="Y428" s="10">
        <f>IF(Table1[[#This Row],[Drank]]&gt;0,VLOOKUP(Table1[[#This Row],[ID]],Drank!A:P,16,FALSE),IF(Table1[[#This Row],[WALDD]]&gt;0,VLOOKUP(Table1[[#This Row],[ID]],Wine1!A:Q,17,FALSE),Table1[[#This Row],[EP]]))</f>
        <v>2025</v>
      </c>
      <c r="Z428" s="18">
        <f>IF(Table1[[#This Row],[My Rating]]="",IF(Table1[[#This Row],[WA Rating Clean]]="","",Table1[[#This Row],[WA Rating Clean]]),Table1[[#This Row],[My Rating]])</f>
        <v>92</v>
      </c>
      <c r="AA428" s="37">
        <v>2023</v>
      </c>
      <c r="AB428" s="128">
        <v>21.71</v>
      </c>
      <c r="AC428" s="2">
        <f t="shared" si="35"/>
        <v>21.71</v>
      </c>
      <c r="AD428" s="8">
        <v>1</v>
      </c>
      <c r="AE428" s="10">
        <f>IF(Table1[[#This Row],[P/750]]&lt;20,1,IF(Table1[[#This Row],[P/750]]&lt;50,2,3))</f>
        <v>2</v>
      </c>
      <c r="AF428" s="10">
        <f>IF(Table1[[#This Row],[P/750]]&lt;Expenses!$C$30,1,IF(Table1[[#This Row],[P/750]]&lt;Expenses!$C$31,2,IF(Table1[[#This Row],[P/750]]&lt;Expenses!$C$32,3,4)))</f>
        <v>2</v>
      </c>
      <c r="AH428" s="37" t="s">
        <v>384</v>
      </c>
      <c r="AI428" s="11">
        <f>Table1[[#This Row],[Price]]/Table1[[#This Row],[Size (ml)]]*750</f>
        <v>21.71</v>
      </c>
      <c r="AJ428" s="37">
        <v>90</v>
      </c>
      <c r="AK428" s="10">
        <f>COUNTIF(UniqueID!A:A,Table1[[#This Row],[ID]])</f>
        <v>0</v>
      </c>
      <c r="AL428" s="10" t="str">
        <f>VLOOKUP(Table1[[#This Row],[Cellar Location]],Location!A:F,6,FALSE)</f>
        <v>W</v>
      </c>
      <c r="AN428" s="1">
        <v>44063</v>
      </c>
      <c r="AO428" s="10" t="str">
        <f>TEXT(Table1[[#This Row],[Purchased]],"mmmm")</f>
        <v>August</v>
      </c>
      <c r="AP428" s="10" t="str">
        <f>TEXT(Table1[[#This Row],[Purchased]],"yyyy")</f>
        <v>2020</v>
      </c>
      <c r="AQ428" s="1">
        <v>44131</v>
      </c>
    </row>
    <row r="429" spans="1:43" s="37" customFormat="1" x14ac:dyDescent="0.25">
      <c r="A429" s="37" t="str">
        <f t="shared" si="34"/>
        <v>2005EscuderoVidau</v>
      </c>
      <c r="B429" s="37">
        <v>2005</v>
      </c>
      <c r="C429" s="37" t="s">
        <v>217</v>
      </c>
      <c r="D429" s="37" t="s">
        <v>1658</v>
      </c>
      <c r="E429" s="67" t="s">
        <v>1659</v>
      </c>
      <c r="F429" s="37" t="s">
        <v>729</v>
      </c>
      <c r="G429" s="37" t="s">
        <v>823</v>
      </c>
      <c r="I429" s="8">
        <v>1</v>
      </c>
      <c r="J429" s="38">
        <v>750</v>
      </c>
      <c r="K429" s="38" t="s">
        <v>384</v>
      </c>
      <c r="L429" s="10">
        <f>COUNTIF(Drank!A:A,Table1[[#This Row],[ID]])</f>
        <v>1</v>
      </c>
      <c r="M429" s="37" t="s">
        <v>202</v>
      </c>
      <c r="N429" s="37" t="s">
        <v>207</v>
      </c>
      <c r="O429" s="37">
        <v>1</v>
      </c>
      <c r="P429" s="10">
        <v>2010</v>
      </c>
      <c r="Q429" s="37">
        <v>2020</v>
      </c>
      <c r="R429" s="10" t="str">
        <f>IF(IFERROR(VLOOKUP(A429,Drank!A:S,15,FALSE),"")=0,"",IFERROR(VLOOKUP(A429,Drank!A:S,15,FALSE),""))</f>
        <v/>
      </c>
      <c r="S429" s="10">
        <f>IF(IFERROR(VLOOKUP(A429,Drank!A:S,16,FALSE),"")=0,"",IFERROR(VLOOKUP(A429,Drank!A:S,16,FALSE),""))</f>
        <v>2025</v>
      </c>
      <c r="T429" s="10"/>
      <c r="U429" s="37" t="s">
        <v>1404</v>
      </c>
      <c r="V429" s="18">
        <f>IF(IFERROR(VLOOKUP(A429,Drank!A:T,19,FALSE),"")=0,"",IFERROR(VLOOKUP(A429,Drank!A:T,19,FALSE),""))</f>
        <v>92</v>
      </c>
      <c r="W429" s="1">
        <f>IF(IFERROR(VLOOKUP(A429,Drank!A:T,20,FALSE),"")=0,"",IFERROR(VLOOKUP(A429,Drank!A:T,20,FALSE),""))</f>
        <v>44062</v>
      </c>
      <c r="X429" s="10">
        <f>SUMIF(A:A,A429,I:I)</f>
        <v>11</v>
      </c>
      <c r="Y429" s="10">
        <f>IF(Table1[[#This Row],[Drank]]&gt;0,VLOOKUP(Table1[[#This Row],[ID]],Drank!A:P,16,FALSE),IF(Table1[[#This Row],[WALDD]]&gt;0,VLOOKUP(Table1[[#This Row],[ID]],Wine1!A:Q,17,FALSE),Table1[[#This Row],[EP]]))</f>
        <v>2025</v>
      </c>
      <c r="Z429" s="18">
        <f>IF(Table1[[#This Row],[My Rating]]="",IF(Table1[[#This Row],[WA Rating Clean]]="","",Table1[[#This Row],[WA Rating Clean]]),Table1[[#This Row],[My Rating]])</f>
        <v>92</v>
      </c>
      <c r="AA429" s="37">
        <v>2023</v>
      </c>
      <c r="AB429" s="128">
        <v>21.71</v>
      </c>
      <c r="AC429" s="2">
        <f t="shared" si="35"/>
        <v>21.71</v>
      </c>
      <c r="AD429" s="8">
        <v>1</v>
      </c>
      <c r="AE429" s="10">
        <f>IF(Table1[[#This Row],[P/750]]&lt;20,1,IF(Table1[[#This Row],[P/750]]&lt;50,2,3))</f>
        <v>2</v>
      </c>
      <c r="AF429" s="10">
        <f>IF(Table1[[#This Row],[P/750]]&lt;Expenses!$C$30,1,IF(Table1[[#This Row],[P/750]]&lt;Expenses!$C$31,2,IF(Table1[[#This Row],[P/750]]&lt;Expenses!$C$32,3,4)))</f>
        <v>2</v>
      </c>
      <c r="AH429" s="37" t="s">
        <v>384</v>
      </c>
      <c r="AI429" s="11">
        <f>Table1[[#This Row],[Price]]/Table1[[#This Row],[Size (ml)]]*750</f>
        <v>21.71</v>
      </c>
      <c r="AJ429" s="37">
        <v>90</v>
      </c>
      <c r="AK429" s="10">
        <f>COUNTIF(UniqueID!A:A,Table1[[#This Row],[ID]])</f>
        <v>0</v>
      </c>
      <c r="AL429" s="10" t="str">
        <f>VLOOKUP(Table1[[#This Row],[Cellar Location]],Location!A:F,6,FALSE)</f>
        <v>W</v>
      </c>
      <c r="AN429" s="1">
        <v>44063</v>
      </c>
      <c r="AO429" s="10" t="str">
        <f>TEXT(Table1[[#This Row],[Purchased]],"mmmm")</f>
        <v>August</v>
      </c>
      <c r="AP429" s="10" t="str">
        <f>TEXT(Table1[[#This Row],[Purchased]],"yyyy")</f>
        <v>2020</v>
      </c>
      <c r="AQ429" s="1">
        <v>44131</v>
      </c>
    </row>
    <row r="430" spans="1:43" s="37" customFormat="1" x14ac:dyDescent="0.25">
      <c r="A430" s="37" t="str">
        <f t="shared" si="34"/>
        <v>2014Los Frailes1771</v>
      </c>
      <c r="B430" s="37">
        <v>2014</v>
      </c>
      <c r="C430" s="37" t="s">
        <v>242</v>
      </c>
      <c r="D430" s="34">
        <v>1771</v>
      </c>
      <c r="E430" s="67" t="s">
        <v>1223</v>
      </c>
      <c r="F430" s="37" t="s">
        <v>729</v>
      </c>
      <c r="G430" s="37" t="s">
        <v>826</v>
      </c>
      <c r="I430" s="107">
        <v>1</v>
      </c>
      <c r="J430" s="37">
        <v>750</v>
      </c>
      <c r="K430" s="107" t="s">
        <v>645</v>
      </c>
      <c r="L430" s="37">
        <f>COUNTIF(Drank!A:A,Table1[[#This Row],[ID]])</f>
        <v>5</v>
      </c>
      <c r="M430" s="37" t="s">
        <v>202</v>
      </c>
      <c r="N430" s="37" t="s">
        <v>207</v>
      </c>
      <c r="O430" s="37">
        <v>1</v>
      </c>
      <c r="P430" s="37">
        <v>2018</v>
      </c>
      <c r="Q430" s="37">
        <v>2023</v>
      </c>
      <c r="R430" s="37">
        <f>IF(IFERROR(VLOOKUP(A430,Drank!A:S,15,FALSE),"")=0,"",IFERROR(VLOOKUP(A430,Drank!A:S,15,FALSE),""))</f>
        <v>2021</v>
      </c>
      <c r="S430" s="37">
        <f>IF(IFERROR(VLOOKUP(A430,Drank!A:S,16,FALSE),"")=0,"",IFERROR(VLOOKUP(A430,Drank!A:S,16,FALSE),""))</f>
        <v>2025</v>
      </c>
      <c r="U430" s="37">
        <v>93</v>
      </c>
      <c r="V430" s="18">
        <f>IF(IFERROR(VLOOKUP(A430,Drank!A:T,19,FALSE),"")=0,"",IFERROR(VLOOKUP(A430,Drank!A:T,19,FALSE),""))</f>
        <v>92.4</v>
      </c>
      <c r="W430" s="1">
        <f>IF(IFERROR(VLOOKUP(A430,Drank!A:T,20,FALSE),"")=0,"",IFERROR(VLOOKUP(A430,Drank!A:T,20,FALSE),""))</f>
        <v>44052</v>
      </c>
      <c r="X430" s="37">
        <f>SUMIF(A:A,A430,I:I)</f>
        <v>9</v>
      </c>
      <c r="Y430" s="37">
        <f>IF(Table1[[#This Row],[Drank]]&gt;0,VLOOKUP(Table1[[#This Row],[ID]],Drank!A:P,16,FALSE),IF(Table1[[#This Row],[WALDD]]&gt;0,VLOOKUP(Table1[[#This Row],[ID]],Wine1!A:Q,17,FALSE),Table1[[#This Row],[EP]]))</f>
        <v>2025</v>
      </c>
      <c r="Z430" s="18">
        <f>IF(Table1[[#This Row],[My Rating]]="",IF(Table1[[#This Row],[WA Rating Clean]]="","",Table1[[#This Row],[WA Rating Clean]]),Table1[[#This Row],[My Rating]])</f>
        <v>92.4</v>
      </c>
      <c r="AA430" s="37">
        <v>2023</v>
      </c>
      <c r="AB430" s="128">
        <v>19.5</v>
      </c>
      <c r="AC430" s="2">
        <f t="shared" si="35"/>
        <v>19.5</v>
      </c>
      <c r="AD430" s="8">
        <v>2</v>
      </c>
      <c r="AE430" s="37">
        <f>IF(Table1[[#This Row],[P/750]]&lt;20,1,IF(Table1[[#This Row],[P/750]]&lt;50,2,3))</f>
        <v>1</v>
      </c>
      <c r="AF430" s="37">
        <f>IF(Table1[[#This Row],[P/750]]&lt;Expenses!$C$30,1,IF(Table1[[#This Row],[P/750]]&lt;Expenses!$C$31,2,IF(Table1[[#This Row],[P/750]]&lt;Expenses!$C$32,3,4)))</f>
        <v>2</v>
      </c>
      <c r="AH430" s="37" t="s">
        <v>385</v>
      </c>
      <c r="AI430" s="11">
        <f>Table1[[#This Row],[Price]]/Table1[[#This Row],[Size (ml)]]*750</f>
        <v>19.5</v>
      </c>
      <c r="AJ430" s="37">
        <v>93</v>
      </c>
      <c r="AK430" s="37">
        <f>COUNTIF(UniqueID!A:A,Table1[[#This Row],[ID]])</f>
        <v>1</v>
      </c>
      <c r="AL430" s="37" t="str">
        <f>VLOOKUP(Table1[[#This Row],[Cellar Location]],Location!A:F,6,FALSE)</f>
        <v>S</v>
      </c>
      <c r="AO430" s="37" t="str">
        <f>TEXT(Table1[[#This Row],[Purchased]],"mmmm")</f>
        <v>January</v>
      </c>
      <c r="AP430" s="10" t="str">
        <f>TEXT(Table1[[#This Row],[Purchased]],"yyyy")</f>
        <v>1900</v>
      </c>
      <c r="AQ430" s="10"/>
    </row>
    <row r="431" spans="1:43" s="37" customFormat="1" x14ac:dyDescent="0.25">
      <c r="A431" s="37" t="str">
        <f t="shared" si="34"/>
        <v>2014Los Frailes1771</v>
      </c>
      <c r="B431" s="8">
        <v>2014</v>
      </c>
      <c r="C431" s="19" t="s">
        <v>242</v>
      </c>
      <c r="D431" s="79">
        <v>1771</v>
      </c>
      <c r="E431" s="67" t="s">
        <v>1223</v>
      </c>
      <c r="F431" s="37" t="s">
        <v>729</v>
      </c>
      <c r="G431" s="37" t="s">
        <v>826</v>
      </c>
      <c r="I431" s="107">
        <v>1</v>
      </c>
      <c r="J431" s="37">
        <v>750</v>
      </c>
      <c r="K431" s="107" t="s">
        <v>1150</v>
      </c>
      <c r="L431" s="37">
        <f>COUNTIF(Drank!A:A,Table1[[#This Row],[ID]])</f>
        <v>5</v>
      </c>
      <c r="M431" s="37" t="s">
        <v>202</v>
      </c>
      <c r="N431" s="37" t="s">
        <v>207</v>
      </c>
      <c r="O431" s="37">
        <v>1</v>
      </c>
      <c r="P431" s="37">
        <v>2018</v>
      </c>
      <c r="Q431" s="37">
        <v>2023</v>
      </c>
      <c r="R431" s="37">
        <f>IF(IFERROR(VLOOKUP(A431,Drank!A:S,15,FALSE),"")=0,"",IFERROR(VLOOKUP(A431,Drank!A:S,15,FALSE),""))</f>
        <v>2021</v>
      </c>
      <c r="S431" s="37">
        <f>IF(IFERROR(VLOOKUP(A431,Drank!A:S,16,FALSE),"")=0,"",IFERROR(VLOOKUP(A431,Drank!A:S,16,FALSE),""))</f>
        <v>2025</v>
      </c>
      <c r="U431" s="37">
        <v>93</v>
      </c>
      <c r="V431" s="18">
        <f>IF(IFERROR(VLOOKUP(A431,Drank!A:T,19,FALSE),"")=0,"",IFERROR(VLOOKUP(A431,Drank!A:T,19,FALSE),""))</f>
        <v>92.4</v>
      </c>
      <c r="W431" s="1">
        <f>IF(IFERROR(VLOOKUP(A431,Drank!A:T,20,FALSE),"")=0,"",IFERROR(VLOOKUP(A431,Drank!A:T,20,FALSE),""))</f>
        <v>44052</v>
      </c>
      <c r="X431" s="37">
        <f>SUMIF(A:A,A431,I:I)</f>
        <v>9</v>
      </c>
      <c r="Y431" s="37">
        <f>IF(Table1[[#This Row],[Drank]]&gt;0,VLOOKUP(Table1[[#This Row],[ID]],Drank!A:P,16,FALSE),IF(Table1[[#This Row],[WALDD]]&gt;0,VLOOKUP(Table1[[#This Row],[ID]],Wine1!A:Q,17,FALSE),Table1[[#This Row],[EP]]))</f>
        <v>2025</v>
      </c>
      <c r="Z431" s="18">
        <f>IF(Table1[[#This Row],[My Rating]]="",IF(Table1[[#This Row],[WA Rating Clean]]="","",Table1[[#This Row],[WA Rating Clean]]),Table1[[#This Row],[My Rating]])</f>
        <v>92.4</v>
      </c>
      <c r="AA431" s="37">
        <v>2023</v>
      </c>
      <c r="AB431" s="128">
        <v>19.5</v>
      </c>
      <c r="AC431" s="2">
        <f t="shared" si="35"/>
        <v>19.5</v>
      </c>
      <c r="AD431" s="8">
        <v>2</v>
      </c>
      <c r="AE431" s="37">
        <f>IF(Table1[[#This Row],[P/750]]&lt;20,1,IF(Table1[[#This Row],[P/750]]&lt;50,2,3))</f>
        <v>1</v>
      </c>
      <c r="AF431" s="37">
        <f>IF(Table1[[#This Row],[P/750]]&lt;Expenses!$C$30,1,IF(Table1[[#This Row],[P/750]]&lt;Expenses!$C$31,2,IF(Table1[[#This Row],[P/750]]&lt;Expenses!$C$32,3,4)))</f>
        <v>2</v>
      </c>
      <c r="AH431" s="37" t="s">
        <v>385</v>
      </c>
      <c r="AI431" s="11">
        <f>Table1[[#This Row],[Price]]/Table1[[#This Row],[Size (ml)]]*750</f>
        <v>19.5</v>
      </c>
      <c r="AJ431" s="37">
        <v>93</v>
      </c>
      <c r="AK431" s="37">
        <f>COUNTIF(UniqueID!A:A,Table1[[#This Row],[ID]])</f>
        <v>1</v>
      </c>
      <c r="AL431" s="37" t="str">
        <f>VLOOKUP(Table1[[#This Row],[Cellar Location]],Location!A:F,6,FALSE)</f>
        <v>S</v>
      </c>
      <c r="AO431" s="37" t="str">
        <f>TEXT(Table1[[#This Row],[Purchased]],"mmmm")</f>
        <v>January</v>
      </c>
      <c r="AP431" s="10" t="str">
        <f>TEXT(Table1[[#This Row],[Purchased]],"yyyy")</f>
        <v>1900</v>
      </c>
      <c r="AQ431" s="10"/>
    </row>
    <row r="432" spans="1:43" s="37" customFormat="1" x14ac:dyDescent="0.25">
      <c r="A432" s="37" t="str">
        <f t="shared" si="34"/>
        <v>2016Domaine de la Combe DieuRasteau</v>
      </c>
      <c r="B432" s="8">
        <v>2016</v>
      </c>
      <c r="C432" s="9" t="s">
        <v>407</v>
      </c>
      <c r="D432" s="30" t="s">
        <v>408</v>
      </c>
      <c r="E432" s="66" t="s">
        <v>417</v>
      </c>
      <c r="F432" s="9" t="s">
        <v>742</v>
      </c>
      <c r="G432" s="9" t="s">
        <v>759</v>
      </c>
      <c r="H432" s="9" t="s">
        <v>765</v>
      </c>
      <c r="I432" s="107">
        <v>1</v>
      </c>
      <c r="J432" s="37">
        <v>750</v>
      </c>
      <c r="K432" s="108" t="s">
        <v>590</v>
      </c>
      <c r="L432" s="37">
        <f>COUNTIF(Drank!A:A,Table1[[#This Row],[ID]])</f>
        <v>5</v>
      </c>
      <c r="M432" s="37" t="s">
        <v>202</v>
      </c>
      <c r="N432" s="37" t="s">
        <v>207</v>
      </c>
      <c r="O432" s="37">
        <v>1</v>
      </c>
      <c r="P432" s="37">
        <v>2018</v>
      </c>
      <c r="Q432" s="37">
        <v>2023</v>
      </c>
      <c r="R432" s="10">
        <f>IF(IFERROR(VLOOKUP(A432,Drank!A:S,15,FALSE),"")=0,"",IFERROR(VLOOKUP(A432,Drank!A:S,15,FALSE),""))</f>
        <v>2021</v>
      </c>
      <c r="S432" s="10">
        <f>IF(IFERROR(VLOOKUP(A432,Drank!A:S,16,FALSE),"")=0,"",IFERROR(VLOOKUP(A432,Drank!A:S,16,FALSE),""))</f>
        <v>2025</v>
      </c>
      <c r="T432" s="10"/>
      <c r="U432" s="37">
        <v>92</v>
      </c>
      <c r="V432" s="18">
        <f>IF(IFERROR(VLOOKUP(A432,Drank!A:T,19,FALSE),"")=0,"",IFERROR(VLOOKUP(A432,Drank!A:T,19,FALSE),""))</f>
        <v>92.2</v>
      </c>
      <c r="W432" s="1">
        <f>IF(IFERROR(VLOOKUP(A432,Drank!A:T,20,FALSE),"")=0,"",IFERROR(VLOOKUP(A432,Drank!A:T,20,FALSE),""))</f>
        <v>44002</v>
      </c>
      <c r="X432" s="10">
        <f>SUMIF(A:A,A432,I:I)</f>
        <v>15</v>
      </c>
      <c r="Y432" s="37">
        <f>IF(Table1[[#This Row],[Drank]]&gt;0,VLOOKUP(Table1[[#This Row],[ID]],Drank!A:P,16,FALSE),IF(Table1[[#This Row],[WALDD]]&gt;0,VLOOKUP(Table1[[#This Row],[ID]],Wine1!A:Q,17,FALSE),Table1[[#This Row],[EP]]))</f>
        <v>2025</v>
      </c>
      <c r="Z432" s="18">
        <f>IF(Table1[[#This Row],[My Rating]]="",IF(Table1[[#This Row],[WA Rating Clean]]="","",Table1[[#This Row],[WA Rating Clean]]),Table1[[#This Row],[My Rating]])</f>
        <v>92.2</v>
      </c>
      <c r="AA432" s="37">
        <v>2023</v>
      </c>
      <c r="AB432" s="128">
        <v>13.99</v>
      </c>
      <c r="AC432" s="2">
        <f t="shared" si="35"/>
        <v>13.99</v>
      </c>
      <c r="AD432" s="8">
        <v>2</v>
      </c>
      <c r="AE432" s="37">
        <f>IF(Table1[[#This Row],[P/750]]&lt;20,1,IF(Table1[[#This Row],[P/750]]&lt;50,2,3))</f>
        <v>1</v>
      </c>
      <c r="AF432" s="37">
        <f>IF(Table1[[#This Row],[P/750]]&lt;Expenses!$C$30,1,IF(Table1[[#This Row],[P/750]]&lt;Expenses!$C$31,2,IF(Table1[[#This Row],[P/750]]&lt;Expenses!$C$32,3,4)))</f>
        <v>1</v>
      </c>
      <c r="AH432" s="37" t="s">
        <v>384</v>
      </c>
      <c r="AI432" s="11">
        <f>Table1[[#This Row],[Price]]/Table1[[#This Row],[Size (ml)]]*750</f>
        <v>13.99</v>
      </c>
      <c r="AJ432" s="37">
        <v>92</v>
      </c>
      <c r="AK432" s="37">
        <f>COUNTIF(UniqueID!A:A,Table1[[#This Row],[ID]])</f>
        <v>1</v>
      </c>
      <c r="AL432" s="37" t="str">
        <f>VLOOKUP(Table1[[#This Row],[Cellar Location]],Location!A:F,6,FALSE)</f>
        <v>S</v>
      </c>
      <c r="AO432" s="37" t="str">
        <f>TEXT(Table1[[#This Row],[Purchased]],"mmmm")</f>
        <v>January</v>
      </c>
      <c r="AP432" s="10" t="str">
        <f>TEXT(Table1[[#This Row],[Purchased]],"yyyy")</f>
        <v>1900</v>
      </c>
      <c r="AQ432" s="10"/>
    </row>
    <row r="433" spans="1:43" x14ac:dyDescent="0.25">
      <c r="A433" t="str">
        <f t="shared" si="34"/>
        <v>2016Domaine de la Combe DieuRasteau</v>
      </c>
      <c r="B433" s="8">
        <v>2016</v>
      </c>
      <c r="C433" s="9" t="s">
        <v>407</v>
      </c>
      <c r="D433" s="30" t="s">
        <v>408</v>
      </c>
      <c r="E433" s="66" t="s">
        <v>417</v>
      </c>
      <c r="F433" s="9" t="s">
        <v>742</v>
      </c>
      <c r="G433" s="9" t="s">
        <v>759</v>
      </c>
      <c r="H433" s="9" t="s">
        <v>765</v>
      </c>
      <c r="I433" s="107">
        <v>1</v>
      </c>
      <c r="J433" s="37">
        <v>750</v>
      </c>
      <c r="K433" s="107" t="s">
        <v>649</v>
      </c>
      <c r="L433" s="37">
        <f>COUNTIF(Drank!A:A,Table1[[#This Row],[ID]])</f>
        <v>5</v>
      </c>
      <c r="M433" t="s">
        <v>202</v>
      </c>
      <c r="N433" t="s">
        <v>207</v>
      </c>
      <c r="O433">
        <v>1</v>
      </c>
      <c r="P433" s="37">
        <v>2018</v>
      </c>
      <c r="Q433">
        <v>2023</v>
      </c>
      <c r="R433" s="10">
        <f>IF(IFERROR(VLOOKUP(A433,Drank!A:S,15,FALSE),"")=0,"",IFERROR(VLOOKUP(A433,Drank!A:S,15,FALSE),""))</f>
        <v>2021</v>
      </c>
      <c r="S433" s="10">
        <f>IF(IFERROR(VLOOKUP(A433,Drank!A:S,16,FALSE),"")=0,"",IFERROR(VLOOKUP(A433,Drank!A:S,16,FALSE),""))</f>
        <v>2025</v>
      </c>
      <c r="T433" s="10"/>
      <c r="U433">
        <v>92</v>
      </c>
      <c r="V433" s="18">
        <f>IF(IFERROR(VLOOKUP(A433,Drank!A:T,19,FALSE),"")=0,"",IFERROR(VLOOKUP(A433,Drank!A:T,19,FALSE),""))</f>
        <v>92.2</v>
      </c>
      <c r="W433" s="1">
        <f>IF(IFERROR(VLOOKUP(A433,Drank!A:T,20,FALSE),"")=0,"",IFERROR(VLOOKUP(A433,Drank!A:T,20,FALSE),""))</f>
        <v>44002</v>
      </c>
      <c r="X433" s="10">
        <f>SUMIF(A:A,A433,I:I)</f>
        <v>15</v>
      </c>
      <c r="Y433" s="37">
        <f>IF(Table1[[#This Row],[Drank]]&gt;0,VLOOKUP(Table1[[#This Row],[ID]],Drank!A:P,16,FALSE),IF(Table1[[#This Row],[WALDD]]&gt;0,VLOOKUP(Table1[[#This Row],[ID]],Wine1!A:Q,17,FALSE),Table1[[#This Row],[EP]]))</f>
        <v>2025</v>
      </c>
      <c r="Z433" s="18">
        <f>IF(Table1[[#This Row],[My Rating]]="",IF(Table1[[#This Row],[WA Rating Clean]]="","",Table1[[#This Row],[WA Rating Clean]]),Table1[[#This Row],[My Rating]])</f>
        <v>92.2</v>
      </c>
      <c r="AA433" s="37">
        <v>2023</v>
      </c>
      <c r="AB433" s="128">
        <v>13.99</v>
      </c>
      <c r="AC433" s="2">
        <f t="shared" si="35"/>
        <v>13.99</v>
      </c>
      <c r="AD433" s="8">
        <v>2</v>
      </c>
      <c r="AE433" s="37">
        <f>IF(Table1[[#This Row],[P/750]]&lt;20,1,IF(Table1[[#This Row],[P/750]]&lt;50,2,3))</f>
        <v>1</v>
      </c>
      <c r="AF433" s="37">
        <f>IF(Table1[[#This Row],[P/750]]&lt;Expenses!$C$30,1,IF(Table1[[#This Row],[P/750]]&lt;Expenses!$C$31,2,IF(Table1[[#This Row],[P/750]]&lt;Expenses!$C$32,3,4)))</f>
        <v>1</v>
      </c>
      <c r="AH433" s="37" t="s">
        <v>384</v>
      </c>
      <c r="AI433" s="11">
        <f>Table1[[#This Row],[Price]]/Table1[[#This Row],[Size (ml)]]*750</f>
        <v>13.99</v>
      </c>
      <c r="AJ433">
        <v>92</v>
      </c>
      <c r="AK433" s="37">
        <f>COUNTIF(UniqueID!A:A,Table1[[#This Row],[ID]])</f>
        <v>1</v>
      </c>
      <c r="AL433" s="37" t="str">
        <f>VLOOKUP(Table1[[#This Row],[Cellar Location]],Location!A:F,6,FALSE)</f>
        <v>S</v>
      </c>
      <c r="AN433" s="37"/>
      <c r="AO433" s="37" t="str">
        <f>TEXT(Table1[[#This Row],[Purchased]],"mmmm")</f>
        <v>January</v>
      </c>
      <c r="AP433" s="10" t="str">
        <f>TEXT(Table1[[#This Row],[Purchased]],"yyyy")</f>
        <v>1900</v>
      </c>
      <c r="AQ433" s="10"/>
    </row>
    <row r="434" spans="1:43" x14ac:dyDescent="0.25">
      <c r="A434" t="str">
        <f t="shared" si="34"/>
        <v>2016Domaine de la Combe DieuRasteau</v>
      </c>
      <c r="B434" s="8">
        <v>2016</v>
      </c>
      <c r="C434" s="9" t="s">
        <v>407</v>
      </c>
      <c r="D434" s="30" t="s">
        <v>408</v>
      </c>
      <c r="E434" s="66" t="s">
        <v>417</v>
      </c>
      <c r="F434" s="9" t="s">
        <v>742</v>
      </c>
      <c r="G434" s="9" t="s">
        <v>759</v>
      </c>
      <c r="H434" s="9" t="s">
        <v>765</v>
      </c>
      <c r="I434" s="107">
        <v>1</v>
      </c>
      <c r="J434" s="37">
        <v>750</v>
      </c>
      <c r="K434" s="107" t="s">
        <v>649</v>
      </c>
      <c r="L434" s="37">
        <f>COUNTIF(Drank!A:A,Table1[[#This Row],[ID]])</f>
        <v>5</v>
      </c>
      <c r="M434" t="s">
        <v>202</v>
      </c>
      <c r="N434" t="s">
        <v>207</v>
      </c>
      <c r="O434">
        <v>1</v>
      </c>
      <c r="P434" s="37">
        <v>2018</v>
      </c>
      <c r="Q434">
        <v>2023</v>
      </c>
      <c r="R434" s="10">
        <f>IF(IFERROR(VLOOKUP(A434,Drank!A:S,15,FALSE),"")=0,"",IFERROR(VLOOKUP(A434,Drank!A:S,15,FALSE),""))</f>
        <v>2021</v>
      </c>
      <c r="S434" s="10">
        <f>IF(IFERROR(VLOOKUP(A434,Drank!A:S,16,FALSE),"")=0,"",IFERROR(VLOOKUP(A434,Drank!A:S,16,FALSE),""))</f>
        <v>2025</v>
      </c>
      <c r="T434" s="10"/>
      <c r="U434">
        <v>92</v>
      </c>
      <c r="V434" s="18">
        <f>IF(IFERROR(VLOOKUP(A434,Drank!A:T,19,FALSE),"")=0,"",IFERROR(VLOOKUP(A434,Drank!A:T,19,FALSE),""))</f>
        <v>92.2</v>
      </c>
      <c r="W434" s="1">
        <f>IF(IFERROR(VLOOKUP(A434,Drank!A:T,20,FALSE),"")=0,"",IFERROR(VLOOKUP(A434,Drank!A:T,20,FALSE),""))</f>
        <v>44002</v>
      </c>
      <c r="X434" s="10">
        <f>SUMIF(A:A,A434,I:I)</f>
        <v>15</v>
      </c>
      <c r="Y434" s="37">
        <f>IF(Table1[[#This Row],[Drank]]&gt;0,VLOOKUP(Table1[[#This Row],[ID]],Drank!A:P,16,FALSE),IF(Table1[[#This Row],[WALDD]]&gt;0,VLOOKUP(Table1[[#This Row],[ID]],Wine1!A:Q,17,FALSE),Table1[[#This Row],[EP]]))</f>
        <v>2025</v>
      </c>
      <c r="Z434" s="18">
        <f>IF(Table1[[#This Row],[My Rating]]="",IF(Table1[[#This Row],[WA Rating Clean]]="","",Table1[[#This Row],[WA Rating Clean]]),Table1[[#This Row],[My Rating]])</f>
        <v>92.2</v>
      </c>
      <c r="AA434" s="37">
        <v>2023</v>
      </c>
      <c r="AB434" s="128">
        <v>13.99</v>
      </c>
      <c r="AC434" s="2">
        <f t="shared" si="35"/>
        <v>13.99</v>
      </c>
      <c r="AD434" s="8">
        <v>2</v>
      </c>
      <c r="AE434" s="37">
        <f>IF(Table1[[#This Row],[P/750]]&lt;20,1,IF(Table1[[#This Row],[P/750]]&lt;50,2,3))</f>
        <v>1</v>
      </c>
      <c r="AF434" s="37">
        <f>IF(Table1[[#This Row],[P/750]]&lt;Expenses!$C$30,1,IF(Table1[[#This Row],[P/750]]&lt;Expenses!$C$31,2,IF(Table1[[#This Row],[P/750]]&lt;Expenses!$C$32,3,4)))</f>
        <v>1</v>
      </c>
      <c r="AH434" s="37" t="s">
        <v>384</v>
      </c>
      <c r="AI434" s="11">
        <f>Table1[[#This Row],[Price]]/Table1[[#This Row],[Size (ml)]]*750</f>
        <v>13.99</v>
      </c>
      <c r="AJ434">
        <v>92</v>
      </c>
      <c r="AK434" s="37">
        <f>COUNTIF(UniqueID!A:A,Table1[[#This Row],[ID]])</f>
        <v>1</v>
      </c>
      <c r="AL434" s="37" t="str">
        <f>VLOOKUP(Table1[[#This Row],[Cellar Location]],Location!A:F,6,FALSE)</f>
        <v>S</v>
      </c>
      <c r="AN434" s="37"/>
      <c r="AO434" s="37" t="str">
        <f>TEXT(Table1[[#This Row],[Purchased]],"mmmm")</f>
        <v>January</v>
      </c>
      <c r="AP434" s="10" t="str">
        <f>TEXT(Table1[[#This Row],[Purchased]],"yyyy")</f>
        <v>1900</v>
      </c>
      <c r="AQ434" s="10"/>
    </row>
    <row r="435" spans="1:43" x14ac:dyDescent="0.25">
      <c r="A435" s="8" t="str">
        <f t="shared" si="34"/>
        <v>2017Diez-CaballeroCrianza</v>
      </c>
      <c r="B435" s="8">
        <v>2017</v>
      </c>
      <c r="C435" s="8" t="s">
        <v>1216</v>
      </c>
      <c r="D435" s="37" t="s">
        <v>108</v>
      </c>
      <c r="E435" s="67" t="s">
        <v>1220</v>
      </c>
      <c r="F435" s="37" t="s">
        <v>729</v>
      </c>
      <c r="G435" s="37" t="s">
        <v>823</v>
      </c>
      <c r="I435" s="107">
        <v>1</v>
      </c>
      <c r="J435" s="37">
        <v>750</v>
      </c>
      <c r="K435" s="107" t="s">
        <v>926</v>
      </c>
      <c r="L435" s="10">
        <f>COUNTIF(Drank!A:A,Table1[[#This Row],[ID]])</f>
        <v>3</v>
      </c>
      <c r="M435" t="s">
        <v>202</v>
      </c>
      <c r="N435" t="s">
        <v>207</v>
      </c>
      <c r="O435">
        <v>1</v>
      </c>
      <c r="P435" s="37">
        <v>2019</v>
      </c>
      <c r="Q435">
        <v>2024</v>
      </c>
      <c r="R435" s="10">
        <f>IF(IFERROR(VLOOKUP(A435,Drank!A:S,15,FALSE),"")=0,"",IFERROR(VLOOKUP(A435,Drank!A:S,15,FALSE),""))</f>
        <v>2021</v>
      </c>
      <c r="S435" s="10">
        <f>IF(IFERROR(VLOOKUP(A435,Drank!A:S,16,FALSE),"")=0,"",IFERROR(VLOOKUP(A435,Drank!A:S,16,FALSE),""))</f>
        <v>2025</v>
      </c>
      <c r="T435" s="10"/>
      <c r="U435">
        <v>90</v>
      </c>
      <c r="V435" s="18">
        <f>IF(IFERROR(VLOOKUP(A435,Drank!A:T,19,FALSE),"")=0,"",IFERROR(VLOOKUP(A435,Drank!A:T,19,FALSE),""))</f>
        <v>90.666666666666671</v>
      </c>
      <c r="W435" s="1">
        <f>IF(IFERROR(VLOOKUP(A435,Drank!A:T,20,FALSE),"")=0,"",IFERROR(VLOOKUP(A435,Drank!A:T,20,FALSE),""))</f>
        <v>44015</v>
      </c>
      <c r="X435" s="10">
        <f>SUMIF(A:A,A435,I:I)</f>
        <v>21</v>
      </c>
      <c r="Y435" s="10">
        <f>IF(Table1[[#This Row],[Drank]]&gt;0,VLOOKUP(Table1[[#This Row],[ID]],Drank!A:P,16,FALSE),IF(Table1[[#This Row],[WALDD]]&gt;0,VLOOKUP(Table1[[#This Row],[ID]],Wine1!A:Q,17,FALSE),Table1[[#This Row],[EP]]))</f>
        <v>2025</v>
      </c>
      <c r="Z435" s="18">
        <f>IF(Table1[[#This Row],[My Rating]]="",IF(Table1[[#This Row],[WA Rating Clean]]="","",Table1[[#This Row],[WA Rating Clean]]),Table1[[#This Row],[My Rating]])</f>
        <v>90.666666666666671</v>
      </c>
      <c r="AA435" s="37">
        <v>2023</v>
      </c>
      <c r="AB435" s="128">
        <v>14.11</v>
      </c>
      <c r="AC435" s="2">
        <f t="shared" si="35"/>
        <v>14.11</v>
      </c>
      <c r="AD435" s="8">
        <v>2</v>
      </c>
      <c r="AE435" s="10">
        <f>IF(Table1[[#This Row],[P/750]]&lt;20,1,IF(Table1[[#This Row],[P/750]]&lt;50,2,3))</f>
        <v>1</v>
      </c>
      <c r="AF435" s="10">
        <f>IF(Table1[[#This Row],[P/750]]&lt;Expenses!$C$30,1,IF(Table1[[#This Row],[P/750]]&lt;Expenses!$C$31,2,IF(Table1[[#This Row],[P/750]]&lt;Expenses!$C$32,3,4)))</f>
        <v>1</v>
      </c>
      <c r="AH435" t="s">
        <v>384</v>
      </c>
      <c r="AI435" s="11">
        <f>Table1[[#This Row],[Price]]/Table1[[#This Row],[Size (ml)]]*750</f>
        <v>14.109999999999998</v>
      </c>
      <c r="AJ435">
        <v>90</v>
      </c>
      <c r="AK435" s="10">
        <f>COUNTIF(UniqueID!A:A,Table1[[#This Row],[ID]])</f>
        <v>0</v>
      </c>
      <c r="AL435" s="10" t="str">
        <f>VLOOKUP(Table1[[#This Row],[Cellar Location]],Location!A:F,6,FALSE)</f>
        <v>S</v>
      </c>
      <c r="AN435" s="1">
        <v>43993</v>
      </c>
      <c r="AO435" s="10" t="str">
        <f>TEXT(Table1[[#This Row],[Purchased]],"mmmm")</f>
        <v>June</v>
      </c>
      <c r="AP435" s="10" t="str">
        <f>TEXT(Table1[[#This Row],[Purchased]],"yyyy")</f>
        <v>2020</v>
      </c>
      <c r="AQ435" s="10"/>
    </row>
    <row r="436" spans="1:43" x14ac:dyDescent="0.25">
      <c r="A436" s="8" t="str">
        <f t="shared" si="34"/>
        <v>2017Diez-CaballeroCrianza</v>
      </c>
      <c r="B436" s="8">
        <v>2017</v>
      </c>
      <c r="C436" s="8" t="s">
        <v>1216</v>
      </c>
      <c r="D436" s="37" t="s">
        <v>108</v>
      </c>
      <c r="E436" s="67" t="s">
        <v>1220</v>
      </c>
      <c r="F436" s="37" t="s">
        <v>729</v>
      </c>
      <c r="G436" s="37" t="s">
        <v>823</v>
      </c>
      <c r="I436" s="107">
        <v>1</v>
      </c>
      <c r="J436">
        <v>750</v>
      </c>
      <c r="K436" s="107" t="s">
        <v>1314</v>
      </c>
      <c r="L436" s="10">
        <f>COUNTIF(Drank!A:A,Table1[[#This Row],[ID]])</f>
        <v>3</v>
      </c>
      <c r="M436" t="s">
        <v>202</v>
      </c>
      <c r="N436" t="s">
        <v>207</v>
      </c>
      <c r="O436">
        <v>1</v>
      </c>
      <c r="P436" s="37">
        <v>2019</v>
      </c>
      <c r="Q436">
        <v>2024</v>
      </c>
      <c r="R436" s="10">
        <f>IF(IFERROR(VLOOKUP(A436,Drank!A:S,15,FALSE),"")=0,"",IFERROR(VLOOKUP(A436,Drank!A:S,15,FALSE),""))</f>
        <v>2021</v>
      </c>
      <c r="S436" s="10">
        <f>IF(IFERROR(VLOOKUP(A436,Drank!A:S,16,FALSE),"")=0,"",IFERROR(VLOOKUP(A436,Drank!A:S,16,FALSE),""))</f>
        <v>2025</v>
      </c>
      <c r="T436" s="10"/>
      <c r="U436">
        <v>90</v>
      </c>
      <c r="V436" s="18">
        <f>IF(IFERROR(VLOOKUP(A436,Drank!A:T,19,FALSE),"")=0,"",IFERROR(VLOOKUP(A436,Drank!A:T,19,FALSE),""))</f>
        <v>90.666666666666671</v>
      </c>
      <c r="W436" s="1">
        <f>IF(IFERROR(VLOOKUP(A436,Drank!A:T,20,FALSE),"")=0,"",IFERROR(VLOOKUP(A436,Drank!A:T,20,FALSE),""))</f>
        <v>44015</v>
      </c>
      <c r="X436" s="10">
        <f>SUMIF(A:A,A436,I:I)</f>
        <v>21</v>
      </c>
      <c r="Y436" s="10">
        <f>IF(Table1[[#This Row],[Drank]]&gt;0,VLOOKUP(Table1[[#This Row],[ID]],Drank!A:P,16,FALSE),IF(Table1[[#This Row],[WALDD]]&gt;0,VLOOKUP(Table1[[#This Row],[ID]],Wine1!A:Q,17,FALSE),Table1[[#This Row],[EP]]))</f>
        <v>2025</v>
      </c>
      <c r="Z436" s="18">
        <f>IF(Table1[[#This Row],[My Rating]]="",IF(Table1[[#This Row],[WA Rating Clean]]="","",Table1[[#This Row],[WA Rating Clean]]),Table1[[#This Row],[My Rating]])</f>
        <v>90.666666666666671</v>
      </c>
      <c r="AA436" s="37">
        <v>2023</v>
      </c>
      <c r="AB436" s="128">
        <v>14.11</v>
      </c>
      <c r="AC436" s="2">
        <f t="shared" si="35"/>
        <v>14.11</v>
      </c>
      <c r="AD436" s="8">
        <v>2</v>
      </c>
      <c r="AE436" s="10">
        <f>IF(Table1[[#This Row],[P/750]]&lt;20,1,IF(Table1[[#This Row],[P/750]]&lt;50,2,3))</f>
        <v>1</v>
      </c>
      <c r="AF436" s="10">
        <f>IF(Table1[[#This Row],[P/750]]&lt;Expenses!$C$30,1,IF(Table1[[#This Row],[P/750]]&lt;Expenses!$C$31,2,IF(Table1[[#This Row],[P/750]]&lt;Expenses!$C$32,3,4)))</f>
        <v>1</v>
      </c>
      <c r="AH436" s="37" t="s">
        <v>384</v>
      </c>
      <c r="AI436" s="11">
        <f>Table1[[#This Row],[Price]]/Table1[[#This Row],[Size (ml)]]*750</f>
        <v>14.109999999999998</v>
      </c>
      <c r="AJ436">
        <v>90</v>
      </c>
      <c r="AK436" s="10">
        <f>COUNTIF(UniqueID!A:A,Table1[[#This Row],[ID]])</f>
        <v>0</v>
      </c>
      <c r="AL436" s="10" t="str">
        <f>VLOOKUP(Table1[[#This Row],[Cellar Location]],Location!A:F,6,FALSE)</f>
        <v>S</v>
      </c>
      <c r="AN436" s="1">
        <v>43993</v>
      </c>
      <c r="AO436" s="10" t="str">
        <f>TEXT(Table1[[#This Row],[Purchased]],"mmmm")</f>
        <v>June</v>
      </c>
      <c r="AP436" s="10" t="str">
        <f>TEXT(Table1[[#This Row],[Purchased]],"yyyy")</f>
        <v>2020</v>
      </c>
      <c r="AQ436" s="10"/>
    </row>
    <row r="437" spans="1:43" x14ac:dyDescent="0.25">
      <c r="A437" t="str">
        <f t="shared" si="34"/>
        <v>2015Buty WineryRediviva of The Stones</v>
      </c>
      <c r="B437" s="37">
        <v>2015</v>
      </c>
      <c r="C437" s="9" t="s">
        <v>388</v>
      </c>
      <c r="D437" s="9" t="s">
        <v>389</v>
      </c>
      <c r="E437" s="67" t="s">
        <v>1270</v>
      </c>
      <c r="F437" s="37" t="s">
        <v>727</v>
      </c>
      <c r="G437" s="37" t="s">
        <v>833</v>
      </c>
      <c r="H437" s="37" t="s">
        <v>835</v>
      </c>
      <c r="I437" s="107">
        <v>1</v>
      </c>
      <c r="J437" s="37">
        <v>750</v>
      </c>
      <c r="K437" s="107" t="s">
        <v>644</v>
      </c>
      <c r="L437" s="37">
        <f>COUNTIF(Drank!A:A,Table1[[#This Row],[ID]])</f>
        <v>1</v>
      </c>
      <c r="M437" t="s">
        <v>202</v>
      </c>
      <c r="N437" t="s">
        <v>207</v>
      </c>
      <c r="O437">
        <v>1</v>
      </c>
      <c r="P437" s="37">
        <v>2018</v>
      </c>
      <c r="Q437">
        <v>2026</v>
      </c>
      <c r="R437" s="10">
        <f>IF(IFERROR(VLOOKUP(A437,Drank!A:S,15,FALSE),"")=0,"",IFERROR(VLOOKUP(A437,Drank!A:S,15,FALSE),""))</f>
        <v>2021</v>
      </c>
      <c r="S437" s="10">
        <f>IF(IFERROR(VLOOKUP(A437,Drank!A:S,16,FALSE),"")=0,"",IFERROR(VLOOKUP(A437,Drank!A:S,16,FALSE),""))</f>
        <v>2025</v>
      </c>
      <c r="T437" s="10"/>
      <c r="U437">
        <v>93</v>
      </c>
      <c r="V437" s="18">
        <f>IF(IFERROR(VLOOKUP(A437,Drank!A:T,19,FALSE),"")=0,"",IFERROR(VLOOKUP(A437,Drank!A:T,19,FALSE),""))</f>
        <v>92</v>
      </c>
      <c r="W437" s="1">
        <f>IF(IFERROR(VLOOKUP(A437,Drank!A:T,20,FALSE),"")=0,"",IFERROR(VLOOKUP(A437,Drank!A:T,20,FALSE),""))</f>
        <v>43777</v>
      </c>
      <c r="X437" s="10">
        <f>SUMIF(A:A,A437,I:I)</f>
        <v>3</v>
      </c>
      <c r="Y437" s="37">
        <f>IF(Table1[[#This Row],[Drank]]&gt;0,VLOOKUP(Table1[[#This Row],[ID]],Drank!A:P,16,FALSE),IF(Table1[[#This Row],[WALDD]]&gt;0,VLOOKUP(Table1[[#This Row],[ID]],Wine1!A:Q,17,FALSE),Table1[[#This Row],[EP]]))</f>
        <v>2025</v>
      </c>
      <c r="Z437" s="18">
        <f>IF(Table1[[#This Row],[My Rating]]="",IF(Table1[[#This Row],[WA Rating Clean]]="","",Table1[[#This Row],[WA Rating Clean]]),Table1[[#This Row],[My Rating]])</f>
        <v>92</v>
      </c>
      <c r="AA437" s="37">
        <v>2023</v>
      </c>
      <c r="AB437" s="128">
        <v>22.99</v>
      </c>
      <c r="AC437" s="2">
        <f t="shared" si="35"/>
        <v>22.99</v>
      </c>
      <c r="AD437" s="8">
        <v>2</v>
      </c>
      <c r="AE437" s="37">
        <f>IF(Table1[[#This Row],[P/750]]&lt;20,1,IF(Table1[[#This Row],[P/750]]&lt;50,2,3))</f>
        <v>2</v>
      </c>
      <c r="AF437" s="37">
        <f>IF(Table1[[#This Row],[P/750]]&lt;Expenses!$C$30,1,IF(Table1[[#This Row],[P/750]]&lt;Expenses!$C$31,2,IF(Table1[[#This Row],[P/750]]&lt;Expenses!$C$32,3,4)))</f>
        <v>2</v>
      </c>
      <c r="AH437" s="37" t="s">
        <v>384</v>
      </c>
      <c r="AI437" s="11">
        <f>Table1[[#This Row],[Price]]/Table1[[#This Row],[Size (ml)]]*750</f>
        <v>22.99</v>
      </c>
      <c r="AJ437">
        <v>93</v>
      </c>
      <c r="AK437" s="37">
        <f>COUNTIF(UniqueID!A:A,Table1[[#This Row],[ID]])</f>
        <v>1</v>
      </c>
      <c r="AL437" s="37" t="str">
        <f>VLOOKUP(Table1[[#This Row],[Cellar Location]],Location!A:F,6,FALSE)</f>
        <v>S</v>
      </c>
      <c r="AN437" s="37"/>
      <c r="AO437" s="37" t="str">
        <f>TEXT(Table1[[#This Row],[Purchased]],"mmmm")</f>
        <v>January</v>
      </c>
      <c r="AP437" s="10" t="str">
        <f>TEXT(Table1[[#This Row],[Purchased]],"yyyy")</f>
        <v>1900</v>
      </c>
      <c r="AQ437" s="10"/>
    </row>
    <row r="438" spans="1:43" x14ac:dyDescent="0.25">
      <c r="A438" s="37" t="str">
        <f t="shared" si="34"/>
        <v>2010Cosimo TaurinoNegroamaro Notarpanaro</v>
      </c>
      <c r="B438" s="8">
        <v>2010</v>
      </c>
      <c r="C438" s="37" t="s">
        <v>56</v>
      </c>
      <c r="D438" s="37" t="s">
        <v>1310</v>
      </c>
      <c r="E438" s="67" t="s">
        <v>1311</v>
      </c>
      <c r="F438" s="37" t="s">
        <v>728</v>
      </c>
      <c r="G438" s="37" t="s">
        <v>785</v>
      </c>
      <c r="H438" s="37" t="s">
        <v>786</v>
      </c>
      <c r="I438" s="107">
        <v>1</v>
      </c>
      <c r="J438" s="37">
        <v>750</v>
      </c>
      <c r="K438" s="107" t="s">
        <v>1408</v>
      </c>
      <c r="L438" s="10">
        <f>COUNTIF(Drank!A:A,Table1[[#This Row],[ID]])</f>
        <v>2</v>
      </c>
      <c r="M438" t="s">
        <v>202</v>
      </c>
      <c r="N438" t="s">
        <v>207</v>
      </c>
      <c r="O438">
        <v>1</v>
      </c>
      <c r="P438" s="37"/>
      <c r="R438" s="10">
        <f>IF(IFERROR(VLOOKUP(A438,Drank!A:S,15,FALSE),"")=0,"",IFERROR(VLOOKUP(A438,Drank!A:S,15,FALSE),""))</f>
        <v>2020</v>
      </c>
      <c r="S438" s="10">
        <f>IF(IFERROR(VLOOKUP(A438,Drank!A:S,16,FALSE),"")=0,"",IFERROR(VLOOKUP(A438,Drank!A:S,16,FALSE),""))</f>
        <v>2025</v>
      </c>
      <c r="T438" s="10"/>
      <c r="V438" s="18">
        <f>IF(IFERROR(VLOOKUP(A438,Drank!A:T,19,FALSE),"")=0,"",IFERROR(VLOOKUP(A438,Drank!A:T,19,FALSE),""))</f>
        <v>90</v>
      </c>
      <c r="W438" s="1">
        <f>IF(IFERROR(VLOOKUP(A438,Drank!A:T,20,FALSE),"")=0,"",IFERROR(VLOOKUP(A438,Drank!A:T,20,FALSE),""))</f>
        <v>43974</v>
      </c>
      <c r="X438" s="10">
        <f>SUMIF(A:A,A438,I:I)</f>
        <v>3</v>
      </c>
      <c r="Y438" s="10">
        <f>IF(Table1[[#This Row],[Drank]]&gt;0,VLOOKUP(Table1[[#This Row],[ID]],Drank!A:P,16,FALSE),IF(Table1[[#This Row],[WALDD]]&gt;0,VLOOKUP(Table1[[#This Row],[ID]],Wine1!A:Q,17,FALSE),Table1[[#This Row],[EP]]))</f>
        <v>2025</v>
      </c>
      <c r="Z438" s="18">
        <f>IF(Table1[[#This Row],[My Rating]]="",IF(Table1[[#This Row],[WA Rating Clean]]="","",Table1[[#This Row],[WA Rating Clean]]),Table1[[#This Row],[My Rating]])</f>
        <v>90</v>
      </c>
      <c r="AA438" s="37">
        <v>2023</v>
      </c>
      <c r="AB438" s="128">
        <v>16.62</v>
      </c>
      <c r="AC438" s="2">
        <f t="shared" si="35"/>
        <v>16.62</v>
      </c>
      <c r="AD438" s="8">
        <v>2</v>
      </c>
      <c r="AE438" s="10">
        <f>IF(Table1[[#This Row],[P/750]]&lt;20,1,IF(Table1[[#This Row],[P/750]]&lt;50,2,3))</f>
        <v>1</v>
      </c>
      <c r="AF438" s="10">
        <f>IF(Table1[[#This Row],[P/750]]&lt;Expenses!$C$30,1,IF(Table1[[#This Row],[P/750]]&lt;Expenses!$C$31,2,IF(Table1[[#This Row],[P/750]]&lt;Expenses!$C$32,3,4)))</f>
        <v>1</v>
      </c>
      <c r="AH438" s="37" t="s">
        <v>1128</v>
      </c>
      <c r="AI438" s="11">
        <f>Table1[[#This Row],[Price]]/Table1[[#This Row],[Size (ml)]]*750</f>
        <v>16.62</v>
      </c>
      <c r="AJ438" s="37"/>
      <c r="AK438" s="10">
        <f>COUNTIF(UniqueID!A:A,Table1[[#This Row],[ID]])</f>
        <v>0</v>
      </c>
      <c r="AL438" s="10" t="str">
        <f>VLOOKUP(Table1[[#This Row],[Cellar Location]],Location!A:F,6,FALSE)</f>
        <v>S</v>
      </c>
      <c r="AN438" s="1">
        <v>43966</v>
      </c>
      <c r="AO438" s="10" t="str">
        <f>TEXT(Table1[[#This Row],[Purchased]],"mmmm")</f>
        <v>May</v>
      </c>
      <c r="AP438" s="10" t="str">
        <f>TEXT(Table1[[#This Row],[Purchased]],"yyyy")</f>
        <v>2020</v>
      </c>
      <c r="AQ438" s="10"/>
    </row>
    <row r="439" spans="1:43" x14ac:dyDescent="0.25">
      <c r="A439" t="str">
        <f t="shared" si="34"/>
        <v>2016Diez-CaballeroVendimia Seleccionada</v>
      </c>
      <c r="B439" s="37">
        <v>2016</v>
      </c>
      <c r="C439" s="19" t="s">
        <v>1216</v>
      </c>
      <c r="D439" s="9" t="s">
        <v>303</v>
      </c>
      <c r="E439" s="67" t="s">
        <v>1220</v>
      </c>
      <c r="F439" s="37" t="s">
        <v>729</v>
      </c>
      <c r="G439" s="37" t="s">
        <v>823</v>
      </c>
      <c r="I439" s="107">
        <v>1</v>
      </c>
      <c r="J439" s="37">
        <v>750</v>
      </c>
      <c r="K439" s="107" t="s">
        <v>1314</v>
      </c>
      <c r="L439" s="37">
        <f>COUNTIF(Drank!A:A,Table1[[#This Row],[ID]])</f>
        <v>1</v>
      </c>
      <c r="M439" t="s">
        <v>202</v>
      </c>
      <c r="N439" t="s">
        <v>207</v>
      </c>
      <c r="O439">
        <v>1</v>
      </c>
      <c r="P439" s="37">
        <v>2019</v>
      </c>
      <c r="Q439">
        <v>2026</v>
      </c>
      <c r="R439" s="10">
        <f>IF(IFERROR(VLOOKUP(A439,Drank!A:S,15,FALSE),"")=0,"",IFERROR(VLOOKUP(A439,Drank!A:S,15,FALSE),""))</f>
        <v>2021</v>
      </c>
      <c r="S439" s="10">
        <f>IF(IFERROR(VLOOKUP(A439,Drank!A:S,16,FALSE),"")=0,"",IFERROR(VLOOKUP(A439,Drank!A:S,16,FALSE),""))</f>
        <v>2025</v>
      </c>
      <c r="T439" s="10"/>
      <c r="U439">
        <v>92</v>
      </c>
      <c r="V439" s="18">
        <f>IF(IFERROR(VLOOKUP(A439,Drank!A:T,19,FALSE),"")=0,"",IFERROR(VLOOKUP(A439,Drank!A:T,19,FALSE),""))</f>
        <v>90</v>
      </c>
      <c r="W439" s="1">
        <f>IF(IFERROR(VLOOKUP(A439,Drank!A:T,20,FALSE),"")=0,"",IFERROR(VLOOKUP(A439,Drank!A:T,20,FALSE),""))</f>
        <v>43883</v>
      </c>
      <c r="X439" s="10">
        <f>SUMIF(A:A,A439,I:I)</f>
        <v>7</v>
      </c>
      <c r="Y439" s="37">
        <f>IF(Table1[[#This Row],[Drank]]&gt;0,VLOOKUP(Table1[[#This Row],[ID]],Drank!A:P,16,FALSE),IF(Table1[[#This Row],[WALDD]]&gt;0,VLOOKUP(Table1[[#This Row],[ID]],Wine1!A:Q,17,FALSE),Table1[[#This Row],[EP]]))</f>
        <v>2025</v>
      </c>
      <c r="Z439" s="18">
        <f>IF(Table1[[#This Row],[My Rating]]="",IF(Table1[[#This Row],[WA Rating Clean]]="","",Table1[[#This Row],[WA Rating Clean]]),Table1[[#This Row],[My Rating]])</f>
        <v>90</v>
      </c>
      <c r="AA439" s="37">
        <v>2023</v>
      </c>
      <c r="AB439" s="128">
        <v>16.989999999999998</v>
      </c>
      <c r="AC439" s="2">
        <f t="shared" si="35"/>
        <v>16.989999999999998</v>
      </c>
      <c r="AD439" s="8">
        <v>2</v>
      </c>
      <c r="AE439" s="8">
        <f>IF(Table1[[#This Row],[P/750]]&lt;20,1,IF(Table1[[#This Row],[P/750]]&lt;50,2,3))</f>
        <v>1</v>
      </c>
      <c r="AF439" s="8">
        <f>IF(Table1[[#This Row],[P/750]]&lt;Expenses!$C$30,1,IF(Table1[[#This Row],[P/750]]&lt;Expenses!$C$31,2,IF(Table1[[#This Row],[P/750]]&lt;Expenses!$C$32,3,4)))</f>
        <v>2</v>
      </c>
      <c r="AH439" s="37" t="s">
        <v>384</v>
      </c>
      <c r="AI439" s="11">
        <f>Table1[[#This Row],[Price]]/Table1[[#This Row],[Size (ml)]]*750</f>
        <v>16.989999999999998</v>
      </c>
      <c r="AJ439">
        <v>92</v>
      </c>
      <c r="AK439" s="37">
        <f>COUNTIF(UniqueID!A:A,Table1[[#This Row],[ID]])</f>
        <v>1</v>
      </c>
      <c r="AL439" s="37" t="str">
        <f>VLOOKUP(Table1[[#This Row],[Cellar Location]],Location!A:F,6,FALSE)</f>
        <v>S</v>
      </c>
      <c r="AN439" s="1">
        <v>43873</v>
      </c>
      <c r="AO439" s="37" t="str">
        <f>TEXT(Table1[[#This Row],[Purchased]],"mmmm")</f>
        <v>February</v>
      </c>
      <c r="AP439" s="10" t="str">
        <f>TEXT(Table1[[#This Row],[Purchased]],"yyyy")</f>
        <v>2020</v>
      </c>
      <c r="AQ439" s="10"/>
    </row>
    <row r="440" spans="1:43" x14ac:dyDescent="0.25">
      <c r="A440" s="37" t="str">
        <f t="shared" si="34"/>
        <v>2017Domaine de l'AmandineCotes du Rhone Villages Seguret</v>
      </c>
      <c r="B440" s="8">
        <v>2017</v>
      </c>
      <c r="C440" s="9" t="s">
        <v>361</v>
      </c>
      <c r="D440" s="9" t="s">
        <v>362</v>
      </c>
      <c r="E440" s="37" t="s">
        <v>1197</v>
      </c>
      <c r="F440" s="37" t="s">
        <v>742</v>
      </c>
      <c r="G440" s="37" t="s">
        <v>759</v>
      </c>
      <c r="H440" s="37" t="s">
        <v>760</v>
      </c>
      <c r="I440" s="107">
        <v>1</v>
      </c>
      <c r="J440" s="37">
        <v>750</v>
      </c>
      <c r="K440" s="107" t="s">
        <v>654</v>
      </c>
      <c r="L440" s="10">
        <f>COUNTIF(Drank!A:A,Table1[[#This Row],[ID]])</f>
        <v>17</v>
      </c>
      <c r="M440" t="s">
        <v>202</v>
      </c>
      <c r="N440" t="s">
        <v>207</v>
      </c>
      <c r="O440">
        <v>1</v>
      </c>
      <c r="P440" s="37">
        <v>2018</v>
      </c>
      <c r="Q440">
        <v>2025</v>
      </c>
      <c r="R440" s="10">
        <f>IF(IFERROR(VLOOKUP(A440,Drank!A:S,15,FALSE),"")=0,"",IFERROR(VLOOKUP(A440,Drank!A:S,15,FALSE),""))</f>
        <v>2020</v>
      </c>
      <c r="S440" s="10">
        <f>IF(IFERROR(VLOOKUP(A440,Drank!A:S,16,FALSE),"")=0,"",IFERROR(VLOOKUP(A440,Drank!A:S,16,FALSE),""))</f>
        <v>2025</v>
      </c>
      <c r="T440" s="10"/>
      <c r="U440">
        <v>93</v>
      </c>
      <c r="V440" s="18">
        <f>IF(IFERROR(VLOOKUP(A440,Drank!A:T,19,FALSE),"")=0,"",IFERROR(VLOOKUP(A440,Drank!A:T,19,FALSE),""))</f>
        <v>92.470588235294116</v>
      </c>
      <c r="W440" s="1">
        <f>IF(IFERROR(VLOOKUP(A440,Drank!A:T,20,FALSE),"")=0,"",IFERROR(VLOOKUP(A440,Drank!A:T,20,FALSE),""))</f>
        <v>44030</v>
      </c>
      <c r="X440" s="10">
        <f>SUMIF(A:A,A440,I:I)</f>
        <v>20</v>
      </c>
      <c r="Y440" s="10">
        <f>IF(Table1[[#This Row],[Drank]]&gt;0,VLOOKUP(Table1[[#This Row],[ID]],Drank!A:P,16,FALSE),IF(Table1[[#This Row],[WALDD]]&gt;0,VLOOKUP(Table1[[#This Row],[ID]],Wine1!A:Q,17,FALSE),Table1[[#This Row],[EP]]))</f>
        <v>2025</v>
      </c>
      <c r="Z440" s="18">
        <f>IF(Table1[[#This Row],[My Rating]]="",IF(Table1[[#This Row],[WA Rating Clean]]="","",Table1[[#This Row],[WA Rating Clean]]),Table1[[#This Row],[My Rating]])</f>
        <v>92.470588235294116</v>
      </c>
      <c r="AA440" s="8">
        <v>2023</v>
      </c>
      <c r="AB440" s="128">
        <v>14.99</v>
      </c>
      <c r="AC440" s="2">
        <f t="shared" si="35"/>
        <v>14.99</v>
      </c>
      <c r="AD440" s="8">
        <v>2</v>
      </c>
      <c r="AE440" s="37">
        <f>IF(Table1[[#This Row],[P/750]]&lt;20,1,IF(Table1[[#This Row],[P/750]]&lt;50,2,3))</f>
        <v>1</v>
      </c>
      <c r="AF440" s="37">
        <f>IF(Table1[[#This Row],[P/750]]&lt;Expenses!$C$30,1,IF(Table1[[#This Row],[P/750]]&lt;Expenses!$C$31,2,IF(Table1[[#This Row],[P/750]]&lt;Expenses!$C$32,3,4)))</f>
        <v>1</v>
      </c>
      <c r="AH440" s="37" t="s">
        <v>384</v>
      </c>
      <c r="AI440" s="11">
        <f>Table1[[#This Row],[Price]]/Table1[[#This Row],[Size (ml)]]*750</f>
        <v>14.99</v>
      </c>
      <c r="AJ440">
        <v>93</v>
      </c>
      <c r="AK440" s="37">
        <f>COUNTIF(UniqueID!A:A,Table1[[#This Row],[ID]])</f>
        <v>1</v>
      </c>
      <c r="AL440" s="37" t="str">
        <f>VLOOKUP(Table1[[#This Row],[Cellar Location]],Location!A:F,6,FALSE)</f>
        <v>S</v>
      </c>
      <c r="AN440" s="1">
        <v>43806</v>
      </c>
      <c r="AO440" s="37" t="str">
        <f>TEXT(Table1[[#This Row],[Purchased]],"mmmm")</f>
        <v>December</v>
      </c>
      <c r="AP440" s="10" t="str">
        <f>TEXT(Table1[[#This Row],[Purchased]],"yyyy")</f>
        <v>2019</v>
      </c>
      <c r="AQ440" s="10"/>
    </row>
    <row r="441" spans="1:43" x14ac:dyDescent="0.25">
      <c r="A441" s="37" t="str">
        <f t="shared" si="34"/>
        <v>2017Domaine de l'AmandineCotes du Rhone Villages Seguret</v>
      </c>
      <c r="B441" s="8">
        <v>2017</v>
      </c>
      <c r="C441" s="9" t="s">
        <v>361</v>
      </c>
      <c r="D441" s="9" t="s">
        <v>362</v>
      </c>
      <c r="E441" s="37" t="s">
        <v>1197</v>
      </c>
      <c r="F441" s="37" t="s">
        <v>742</v>
      </c>
      <c r="G441" s="37" t="s">
        <v>759</v>
      </c>
      <c r="H441" s="37" t="s">
        <v>760</v>
      </c>
      <c r="I441" s="107">
        <v>1</v>
      </c>
      <c r="J441" s="37">
        <v>750</v>
      </c>
      <c r="K441" s="107" t="s">
        <v>626</v>
      </c>
      <c r="L441" s="10">
        <f>COUNTIF(Drank!A:A,Table1[[#This Row],[ID]])</f>
        <v>17</v>
      </c>
      <c r="M441" t="s">
        <v>202</v>
      </c>
      <c r="N441" t="s">
        <v>207</v>
      </c>
      <c r="O441">
        <v>1</v>
      </c>
      <c r="P441" s="37">
        <v>2018</v>
      </c>
      <c r="Q441">
        <v>2025</v>
      </c>
      <c r="R441" s="10">
        <f>IF(IFERROR(VLOOKUP(A441,Drank!A:S,15,FALSE),"")=0,"",IFERROR(VLOOKUP(A441,Drank!A:S,15,FALSE),""))</f>
        <v>2020</v>
      </c>
      <c r="S441" s="10">
        <f>IF(IFERROR(VLOOKUP(A441,Drank!A:S,16,FALSE),"")=0,"",IFERROR(VLOOKUP(A441,Drank!A:S,16,FALSE),""))</f>
        <v>2025</v>
      </c>
      <c r="T441" s="10"/>
      <c r="U441">
        <v>93</v>
      </c>
      <c r="V441" s="18">
        <f>IF(IFERROR(VLOOKUP(A441,Drank!A:T,19,FALSE),"")=0,"",IFERROR(VLOOKUP(A441,Drank!A:T,19,FALSE),""))</f>
        <v>92.470588235294116</v>
      </c>
      <c r="W441" s="1">
        <f>IF(IFERROR(VLOOKUP(A441,Drank!A:T,20,FALSE),"")=0,"",IFERROR(VLOOKUP(A441,Drank!A:T,20,FALSE),""))</f>
        <v>44030</v>
      </c>
      <c r="X441" s="10">
        <f>SUMIF(A:A,A441,I:I)</f>
        <v>20</v>
      </c>
      <c r="Y441" s="10">
        <f>IF(Table1[[#This Row],[Drank]]&gt;0,VLOOKUP(Table1[[#This Row],[ID]],Drank!A:P,16,FALSE),IF(Table1[[#This Row],[WALDD]]&gt;0,VLOOKUP(Table1[[#This Row],[ID]],Wine1!A:Q,17,FALSE),Table1[[#This Row],[EP]]))</f>
        <v>2025</v>
      </c>
      <c r="Z441" s="18">
        <f>IF(Table1[[#This Row],[My Rating]]="",IF(Table1[[#This Row],[WA Rating Clean]]="","",Table1[[#This Row],[WA Rating Clean]]),Table1[[#This Row],[My Rating]])</f>
        <v>92.470588235294116</v>
      </c>
      <c r="AA441" s="8">
        <v>2023</v>
      </c>
      <c r="AB441" s="128">
        <v>14.99</v>
      </c>
      <c r="AC441" s="2">
        <f t="shared" si="35"/>
        <v>14.99</v>
      </c>
      <c r="AD441" s="8">
        <v>2</v>
      </c>
      <c r="AE441" s="37">
        <f>IF(Table1[[#This Row],[P/750]]&lt;20,1,IF(Table1[[#This Row],[P/750]]&lt;50,2,3))</f>
        <v>1</v>
      </c>
      <c r="AF441" s="37">
        <f>IF(Table1[[#This Row],[P/750]]&lt;Expenses!$C$30,1,IF(Table1[[#This Row],[P/750]]&lt;Expenses!$C$31,2,IF(Table1[[#This Row],[P/750]]&lt;Expenses!$C$32,3,4)))</f>
        <v>1</v>
      </c>
      <c r="AH441" s="37" t="s">
        <v>384</v>
      </c>
      <c r="AI441" s="11">
        <f>Table1[[#This Row],[Price]]/Table1[[#This Row],[Size (ml)]]*750</f>
        <v>14.99</v>
      </c>
      <c r="AJ441">
        <v>93</v>
      </c>
      <c r="AK441" s="37">
        <f>COUNTIF(UniqueID!A:A,Table1[[#This Row],[ID]])</f>
        <v>1</v>
      </c>
      <c r="AL441" s="37" t="str">
        <f>VLOOKUP(Table1[[#This Row],[Cellar Location]],Location!A:F,6,FALSE)</f>
        <v>S</v>
      </c>
      <c r="AN441" s="1">
        <v>43806</v>
      </c>
      <c r="AO441" s="37" t="str">
        <f>TEXT(Table1[[#This Row],[Purchased]],"mmmm")</f>
        <v>December</v>
      </c>
      <c r="AP441" s="10" t="str">
        <f>TEXT(Table1[[#This Row],[Purchased]],"yyyy")</f>
        <v>2019</v>
      </c>
      <c r="AQ441" s="10"/>
    </row>
    <row r="442" spans="1:43" x14ac:dyDescent="0.25">
      <c r="A442" s="37" t="str">
        <f t="shared" si="34"/>
        <v>2017Domaine de l'AmandineCotes du Rhone Villages Seguret</v>
      </c>
      <c r="B442" s="8">
        <v>2017</v>
      </c>
      <c r="C442" s="37" t="s">
        <v>361</v>
      </c>
      <c r="D442" s="37" t="s">
        <v>362</v>
      </c>
      <c r="E442" s="37" t="s">
        <v>1197</v>
      </c>
      <c r="F442" s="37" t="s">
        <v>742</v>
      </c>
      <c r="G442" s="37" t="s">
        <v>759</v>
      </c>
      <c r="H442" s="37" t="s">
        <v>760</v>
      </c>
      <c r="I442" s="107">
        <v>1</v>
      </c>
      <c r="J442" s="37">
        <v>750</v>
      </c>
      <c r="K442" s="107" t="s">
        <v>626</v>
      </c>
      <c r="L442" s="10">
        <f>COUNTIF(Drank!A:A,Table1[[#This Row],[ID]])</f>
        <v>17</v>
      </c>
      <c r="M442" t="s">
        <v>202</v>
      </c>
      <c r="N442" t="s">
        <v>207</v>
      </c>
      <c r="O442">
        <v>1</v>
      </c>
      <c r="P442" s="37">
        <v>2018</v>
      </c>
      <c r="Q442">
        <v>2025</v>
      </c>
      <c r="R442" s="10">
        <f>IF(IFERROR(VLOOKUP(A442,Drank!A:S,15,FALSE),"")=0,"",IFERROR(VLOOKUP(A442,Drank!A:S,15,FALSE),""))</f>
        <v>2020</v>
      </c>
      <c r="S442" s="10">
        <f>IF(IFERROR(VLOOKUP(A442,Drank!A:S,16,FALSE),"")=0,"",IFERROR(VLOOKUP(A442,Drank!A:S,16,FALSE),""))</f>
        <v>2025</v>
      </c>
      <c r="T442" s="10"/>
      <c r="U442">
        <v>93</v>
      </c>
      <c r="V442" s="18">
        <f>IF(IFERROR(VLOOKUP(A442,Drank!A:T,19,FALSE),"")=0,"",IFERROR(VLOOKUP(A442,Drank!A:T,19,FALSE),""))</f>
        <v>92.470588235294116</v>
      </c>
      <c r="W442" s="1">
        <f>IF(IFERROR(VLOOKUP(A442,Drank!A:T,20,FALSE),"")=0,"",IFERROR(VLOOKUP(A442,Drank!A:T,20,FALSE),""))</f>
        <v>44030</v>
      </c>
      <c r="X442" s="10">
        <f>SUMIF(A:A,A442,I:I)</f>
        <v>20</v>
      </c>
      <c r="Y442" s="10">
        <f>IF(Table1[[#This Row],[Drank]]&gt;0,VLOOKUP(Table1[[#This Row],[ID]],Drank!A:P,16,FALSE),IF(Table1[[#This Row],[WALDD]]&gt;0,VLOOKUP(Table1[[#This Row],[ID]],Wine1!A:Q,17,FALSE),Table1[[#This Row],[EP]]))</f>
        <v>2025</v>
      </c>
      <c r="Z442" s="18">
        <f>IF(Table1[[#This Row],[My Rating]]="",IF(Table1[[#This Row],[WA Rating Clean]]="","",Table1[[#This Row],[WA Rating Clean]]),Table1[[#This Row],[My Rating]])</f>
        <v>92.470588235294116</v>
      </c>
      <c r="AA442" s="8">
        <v>2023</v>
      </c>
      <c r="AB442" s="128">
        <v>14.99</v>
      </c>
      <c r="AC442" s="2">
        <f t="shared" si="35"/>
        <v>14.99</v>
      </c>
      <c r="AD442" s="8">
        <v>2</v>
      </c>
      <c r="AE442" s="37">
        <f>IF(Table1[[#This Row],[P/750]]&lt;20,1,IF(Table1[[#This Row],[P/750]]&lt;50,2,3))</f>
        <v>1</v>
      </c>
      <c r="AF442" s="37">
        <f>IF(Table1[[#This Row],[P/750]]&lt;Expenses!$C$30,1,IF(Table1[[#This Row],[P/750]]&lt;Expenses!$C$31,2,IF(Table1[[#This Row],[P/750]]&lt;Expenses!$C$32,3,4)))</f>
        <v>1</v>
      </c>
      <c r="AH442" s="37" t="s">
        <v>384</v>
      </c>
      <c r="AI442" s="11">
        <f>Table1[[#This Row],[Price]]/Table1[[#This Row],[Size (ml)]]*750</f>
        <v>14.99</v>
      </c>
      <c r="AJ442">
        <v>93</v>
      </c>
      <c r="AK442" s="37">
        <f>COUNTIF(UniqueID!A:A,Table1[[#This Row],[ID]])</f>
        <v>1</v>
      </c>
      <c r="AL442" s="37" t="str">
        <f>VLOOKUP(Table1[[#This Row],[Cellar Location]],Location!A:F,6,FALSE)</f>
        <v>S</v>
      </c>
      <c r="AN442" s="1">
        <v>43806</v>
      </c>
      <c r="AO442" s="37" t="str">
        <f>TEXT(Table1[[#This Row],[Purchased]],"mmmm")</f>
        <v>December</v>
      </c>
      <c r="AP442" s="10" t="str">
        <f>TEXT(Table1[[#This Row],[Purchased]],"yyyy")</f>
        <v>2019</v>
      </c>
      <c r="AQ442" s="10"/>
    </row>
    <row r="443" spans="1:43" s="37" customFormat="1" x14ac:dyDescent="0.25">
      <c r="A443" s="37" t="str">
        <f t="shared" si="34"/>
        <v>2017ElodiaFinca Fuego Blanco Malbec</v>
      </c>
      <c r="B443" s="8">
        <v>2017</v>
      </c>
      <c r="C443" s="37" t="s">
        <v>1857</v>
      </c>
      <c r="D443" s="37" t="s">
        <v>1860</v>
      </c>
      <c r="E443" s="37" t="s">
        <v>1207</v>
      </c>
      <c r="F443" s="37" t="s">
        <v>731</v>
      </c>
      <c r="G443" s="37" t="s">
        <v>1858</v>
      </c>
      <c r="H443" s="37" t="s">
        <v>1859</v>
      </c>
      <c r="I443" s="8">
        <v>1</v>
      </c>
      <c r="J443" s="8">
        <v>750</v>
      </c>
      <c r="K443" s="8" t="s">
        <v>58</v>
      </c>
      <c r="L443" s="10">
        <f>COUNTIF(Drank!A:A,Table1[[#This Row],[ID]])</f>
        <v>1</v>
      </c>
      <c r="M443" s="37" t="s">
        <v>202</v>
      </c>
      <c r="N443" s="37" t="s">
        <v>207</v>
      </c>
      <c r="O443" s="37">
        <v>1</v>
      </c>
      <c r="P443" s="37">
        <v>2019</v>
      </c>
      <c r="Q443" s="37">
        <v>2023</v>
      </c>
      <c r="R443" s="10">
        <f>IF(IFERROR(VLOOKUP(A443,Drank!A:S,15,FALSE),"")=0,"",IFERROR(VLOOKUP(A443,Drank!A:S,15,FALSE),""))</f>
        <v>2021</v>
      </c>
      <c r="S443" s="10">
        <f>IF(IFERROR(VLOOKUP(A443,Drank!A:S,16,FALSE),"")=0,"",IFERROR(VLOOKUP(A443,Drank!A:S,16,FALSE),""))</f>
        <v>2024</v>
      </c>
      <c r="T443" s="10"/>
      <c r="U443" s="37">
        <v>93</v>
      </c>
      <c r="V443" s="18">
        <f>IF(IFERROR(VLOOKUP(A443,Drank!A:T,19,FALSE),"")=0,"",IFERROR(VLOOKUP(A443,Drank!A:T,19,FALSE),""))</f>
        <v>90</v>
      </c>
      <c r="W443" s="1">
        <f>IF(IFERROR(VLOOKUP(A443,Drank!A:T,20,FALSE),"")=0,"",IFERROR(VLOOKUP(A443,Drank!A:T,20,FALSE),""))</f>
        <v>44081</v>
      </c>
      <c r="X443" s="10">
        <f>SUMIF(A:A,A443,I:I)</f>
        <v>5</v>
      </c>
      <c r="Y443" s="10">
        <f>IF(Table1[[#This Row],[Drank]]&gt;0,VLOOKUP(Table1[[#This Row],[ID]],Drank!A:P,16,FALSE),IF(Table1[[#This Row],[WALDD]]&gt;0,VLOOKUP(Table1[[#This Row],[ID]],Wine1!A:Q,17,FALSE),Table1[[#This Row],[EP]]))</f>
        <v>2024</v>
      </c>
      <c r="Z443" s="18">
        <f>IF(Table1[[#This Row],[My Rating]]="",IF(Table1[[#This Row],[WA Rating Clean]]="","",Table1[[#This Row],[WA Rating Clean]]),Table1[[#This Row],[My Rating]])</f>
        <v>90</v>
      </c>
      <c r="AA443" s="8">
        <v>2021</v>
      </c>
      <c r="AB443" s="128">
        <v>19.54</v>
      </c>
      <c r="AC443" s="2">
        <f t="shared" si="35"/>
        <v>19.54</v>
      </c>
      <c r="AD443" s="8"/>
      <c r="AE443" s="10">
        <f>IF(Table1[[#This Row],[P/750]]&lt;20,1,IF(Table1[[#This Row],[P/750]]&lt;50,2,3))</f>
        <v>1</v>
      </c>
      <c r="AF443" s="10">
        <f>IF(Table1[[#This Row],[P/750]]&lt;Expenses!$C$30,1,IF(Table1[[#This Row],[P/750]]&lt;Expenses!$C$31,2,IF(Table1[[#This Row],[P/750]]&lt;Expenses!$C$32,3,4)))</f>
        <v>2</v>
      </c>
      <c r="AH443" s="37" t="s">
        <v>384</v>
      </c>
      <c r="AI443" s="11">
        <f>Table1[[#This Row],[Price]]/Table1[[#This Row],[Size (ml)]]*750</f>
        <v>19.54</v>
      </c>
      <c r="AJ443" s="37">
        <v>93</v>
      </c>
      <c r="AK443" s="10">
        <f>COUNTIF(UniqueID!A:A,Table1[[#This Row],[ID]])</f>
        <v>0</v>
      </c>
      <c r="AL443" s="10" t="str">
        <f>VLOOKUP(Table1[[#This Row],[Cellar Location]],Location!A:F,6,FALSE)</f>
        <v>K</v>
      </c>
      <c r="AN443" s="1">
        <v>44071</v>
      </c>
      <c r="AO443" s="10" t="str">
        <f>TEXT(Table1[[#This Row],[Purchased]],"mmmm")</f>
        <v>August</v>
      </c>
      <c r="AP443" s="10" t="str">
        <f>TEXT(Table1[[#This Row],[Purchased]],"yyyy")</f>
        <v>2020</v>
      </c>
      <c r="AQ443" s="10"/>
    </row>
    <row r="444" spans="1:43" s="37" customFormat="1" x14ac:dyDescent="0.25">
      <c r="A444" s="37" t="str">
        <f t="shared" si="34"/>
        <v>2017ElodiaFinca Fuego Blanco Malbec</v>
      </c>
      <c r="B444" s="8">
        <v>2017</v>
      </c>
      <c r="C444" s="37" t="s">
        <v>1857</v>
      </c>
      <c r="D444" s="37" t="s">
        <v>1860</v>
      </c>
      <c r="E444" s="37" t="s">
        <v>1207</v>
      </c>
      <c r="F444" s="37" t="s">
        <v>731</v>
      </c>
      <c r="G444" s="37" t="s">
        <v>1858</v>
      </c>
      <c r="H444" s="37" t="s">
        <v>1859</v>
      </c>
      <c r="I444" s="8">
        <v>1</v>
      </c>
      <c r="J444" s="8">
        <v>750</v>
      </c>
      <c r="K444" s="8" t="s">
        <v>1541</v>
      </c>
      <c r="L444" s="10">
        <f>COUNTIF(Drank!A:A,Table1[[#This Row],[ID]])</f>
        <v>1</v>
      </c>
      <c r="M444" s="37" t="s">
        <v>202</v>
      </c>
      <c r="N444" s="37" t="s">
        <v>207</v>
      </c>
      <c r="O444" s="37">
        <v>1</v>
      </c>
      <c r="P444" s="37">
        <v>2019</v>
      </c>
      <c r="Q444" s="37">
        <v>2023</v>
      </c>
      <c r="R444" s="10">
        <f>IF(IFERROR(VLOOKUP(A444,Drank!A:S,15,FALSE),"")=0,"",IFERROR(VLOOKUP(A444,Drank!A:S,15,FALSE),""))</f>
        <v>2021</v>
      </c>
      <c r="S444" s="10">
        <f>IF(IFERROR(VLOOKUP(A444,Drank!A:S,16,FALSE),"")=0,"",IFERROR(VLOOKUP(A444,Drank!A:S,16,FALSE),""))</f>
        <v>2024</v>
      </c>
      <c r="T444" s="10"/>
      <c r="U444" s="37">
        <v>93</v>
      </c>
      <c r="V444" s="18">
        <f>IF(IFERROR(VLOOKUP(A444,Drank!A:T,19,FALSE),"")=0,"",IFERROR(VLOOKUP(A444,Drank!A:T,19,FALSE),""))</f>
        <v>90</v>
      </c>
      <c r="W444" s="1">
        <f>IF(IFERROR(VLOOKUP(A444,Drank!A:T,20,FALSE),"")=0,"",IFERROR(VLOOKUP(A444,Drank!A:T,20,FALSE),""))</f>
        <v>44081</v>
      </c>
      <c r="X444" s="10">
        <f>SUMIF(A:A,A444,I:I)</f>
        <v>5</v>
      </c>
      <c r="Y444" s="10">
        <f>IF(Table1[[#This Row],[Drank]]&gt;0,VLOOKUP(Table1[[#This Row],[ID]],Drank!A:P,16,FALSE),IF(Table1[[#This Row],[WALDD]]&gt;0,VLOOKUP(Table1[[#This Row],[ID]],Wine1!A:Q,17,FALSE),Table1[[#This Row],[EP]]))</f>
        <v>2024</v>
      </c>
      <c r="Z444" s="18">
        <f>IF(Table1[[#This Row],[My Rating]]="",IF(Table1[[#This Row],[WA Rating Clean]]="","",Table1[[#This Row],[WA Rating Clean]]),Table1[[#This Row],[My Rating]])</f>
        <v>90</v>
      </c>
      <c r="AA444" s="8">
        <v>2021</v>
      </c>
      <c r="AB444" s="128">
        <v>19.54</v>
      </c>
      <c r="AC444" s="2">
        <f t="shared" si="35"/>
        <v>19.54</v>
      </c>
      <c r="AD444" s="8"/>
      <c r="AE444" s="10">
        <f>IF(Table1[[#This Row],[P/750]]&lt;20,1,IF(Table1[[#This Row],[P/750]]&lt;50,2,3))</f>
        <v>1</v>
      </c>
      <c r="AF444" s="10">
        <f>IF(Table1[[#This Row],[P/750]]&lt;Expenses!$C$30,1,IF(Table1[[#This Row],[P/750]]&lt;Expenses!$C$31,2,IF(Table1[[#This Row],[P/750]]&lt;Expenses!$C$32,3,4)))</f>
        <v>2</v>
      </c>
      <c r="AH444" s="37" t="s">
        <v>384</v>
      </c>
      <c r="AI444" s="11">
        <f>Table1[[#This Row],[Price]]/Table1[[#This Row],[Size (ml)]]*750</f>
        <v>19.54</v>
      </c>
      <c r="AJ444" s="37">
        <v>93</v>
      </c>
      <c r="AK444" s="10">
        <f>COUNTIF(UniqueID!A:A,Table1[[#This Row],[ID]])</f>
        <v>0</v>
      </c>
      <c r="AL444" s="10" t="str">
        <f>VLOOKUP(Table1[[#This Row],[Cellar Location]],Location!A:F,6,FALSE)</f>
        <v>C</v>
      </c>
      <c r="AN444" s="1">
        <v>44071</v>
      </c>
      <c r="AO444" s="10" t="str">
        <f>TEXT(Table1[[#This Row],[Purchased]],"mmmm")</f>
        <v>August</v>
      </c>
      <c r="AP444" s="10" t="str">
        <f>TEXT(Table1[[#This Row],[Purchased]],"yyyy")</f>
        <v>2020</v>
      </c>
      <c r="AQ444" s="10"/>
    </row>
    <row r="445" spans="1:43" s="37" customFormat="1" x14ac:dyDescent="0.25">
      <c r="A445" s="37" t="str">
        <f t="shared" si="34"/>
        <v>2017ElodiaFinca Fuego Blanco Malbec</v>
      </c>
      <c r="B445" s="8">
        <v>2017</v>
      </c>
      <c r="C445" s="37" t="s">
        <v>1857</v>
      </c>
      <c r="D445" s="37" t="s">
        <v>1860</v>
      </c>
      <c r="E445" s="37" t="s">
        <v>1207</v>
      </c>
      <c r="F445" s="37" t="s">
        <v>731</v>
      </c>
      <c r="G445" s="37" t="s">
        <v>1858</v>
      </c>
      <c r="H445" s="37" t="s">
        <v>1859</v>
      </c>
      <c r="I445" s="8">
        <v>1</v>
      </c>
      <c r="J445" s="8">
        <v>750</v>
      </c>
      <c r="K445" s="8" t="s">
        <v>929</v>
      </c>
      <c r="L445" s="10">
        <f>COUNTIF(Drank!A:A,Table1[[#This Row],[ID]])</f>
        <v>1</v>
      </c>
      <c r="M445" s="37" t="s">
        <v>202</v>
      </c>
      <c r="N445" s="37" t="s">
        <v>207</v>
      </c>
      <c r="O445" s="37">
        <v>1</v>
      </c>
      <c r="P445" s="37">
        <v>2019</v>
      </c>
      <c r="Q445" s="37">
        <v>2023</v>
      </c>
      <c r="R445" s="10">
        <f>IF(IFERROR(VLOOKUP(A445,Drank!A:S,15,FALSE),"")=0,"",IFERROR(VLOOKUP(A445,Drank!A:S,15,FALSE),""))</f>
        <v>2021</v>
      </c>
      <c r="S445" s="10">
        <f>IF(IFERROR(VLOOKUP(A445,Drank!A:S,16,FALSE),"")=0,"",IFERROR(VLOOKUP(A445,Drank!A:S,16,FALSE),""))</f>
        <v>2024</v>
      </c>
      <c r="T445" s="10"/>
      <c r="U445" s="37">
        <v>93</v>
      </c>
      <c r="V445" s="18">
        <f>IF(IFERROR(VLOOKUP(A445,Drank!A:T,19,FALSE),"")=0,"",IFERROR(VLOOKUP(A445,Drank!A:T,19,FALSE),""))</f>
        <v>90</v>
      </c>
      <c r="W445" s="1">
        <f>IF(IFERROR(VLOOKUP(A445,Drank!A:T,20,FALSE),"")=0,"",IFERROR(VLOOKUP(A445,Drank!A:T,20,FALSE),""))</f>
        <v>44081</v>
      </c>
      <c r="X445" s="10">
        <f>SUMIF(A:A,A445,I:I)</f>
        <v>5</v>
      </c>
      <c r="Y445" s="10">
        <f>IF(Table1[[#This Row],[Drank]]&gt;0,VLOOKUP(Table1[[#This Row],[ID]],Drank!A:P,16,FALSE),IF(Table1[[#This Row],[WALDD]]&gt;0,VLOOKUP(Table1[[#This Row],[ID]],Wine1!A:Q,17,FALSE),Table1[[#This Row],[EP]]))</f>
        <v>2024</v>
      </c>
      <c r="Z445" s="18">
        <f>IF(Table1[[#This Row],[My Rating]]="",IF(Table1[[#This Row],[WA Rating Clean]]="","",Table1[[#This Row],[WA Rating Clean]]),Table1[[#This Row],[My Rating]])</f>
        <v>90</v>
      </c>
      <c r="AA445" s="8">
        <v>2022</v>
      </c>
      <c r="AB445" s="128">
        <v>19.54</v>
      </c>
      <c r="AC445" s="2">
        <f t="shared" si="35"/>
        <v>19.54</v>
      </c>
      <c r="AD445" s="8"/>
      <c r="AE445" s="10">
        <f>IF(Table1[[#This Row],[P/750]]&lt;20,1,IF(Table1[[#This Row],[P/750]]&lt;50,2,3))</f>
        <v>1</v>
      </c>
      <c r="AF445" s="10">
        <f>IF(Table1[[#This Row],[P/750]]&lt;Expenses!$C$30,1,IF(Table1[[#This Row],[P/750]]&lt;Expenses!$C$31,2,IF(Table1[[#This Row],[P/750]]&lt;Expenses!$C$32,3,4)))</f>
        <v>2</v>
      </c>
      <c r="AH445" s="37" t="s">
        <v>384</v>
      </c>
      <c r="AI445" s="11">
        <f>Table1[[#This Row],[Price]]/Table1[[#This Row],[Size (ml)]]*750</f>
        <v>19.54</v>
      </c>
      <c r="AJ445" s="37">
        <v>93</v>
      </c>
      <c r="AK445" s="10">
        <f>COUNTIF(UniqueID!A:A,Table1[[#This Row],[ID]])</f>
        <v>0</v>
      </c>
      <c r="AL445" s="10" t="str">
        <f>VLOOKUP(Table1[[#This Row],[Cellar Location]],Location!A:F,6,FALSE)</f>
        <v>C</v>
      </c>
      <c r="AN445" s="1">
        <v>44071</v>
      </c>
      <c r="AO445" s="10" t="str">
        <f>TEXT(Table1[[#This Row],[Purchased]],"mmmm")</f>
        <v>August</v>
      </c>
      <c r="AP445" s="10" t="str">
        <f>TEXT(Table1[[#This Row],[Purchased]],"yyyy")</f>
        <v>2020</v>
      </c>
      <c r="AQ445" s="10"/>
    </row>
    <row r="446" spans="1:43" s="37" customFormat="1" x14ac:dyDescent="0.25">
      <c r="A446" s="37" t="str">
        <f t="shared" si="34"/>
        <v>2017ElodiaFinca Fuego Blanco Malbec</v>
      </c>
      <c r="B446" s="8">
        <v>2017</v>
      </c>
      <c r="C446" s="37" t="s">
        <v>1857</v>
      </c>
      <c r="D446" s="37" t="s">
        <v>1860</v>
      </c>
      <c r="E446" s="37" t="s">
        <v>1207</v>
      </c>
      <c r="F446" s="37" t="s">
        <v>731</v>
      </c>
      <c r="G446" s="37" t="s">
        <v>1858</v>
      </c>
      <c r="H446" s="37" t="s">
        <v>1859</v>
      </c>
      <c r="I446" s="8">
        <v>1</v>
      </c>
      <c r="J446" s="8">
        <v>750</v>
      </c>
      <c r="K446" s="8" t="s">
        <v>58</v>
      </c>
      <c r="L446" s="10">
        <f>COUNTIF(Drank!A:A,Table1[[#This Row],[ID]])</f>
        <v>1</v>
      </c>
      <c r="M446" s="37" t="s">
        <v>202</v>
      </c>
      <c r="N446" s="37" t="s">
        <v>207</v>
      </c>
      <c r="O446" s="37">
        <v>1</v>
      </c>
      <c r="P446" s="37">
        <v>2019</v>
      </c>
      <c r="Q446" s="37">
        <v>2023</v>
      </c>
      <c r="R446" s="10">
        <f>IF(IFERROR(VLOOKUP(A446,Drank!A:S,15,FALSE),"")=0,"",IFERROR(VLOOKUP(A446,Drank!A:S,15,FALSE),""))</f>
        <v>2021</v>
      </c>
      <c r="S446" s="10">
        <f>IF(IFERROR(VLOOKUP(A446,Drank!A:S,16,FALSE),"")=0,"",IFERROR(VLOOKUP(A446,Drank!A:S,16,FALSE),""))</f>
        <v>2024</v>
      </c>
      <c r="T446" s="10"/>
      <c r="U446" s="37">
        <v>93</v>
      </c>
      <c r="V446" s="18">
        <f>IF(IFERROR(VLOOKUP(A446,Drank!A:T,19,FALSE),"")=0,"",IFERROR(VLOOKUP(A446,Drank!A:T,19,FALSE),""))</f>
        <v>90</v>
      </c>
      <c r="W446" s="1">
        <f>IF(IFERROR(VLOOKUP(A446,Drank!A:T,20,FALSE),"")=0,"",IFERROR(VLOOKUP(A446,Drank!A:T,20,FALSE),""))</f>
        <v>44081</v>
      </c>
      <c r="X446" s="10">
        <f>SUMIF(A:A,A446,I:I)</f>
        <v>5</v>
      </c>
      <c r="Y446" s="10">
        <f>IF(Table1[[#This Row],[Drank]]&gt;0,VLOOKUP(Table1[[#This Row],[ID]],Drank!A:P,16,FALSE),IF(Table1[[#This Row],[WALDD]]&gt;0,VLOOKUP(Table1[[#This Row],[ID]],Wine1!A:Q,17,FALSE),Table1[[#This Row],[EP]]))</f>
        <v>2024</v>
      </c>
      <c r="Z446" s="18">
        <f>IF(Table1[[#This Row],[My Rating]]="",IF(Table1[[#This Row],[WA Rating Clean]]="","",Table1[[#This Row],[WA Rating Clean]]),Table1[[#This Row],[My Rating]])</f>
        <v>90</v>
      </c>
      <c r="AA446" s="8">
        <v>2022</v>
      </c>
      <c r="AB446" s="128">
        <v>19.54</v>
      </c>
      <c r="AC446" s="2">
        <f t="shared" si="35"/>
        <v>19.54</v>
      </c>
      <c r="AD446" s="8"/>
      <c r="AE446" s="10">
        <f>IF(Table1[[#This Row],[P/750]]&lt;20,1,IF(Table1[[#This Row],[P/750]]&lt;50,2,3))</f>
        <v>1</v>
      </c>
      <c r="AF446" s="10">
        <f>IF(Table1[[#This Row],[P/750]]&lt;Expenses!$C$30,1,IF(Table1[[#This Row],[P/750]]&lt;Expenses!$C$31,2,IF(Table1[[#This Row],[P/750]]&lt;Expenses!$C$32,3,4)))</f>
        <v>2</v>
      </c>
      <c r="AH446" s="37" t="s">
        <v>384</v>
      </c>
      <c r="AI446" s="11">
        <f>Table1[[#This Row],[Price]]/Table1[[#This Row],[Size (ml)]]*750</f>
        <v>19.54</v>
      </c>
      <c r="AJ446" s="37">
        <v>93</v>
      </c>
      <c r="AK446" s="10">
        <f>COUNTIF(UniqueID!A:A,Table1[[#This Row],[ID]])</f>
        <v>0</v>
      </c>
      <c r="AL446" s="10" t="str">
        <f>VLOOKUP(Table1[[#This Row],[Cellar Location]],Location!A:F,6,FALSE)</f>
        <v>K</v>
      </c>
      <c r="AN446" s="1">
        <v>44071</v>
      </c>
      <c r="AO446" s="10" t="str">
        <f>TEXT(Table1[[#This Row],[Purchased]],"mmmm")</f>
        <v>August</v>
      </c>
      <c r="AP446" s="10" t="str">
        <f>TEXT(Table1[[#This Row],[Purchased]],"yyyy")</f>
        <v>2020</v>
      </c>
      <c r="AQ446" s="10"/>
    </row>
    <row r="447" spans="1:43" s="37" customFormat="1" x14ac:dyDescent="0.25">
      <c r="A447" s="37" t="str">
        <f t="shared" si="34"/>
        <v>2017ElodiaFinca Fuego Blanco Malbec</v>
      </c>
      <c r="B447" s="8">
        <v>2017</v>
      </c>
      <c r="C447" s="37" t="s">
        <v>1857</v>
      </c>
      <c r="D447" s="37" t="s">
        <v>1860</v>
      </c>
      <c r="E447" s="37" t="s">
        <v>1207</v>
      </c>
      <c r="F447" s="37" t="s">
        <v>731</v>
      </c>
      <c r="G447" s="37" t="s">
        <v>1858</v>
      </c>
      <c r="H447" s="37" t="s">
        <v>1859</v>
      </c>
      <c r="I447" s="8">
        <v>1</v>
      </c>
      <c r="J447" s="8">
        <v>750</v>
      </c>
      <c r="K447" s="8" t="s">
        <v>236</v>
      </c>
      <c r="L447" s="10">
        <f>COUNTIF(Drank!A:A,Table1[[#This Row],[ID]])</f>
        <v>1</v>
      </c>
      <c r="M447" s="37" t="s">
        <v>202</v>
      </c>
      <c r="N447" s="37" t="s">
        <v>207</v>
      </c>
      <c r="O447" s="37">
        <v>1</v>
      </c>
      <c r="P447" s="37">
        <v>2019</v>
      </c>
      <c r="Q447" s="37">
        <v>2023</v>
      </c>
      <c r="R447" s="10">
        <f>IF(IFERROR(VLOOKUP(A447,Drank!A:S,15,FALSE),"")=0,"",IFERROR(VLOOKUP(A447,Drank!A:S,15,FALSE),""))</f>
        <v>2021</v>
      </c>
      <c r="S447" s="10">
        <f>IF(IFERROR(VLOOKUP(A447,Drank!A:S,16,FALSE),"")=0,"",IFERROR(VLOOKUP(A447,Drank!A:S,16,FALSE),""))</f>
        <v>2024</v>
      </c>
      <c r="T447" s="10"/>
      <c r="U447" s="37">
        <v>93</v>
      </c>
      <c r="V447" s="18">
        <f>IF(IFERROR(VLOOKUP(A447,Drank!A:T,19,FALSE),"")=0,"",IFERROR(VLOOKUP(A447,Drank!A:T,19,FALSE),""))</f>
        <v>90</v>
      </c>
      <c r="W447" s="1">
        <f>IF(IFERROR(VLOOKUP(A447,Drank!A:T,20,FALSE),"")=0,"",IFERROR(VLOOKUP(A447,Drank!A:T,20,FALSE),""))</f>
        <v>44081</v>
      </c>
      <c r="X447" s="10">
        <f>SUMIF(A:A,A447,I:I)</f>
        <v>5</v>
      </c>
      <c r="Y447" s="10">
        <f>IF(Table1[[#This Row],[Drank]]&gt;0,VLOOKUP(Table1[[#This Row],[ID]],Drank!A:P,16,FALSE),IF(Table1[[#This Row],[WALDD]]&gt;0,VLOOKUP(Table1[[#This Row],[ID]],Wine1!A:Q,17,FALSE),Table1[[#This Row],[EP]]))</f>
        <v>2024</v>
      </c>
      <c r="Z447" s="18">
        <f>IF(Table1[[#This Row],[My Rating]]="",IF(Table1[[#This Row],[WA Rating Clean]]="","",Table1[[#This Row],[WA Rating Clean]]),Table1[[#This Row],[My Rating]])</f>
        <v>90</v>
      </c>
      <c r="AA447" s="8">
        <v>2023</v>
      </c>
      <c r="AB447" s="128">
        <v>19.54</v>
      </c>
      <c r="AC447" s="2">
        <f t="shared" si="35"/>
        <v>19.54</v>
      </c>
      <c r="AD447" s="8"/>
      <c r="AE447" s="10">
        <f>IF(Table1[[#This Row],[P/750]]&lt;20,1,IF(Table1[[#This Row],[P/750]]&lt;50,2,3))</f>
        <v>1</v>
      </c>
      <c r="AF447" s="10">
        <f>IF(Table1[[#This Row],[P/750]]&lt;Expenses!$C$30,1,IF(Table1[[#This Row],[P/750]]&lt;Expenses!$C$31,2,IF(Table1[[#This Row],[P/750]]&lt;Expenses!$C$32,3,4)))</f>
        <v>2</v>
      </c>
      <c r="AH447" s="37" t="s">
        <v>384</v>
      </c>
      <c r="AI447" s="11">
        <f>Table1[[#This Row],[Price]]/Table1[[#This Row],[Size (ml)]]*750</f>
        <v>19.54</v>
      </c>
      <c r="AJ447" s="37">
        <v>93</v>
      </c>
      <c r="AK447" s="10">
        <f>COUNTIF(UniqueID!A:A,Table1[[#This Row],[ID]])</f>
        <v>0</v>
      </c>
      <c r="AL447" s="10" t="str">
        <f>VLOOKUP(Table1[[#This Row],[Cellar Location]],Location!A:F,6,FALSE)</f>
        <v>C</v>
      </c>
      <c r="AN447" s="1">
        <v>44071</v>
      </c>
      <c r="AO447" s="10" t="str">
        <f>TEXT(Table1[[#This Row],[Purchased]],"mmmm")</f>
        <v>August</v>
      </c>
      <c r="AP447" s="10" t="str">
        <f>TEXT(Table1[[#This Row],[Purchased]],"yyyy")</f>
        <v>2020</v>
      </c>
      <c r="AQ447" s="10"/>
    </row>
    <row r="448" spans="1:43" s="37" customFormat="1" x14ac:dyDescent="0.25">
      <c r="A448" s="37" t="str">
        <f t="shared" si="34"/>
        <v>2018Virgen de la SierraAlbada</v>
      </c>
      <c r="B448" s="8">
        <v>2018</v>
      </c>
      <c r="C448" s="37" t="s">
        <v>1863</v>
      </c>
      <c r="D448" s="37" t="s">
        <v>1864</v>
      </c>
      <c r="E448" s="37" t="s">
        <v>1248</v>
      </c>
      <c r="F448" s="37" t="s">
        <v>729</v>
      </c>
      <c r="G448" s="37" t="s">
        <v>811</v>
      </c>
      <c r="H448" s="37" t="s">
        <v>812</v>
      </c>
      <c r="I448" s="8">
        <v>1</v>
      </c>
      <c r="J448" s="8">
        <v>750</v>
      </c>
      <c r="K448" s="8" t="s">
        <v>1833</v>
      </c>
      <c r="L448" s="10">
        <f>COUNTIF(Drank!A:A,Table1[[#This Row],[ID]])</f>
        <v>0</v>
      </c>
      <c r="M448" s="37" t="s">
        <v>202</v>
      </c>
      <c r="N448" s="37" t="s">
        <v>207</v>
      </c>
      <c r="O448" s="37">
        <v>1</v>
      </c>
      <c r="P448" s="37">
        <v>2020</v>
      </c>
      <c r="Q448" s="37">
        <v>2023</v>
      </c>
      <c r="R448" s="10" t="str">
        <f>IF(IFERROR(VLOOKUP(A448,Drank!A:S,15,FALSE),"")=0,"",IFERROR(VLOOKUP(A448,Drank!A:S,15,FALSE),""))</f>
        <v/>
      </c>
      <c r="S448" s="10" t="str">
        <f>IF(IFERROR(VLOOKUP(A448,Drank!A:S,16,FALSE),"")=0,"",IFERROR(VLOOKUP(A448,Drank!A:S,16,FALSE),""))</f>
        <v/>
      </c>
      <c r="T448" s="10"/>
      <c r="U448" s="37">
        <v>90</v>
      </c>
      <c r="V448" s="18" t="str">
        <f>IF(IFERROR(VLOOKUP(A448,Drank!A:T,19,FALSE),"")=0,"",IFERROR(VLOOKUP(A448,Drank!A:T,19,FALSE),""))</f>
        <v/>
      </c>
      <c r="W448" s="1" t="str">
        <f>IF(IFERROR(VLOOKUP(A448,Drank!A:T,20,FALSE),"")=0,"",IFERROR(VLOOKUP(A448,Drank!A:T,20,FALSE),""))</f>
        <v/>
      </c>
      <c r="X448" s="10">
        <f>SUMIF(A:A,A448,I:I)</f>
        <v>4</v>
      </c>
      <c r="Y448" s="10">
        <f>IF(Table1[[#This Row],[Drank]]&gt;0,VLOOKUP(Table1[[#This Row],[ID]],Drank!A:P,16,FALSE),IF(Table1[[#This Row],[WALDD]]&gt;0,VLOOKUP(Table1[[#This Row],[ID]],Wine1!A:Q,17,FALSE),Table1[[#This Row],[EP]]))</f>
        <v>2023</v>
      </c>
      <c r="Z448" s="18">
        <f>IF(Table1[[#This Row],[My Rating]]="",IF(Table1[[#This Row],[WA Rating Clean]]="","",Table1[[#This Row],[WA Rating Clean]]),Table1[[#This Row],[My Rating]])</f>
        <v>90</v>
      </c>
      <c r="AA448" s="8">
        <v>2020</v>
      </c>
      <c r="AB448" s="128">
        <v>14.11</v>
      </c>
      <c r="AC448" s="2">
        <f t="shared" si="35"/>
        <v>14.11</v>
      </c>
      <c r="AD448" s="8"/>
      <c r="AE448" s="10">
        <f>IF(Table1[[#This Row],[P/750]]&lt;20,1,IF(Table1[[#This Row],[P/750]]&lt;50,2,3))</f>
        <v>1</v>
      </c>
      <c r="AF448" s="10">
        <f>IF(Table1[[#This Row],[P/750]]&lt;Expenses!$C$30,1,IF(Table1[[#This Row],[P/750]]&lt;Expenses!$C$31,2,IF(Table1[[#This Row],[P/750]]&lt;Expenses!$C$32,3,4)))</f>
        <v>1</v>
      </c>
      <c r="AH448" s="37" t="s">
        <v>384</v>
      </c>
      <c r="AI448" s="11">
        <f>Table1[[#This Row],[Price]]/Table1[[#This Row],[Size (ml)]]*750</f>
        <v>14.109999999999998</v>
      </c>
      <c r="AJ448" s="37">
        <v>90</v>
      </c>
      <c r="AK448" s="10">
        <f>COUNTIF(UniqueID!A:A,Table1[[#This Row],[ID]])</f>
        <v>0</v>
      </c>
      <c r="AL448" s="10" t="str">
        <f>VLOOKUP(Table1[[#This Row],[Cellar Location]],Location!A:F,6,FALSE)</f>
        <v>C</v>
      </c>
      <c r="AN448" s="1">
        <v>44074</v>
      </c>
      <c r="AO448" s="10" t="str">
        <f>TEXT(Table1[[#This Row],[Purchased]],"mmmm")</f>
        <v>August</v>
      </c>
      <c r="AP448" s="10" t="str">
        <f>TEXT(Table1[[#This Row],[Purchased]],"yyyy")</f>
        <v>2020</v>
      </c>
      <c r="AQ448" s="10"/>
    </row>
    <row r="449" spans="1:43" s="37" customFormat="1" x14ac:dyDescent="0.25">
      <c r="A449" s="37" t="str">
        <f t="shared" si="34"/>
        <v>2018Virgen de la SierraAlbada</v>
      </c>
      <c r="B449" s="8">
        <v>2018</v>
      </c>
      <c r="C449" s="37" t="s">
        <v>1863</v>
      </c>
      <c r="D449" s="37" t="s">
        <v>1864</v>
      </c>
      <c r="E449" s="37" t="s">
        <v>1248</v>
      </c>
      <c r="F449" s="37" t="s">
        <v>729</v>
      </c>
      <c r="G449" s="37" t="s">
        <v>811</v>
      </c>
      <c r="H449" s="37" t="s">
        <v>812</v>
      </c>
      <c r="I449" s="8">
        <v>1</v>
      </c>
      <c r="J449" s="8">
        <v>750</v>
      </c>
      <c r="K449" s="8" t="s">
        <v>1833</v>
      </c>
      <c r="L449" s="10">
        <f>COUNTIF(Drank!A:A,Table1[[#This Row],[ID]])</f>
        <v>0</v>
      </c>
      <c r="M449" s="37" t="s">
        <v>202</v>
      </c>
      <c r="N449" s="37" t="s">
        <v>207</v>
      </c>
      <c r="O449" s="37">
        <v>1</v>
      </c>
      <c r="P449" s="37">
        <v>2020</v>
      </c>
      <c r="Q449" s="37">
        <v>2023</v>
      </c>
      <c r="R449" s="10" t="str">
        <f>IF(IFERROR(VLOOKUP(A449,Drank!A:S,15,FALSE),"")=0,"",IFERROR(VLOOKUP(A449,Drank!A:S,15,FALSE),""))</f>
        <v/>
      </c>
      <c r="S449" s="10" t="str">
        <f>IF(IFERROR(VLOOKUP(A449,Drank!A:S,16,FALSE),"")=0,"",IFERROR(VLOOKUP(A449,Drank!A:S,16,FALSE),""))</f>
        <v/>
      </c>
      <c r="T449" s="10"/>
      <c r="U449" s="37">
        <v>90</v>
      </c>
      <c r="V449" s="18" t="str">
        <f>IF(IFERROR(VLOOKUP(A449,Drank!A:T,19,FALSE),"")=0,"",IFERROR(VLOOKUP(A449,Drank!A:T,19,FALSE),""))</f>
        <v/>
      </c>
      <c r="W449" s="1" t="str">
        <f>IF(IFERROR(VLOOKUP(A449,Drank!A:T,20,FALSE),"")=0,"",IFERROR(VLOOKUP(A449,Drank!A:T,20,FALSE),""))</f>
        <v/>
      </c>
      <c r="X449" s="10">
        <f>SUMIF(A:A,A449,I:I)</f>
        <v>4</v>
      </c>
      <c r="Y449" s="10">
        <f>IF(Table1[[#This Row],[Drank]]&gt;0,VLOOKUP(Table1[[#This Row],[ID]],Drank!A:P,16,FALSE),IF(Table1[[#This Row],[WALDD]]&gt;0,VLOOKUP(Table1[[#This Row],[ID]],Wine1!A:Q,17,FALSE),Table1[[#This Row],[EP]]))</f>
        <v>2023</v>
      </c>
      <c r="Z449" s="18">
        <f>IF(Table1[[#This Row],[My Rating]]="",IF(Table1[[#This Row],[WA Rating Clean]]="","",Table1[[#This Row],[WA Rating Clean]]),Table1[[#This Row],[My Rating]])</f>
        <v>90</v>
      </c>
      <c r="AA449" s="8">
        <v>2021</v>
      </c>
      <c r="AB449" s="128">
        <v>14.11</v>
      </c>
      <c r="AC449" s="2">
        <f t="shared" si="35"/>
        <v>14.11</v>
      </c>
      <c r="AD449" s="8"/>
      <c r="AE449" s="10">
        <f>IF(Table1[[#This Row],[P/750]]&lt;20,1,IF(Table1[[#This Row],[P/750]]&lt;50,2,3))</f>
        <v>1</v>
      </c>
      <c r="AF449" s="10">
        <f>IF(Table1[[#This Row],[P/750]]&lt;Expenses!$C$30,1,IF(Table1[[#This Row],[P/750]]&lt;Expenses!$C$31,2,IF(Table1[[#This Row],[P/750]]&lt;Expenses!$C$32,3,4)))</f>
        <v>1</v>
      </c>
      <c r="AH449" s="37" t="s">
        <v>384</v>
      </c>
      <c r="AI449" s="11">
        <f>Table1[[#This Row],[Price]]/Table1[[#This Row],[Size (ml)]]*750</f>
        <v>14.109999999999998</v>
      </c>
      <c r="AJ449" s="37">
        <v>90</v>
      </c>
      <c r="AK449" s="10">
        <f>COUNTIF(UniqueID!A:A,Table1[[#This Row],[ID]])</f>
        <v>0</v>
      </c>
      <c r="AL449" s="10" t="str">
        <f>VLOOKUP(Table1[[#This Row],[Cellar Location]],Location!A:F,6,FALSE)</f>
        <v>C</v>
      </c>
      <c r="AN449" s="1">
        <v>44074</v>
      </c>
      <c r="AO449" s="10" t="str">
        <f>TEXT(Table1[[#This Row],[Purchased]],"mmmm")</f>
        <v>August</v>
      </c>
      <c r="AP449" s="10" t="str">
        <f>TEXT(Table1[[#This Row],[Purchased]],"yyyy")</f>
        <v>2020</v>
      </c>
      <c r="AQ449" s="10"/>
    </row>
    <row r="450" spans="1:43" s="37" customFormat="1" x14ac:dyDescent="0.25">
      <c r="A450" s="37" t="str">
        <f t="shared" si="34"/>
        <v>2018Virgen de la SierraAlbada</v>
      </c>
      <c r="B450" s="8">
        <v>2018</v>
      </c>
      <c r="C450" s="37" t="s">
        <v>1863</v>
      </c>
      <c r="D450" s="37" t="s">
        <v>1864</v>
      </c>
      <c r="E450" s="37" t="s">
        <v>1248</v>
      </c>
      <c r="F450" s="37" t="s">
        <v>729</v>
      </c>
      <c r="G450" s="37" t="s">
        <v>811</v>
      </c>
      <c r="H450" s="37" t="s">
        <v>812</v>
      </c>
      <c r="I450" s="8">
        <v>1</v>
      </c>
      <c r="J450" s="8">
        <v>750</v>
      </c>
      <c r="K450" s="8" t="s">
        <v>1833</v>
      </c>
      <c r="L450" s="10">
        <f>COUNTIF(Drank!A:A,Table1[[#This Row],[ID]])</f>
        <v>0</v>
      </c>
      <c r="M450" s="37" t="s">
        <v>202</v>
      </c>
      <c r="N450" s="37" t="s">
        <v>207</v>
      </c>
      <c r="O450" s="37">
        <v>1</v>
      </c>
      <c r="P450" s="37">
        <v>2020</v>
      </c>
      <c r="Q450" s="37">
        <v>2023</v>
      </c>
      <c r="R450" s="10" t="str">
        <f>IF(IFERROR(VLOOKUP(A450,Drank!A:S,15,FALSE),"")=0,"",IFERROR(VLOOKUP(A450,Drank!A:S,15,FALSE),""))</f>
        <v/>
      </c>
      <c r="S450" s="10" t="str">
        <f>IF(IFERROR(VLOOKUP(A450,Drank!A:S,16,FALSE),"")=0,"",IFERROR(VLOOKUP(A450,Drank!A:S,16,FALSE),""))</f>
        <v/>
      </c>
      <c r="T450" s="10"/>
      <c r="U450" s="37">
        <v>90</v>
      </c>
      <c r="V450" s="18" t="str">
        <f>IF(IFERROR(VLOOKUP(A450,Drank!A:T,19,FALSE),"")=0,"",IFERROR(VLOOKUP(A450,Drank!A:T,19,FALSE),""))</f>
        <v/>
      </c>
      <c r="W450" s="1" t="str">
        <f>IF(IFERROR(VLOOKUP(A450,Drank!A:T,20,FALSE),"")=0,"",IFERROR(VLOOKUP(A450,Drank!A:T,20,FALSE),""))</f>
        <v/>
      </c>
      <c r="X450" s="10">
        <f>SUMIF(A:A,A450,I:I)</f>
        <v>4</v>
      </c>
      <c r="Y450" s="10">
        <f>IF(Table1[[#This Row],[Drank]]&gt;0,VLOOKUP(Table1[[#This Row],[ID]],Drank!A:P,16,FALSE),IF(Table1[[#This Row],[WALDD]]&gt;0,VLOOKUP(Table1[[#This Row],[ID]],Wine1!A:Q,17,FALSE),Table1[[#This Row],[EP]]))</f>
        <v>2023</v>
      </c>
      <c r="Z450" s="18">
        <f>IF(Table1[[#This Row],[My Rating]]="",IF(Table1[[#This Row],[WA Rating Clean]]="","",Table1[[#This Row],[WA Rating Clean]]),Table1[[#This Row],[My Rating]])</f>
        <v>90</v>
      </c>
      <c r="AA450" s="8">
        <v>2021</v>
      </c>
      <c r="AB450" s="128">
        <v>14.11</v>
      </c>
      <c r="AC450" s="2">
        <f t="shared" si="35"/>
        <v>14.11</v>
      </c>
      <c r="AD450" s="8"/>
      <c r="AE450" s="10">
        <f>IF(Table1[[#This Row],[P/750]]&lt;20,1,IF(Table1[[#This Row],[P/750]]&lt;50,2,3))</f>
        <v>1</v>
      </c>
      <c r="AF450" s="10">
        <f>IF(Table1[[#This Row],[P/750]]&lt;Expenses!$C$30,1,IF(Table1[[#This Row],[P/750]]&lt;Expenses!$C$31,2,IF(Table1[[#This Row],[P/750]]&lt;Expenses!$C$32,3,4)))</f>
        <v>1</v>
      </c>
      <c r="AH450" s="37" t="s">
        <v>384</v>
      </c>
      <c r="AI450" s="11">
        <f>Table1[[#This Row],[Price]]/Table1[[#This Row],[Size (ml)]]*750</f>
        <v>14.109999999999998</v>
      </c>
      <c r="AJ450" s="37">
        <v>90</v>
      </c>
      <c r="AK450" s="10">
        <f>COUNTIF(UniqueID!A:A,Table1[[#This Row],[ID]])</f>
        <v>0</v>
      </c>
      <c r="AL450" s="10" t="str">
        <f>VLOOKUP(Table1[[#This Row],[Cellar Location]],Location!A:F,6,FALSE)</f>
        <v>C</v>
      </c>
      <c r="AN450" s="1">
        <v>44074</v>
      </c>
      <c r="AO450" s="10" t="str">
        <f>TEXT(Table1[[#This Row],[Purchased]],"mmmm")</f>
        <v>August</v>
      </c>
      <c r="AP450" s="10" t="str">
        <f>TEXT(Table1[[#This Row],[Purchased]],"yyyy")</f>
        <v>2020</v>
      </c>
      <c r="AQ450" s="10"/>
    </row>
    <row r="451" spans="1:43" s="37" customFormat="1" x14ac:dyDescent="0.25">
      <c r="A451" s="37" t="str">
        <f t="shared" si="34"/>
        <v>2018Virgen de la SierraAlbada</v>
      </c>
      <c r="B451" s="8">
        <v>2018</v>
      </c>
      <c r="C451" s="37" t="s">
        <v>1863</v>
      </c>
      <c r="D451" s="37" t="s">
        <v>1864</v>
      </c>
      <c r="E451" s="37" t="s">
        <v>1248</v>
      </c>
      <c r="F451" s="37" t="s">
        <v>729</v>
      </c>
      <c r="G451" s="37" t="s">
        <v>811</v>
      </c>
      <c r="H451" s="37" t="s">
        <v>812</v>
      </c>
      <c r="I451" s="8">
        <v>1</v>
      </c>
      <c r="J451" s="8">
        <v>750</v>
      </c>
      <c r="K451" s="8" t="s">
        <v>1833</v>
      </c>
      <c r="L451" s="10">
        <f>COUNTIF(Drank!A:A,Table1[[#This Row],[ID]])</f>
        <v>0</v>
      </c>
      <c r="M451" s="37" t="s">
        <v>202</v>
      </c>
      <c r="N451" s="37" t="s">
        <v>207</v>
      </c>
      <c r="O451" s="37">
        <v>1</v>
      </c>
      <c r="P451" s="37">
        <v>2020</v>
      </c>
      <c r="Q451" s="37">
        <v>2023</v>
      </c>
      <c r="R451" s="10" t="str">
        <f>IF(IFERROR(VLOOKUP(A451,Drank!A:S,15,FALSE),"")=0,"",IFERROR(VLOOKUP(A451,Drank!A:S,15,FALSE),""))</f>
        <v/>
      </c>
      <c r="S451" s="10" t="str">
        <f>IF(IFERROR(VLOOKUP(A451,Drank!A:S,16,FALSE),"")=0,"",IFERROR(VLOOKUP(A451,Drank!A:S,16,FALSE),""))</f>
        <v/>
      </c>
      <c r="T451" s="10"/>
      <c r="U451" s="37">
        <v>90</v>
      </c>
      <c r="V451" s="18" t="str">
        <f>IF(IFERROR(VLOOKUP(A451,Drank!A:T,19,FALSE),"")=0,"",IFERROR(VLOOKUP(A451,Drank!A:T,19,FALSE),""))</f>
        <v/>
      </c>
      <c r="W451" s="1" t="str">
        <f>IF(IFERROR(VLOOKUP(A451,Drank!A:T,20,FALSE),"")=0,"",IFERROR(VLOOKUP(A451,Drank!A:T,20,FALSE),""))</f>
        <v/>
      </c>
      <c r="X451" s="10">
        <f>SUMIF(A:A,A451,I:I)</f>
        <v>4</v>
      </c>
      <c r="Y451" s="10">
        <f>IF(Table1[[#This Row],[Drank]]&gt;0,VLOOKUP(Table1[[#This Row],[ID]],Drank!A:P,16,FALSE),IF(Table1[[#This Row],[WALDD]]&gt;0,VLOOKUP(Table1[[#This Row],[ID]],Wine1!A:Q,17,FALSE),Table1[[#This Row],[EP]]))</f>
        <v>2023</v>
      </c>
      <c r="Z451" s="18">
        <f>IF(Table1[[#This Row],[My Rating]]="",IF(Table1[[#This Row],[WA Rating Clean]]="","",Table1[[#This Row],[WA Rating Clean]]),Table1[[#This Row],[My Rating]])</f>
        <v>90</v>
      </c>
      <c r="AA451" s="8">
        <v>2021</v>
      </c>
      <c r="AB451" s="128">
        <v>14.11</v>
      </c>
      <c r="AC451" s="2">
        <f t="shared" si="35"/>
        <v>14.11</v>
      </c>
      <c r="AD451" s="8"/>
      <c r="AE451" s="10">
        <f>IF(Table1[[#This Row],[P/750]]&lt;20,1,IF(Table1[[#This Row],[P/750]]&lt;50,2,3))</f>
        <v>1</v>
      </c>
      <c r="AF451" s="10">
        <f>IF(Table1[[#This Row],[P/750]]&lt;Expenses!$C$30,1,IF(Table1[[#This Row],[P/750]]&lt;Expenses!$C$31,2,IF(Table1[[#This Row],[P/750]]&lt;Expenses!$C$32,3,4)))</f>
        <v>1</v>
      </c>
      <c r="AH451" s="37" t="s">
        <v>384</v>
      </c>
      <c r="AI451" s="11">
        <f>Table1[[#This Row],[Price]]/Table1[[#This Row],[Size (ml)]]*750</f>
        <v>14.109999999999998</v>
      </c>
      <c r="AJ451" s="37">
        <v>90</v>
      </c>
      <c r="AK451" s="10">
        <f>COUNTIF(UniqueID!A:A,Table1[[#This Row],[ID]])</f>
        <v>0</v>
      </c>
      <c r="AL451" s="10" t="str">
        <f>VLOOKUP(Table1[[#This Row],[Cellar Location]],Location!A:F,6,FALSE)</f>
        <v>C</v>
      </c>
      <c r="AN451" s="1">
        <v>44074</v>
      </c>
      <c r="AO451" s="10" t="str">
        <f>TEXT(Table1[[#This Row],[Purchased]],"mmmm")</f>
        <v>August</v>
      </c>
      <c r="AP451" s="10" t="str">
        <f>TEXT(Table1[[#This Row],[Purchased]],"yyyy")</f>
        <v>2020</v>
      </c>
      <c r="AQ451" s="10"/>
    </row>
    <row r="452" spans="1:43" s="37" customFormat="1" x14ac:dyDescent="0.25">
      <c r="A452" s="37" t="str">
        <f t="shared" si="34"/>
        <v>2016ArrocalRibera del Duero Seleccion</v>
      </c>
      <c r="B452" s="8">
        <v>2016</v>
      </c>
      <c r="C452" s="37" t="s">
        <v>1861</v>
      </c>
      <c r="D452" s="37" t="s">
        <v>1862</v>
      </c>
      <c r="E452" s="37" t="s">
        <v>1220</v>
      </c>
      <c r="F452" s="37" t="s">
        <v>729</v>
      </c>
      <c r="G452" s="37" t="s">
        <v>1718</v>
      </c>
      <c r="H452" s="37" t="s">
        <v>818</v>
      </c>
      <c r="I452" s="8">
        <v>1</v>
      </c>
      <c r="J452" s="38">
        <v>750</v>
      </c>
      <c r="K452" s="38" t="s">
        <v>385</v>
      </c>
      <c r="L452" s="10">
        <f>COUNTIF(Drank!A:A,Table1[[#This Row],[ID]])</f>
        <v>0</v>
      </c>
      <c r="M452" s="37" t="s">
        <v>202</v>
      </c>
      <c r="N452" s="37" t="s">
        <v>207</v>
      </c>
      <c r="O452" s="37">
        <v>0</v>
      </c>
      <c r="R452" s="10" t="str">
        <f>IF(IFERROR(VLOOKUP(A452,Drank!A:S,15,FALSE),"")=0,"",IFERROR(VLOOKUP(A452,Drank!A:S,15,FALSE),""))</f>
        <v/>
      </c>
      <c r="S452" s="10" t="str">
        <f>IF(IFERROR(VLOOKUP(A452,Drank!A:S,16,FALSE),"")=0,"",IFERROR(VLOOKUP(A452,Drank!A:S,16,FALSE),""))</f>
        <v/>
      </c>
      <c r="T452" s="10">
        <v>2024</v>
      </c>
      <c r="V452" s="18" t="str">
        <f>IF(IFERROR(VLOOKUP(A452,Drank!A:T,19,FALSE),"")=0,"",IFERROR(VLOOKUP(A452,Drank!A:T,19,FALSE),""))</f>
        <v/>
      </c>
      <c r="W452" s="1" t="str">
        <f>IF(IFERROR(VLOOKUP(A452,Drank!A:T,20,FALSE),"")=0,"",IFERROR(VLOOKUP(A452,Drank!A:T,20,FALSE),""))</f>
        <v/>
      </c>
      <c r="X452" s="10">
        <f>SUMIF(A:A,A452,I:I)</f>
        <v>4</v>
      </c>
      <c r="Y452" s="10">
        <f>IF(Table1[[#This Row],[Drank]]&gt;0,VLOOKUP(Table1[[#This Row],[ID]],Drank!A:P,16,FALSE),IF(Table1[[#This Row],[WALDD]]&gt;0,VLOOKUP(Table1[[#This Row],[ID]],Wine1!A:Q,17,FALSE),Table1[[#This Row],[EP]]))</f>
        <v>2024</v>
      </c>
      <c r="Z452" s="18" t="str">
        <f>IF(Table1[[#This Row],[My Rating]]="",IF(Table1[[#This Row],[WA Rating Clean]]="","",Table1[[#This Row],[WA Rating Clean]]),Table1[[#This Row],[My Rating]])</f>
        <v/>
      </c>
      <c r="AA452" s="8">
        <v>2020</v>
      </c>
      <c r="AB452" s="128">
        <v>20.75</v>
      </c>
      <c r="AC452" s="2">
        <f t="shared" si="35"/>
        <v>20.75</v>
      </c>
      <c r="AD452" s="8"/>
      <c r="AE452" s="10">
        <f>IF(Table1[[#This Row],[P/750]]&lt;20,1,IF(Table1[[#This Row],[P/750]]&lt;50,2,3))</f>
        <v>2</v>
      </c>
      <c r="AF452" s="10">
        <f>IF(Table1[[#This Row],[P/750]]&lt;Expenses!$C$30,1,IF(Table1[[#This Row],[P/750]]&lt;Expenses!$C$31,2,IF(Table1[[#This Row],[P/750]]&lt;Expenses!$C$32,3,4)))</f>
        <v>2</v>
      </c>
      <c r="AH452" s="37" t="s">
        <v>385</v>
      </c>
      <c r="AI452" s="11">
        <f>Table1[[#This Row],[Price]]/Table1[[#This Row],[Size (ml)]]*750</f>
        <v>20.75</v>
      </c>
      <c r="AK452" s="10">
        <f>COUNTIF(UniqueID!A:A,Table1[[#This Row],[ID]])</f>
        <v>0</v>
      </c>
      <c r="AL452" s="10" t="str">
        <f>VLOOKUP(Table1[[#This Row],[Cellar Location]],Location!A:F,6,FALSE)</f>
        <v>W</v>
      </c>
      <c r="AN452" s="1">
        <v>44071</v>
      </c>
      <c r="AO452" s="10" t="str">
        <f>TEXT(Table1[[#This Row],[Purchased]],"mmmm")</f>
        <v>August</v>
      </c>
      <c r="AP452" s="10" t="str">
        <f>TEXT(Table1[[#This Row],[Purchased]],"yyyy")</f>
        <v>2020</v>
      </c>
      <c r="AQ452" s="1">
        <v>44114</v>
      </c>
    </row>
    <row r="453" spans="1:43" s="37" customFormat="1" x14ac:dyDescent="0.25">
      <c r="A453" s="37" t="str">
        <f t="shared" si="34"/>
        <v>2016ArrocalRibera del Duero Seleccion</v>
      </c>
      <c r="B453" s="8">
        <v>2016</v>
      </c>
      <c r="C453" s="37" t="s">
        <v>1861</v>
      </c>
      <c r="D453" s="37" t="s">
        <v>1862</v>
      </c>
      <c r="E453" s="37" t="s">
        <v>1220</v>
      </c>
      <c r="F453" s="37" t="s">
        <v>729</v>
      </c>
      <c r="G453" s="37" t="s">
        <v>1718</v>
      </c>
      <c r="H453" s="37" t="s">
        <v>818</v>
      </c>
      <c r="I453" s="8">
        <v>1</v>
      </c>
      <c r="J453" s="38">
        <v>750</v>
      </c>
      <c r="K453" s="38" t="s">
        <v>385</v>
      </c>
      <c r="L453" s="10">
        <f>COUNTIF(Drank!A:A,Table1[[#This Row],[ID]])</f>
        <v>0</v>
      </c>
      <c r="M453" s="37" t="s">
        <v>202</v>
      </c>
      <c r="N453" s="37" t="s">
        <v>207</v>
      </c>
      <c r="O453" s="37">
        <v>0</v>
      </c>
      <c r="R453" s="10" t="str">
        <f>IF(IFERROR(VLOOKUP(A453,Drank!A:S,15,FALSE),"")=0,"",IFERROR(VLOOKUP(A453,Drank!A:S,15,FALSE),""))</f>
        <v/>
      </c>
      <c r="S453" s="10" t="str">
        <f>IF(IFERROR(VLOOKUP(A453,Drank!A:S,16,FALSE),"")=0,"",IFERROR(VLOOKUP(A453,Drank!A:S,16,FALSE),""))</f>
        <v/>
      </c>
      <c r="T453" s="10">
        <v>2024</v>
      </c>
      <c r="V453" s="18" t="str">
        <f>IF(IFERROR(VLOOKUP(A453,Drank!A:T,19,FALSE),"")=0,"",IFERROR(VLOOKUP(A453,Drank!A:T,19,FALSE),""))</f>
        <v/>
      </c>
      <c r="W453" s="1" t="str">
        <f>IF(IFERROR(VLOOKUP(A453,Drank!A:T,20,FALSE),"")=0,"",IFERROR(VLOOKUP(A453,Drank!A:T,20,FALSE),""))</f>
        <v/>
      </c>
      <c r="X453" s="10">
        <f>SUMIF(A:A,A453,I:I)</f>
        <v>4</v>
      </c>
      <c r="Y453" s="10">
        <f>IF(Table1[[#This Row],[Drank]]&gt;0,VLOOKUP(Table1[[#This Row],[ID]],Drank!A:P,16,FALSE),IF(Table1[[#This Row],[WALDD]]&gt;0,VLOOKUP(Table1[[#This Row],[ID]],Wine1!A:Q,17,FALSE),Table1[[#This Row],[EP]]))</f>
        <v>2024</v>
      </c>
      <c r="Z453" s="18" t="str">
        <f>IF(Table1[[#This Row],[My Rating]]="",IF(Table1[[#This Row],[WA Rating Clean]]="","",Table1[[#This Row],[WA Rating Clean]]),Table1[[#This Row],[My Rating]])</f>
        <v/>
      </c>
      <c r="AA453" s="8">
        <v>2021</v>
      </c>
      <c r="AB453" s="128">
        <v>20.75</v>
      </c>
      <c r="AC453" s="2">
        <f t="shared" si="35"/>
        <v>20.75</v>
      </c>
      <c r="AD453" s="8"/>
      <c r="AE453" s="10">
        <f>IF(Table1[[#This Row],[P/750]]&lt;20,1,IF(Table1[[#This Row],[P/750]]&lt;50,2,3))</f>
        <v>2</v>
      </c>
      <c r="AF453" s="10">
        <f>IF(Table1[[#This Row],[P/750]]&lt;Expenses!$C$30,1,IF(Table1[[#This Row],[P/750]]&lt;Expenses!$C$31,2,IF(Table1[[#This Row],[P/750]]&lt;Expenses!$C$32,3,4)))</f>
        <v>2</v>
      </c>
      <c r="AH453" s="37" t="s">
        <v>385</v>
      </c>
      <c r="AI453" s="11">
        <f>Table1[[#This Row],[Price]]/Table1[[#This Row],[Size (ml)]]*750</f>
        <v>20.75</v>
      </c>
      <c r="AK453" s="10">
        <f>COUNTIF(UniqueID!A:A,Table1[[#This Row],[ID]])</f>
        <v>0</v>
      </c>
      <c r="AL453" s="10" t="str">
        <f>VLOOKUP(Table1[[#This Row],[Cellar Location]],Location!A:F,6,FALSE)</f>
        <v>W</v>
      </c>
      <c r="AN453" s="1">
        <v>44071</v>
      </c>
      <c r="AO453" s="10" t="str">
        <f>TEXT(Table1[[#This Row],[Purchased]],"mmmm")</f>
        <v>August</v>
      </c>
      <c r="AP453" s="10" t="str">
        <f>TEXT(Table1[[#This Row],[Purchased]],"yyyy")</f>
        <v>2020</v>
      </c>
      <c r="AQ453" s="1">
        <v>44114</v>
      </c>
    </row>
    <row r="454" spans="1:43" s="37" customFormat="1" x14ac:dyDescent="0.25">
      <c r="A454" s="37" t="str">
        <f t="shared" si="34"/>
        <v>2016ArrocalRibera del Duero Seleccion</v>
      </c>
      <c r="B454" s="8">
        <v>2016</v>
      </c>
      <c r="C454" s="37" t="s">
        <v>1861</v>
      </c>
      <c r="D454" s="37" t="s">
        <v>1862</v>
      </c>
      <c r="E454" s="37" t="s">
        <v>1220</v>
      </c>
      <c r="F454" s="37" t="s">
        <v>729</v>
      </c>
      <c r="G454" s="37" t="s">
        <v>1718</v>
      </c>
      <c r="H454" s="37" t="s">
        <v>818</v>
      </c>
      <c r="I454" s="8">
        <v>1</v>
      </c>
      <c r="J454" s="38">
        <v>750</v>
      </c>
      <c r="K454" s="38" t="s">
        <v>385</v>
      </c>
      <c r="L454" s="10">
        <f>COUNTIF(Drank!A:A,Table1[[#This Row],[ID]])</f>
        <v>0</v>
      </c>
      <c r="M454" s="37" t="s">
        <v>202</v>
      </c>
      <c r="N454" s="37" t="s">
        <v>207</v>
      </c>
      <c r="O454" s="37">
        <v>0</v>
      </c>
      <c r="R454" s="10" t="str">
        <f>IF(IFERROR(VLOOKUP(A454,Drank!A:S,15,FALSE),"")=0,"",IFERROR(VLOOKUP(A454,Drank!A:S,15,FALSE),""))</f>
        <v/>
      </c>
      <c r="S454" s="10" t="str">
        <f>IF(IFERROR(VLOOKUP(A454,Drank!A:S,16,FALSE),"")=0,"",IFERROR(VLOOKUP(A454,Drank!A:S,16,FALSE),""))</f>
        <v/>
      </c>
      <c r="T454" s="10">
        <v>2024</v>
      </c>
      <c r="V454" s="18" t="str">
        <f>IF(IFERROR(VLOOKUP(A454,Drank!A:T,19,FALSE),"")=0,"",IFERROR(VLOOKUP(A454,Drank!A:T,19,FALSE),""))</f>
        <v/>
      </c>
      <c r="W454" s="1" t="str">
        <f>IF(IFERROR(VLOOKUP(A454,Drank!A:T,20,FALSE),"")=0,"",IFERROR(VLOOKUP(A454,Drank!A:T,20,FALSE),""))</f>
        <v/>
      </c>
      <c r="X454" s="10">
        <f>SUMIF(A:A,A454,I:I)</f>
        <v>4</v>
      </c>
      <c r="Y454" s="10">
        <f>IF(Table1[[#This Row],[Drank]]&gt;0,VLOOKUP(Table1[[#This Row],[ID]],Drank!A:P,16,FALSE),IF(Table1[[#This Row],[WALDD]]&gt;0,VLOOKUP(Table1[[#This Row],[ID]],Wine1!A:Q,17,FALSE),Table1[[#This Row],[EP]]))</f>
        <v>2024</v>
      </c>
      <c r="Z454" s="18" t="str">
        <f>IF(Table1[[#This Row],[My Rating]]="",IF(Table1[[#This Row],[WA Rating Clean]]="","",Table1[[#This Row],[WA Rating Clean]]),Table1[[#This Row],[My Rating]])</f>
        <v/>
      </c>
      <c r="AA454" s="8">
        <v>2022</v>
      </c>
      <c r="AB454" s="128">
        <v>20.75</v>
      </c>
      <c r="AC454" s="2">
        <f t="shared" si="35"/>
        <v>20.75</v>
      </c>
      <c r="AD454" s="8"/>
      <c r="AE454" s="10">
        <f>IF(Table1[[#This Row],[P/750]]&lt;20,1,IF(Table1[[#This Row],[P/750]]&lt;50,2,3))</f>
        <v>2</v>
      </c>
      <c r="AF454" s="10">
        <f>IF(Table1[[#This Row],[P/750]]&lt;Expenses!$C$30,1,IF(Table1[[#This Row],[P/750]]&lt;Expenses!$C$31,2,IF(Table1[[#This Row],[P/750]]&lt;Expenses!$C$32,3,4)))</f>
        <v>2</v>
      </c>
      <c r="AH454" s="37" t="s">
        <v>385</v>
      </c>
      <c r="AI454" s="11">
        <f>Table1[[#This Row],[Price]]/Table1[[#This Row],[Size (ml)]]*750</f>
        <v>20.75</v>
      </c>
      <c r="AK454" s="10">
        <f>COUNTIF(UniqueID!A:A,Table1[[#This Row],[ID]])</f>
        <v>0</v>
      </c>
      <c r="AL454" s="10" t="str">
        <f>VLOOKUP(Table1[[#This Row],[Cellar Location]],Location!A:F,6,FALSE)</f>
        <v>W</v>
      </c>
      <c r="AN454" s="1">
        <v>44071</v>
      </c>
      <c r="AO454" s="10" t="str">
        <f>TEXT(Table1[[#This Row],[Purchased]],"mmmm")</f>
        <v>August</v>
      </c>
      <c r="AP454" s="10" t="str">
        <f>TEXT(Table1[[#This Row],[Purchased]],"yyyy")</f>
        <v>2020</v>
      </c>
      <c r="AQ454" s="1">
        <v>44114</v>
      </c>
    </row>
    <row r="455" spans="1:43" s="37" customFormat="1" x14ac:dyDescent="0.25">
      <c r="A455" s="37" t="str">
        <f t="shared" si="34"/>
        <v>2016ArrocalRibera del Duero Seleccion</v>
      </c>
      <c r="B455" s="8">
        <v>2016</v>
      </c>
      <c r="C455" s="37" t="s">
        <v>1861</v>
      </c>
      <c r="D455" s="37" t="s">
        <v>1862</v>
      </c>
      <c r="E455" s="37" t="s">
        <v>1220</v>
      </c>
      <c r="F455" s="37" t="s">
        <v>729</v>
      </c>
      <c r="G455" s="37" t="s">
        <v>1718</v>
      </c>
      <c r="H455" s="37" t="s">
        <v>818</v>
      </c>
      <c r="I455" s="8">
        <v>1</v>
      </c>
      <c r="J455" s="38">
        <v>750</v>
      </c>
      <c r="K455" s="38" t="s">
        <v>385</v>
      </c>
      <c r="L455" s="10">
        <f>COUNTIF(Drank!A:A,Table1[[#This Row],[ID]])</f>
        <v>0</v>
      </c>
      <c r="M455" s="37" t="s">
        <v>202</v>
      </c>
      <c r="N455" s="37" t="s">
        <v>207</v>
      </c>
      <c r="O455" s="37">
        <v>0</v>
      </c>
      <c r="R455" s="10" t="str">
        <f>IF(IFERROR(VLOOKUP(A455,Drank!A:S,15,FALSE),"")=0,"",IFERROR(VLOOKUP(A455,Drank!A:S,15,FALSE),""))</f>
        <v/>
      </c>
      <c r="S455" s="10" t="str">
        <f>IF(IFERROR(VLOOKUP(A455,Drank!A:S,16,FALSE),"")=0,"",IFERROR(VLOOKUP(A455,Drank!A:S,16,FALSE),""))</f>
        <v/>
      </c>
      <c r="T455" s="10">
        <v>2024</v>
      </c>
      <c r="V455" s="18" t="str">
        <f>IF(IFERROR(VLOOKUP(A455,Drank!A:T,19,FALSE),"")=0,"",IFERROR(VLOOKUP(A455,Drank!A:T,19,FALSE),""))</f>
        <v/>
      </c>
      <c r="W455" s="1" t="str">
        <f>IF(IFERROR(VLOOKUP(A455,Drank!A:T,20,FALSE),"")=0,"",IFERROR(VLOOKUP(A455,Drank!A:T,20,FALSE),""))</f>
        <v/>
      </c>
      <c r="X455" s="10">
        <f>SUMIF(A:A,A455,I:I)</f>
        <v>4</v>
      </c>
      <c r="Y455" s="10">
        <f>IF(Table1[[#This Row],[Drank]]&gt;0,VLOOKUP(Table1[[#This Row],[ID]],Drank!A:P,16,FALSE),IF(Table1[[#This Row],[WALDD]]&gt;0,VLOOKUP(Table1[[#This Row],[ID]],Wine1!A:Q,17,FALSE),Table1[[#This Row],[EP]]))</f>
        <v>2024</v>
      </c>
      <c r="Z455" s="18" t="str">
        <f>IF(Table1[[#This Row],[My Rating]]="",IF(Table1[[#This Row],[WA Rating Clean]]="","",Table1[[#This Row],[WA Rating Clean]]),Table1[[#This Row],[My Rating]])</f>
        <v/>
      </c>
      <c r="AA455" s="8">
        <v>2023</v>
      </c>
      <c r="AB455" s="128">
        <v>20.75</v>
      </c>
      <c r="AC455" s="2">
        <f t="shared" si="35"/>
        <v>20.75</v>
      </c>
      <c r="AD455" s="8"/>
      <c r="AE455" s="10">
        <f>IF(Table1[[#This Row],[P/750]]&lt;20,1,IF(Table1[[#This Row],[P/750]]&lt;50,2,3))</f>
        <v>2</v>
      </c>
      <c r="AF455" s="10">
        <f>IF(Table1[[#This Row],[P/750]]&lt;Expenses!$C$30,1,IF(Table1[[#This Row],[P/750]]&lt;Expenses!$C$31,2,IF(Table1[[#This Row],[P/750]]&lt;Expenses!$C$32,3,4)))</f>
        <v>2</v>
      </c>
      <c r="AH455" s="37" t="s">
        <v>385</v>
      </c>
      <c r="AI455" s="11">
        <f>Table1[[#This Row],[Price]]/Table1[[#This Row],[Size (ml)]]*750</f>
        <v>20.75</v>
      </c>
      <c r="AK455" s="10">
        <f>COUNTIF(UniqueID!A:A,Table1[[#This Row],[ID]])</f>
        <v>0</v>
      </c>
      <c r="AL455" s="10" t="str">
        <f>VLOOKUP(Table1[[#This Row],[Cellar Location]],Location!A:F,6,FALSE)</f>
        <v>W</v>
      </c>
      <c r="AN455" s="1">
        <v>44071</v>
      </c>
      <c r="AO455" s="10" t="str">
        <f>TEXT(Table1[[#This Row],[Purchased]],"mmmm")</f>
        <v>August</v>
      </c>
      <c r="AP455" s="10" t="str">
        <f>TEXT(Table1[[#This Row],[Purchased]],"yyyy")</f>
        <v>2020</v>
      </c>
      <c r="AQ455" s="1">
        <v>44114</v>
      </c>
    </row>
    <row r="456" spans="1:43" s="37" customFormat="1" x14ac:dyDescent="0.25">
      <c r="A456" s="37" t="str">
        <f t="shared" si="34"/>
        <v>2015ContinoReserva</v>
      </c>
      <c r="B456" s="8">
        <v>2015</v>
      </c>
      <c r="C456" s="37" t="s">
        <v>1865</v>
      </c>
      <c r="D456" s="37" t="s">
        <v>106</v>
      </c>
      <c r="E456" s="37" t="s">
        <v>1866</v>
      </c>
      <c r="F456" s="37" t="s">
        <v>729</v>
      </c>
      <c r="G456" s="37" t="s">
        <v>823</v>
      </c>
      <c r="I456" s="8">
        <v>1</v>
      </c>
      <c r="J456" s="38">
        <v>750</v>
      </c>
      <c r="K456" s="38" t="s">
        <v>384</v>
      </c>
      <c r="L456" s="10">
        <f>COUNTIF(Drank!A:A,Table1[[#This Row],[ID]])</f>
        <v>0</v>
      </c>
      <c r="M456" s="37" t="s">
        <v>202</v>
      </c>
      <c r="N456" s="37" t="s">
        <v>207</v>
      </c>
      <c r="O456" s="37">
        <v>1</v>
      </c>
      <c r="P456" s="37">
        <v>2019</v>
      </c>
      <c r="Q456" s="37">
        <v>2025</v>
      </c>
      <c r="R456" s="10" t="str">
        <f>IF(IFERROR(VLOOKUP(A456,Drank!A:S,15,FALSE),"")=0,"",IFERROR(VLOOKUP(A456,Drank!A:S,15,FALSE),""))</f>
        <v/>
      </c>
      <c r="S456" s="10" t="str">
        <f>IF(IFERROR(VLOOKUP(A456,Drank!A:S,16,FALSE),"")=0,"",IFERROR(VLOOKUP(A456,Drank!A:S,16,FALSE),""))</f>
        <v/>
      </c>
      <c r="T456" s="10"/>
      <c r="U456" s="37">
        <v>94</v>
      </c>
      <c r="V456" s="18" t="str">
        <f>IF(IFERROR(VLOOKUP(A456,Drank!A:T,19,FALSE),"")=0,"",IFERROR(VLOOKUP(A456,Drank!A:T,19,FALSE),""))</f>
        <v/>
      </c>
      <c r="W456" s="1" t="str">
        <f>IF(IFERROR(VLOOKUP(A456,Drank!A:T,20,FALSE),"")=0,"",IFERROR(VLOOKUP(A456,Drank!A:T,20,FALSE),""))</f>
        <v/>
      </c>
      <c r="X456" s="10">
        <f>SUMIF(A:A,A456,I:I)</f>
        <v>4</v>
      </c>
      <c r="Y456" s="10">
        <f>IF(Table1[[#This Row],[Drank]]&gt;0,VLOOKUP(Table1[[#This Row],[ID]],Drank!A:P,16,FALSE),IF(Table1[[#This Row],[WALDD]]&gt;0,VLOOKUP(Table1[[#This Row],[ID]],Wine1!A:Q,17,FALSE),Table1[[#This Row],[EP]]))</f>
        <v>2025</v>
      </c>
      <c r="Z456" s="18">
        <f>IF(Table1[[#This Row],[My Rating]]="",IF(Table1[[#This Row],[WA Rating Clean]]="","",Table1[[#This Row],[WA Rating Clean]]),Table1[[#This Row],[My Rating]])</f>
        <v>94</v>
      </c>
      <c r="AA456" s="8">
        <v>2021</v>
      </c>
      <c r="AB456" s="128">
        <v>35.840000000000003</v>
      </c>
      <c r="AC456" s="2">
        <f t="shared" si="35"/>
        <v>35.840000000000003</v>
      </c>
      <c r="AD456" s="8"/>
      <c r="AE456" s="10">
        <f>IF(Table1[[#This Row],[P/750]]&lt;20,1,IF(Table1[[#This Row],[P/750]]&lt;50,2,3))</f>
        <v>2</v>
      </c>
      <c r="AF456" s="10">
        <f>IF(Table1[[#This Row],[P/750]]&lt;Expenses!$C$30,1,IF(Table1[[#This Row],[P/750]]&lt;Expenses!$C$31,2,IF(Table1[[#This Row],[P/750]]&lt;Expenses!$C$32,3,4)))</f>
        <v>3</v>
      </c>
      <c r="AH456" s="37" t="s">
        <v>384</v>
      </c>
      <c r="AI456" s="11">
        <f>Table1[[#This Row],[Price]]/Table1[[#This Row],[Size (ml)]]*750</f>
        <v>35.840000000000003</v>
      </c>
      <c r="AJ456" s="37">
        <v>94</v>
      </c>
      <c r="AK456" s="10">
        <f>COUNTIF(UniqueID!A:A,Table1[[#This Row],[ID]])</f>
        <v>0</v>
      </c>
      <c r="AL456" s="10" t="str">
        <f>VLOOKUP(Table1[[#This Row],[Cellar Location]],Location!A:F,6,FALSE)</f>
        <v>W</v>
      </c>
      <c r="AN456" s="1">
        <v>44076</v>
      </c>
      <c r="AO456" s="10" t="str">
        <f>TEXT(Table1[[#This Row],[Purchased]],"mmmm")</f>
        <v>September</v>
      </c>
      <c r="AP456" s="10" t="str">
        <f>TEXT(Table1[[#This Row],[Purchased]],"yyyy")</f>
        <v>2020</v>
      </c>
      <c r="AQ456" s="1">
        <v>44134</v>
      </c>
    </row>
    <row r="457" spans="1:43" s="37" customFormat="1" x14ac:dyDescent="0.25">
      <c r="A457" s="37" t="str">
        <f t="shared" si="34"/>
        <v>2015ContinoReserva</v>
      </c>
      <c r="B457" s="8">
        <v>2015</v>
      </c>
      <c r="C457" s="37" t="s">
        <v>1865</v>
      </c>
      <c r="D457" s="37" t="s">
        <v>106</v>
      </c>
      <c r="E457" s="37" t="s">
        <v>1866</v>
      </c>
      <c r="F457" s="37" t="s">
        <v>729</v>
      </c>
      <c r="G457" s="37" t="s">
        <v>823</v>
      </c>
      <c r="I457" s="8">
        <v>1</v>
      </c>
      <c r="J457" s="38">
        <v>750</v>
      </c>
      <c r="K457" s="38" t="s">
        <v>384</v>
      </c>
      <c r="L457" s="10">
        <f>COUNTIF(Drank!A:A,Table1[[#This Row],[ID]])</f>
        <v>0</v>
      </c>
      <c r="M457" s="37" t="s">
        <v>202</v>
      </c>
      <c r="N457" s="37" t="s">
        <v>207</v>
      </c>
      <c r="O457" s="37">
        <v>1</v>
      </c>
      <c r="P457" s="37">
        <v>2019</v>
      </c>
      <c r="Q457" s="37">
        <v>2025</v>
      </c>
      <c r="R457" s="10" t="str">
        <f>IF(IFERROR(VLOOKUP(A457,Drank!A:S,15,FALSE),"")=0,"",IFERROR(VLOOKUP(A457,Drank!A:S,15,FALSE),""))</f>
        <v/>
      </c>
      <c r="S457" s="10" t="str">
        <f>IF(IFERROR(VLOOKUP(A457,Drank!A:S,16,FALSE),"")=0,"",IFERROR(VLOOKUP(A457,Drank!A:S,16,FALSE),""))</f>
        <v/>
      </c>
      <c r="T457" s="10"/>
      <c r="U457" s="37">
        <v>94</v>
      </c>
      <c r="V457" s="18" t="str">
        <f>IF(IFERROR(VLOOKUP(A457,Drank!A:T,19,FALSE),"")=0,"",IFERROR(VLOOKUP(A457,Drank!A:T,19,FALSE),""))</f>
        <v/>
      </c>
      <c r="W457" s="1" t="str">
        <f>IF(IFERROR(VLOOKUP(A457,Drank!A:T,20,FALSE),"")=0,"",IFERROR(VLOOKUP(A457,Drank!A:T,20,FALSE),""))</f>
        <v/>
      </c>
      <c r="X457" s="10">
        <f>SUMIF(A:A,A457,I:I)</f>
        <v>4</v>
      </c>
      <c r="Y457" s="10">
        <f>IF(Table1[[#This Row],[Drank]]&gt;0,VLOOKUP(Table1[[#This Row],[ID]],Drank!A:P,16,FALSE),IF(Table1[[#This Row],[WALDD]]&gt;0,VLOOKUP(Table1[[#This Row],[ID]],Wine1!A:Q,17,FALSE),Table1[[#This Row],[EP]]))</f>
        <v>2025</v>
      </c>
      <c r="Z457" s="18">
        <f>IF(Table1[[#This Row],[My Rating]]="",IF(Table1[[#This Row],[WA Rating Clean]]="","",Table1[[#This Row],[WA Rating Clean]]),Table1[[#This Row],[My Rating]])</f>
        <v>94</v>
      </c>
      <c r="AA457" s="8">
        <v>2022</v>
      </c>
      <c r="AB457" s="128">
        <v>35.840000000000003</v>
      </c>
      <c r="AC457" s="2">
        <f t="shared" si="35"/>
        <v>35.840000000000003</v>
      </c>
      <c r="AD457" s="8"/>
      <c r="AE457" s="10">
        <f>IF(Table1[[#This Row],[P/750]]&lt;20,1,IF(Table1[[#This Row],[P/750]]&lt;50,2,3))</f>
        <v>2</v>
      </c>
      <c r="AF457" s="10">
        <f>IF(Table1[[#This Row],[P/750]]&lt;Expenses!$C$30,1,IF(Table1[[#This Row],[P/750]]&lt;Expenses!$C$31,2,IF(Table1[[#This Row],[P/750]]&lt;Expenses!$C$32,3,4)))</f>
        <v>3</v>
      </c>
      <c r="AH457" s="37" t="s">
        <v>384</v>
      </c>
      <c r="AI457" s="11">
        <f>Table1[[#This Row],[Price]]/Table1[[#This Row],[Size (ml)]]*750</f>
        <v>35.840000000000003</v>
      </c>
      <c r="AJ457" s="37">
        <v>94</v>
      </c>
      <c r="AK457" s="10">
        <f>COUNTIF(UniqueID!A:A,Table1[[#This Row],[ID]])</f>
        <v>0</v>
      </c>
      <c r="AL457" s="10" t="str">
        <f>VLOOKUP(Table1[[#This Row],[Cellar Location]],Location!A:F,6,FALSE)</f>
        <v>W</v>
      </c>
      <c r="AN457" s="1">
        <v>44076</v>
      </c>
      <c r="AO457" s="10" t="str">
        <f>TEXT(Table1[[#This Row],[Purchased]],"mmmm")</f>
        <v>September</v>
      </c>
      <c r="AP457" s="10" t="str">
        <f>TEXT(Table1[[#This Row],[Purchased]],"yyyy")</f>
        <v>2020</v>
      </c>
      <c r="AQ457" s="1">
        <v>44134</v>
      </c>
    </row>
    <row r="458" spans="1:43" s="37" customFormat="1" x14ac:dyDescent="0.25">
      <c r="A458" s="37" t="str">
        <f t="shared" si="34"/>
        <v>2015ContinoReserva</v>
      </c>
      <c r="B458" s="8">
        <v>2015</v>
      </c>
      <c r="C458" s="37" t="s">
        <v>1865</v>
      </c>
      <c r="D458" s="37" t="s">
        <v>106</v>
      </c>
      <c r="E458" s="37" t="s">
        <v>1866</v>
      </c>
      <c r="F458" s="37" t="s">
        <v>729</v>
      </c>
      <c r="G458" s="37" t="s">
        <v>823</v>
      </c>
      <c r="I458" s="8">
        <v>1</v>
      </c>
      <c r="J458" s="38">
        <v>750</v>
      </c>
      <c r="K458" s="38" t="s">
        <v>384</v>
      </c>
      <c r="L458" s="10">
        <f>COUNTIF(Drank!A:A,Table1[[#This Row],[ID]])</f>
        <v>0</v>
      </c>
      <c r="M458" s="37" t="s">
        <v>202</v>
      </c>
      <c r="N458" s="37" t="s">
        <v>207</v>
      </c>
      <c r="O458" s="37">
        <v>1</v>
      </c>
      <c r="P458" s="37">
        <v>2019</v>
      </c>
      <c r="Q458" s="37">
        <v>2025</v>
      </c>
      <c r="R458" s="10" t="str">
        <f>IF(IFERROR(VLOOKUP(A458,Drank!A:S,15,FALSE),"")=0,"",IFERROR(VLOOKUP(A458,Drank!A:S,15,FALSE),""))</f>
        <v/>
      </c>
      <c r="S458" s="10" t="str">
        <f>IF(IFERROR(VLOOKUP(A458,Drank!A:S,16,FALSE),"")=0,"",IFERROR(VLOOKUP(A458,Drank!A:S,16,FALSE),""))</f>
        <v/>
      </c>
      <c r="T458" s="10"/>
      <c r="U458" s="37">
        <v>94</v>
      </c>
      <c r="V458" s="18" t="str">
        <f>IF(IFERROR(VLOOKUP(A458,Drank!A:T,19,FALSE),"")=0,"",IFERROR(VLOOKUP(A458,Drank!A:T,19,FALSE),""))</f>
        <v/>
      </c>
      <c r="W458" s="1" t="str">
        <f>IF(IFERROR(VLOOKUP(A458,Drank!A:T,20,FALSE),"")=0,"",IFERROR(VLOOKUP(A458,Drank!A:T,20,FALSE),""))</f>
        <v/>
      </c>
      <c r="X458" s="10">
        <f>SUMIF(A:A,A458,I:I)</f>
        <v>4</v>
      </c>
      <c r="Y458" s="10">
        <f>IF(Table1[[#This Row],[Drank]]&gt;0,VLOOKUP(Table1[[#This Row],[ID]],Drank!A:P,16,FALSE),IF(Table1[[#This Row],[WALDD]]&gt;0,VLOOKUP(Table1[[#This Row],[ID]],Wine1!A:Q,17,FALSE),Table1[[#This Row],[EP]]))</f>
        <v>2025</v>
      </c>
      <c r="Z458" s="18">
        <f>IF(Table1[[#This Row],[My Rating]]="",IF(Table1[[#This Row],[WA Rating Clean]]="","",Table1[[#This Row],[WA Rating Clean]]),Table1[[#This Row],[My Rating]])</f>
        <v>94</v>
      </c>
      <c r="AA458" s="8">
        <v>2023</v>
      </c>
      <c r="AB458" s="128">
        <v>35.840000000000003</v>
      </c>
      <c r="AC458" s="2">
        <f t="shared" si="35"/>
        <v>35.840000000000003</v>
      </c>
      <c r="AD458" s="8"/>
      <c r="AE458" s="10">
        <f>IF(Table1[[#This Row],[P/750]]&lt;20,1,IF(Table1[[#This Row],[P/750]]&lt;50,2,3))</f>
        <v>2</v>
      </c>
      <c r="AF458" s="10">
        <f>IF(Table1[[#This Row],[P/750]]&lt;Expenses!$C$30,1,IF(Table1[[#This Row],[P/750]]&lt;Expenses!$C$31,2,IF(Table1[[#This Row],[P/750]]&lt;Expenses!$C$32,3,4)))</f>
        <v>3</v>
      </c>
      <c r="AH458" s="37" t="s">
        <v>384</v>
      </c>
      <c r="AI458" s="11">
        <f>Table1[[#This Row],[Price]]/Table1[[#This Row],[Size (ml)]]*750</f>
        <v>35.840000000000003</v>
      </c>
      <c r="AJ458" s="37">
        <v>94</v>
      </c>
      <c r="AK458" s="10">
        <f>COUNTIF(UniqueID!A:A,Table1[[#This Row],[ID]])</f>
        <v>0</v>
      </c>
      <c r="AL458" s="10" t="str">
        <f>VLOOKUP(Table1[[#This Row],[Cellar Location]],Location!A:F,6,FALSE)</f>
        <v>W</v>
      </c>
      <c r="AN458" s="1">
        <v>44076</v>
      </c>
      <c r="AO458" s="10" t="str">
        <f>TEXT(Table1[[#This Row],[Purchased]],"mmmm")</f>
        <v>September</v>
      </c>
      <c r="AP458" s="10" t="str">
        <f>TEXT(Table1[[#This Row],[Purchased]],"yyyy")</f>
        <v>2020</v>
      </c>
      <c r="AQ458" s="1">
        <v>44134</v>
      </c>
    </row>
    <row r="459" spans="1:43" s="37" customFormat="1" x14ac:dyDescent="0.25">
      <c r="A459" s="37" t="str">
        <f t="shared" si="34"/>
        <v>2015ContinoReserva</v>
      </c>
      <c r="B459" s="8">
        <v>2015</v>
      </c>
      <c r="C459" s="37" t="s">
        <v>1865</v>
      </c>
      <c r="D459" s="37" t="s">
        <v>106</v>
      </c>
      <c r="E459" s="37" t="s">
        <v>1866</v>
      </c>
      <c r="F459" s="37" t="s">
        <v>729</v>
      </c>
      <c r="G459" s="37" t="s">
        <v>823</v>
      </c>
      <c r="I459" s="8">
        <v>1</v>
      </c>
      <c r="J459" s="38">
        <v>750</v>
      </c>
      <c r="K459" s="38" t="s">
        <v>384</v>
      </c>
      <c r="L459" s="10">
        <f>COUNTIF(Drank!A:A,Table1[[#This Row],[ID]])</f>
        <v>0</v>
      </c>
      <c r="M459" s="37" t="s">
        <v>202</v>
      </c>
      <c r="N459" s="37" t="s">
        <v>207</v>
      </c>
      <c r="O459" s="37">
        <v>1</v>
      </c>
      <c r="P459" s="37">
        <v>2019</v>
      </c>
      <c r="Q459" s="37">
        <v>2025</v>
      </c>
      <c r="R459" s="10" t="str">
        <f>IF(IFERROR(VLOOKUP(A459,Drank!A:S,15,FALSE),"")=0,"",IFERROR(VLOOKUP(A459,Drank!A:S,15,FALSE),""))</f>
        <v/>
      </c>
      <c r="S459" s="10" t="str">
        <f>IF(IFERROR(VLOOKUP(A459,Drank!A:S,16,FALSE),"")=0,"",IFERROR(VLOOKUP(A459,Drank!A:S,16,FALSE),""))</f>
        <v/>
      </c>
      <c r="T459" s="10"/>
      <c r="U459" s="37">
        <v>94</v>
      </c>
      <c r="V459" s="18" t="str">
        <f>IF(IFERROR(VLOOKUP(A459,Drank!A:T,19,FALSE),"")=0,"",IFERROR(VLOOKUP(A459,Drank!A:T,19,FALSE),""))</f>
        <v/>
      </c>
      <c r="W459" s="1" t="str">
        <f>IF(IFERROR(VLOOKUP(A459,Drank!A:T,20,FALSE),"")=0,"",IFERROR(VLOOKUP(A459,Drank!A:T,20,FALSE),""))</f>
        <v/>
      </c>
      <c r="X459" s="10">
        <f>SUMIF(A:A,A459,I:I)</f>
        <v>4</v>
      </c>
      <c r="Y459" s="10">
        <f>IF(Table1[[#This Row],[Drank]]&gt;0,VLOOKUP(Table1[[#This Row],[ID]],Drank!A:P,16,FALSE),IF(Table1[[#This Row],[WALDD]]&gt;0,VLOOKUP(Table1[[#This Row],[ID]],Wine1!A:Q,17,FALSE),Table1[[#This Row],[EP]]))</f>
        <v>2025</v>
      </c>
      <c r="Z459" s="18">
        <f>IF(Table1[[#This Row],[My Rating]]="",IF(Table1[[#This Row],[WA Rating Clean]]="","",Table1[[#This Row],[WA Rating Clean]]),Table1[[#This Row],[My Rating]])</f>
        <v>94</v>
      </c>
      <c r="AA459" s="8">
        <v>2024</v>
      </c>
      <c r="AB459" s="128">
        <v>35.840000000000003</v>
      </c>
      <c r="AC459" s="2">
        <f t="shared" si="35"/>
        <v>35.840000000000003</v>
      </c>
      <c r="AD459" s="8"/>
      <c r="AE459" s="10">
        <f>IF(Table1[[#This Row],[P/750]]&lt;20,1,IF(Table1[[#This Row],[P/750]]&lt;50,2,3))</f>
        <v>2</v>
      </c>
      <c r="AF459" s="10">
        <f>IF(Table1[[#This Row],[P/750]]&lt;Expenses!$C$30,1,IF(Table1[[#This Row],[P/750]]&lt;Expenses!$C$31,2,IF(Table1[[#This Row],[P/750]]&lt;Expenses!$C$32,3,4)))</f>
        <v>3</v>
      </c>
      <c r="AH459" s="37" t="s">
        <v>384</v>
      </c>
      <c r="AI459" s="11">
        <f>Table1[[#This Row],[Price]]/Table1[[#This Row],[Size (ml)]]*750</f>
        <v>35.840000000000003</v>
      </c>
      <c r="AJ459" s="37">
        <v>94</v>
      </c>
      <c r="AK459" s="10">
        <f>COUNTIF(UniqueID!A:A,Table1[[#This Row],[ID]])</f>
        <v>0</v>
      </c>
      <c r="AL459" s="10" t="str">
        <f>VLOOKUP(Table1[[#This Row],[Cellar Location]],Location!A:F,6,FALSE)</f>
        <v>W</v>
      </c>
      <c r="AN459" s="1">
        <v>44076</v>
      </c>
      <c r="AO459" s="10" t="str">
        <f>TEXT(Table1[[#This Row],[Purchased]],"mmmm")</f>
        <v>September</v>
      </c>
      <c r="AP459" s="10" t="str">
        <f>TEXT(Table1[[#This Row],[Purchased]],"yyyy")</f>
        <v>2020</v>
      </c>
      <c r="AQ459" s="1">
        <v>44134</v>
      </c>
    </row>
    <row r="460" spans="1:43" s="37" customFormat="1" x14ac:dyDescent="0.25">
      <c r="A460" s="37" t="str">
        <f t="shared" si="34"/>
        <v>2015BrigaldaraAmarone della Valpolicella Classico</v>
      </c>
      <c r="B460" s="8">
        <v>2015</v>
      </c>
      <c r="C460" s="37" t="s">
        <v>1867</v>
      </c>
      <c r="D460" s="37" t="s">
        <v>26</v>
      </c>
      <c r="E460" s="37" t="s">
        <v>1868</v>
      </c>
      <c r="F460" s="37" t="s">
        <v>728</v>
      </c>
      <c r="G460" s="37" t="s">
        <v>799</v>
      </c>
      <c r="H460" s="37" t="s">
        <v>803</v>
      </c>
      <c r="I460" s="8">
        <v>1</v>
      </c>
      <c r="J460" s="38">
        <v>750</v>
      </c>
      <c r="K460" s="38" t="s">
        <v>435</v>
      </c>
      <c r="L460" s="10">
        <f>COUNTIF(Drank!A:A,Table1[[#This Row],[ID]])</f>
        <v>0</v>
      </c>
      <c r="M460" s="37" t="s">
        <v>202</v>
      </c>
      <c r="N460" s="37" t="s">
        <v>207</v>
      </c>
      <c r="O460" s="37">
        <v>0</v>
      </c>
      <c r="R460" s="10" t="str">
        <f>IF(IFERROR(VLOOKUP(A460,Drank!A:S,15,FALSE),"")=0,"",IFERROR(VLOOKUP(A460,Drank!A:S,15,FALSE),""))</f>
        <v/>
      </c>
      <c r="S460" s="10" t="str">
        <f>IF(IFERROR(VLOOKUP(A460,Drank!A:S,16,FALSE),"")=0,"",IFERROR(VLOOKUP(A460,Drank!A:S,16,FALSE),""))</f>
        <v/>
      </c>
      <c r="T460" s="10">
        <v>2032</v>
      </c>
      <c r="V460" s="18" t="str">
        <f>IF(IFERROR(VLOOKUP(A460,Drank!A:T,19,FALSE),"")=0,"",IFERROR(VLOOKUP(A460,Drank!A:T,19,FALSE),""))</f>
        <v/>
      </c>
      <c r="W460" s="1" t="str">
        <f>IF(IFERROR(VLOOKUP(A460,Drank!A:T,20,FALSE),"")=0,"",IFERROR(VLOOKUP(A460,Drank!A:T,20,FALSE),""))</f>
        <v/>
      </c>
      <c r="X460" s="10">
        <f>SUMIF(A:A,A460,I:I)</f>
        <v>2</v>
      </c>
      <c r="Y460" s="10">
        <f>IF(Table1[[#This Row],[Drank]]&gt;0,VLOOKUP(Table1[[#This Row],[ID]],Drank!A:P,16,FALSE),IF(Table1[[#This Row],[WALDD]]&gt;0,VLOOKUP(Table1[[#This Row],[ID]],Wine1!A:Q,17,FALSE),Table1[[#This Row],[EP]]))</f>
        <v>2032</v>
      </c>
      <c r="Z460" s="18" t="str">
        <f>IF(Table1[[#This Row],[My Rating]]="",IF(Table1[[#This Row],[WA Rating Clean]]="","",Table1[[#This Row],[WA Rating Clean]]),Table1[[#This Row],[My Rating]])</f>
        <v/>
      </c>
      <c r="AA460" s="8">
        <v>2020</v>
      </c>
      <c r="AB460" s="128">
        <v>64.19</v>
      </c>
      <c r="AC460" s="2">
        <f t="shared" si="35"/>
        <v>64.19</v>
      </c>
      <c r="AD460" s="8"/>
      <c r="AE460" s="10">
        <f>IF(Table1[[#This Row],[P/750]]&lt;20,1,IF(Table1[[#This Row],[P/750]]&lt;50,2,3))</f>
        <v>3</v>
      </c>
      <c r="AF460" s="10">
        <f>IF(Table1[[#This Row],[P/750]]&lt;Expenses!$C$30,1,IF(Table1[[#This Row],[P/750]]&lt;Expenses!$C$31,2,IF(Table1[[#This Row],[P/750]]&lt;Expenses!$C$32,3,4)))</f>
        <v>3</v>
      </c>
      <c r="AH460" s="37" t="s">
        <v>1869</v>
      </c>
      <c r="AI460" s="11">
        <f>Table1[[#This Row],[Price]]/Table1[[#This Row],[Size (ml)]]*750</f>
        <v>64.19</v>
      </c>
      <c r="AK460" s="10">
        <f>COUNTIF(UniqueID!A:A,Table1[[#This Row],[ID]])</f>
        <v>0</v>
      </c>
      <c r="AL460" s="10" t="str">
        <f>VLOOKUP(Table1[[#This Row],[Cellar Location]],Location!A:F,6,FALSE)</f>
        <v>W</v>
      </c>
      <c r="AN460" s="1">
        <v>44076</v>
      </c>
      <c r="AO460" s="10" t="str">
        <f>TEXT(Table1[[#This Row],[Purchased]],"mmmm")</f>
        <v>September</v>
      </c>
      <c r="AP460" s="10" t="str">
        <f>TEXT(Table1[[#This Row],[Purchased]],"yyyy")</f>
        <v>2020</v>
      </c>
      <c r="AQ460" s="1">
        <v>44114</v>
      </c>
    </row>
    <row r="461" spans="1:43" s="37" customFormat="1" x14ac:dyDescent="0.25">
      <c r="A461" s="37" t="str">
        <f t="shared" si="34"/>
        <v>2015BrigaldaraAmarone della Valpolicella Classico</v>
      </c>
      <c r="B461" s="8">
        <v>2015</v>
      </c>
      <c r="C461" s="37" t="s">
        <v>1867</v>
      </c>
      <c r="D461" s="37" t="s">
        <v>26</v>
      </c>
      <c r="E461" s="37" t="s">
        <v>1868</v>
      </c>
      <c r="F461" s="37" t="s">
        <v>728</v>
      </c>
      <c r="G461" s="37" t="s">
        <v>799</v>
      </c>
      <c r="H461" s="37" t="s">
        <v>803</v>
      </c>
      <c r="I461" s="8">
        <v>1</v>
      </c>
      <c r="J461" s="38">
        <v>750</v>
      </c>
      <c r="K461" s="38" t="s">
        <v>435</v>
      </c>
      <c r="L461" s="10">
        <f>COUNTIF(Drank!A:A,Table1[[#This Row],[ID]])</f>
        <v>0</v>
      </c>
      <c r="M461" s="37" t="s">
        <v>202</v>
      </c>
      <c r="N461" s="37" t="s">
        <v>207</v>
      </c>
      <c r="O461" s="37">
        <v>0</v>
      </c>
      <c r="R461" s="10" t="str">
        <f>IF(IFERROR(VLOOKUP(A461,Drank!A:S,15,FALSE),"")=0,"",IFERROR(VLOOKUP(A461,Drank!A:S,15,FALSE),""))</f>
        <v/>
      </c>
      <c r="S461" s="10" t="str">
        <f>IF(IFERROR(VLOOKUP(A461,Drank!A:S,16,FALSE),"")=0,"",IFERROR(VLOOKUP(A461,Drank!A:S,16,FALSE),""))</f>
        <v/>
      </c>
      <c r="T461" s="10">
        <v>2032</v>
      </c>
      <c r="V461" s="18" t="str">
        <f>IF(IFERROR(VLOOKUP(A461,Drank!A:T,19,FALSE),"")=0,"",IFERROR(VLOOKUP(A461,Drank!A:T,19,FALSE),""))</f>
        <v/>
      </c>
      <c r="W461" s="1" t="str">
        <f>IF(IFERROR(VLOOKUP(A461,Drank!A:T,20,FALSE),"")=0,"",IFERROR(VLOOKUP(A461,Drank!A:T,20,FALSE),""))</f>
        <v/>
      </c>
      <c r="X461" s="10">
        <f>SUMIF(A:A,A461,I:I)</f>
        <v>2</v>
      </c>
      <c r="Y461" s="10">
        <f>IF(Table1[[#This Row],[Drank]]&gt;0,VLOOKUP(Table1[[#This Row],[ID]],Drank!A:P,16,FALSE),IF(Table1[[#This Row],[WALDD]]&gt;0,VLOOKUP(Table1[[#This Row],[ID]],Wine1!A:Q,17,FALSE),Table1[[#This Row],[EP]]))</f>
        <v>2032</v>
      </c>
      <c r="Z461" s="18" t="str">
        <f>IF(Table1[[#This Row],[My Rating]]="",IF(Table1[[#This Row],[WA Rating Clean]]="","",Table1[[#This Row],[WA Rating Clean]]),Table1[[#This Row],[My Rating]])</f>
        <v/>
      </c>
      <c r="AA461" s="8">
        <v>2031</v>
      </c>
      <c r="AB461" s="128">
        <v>64.19</v>
      </c>
      <c r="AC461" s="2">
        <f t="shared" si="35"/>
        <v>64.19</v>
      </c>
      <c r="AD461" s="8"/>
      <c r="AE461" s="10">
        <f>IF(Table1[[#This Row],[P/750]]&lt;20,1,IF(Table1[[#This Row],[P/750]]&lt;50,2,3))</f>
        <v>3</v>
      </c>
      <c r="AF461" s="10">
        <f>IF(Table1[[#This Row],[P/750]]&lt;Expenses!$C$30,1,IF(Table1[[#This Row],[P/750]]&lt;Expenses!$C$31,2,IF(Table1[[#This Row],[P/750]]&lt;Expenses!$C$32,3,4)))</f>
        <v>3</v>
      </c>
      <c r="AH461" s="37" t="s">
        <v>1869</v>
      </c>
      <c r="AI461" s="11">
        <f>Table1[[#This Row],[Price]]/Table1[[#This Row],[Size (ml)]]*750</f>
        <v>64.19</v>
      </c>
      <c r="AK461" s="10">
        <f>COUNTIF(UniqueID!A:A,Table1[[#This Row],[ID]])</f>
        <v>0</v>
      </c>
      <c r="AL461" s="10" t="str">
        <f>VLOOKUP(Table1[[#This Row],[Cellar Location]],Location!A:F,6,FALSE)</f>
        <v>W</v>
      </c>
      <c r="AN461" s="1">
        <v>44076</v>
      </c>
      <c r="AO461" s="10" t="str">
        <f>TEXT(Table1[[#This Row],[Purchased]],"mmmm")</f>
        <v>September</v>
      </c>
      <c r="AP461" s="10" t="str">
        <f>TEXT(Table1[[#This Row],[Purchased]],"yyyy")</f>
        <v>2020</v>
      </c>
      <c r="AQ461" s="1">
        <v>44114</v>
      </c>
    </row>
    <row r="462" spans="1:43" s="37" customFormat="1" x14ac:dyDescent="0.25">
      <c r="A462" s="37" t="str">
        <f t="shared" si="34"/>
        <v>2011La Rioja AltaGran Reserva 904</v>
      </c>
      <c r="B462" s="8">
        <v>2011</v>
      </c>
      <c r="C462" s="37" t="s">
        <v>221</v>
      </c>
      <c r="D462" s="37" t="s">
        <v>222</v>
      </c>
      <c r="E462" s="37" t="s">
        <v>1870</v>
      </c>
      <c r="F462" s="37" t="s">
        <v>729</v>
      </c>
      <c r="G462" s="37" t="s">
        <v>823</v>
      </c>
      <c r="H462" s="37" t="s">
        <v>824</v>
      </c>
      <c r="I462" s="8">
        <v>1</v>
      </c>
      <c r="J462" s="38">
        <v>750</v>
      </c>
      <c r="K462" s="38" t="s">
        <v>435</v>
      </c>
      <c r="L462" s="10">
        <f>COUNTIF(Drank!A:A,Table1[[#This Row],[ID]])</f>
        <v>0</v>
      </c>
      <c r="M462" s="37" t="s">
        <v>202</v>
      </c>
      <c r="N462" s="37" t="s">
        <v>207</v>
      </c>
      <c r="O462" s="37">
        <v>0</v>
      </c>
      <c r="R462" s="10" t="str">
        <f>IF(IFERROR(VLOOKUP(A462,Drank!A:S,15,FALSE),"")=0,"",IFERROR(VLOOKUP(A462,Drank!A:S,15,FALSE),""))</f>
        <v/>
      </c>
      <c r="S462" s="10" t="str">
        <f>IF(IFERROR(VLOOKUP(A462,Drank!A:S,16,FALSE),"")=0,"",IFERROR(VLOOKUP(A462,Drank!A:S,16,FALSE),""))</f>
        <v/>
      </c>
      <c r="T462" s="10">
        <v>2035</v>
      </c>
      <c r="V462" s="18" t="str">
        <f>IF(IFERROR(VLOOKUP(A462,Drank!A:T,19,FALSE),"")=0,"",IFERROR(VLOOKUP(A462,Drank!A:T,19,FALSE),""))</f>
        <v/>
      </c>
      <c r="W462" s="1" t="str">
        <f>IF(IFERROR(VLOOKUP(A462,Drank!A:T,20,FALSE),"")=0,"",IFERROR(VLOOKUP(A462,Drank!A:T,20,FALSE),""))</f>
        <v/>
      </c>
      <c r="X462" s="10">
        <f>SUMIF(A:A,A462,I:I)</f>
        <v>2</v>
      </c>
      <c r="Y462" s="10">
        <f>IF(Table1[[#This Row],[Drank]]&gt;0,VLOOKUP(Table1[[#This Row],[ID]],Drank!A:P,16,FALSE),IF(Table1[[#This Row],[WALDD]]&gt;0,VLOOKUP(Table1[[#This Row],[ID]],Wine1!A:Q,17,FALSE),Table1[[#This Row],[EP]]))</f>
        <v>2035</v>
      </c>
      <c r="Z462" s="18" t="str">
        <f>IF(Table1[[#This Row],[My Rating]]="",IF(Table1[[#This Row],[WA Rating Clean]]="","",Table1[[#This Row],[WA Rating Clean]]),Table1[[#This Row],[My Rating]])</f>
        <v/>
      </c>
      <c r="AA462" s="8">
        <v>2028</v>
      </c>
      <c r="AB462" s="128">
        <v>64.180000000000007</v>
      </c>
      <c r="AC462" s="2">
        <f t="shared" si="35"/>
        <v>64.180000000000007</v>
      </c>
      <c r="AD462" s="8"/>
      <c r="AE462" s="10">
        <f>IF(Table1[[#This Row],[P/750]]&lt;20,1,IF(Table1[[#This Row],[P/750]]&lt;50,2,3))</f>
        <v>3</v>
      </c>
      <c r="AF462" s="10">
        <f>IF(Table1[[#This Row],[P/750]]&lt;Expenses!$C$30,1,IF(Table1[[#This Row],[P/750]]&lt;Expenses!$C$31,2,IF(Table1[[#This Row],[P/750]]&lt;Expenses!$C$32,3,4)))</f>
        <v>3</v>
      </c>
      <c r="AH462" s="37" t="s">
        <v>1869</v>
      </c>
      <c r="AI462" s="11">
        <f>Table1[[#This Row],[Price]]/Table1[[#This Row],[Size (ml)]]*750</f>
        <v>64.180000000000007</v>
      </c>
      <c r="AK462" s="10">
        <f>COUNTIF(UniqueID!A:A,Table1[[#This Row],[ID]])</f>
        <v>0</v>
      </c>
      <c r="AL462" s="10" t="str">
        <f>VLOOKUP(Table1[[#This Row],[Cellar Location]],Location!A:F,6,FALSE)</f>
        <v>W</v>
      </c>
      <c r="AN462" s="1">
        <v>44076</v>
      </c>
      <c r="AO462" s="10" t="str">
        <f>TEXT(Table1[[#This Row],[Purchased]],"mmmm")</f>
        <v>September</v>
      </c>
      <c r="AP462" s="10" t="str">
        <f>TEXT(Table1[[#This Row],[Purchased]],"yyyy")</f>
        <v>2020</v>
      </c>
      <c r="AQ462" s="1">
        <v>44114</v>
      </c>
    </row>
    <row r="463" spans="1:43" s="37" customFormat="1" x14ac:dyDescent="0.25">
      <c r="A463" s="37" t="str">
        <f t="shared" si="34"/>
        <v>2011La Rioja AltaGran Reserva 904</v>
      </c>
      <c r="B463" s="8">
        <v>2011</v>
      </c>
      <c r="C463" s="37" t="s">
        <v>221</v>
      </c>
      <c r="D463" s="37" t="s">
        <v>222</v>
      </c>
      <c r="E463" s="37" t="s">
        <v>1870</v>
      </c>
      <c r="F463" s="37" t="s">
        <v>729</v>
      </c>
      <c r="G463" s="37" t="s">
        <v>823</v>
      </c>
      <c r="H463" s="37" t="s">
        <v>824</v>
      </c>
      <c r="I463" s="8">
        <v>1</v>
      </c>
      <c r="J463" s="38">
        <v>750</v>
      </c>
      <c r="K463" s="38" t="s">
        <v>435</v>
      </c>
      <c r="L463" s="10">
        <f>COUNTIF(Drank!A:A,Table1[[#This Row],[ID]])</f>
        <v>0</v>
      </c>
      <c r="M463" s="37" t="s">
        <v>202</v>
      </c>
      <c r="N463" s="37" t="s">
        <v>207</v>
      </c>
      <c r="O463" s="37">
        <v>0</v>
      </c>
      <c r="R463" s="10" t="str">
        <f>IF(IFERROR(VLOOKUP(A463,Drank!A:S,15,FALSE),"")=0,"",IFERROR(VLOOKUP(A463,Drank!A:S,15,FALSE),""))</f>
        <v/>
      </c>
      <c r="S463" s="10" t="str">
        <f>IF(IFERROR(VLOOKUP(A463,Drank!A:S,16,FALSE),"")=0,"",IFERROR(VLOOKUP(A463,Drank!A:S,16,FALSE),""))</f>
        <v/>
      </c>
      <c r="T463" s="10">
        <v>2035</v>
      </c>
      <c r="V463" s="18" t="str">
        <f>IF(IFERROR(VLOOKUP(A463,Drank!A:T,19,FALSE),"")=0,"",IFERROR(VLOOKUP(A463,Drank!A:T,19,FALSE),""))</f>
        <v/>
      </c>
      <c r="W463" s="1" t="str">
        <f>IF(IFERROR(VLOOKUP(A463,Drank!A:T,20,FALSE),"")=0,"",IFERROR(VLOOKUP(A463,Drank!A:T,20,FALSE),""))</f>
        <v/>
      </c>
      <c r="X463" s="10">
        <f>SUMIF(A:A,A463,I:I)</f>
        <v>2</v>
      </c>
      <c r="Y463" s="10">
        <f>IF(Table1[[#This Row],[Drank]]&gt;0,VLOOKUP(Table1[[#This Row],[ID]],Drank!A:P,16,FALSE),IF(Table1[[#This Row],[WALDD]]&gt;0,VLOOKUP(Table1[[#This Row],[ID]],Wine1!A:Q,17,FALSE),Table1[[#This Row],[EP]]))</f>
        <v>2035</v>
      </c>
      <c r="Z463" s="18" t="str">
        <f>IF(Table1[[#This Row],[My Rating]]="",IF(Table1[[#This Row],[WA Rating Clean]]="","",Table1[[#This Row],[WA Rating Clean]]),Table1[[#This Row],[My Rating]])</f>
        <v/>
      </c>
      <c r="AA463" s="8">
        <v>2031</v>
      </c>
      <c r="AB463" s="128">
        <v>64.180000000000007</v>
      </c>
      <c r="AC463" s="2">
        <f t="shared" si="35"/>
        <v>64.180000000000007</v>
      </c>
      <c r="AD463" s="8"/>
      <c r="AE463" s="10">
        <f>IF(Table1[[#This Row],[P/750]]&lt;20,1,IF(Table1[[#This Row],[P/750]]&lt;50,2,3))</f>
        <v>3</v>
      </c>
      <c r="AF463" s="10">
        <f>IF(Table1[[#This Row],[P/750]]&lt;Expenses!$C$30,1,IF(Table1[[#This Row],[P/750]]&lt;Expenses!$C$31,2,IF(Table1[[#This Row],[P/750]]&lt;Expenses!$C$32,3,4)))</f>
        <v>3</v>
      </c>
      <c r="AH463" s="37" t="s">
        <v>1869</v>
      </c>
      <c r="AI463" s="11">
        <f>Table1[[#This Row],[Price]]/Table1[[#This Row],[Size (ml)]]*750</f>
        <v>64.180000000000007</v>
      </c>
      <c r="AK463" s="10">
        <f>COUNTIF(UniqueID!A:A,Table1[[#This Row],[ID]])</f>
        <v>0</v>
      </c>
      <c r="AL463" s="10" t="str">
        <f>VLOOKUP(Table1[[#This Row],[Cellar Location]],Location!A:F,6,FALSE)</f>
        <v>W</v>
      </c>
      <c r="AN463" s="1">
        <v>44076</v>
      </c>
      <c r="AO463" s="10" t="str">
        <f>TEXT(Table1[[#This Row],[Purchased]],"mmmm")</f>
        <v>September</v>
      </c>
      <c r="AP463" s="10" t="str">
        <f>TEXT(Table1[[#This Row],[Purchased]],"yyyy")</f>
        <v>2020</v>
      </c>
      <c r="AQ463" s="1">
        <v>44114</v>
      </c>
    </row>
    <row r="464" spans="1:43" s="37" customFormat="1" x14ac:dyDescent="0.25">
      <c r="A464" s="37" t="str">
        <f t="shared" si="34"/>
        <v>1998Chateau Rayne-VigneauSauternes</v>
      </c>
      <c r="B464" s="8">
        <v>1998</v>
      </c>
      <c r="C464" s="37" t="s">
        <v>1871</v>
      </c>
      <c r="D464" s="37" t="s">
        <v>260</v>
      </c>
      <c r="E464" s="69" t="s">
        <v>1215</v>
      </c>
      <c r="F464" s="37" t="s">
        <v>742</v>
      </c>
      <c r="G464" s="37" t="s">
        <v>748</v>
      </c>
      <c r="H464" s="37" t="s">
        <v>260</v>
      </c>
      <c r="I464" s="8">
        <v>1</v>
      </c>
      <c r="J464" s="38">
        <v>750</v>
      </c>
      <c r="K464" s="38" t="s">
        <v>435</v>
      </c>
      <c r="L464" s="10">
        <f>COUNTIF(Drank!A:A,Table1[[#This Row],[ID]])</f>
        <v>0</v>
      </c>
      <c r="M464" s="37" t="s">
        <v>201</v>
      </c>
      <c r="N464" s="37" t="s">
        <v>206</v>
      </c>
      <c r="O464" s="37">
        <v>1</v>
      </c>
      <c r="P464" s="37">
        <v>2018</v>
      </c>
      <c r="Q464" s="37">
        <v>2035</v>
      </c>
      <c r="R464" s="10" t="str">
        <f>IF(IFERROR(VLOOKUP(A464,Drank!A:S,15,FALSE),"")=0,"",IFERROR(VLOOKUP(A464,Drank!A:S,15,FALSE),""))</f>
        <v/>
      </c>
      <c r="S464" s="10" t="str">
        <f>IF(IFERROR(VLOOKUP(A464,Drank!A:S,16,FALSE),"")=0,"",IFERROR(VLOOKUP(A464,Drank!A:S,16,FALSE),""))</f>
        <v/>
      </c>
      <c r="T464" s="10"/>
      <c r="U464" s="37">
        <v>94</v>
      </c>
      <c r="V464" s="18" t="str">
        <f>IF(IFERROR(VLOOKUP(A464,Drank!A:T,19,FALSE),"")=0,"",IFERROR(VLOOKUP(A464,Drank!A:T,19,FALSE),""))</f>
        <v/>
      </c>
      <c r="W464" s="1" t="str">
        <f>IF(IFERROR(VLOOKUP(A464,Drank!A:T,20,FALSE),"")=0,"",IFERROR(VLOOKUP(A464,Drank!A:T,20,FALSE),""))</f>
        <v/>
      </c>
      <c r="X464" s="10">
        <f>SUMIF(A:A,A464,I:I)</f>
        <v>2</v>
      </c>
      <c r="Y464" s="10">
        <f>IF(Table1[[#This Row],[Drank]]&gt;0,VLOOKUP(Table1[[#This Row],[ID]],Drank!A:P,16,FALSE),IF(Table1[[#This Row],[WALDD]]&gt;0,VLOOKUP(Table1[[#This Row],[ID]],Wine1!A:Q,17,FALSE),Table1[[#This Row],[EP]]))</f>
        <v>2035</v>
      </c>
      <c r="Z464" s="18">
        <f>IF(Table1[[#This Row],[My Rating]]="",IF(Table1[[#This Row],[WA Rating Clean]]="","",Table1[[#This Row],[WA Rating Clean]]),Table1[[#This Row],[My Rating]])</f>
        <v>94</v>
      </c>
      <c r="AA464" s="8">
        <v>2021</v>
      </c>
      <c r="AB464" s="128">
        <v>37.32</v>
      </c>
      <c r="AC464" s="2">
        <f t="shared" si="35"/>
        <v>37.32</v>
      </c>
      <c r="AD464" s="8"/>
      <c r="AE464" s="10">
        <f>IF(Table1[[#This Row],[P/750]]&lt;20,1,IF(Table1[[#This Row],[P/750]]&lt;50,2,3))</f>
        <v>2</v>
      </c>
      <c r="AF464" s="10">
        <f>IF(Table1[[#This Row],[P/750]]&lt;Expenses!$C$30,1,IF(Table1[[#This Row],[P/750]]&lt;Expenses!$C$31,2,IF(Table1[[#This Row],[P/750]]&lt;Expenses!$C$32,3,4)))</f>
        <v>3</v>
      </c>
      <c r="AH464" s="37" t="s">
        <v>1869</v>
      </c>
      <c r="AI464" s="11">
        <f>Table1[[#This Row],[Price]]/Table1[[#This Row],[Size (ml)]]*750</f>
        <v>37.32</v>
      </c>
      <c r="AJ464" s="37">
        <v>94</v>
      </c>
      <c r="AK464" s="10">
        <f>COUNTIF(UniqueID!A:A,Table1[[#This Row],[ID]])</f>
        <v>0</v>
      </c>
      <c r="AL464" s="10" t="str">
        <f>VLOOKUP(Table1[[#This Row],[Cellar Location]],Location!A:F,6,FALSE)</f>
        <v>W</v>
      </c>
      <c r="AN464" s="1">
        <v>44076</v>
      </c>
      <c r="AO464" s="10" t="str">
        <f>TEXT(Table1[[#This Row],[Purchased]],"mmmm")</f>
        <v>September</v>
      </c>
      <c r="AP464" s="10" t="str">
        <f>TEXT(Table1[[#This Row],[Purchased]],"yyyy")</f>
        <v>2020</v>
      </c>
      <c r="AQ464" s="1">
        <v>44114</v>
      </c>
    </row>
    <row r="465" spans="1:43" s="37" customFormat="1" x14ac:dyDescent="0.25">
      <c r="A465" s="37" t="str">
        <f t="shared" si="34"/>
        <v>1998Chateau Rayne-VigneauSauternes</v>
      </c>
      <c r="B465" s="8">
        <v>1998</v>
      </c>
      <c r="C465" s="37" t="s">
        <v>1871</v>
      </c>
      <c r="D465" s="37" t="s">
        <v>260</v>
      </c>
      <c r="E465" s="69" t="s">
        <v>1215</v>
      </c>
      <c r="F465" s="37" t="s">
        <v>742</v>
      </c>
      <c r="G465" s="37" t="s">
        <v>748</v>
      </c>
      <c r="H465" s="37" t="s">
        <v>260</v>
      </c>
      <c r="I465" s="8">
        <v>1</v>
      </c>
      <c r="J465" s="38">
        <v>750</v>
      </c>
      <c r="K465" s="38" t="s">
        <v>435</v>
      </c>
      <c r="L465" s="10">
        <f>COUNTIF(Drank!A:A,Table1[[#This Row],[ID]])</f>
        <v>0</v>
      </c>
      <c r="M465" s="37" t="s">
        <v>201</v>
      </c>
      <c r="N465" s="37" t="s">
        <v>206</v>
      </c>
      <c r="O465" s="37">
        <v>1</v>
      </c>
      <c r="P465" s="37">
        <v>2018</v>
      </c>
      <c r="Q465" s="37">
        <v>2035</v>
      </c>
      <c r="R465" s="10" t="str">
        <f>IF(IFERROR(VLOOKUP(A465,Drank!A:S,15,FALSE),"")=0,"",IFERROR(VLOOKUP(A465,Drank!A:S,15,FALSE),""))</f>
        <v/>
      </c>
      <c r="S465" s="10" t="str">
        <f>IF(IFERROR(VLOOKUP(A465,Drank!A:S,16,FALSE),"")=0,"",IFERROR(VLOOKUP(A465,Drank!A:S,16,FALSE),""))</f>
        <v/>
      </c>
      <c r="T465" s="10"/>
      <c r="U465" s="37">
        <v>94</v>
      </c>
      <c r="V465" s="18" t="str">
        <f>IF(IFERROR(VLOOKUP(A465,Drank!A:T,19,FALSE),"")=0,"",IFERROR(VLOOKUP(A465,Drank!A:T,19,FALSE),""))</f>
        <v/>
      </c>
      <c r="W465" s="1" t="str">
        <f>IF(IFERROR(VLOOKUP(A465,Drank!A:T,20,FALSE),"")=0,"",IFERROR(VLOOKUP(A465,Drank!A:T,20,FALSE),""))</f>
        <v/>
      </c>
      <c r="X465" s="10">
        <f>SUMIF(A:A,A465,I:I)</f>
        <v>2</v>
      </c>
      <c r="Y465" s="10">
        <f>IF(Table1[[#This Row],[Drank]]&gt;0,VLOOKUP(Table1[[#This Row],[ID]],Drank!A:P,16,FALSE),IF(Table1[[#This Row],[WALDD]]&gt;0,VLOOKUP(Table1[[#This Row],[ID]],Wine1!A:Q,17,FALSE),Table1[[#This Row],[EP]]))</f>
        <v>2035</v>
      </c>
      <c r="Z465" s="18">
        <f>IF(Table1[[#This Row],[My Rating]]="",IF(Table1[[#This Row],[WA Rating Clean]]="","",Table1[[#This Row],[WA Rating Clean]]),Table1[[#This Row],[My Rating]])</f>
        <v>94</v>
      </c>
      <c r="AA465" s="8">
        <v>2031</v>
      </c>
      <c r="AB465" s="128">
        <v>37.32</v>
      </c>
      <c r="AC465" s="2">
        <f t="shared" si="35"/>
        <v>37.32</v>
      </c>
      <c r="AD465" s="8"/>
      <c r="AE465" s="10">
        <f>IF(Table1[[#This Row],[P/750]]&lt;20,1,IF(Table1[[#This Row],[P/750]]&lt;50,2,3))</f>
        <v>2</v>
      </c>
      <c r="AF465" s="10">
        <f>IF(Table1[[#This Row],[P/750]]&lt;Expenses!$C$30,1,IF(Table1[[#This Row],[P/750]]&lt;Expenses!$C$31,2,IF(Table1[[#This Row],[P/750]]&lt;Expenses!$C$32,3,4)))</f>
        <v>3</v>
      </c>
      <c r="AH465" s="37" t="s">
        <v>1869</v>
      </c>
      <c r="AI465" s="11">
        <f>Table1[[#This Row],[Price]]/Table1[[#This Row],[Size (ml)]]*750</f>
        <v>37.32</v>
      </c>
      <c r="AJ465" s="37">
        <v>94</v>
      </c>
      <c r="AK465" s="10">
        <f>COUNTIF(UniqueID!A:A,Table1[[#This Row],[ID]])</f>
        <v>0</v>
      </c>
      <c r="AL465" s="10" t="str">
        <f>VLOOKUP(Table1[[#This Row],[Cellar Location]],Location!A:F,6,FALSE)</f>
        <v>W</v>
      </c>
      <c r="AN465" s="1">
        <v>44076</v>
      </c>
      <c r="AO465" s="10" t="str">
        <f>TEXT(Table1[[#This Row],[Purchased]],"mmmm")</f>
        <v>September</v>
      </c>
      <c r="AP465" s="10" t="str">
        <f>TEXT(Table1[[#This Row],[Purchased]],"yyyy")</f>
        <v>2020</v>
      </c>
      <c r="AQ465" s="1">
        <v>44114</v>
      </c>
    </row>
    <row r="466" spans="1:43" s="37" customFormat="1" x14ac:dyDescent="0.25">
      <c r="A466" s="37" t="str">
        <f t="shared" si="34"/>
        <v>2012CVNECune Gran Reserva</v>
      </c>
      <c r="B466" s="8">
        <v>2012</v>
      </c>
      <c r="C466" s="37" t="s">
        <v>1873</v>
      </c>
      <c r="D466" s="37" t="s">
        <v>1874</v>
      </c>
      <c r="E466" s="37" t="s">
        <v>1872</v>
      </c>
      <c r="F466" s="37" t="s">
        <v>729</v>
      </c>
      <c r="G466" s="37" t="s">
        <v>823</v>
      </c>
      <c r="I466" s="8">
        <v>1</v>
      </c>
      <c r="J466" s="38">
        <v>750</v>
      </c>
      <c r="K466" s="38" t="s">
        <v>435</v>
      </c>
      <c r="L466" s="10">
        <f>COUNTIF(Drank!A:A,Table1[[#This Row],[ID]])</f>
        <v>0</v>
      </c>
      <c r="M466" s="37" t="s">
        <v>202</v>
      </c>
      <c r="N466" s="37" t="s">
        <v>207</v>
      </c>
      <c r="O466" s="37">
        <v>1</v>
      </c>
      <c r="P466" s="37">
        <v>2018</v>
      </c>
      <c r="Q466" s="37">
        <v>2024</v>
      </c>
      <c r="R466" s="10" t="str">
        <f>IF(IFERROR(VLOOKUP(A466,Drank!A:S,15,FALSE),"")=0,"",IFERROR(VLOOKUP(A466,Drank!A:S,15,FALSE),""))</f>
        <v/>
      </c>
      <c r="S466" s="10" t="str">
        <f>IF(IFERROR(VLOOKUP(A466,Drank!A:S,16,FALSE),"")=0,"",IFERROR(VLOOKUP(A466,Drank!A:S,16,FALSE),""))</f>
        <v/>
      </c>
      <c r="T466" s="10"/>
      <c r="U466" s="37" t="s">
        <v>196</v>
      </c>
      <c r="V466" s="18" t="str">
        <f>IF(IFERROR(VLOOKUP(A466,Drank!A:T,19,FALSE),"")=0,"",IFERROR(VLOOKUP(A466,Drank!A:T,19,FALSE),""))</f>
        <v/>
      </c>
      <c r="W466" s="1" t="str">
        <f>IF(IFERROR(VLOOKUP(A466,Drank!A:T,20,FALSE),"")=0,"",IFERROR(VLOOKUP(A466,Drank!A:T,20,FALSE),""))</f>
        <v/>
      </c>
      <c r="X466" s="10">
        <f>SUMIF(A:A,A466,I:I)</f>
        <v>1</v>
      </c>
      <c r="Y466" s="10">
        <f>IF(Table1[[#This Row],[Drank]]&gt;0,VLOOKUP(Table1[[#This Row],[ID]],Drank!A:P,16,FALSE),IF(Table1[[#This Row],[WALDD]]&gt;0,VLOOKUP(Table1[[#This Row],[ID]],Wine1!A:Q,17,FALSE),Table1[[#This Row],[EP]]))</f>
        <v>2024</v>
      </c>
      <c r="Z466" s="18">
        <f>IF(Table1[[#This Row],[My Rating]]="",IF(Table1[[#This Row],[WA Rating Clean]]="","",Table1[[#This Row],[WA Rating Clean]]),Table1[[#This Row],[My Rating]])</f>
        <v>91</v>
      </c>
      <c r="AA466" s="8">
        <v>2021</v>
      </c>
      <c r="AB466" s="128">
        <v>36.369999999999997</v>
      </c>
      <c r="AC466" s="2">
        <f t="shared" si="35"/>
        <v>36.369999999999997</v>
      </c>
      <c r="AD466" s="8"/>
      <c r="AE466" s="10">
        <f>IF(Table1[[#This Row],[P/750]]&lt;20,1,IF(Table1[[#This Row],[P/750]]&lt;50,2,3))</f>
        <v>2</v>
      </c>
      <c r="AF466" s="10">
        <f>IF(Table1[[#This Row],[P/750]]&lt;Expenses!$C$30,1,IF(Table1[[#This Row],[P/750]]&lt;Expenses!$C$31,2,IF(Table1[[#This Row],[P/750]]&lt;Expenses!$C$32,3,4)))</f>
        <v>3</v>
      </c>
      <c r="AH466" s="37" t="s">
        <v>1869</v>
      </c>
      <c r="AI466" s="11">
        <f>Table1[[#This Row],[Price]]/Table1[[#This Row],[Size (ml)]]*750</f>
        <v>36.369999999999997</v>
      </c>
      <c r="AJ466" s="37">
        <v>91</v>
      </c>
      <c r="AK466" s="10">
        <f>COUNTIF(UniqueID!A:A,Table1[[#This Row],[ID]])</f>
        <v>0</v>
      </c>
      <c r="AL466" s="10" t="str">
        <f>VLOOKUP(Table1[[#This Row],[Cellar Location]],Location!A:F,6,FALSE)</f>
        <v>W</v>
      </c>
      <c r="AN466" s="1">
        <v>44076</v>
      </c>
      <c r="AO466" s="10" t="str">
        <f>TEXT(Table1[[#This Row],[Purchased]],"mmmm")</f>
        <v>September</v>
      </c>
      <c r="AP466" s="10" t="str">
        <f>TEXT(Table1[[#This Row],[Purchased]],"yyyy")</f>
        <v>2020</v>
      </c>
      <c r="AQ466" s="1">
        <v>44114</v>
      </c>
    </row>
    <row r="467" spans="1:43" s="37" customFormat="1" x14ac:dyDescent="0.25">
      <c r="A467" s="37" t="str">
        <f t="shared" si="34"/>
        <v>2015Quinta do CrastoTinto Crasto Superior</v>
      </c>
      <c r="B467" s="8">
        <v>2015</v>
      </c>
      <c r="C467" s="37" t="s">
        <v>1875</v>
      </c>
      <c r="D467" s="37" t="s">
        <v>1876</v>
      </c>
      <c r="E467" s="37" t="s">
        <v>1877</v>
      </c>
      <c r="F467" s="37" t="s">
        <v>804</v>
      </c>
      <c r="G467" s="37" t="s">
        <v>805</v>
      </c>
      <c r="I467" s="8">
        <v>1</v>
      </c>
      <c r="J467" s="38">
        <v>750</v>
      </c>
      <c r="K467" s="38" t="s">
        <v>435</v>
      </c>
      <c r="L467" s="10">
        <f>COUNTIF(Drank!A:A,Table1[[#This Row],[ID]])</f>
        <v>0</v>
      </c>
      <c r="M467" s="37" t="s">
        <v>202</v>
      </c>
      <c r="N467" s="37" t="s">
        <v>207</v>
      </c>
      <c r="O467" s="37">
        <v>1</v>
      </c>
      <c r="P467" s="37">
        <v>2018</v>
      </c>
      <c r="Q467" s="37">
        <v>2033</v>
      </c>
      <c r="R467" s="10" t="str">
        <f>IF(IFERROR(VLOOKUP(A467,Drank!A:S,15,FALSE),"")=0,"",IFERROR(VLOOKUP(A467,Drank!A:S,15,FALSE),""))</f>
        <v/>
      </c>
      <c r="S467" s="10" t="str">
        <f>IF(IFERROR(VLOOKUP(A467,Drank!A:S,16,FALSE),"")=0,"",IFERROR(VLOOKUP(A467,Drank!A:S,16,FALSE),""))</f>
        <v/>
      </c>
      <c r="T467" s="10"/>
      <c r="U467" s="37">
        <v>91</v>
      </c>
      <c r="V467" s="18" t="str">
        <f>IF(IFERROR(VLOOKUP(A467,Drank!A:T,19,FALSE),"")=0,"",IFERROR(VLOOKUP(A467,Drank!A:T,19,FALSE),""))</f>
        <v/>
      </c>
      <c r="W467" s="1" t="str">
        <f>IF(IFERROR(VLOOKUP(A467,Drank!A:T,20,FALSE),"")=0,"",IFERROR(VLOOKUP(A467,Drank!A:T,20,FALSE),""))</f>
        <v/>
      </c>
      <c r="X467" s="10">
        <f>SUMIF(A:A,A467,I:I)</f>
        <v>1</v>
      </c>
      <c r="Y467" s="10">
        <f>IF(Table1[[#This Row],[Drank]]&gt;0,VLOOKUP(Table1[[#This Row],[ID]],Drank!A:P,16,FALSE),IF(Table1[[#This Row],[WALDD]]&gt;0,VLOOKUP(Table1[[#This Row],[ID]],Wine1!A:Q,17,FALSE),Table1[[#This Row],[EP]]))</f>
        <v>2033</v>
      </c>
      <c r="Z467" s="18">
        <f>IF(Table1[[#This Row],[My Rating]]="",IF(Table1[[#This Row],[WA Rating Clean]]="","",Table1[[#This Row],[WA Rating Clean]]),Table1[[#This Row],[My Rating]])</f>
        <v>91</v>
      </c>
      <c r="AA467" s="8">
        <v>2021</v>
      </c>
      <c r="AB467" s="128">
        <v>29.95</v>
      </c>
      <c r="AC467" s="2">
        <f t="shared" si="35"/>
        <v>29.95</v>
      </c>
      <c r="AD467" s="8"/>
      <c r="AE467" s="10">
        <f>IF(Table1[[#This Row],[P/750]]&lt;20,1,IF(Table1[[#This Row],[P/750]]&lt;50,2,3))</f>
        <v>2</v>
      </c>
      <c r="AF467" s="10">
        <f>IF(Table1[[#This Row],[P/750]]&lt;Expenses!$C$30,1,IF(Table1[[#This Row],[P/750]]&lt;Expenses!$C$31,2,IF(Table1[[#This Row],[P/750]]&lt;Expenses!$C$32,3,4)))</f>
        <v>2</v>
      </c>
      <c r="AH467" s="37" t="s">
        <v>1869</v>
      </c>
      <c r="AI467" s="11">
        <f>Table1[[#This Row],[Price]]/Table1[[#This Row],[Size (ml)]]*750</f>
        <v>29.95</v>
      </c>
      <c r="AJ467" s="37">
        <v>91</v>
      </c>
      <c r="AK467" s="10">
        <f>COUNTIF(UniqueID!A:A,Table1[[#This Row],[ID]])</f>
        <v>0</v>
      </c>
      <c r="AL467" s="10" t="str">
        <f>VLOOKUP(Table1[[#This Row],[Cellar Location]],Location!A:F,6,FALSE)</f>
        <v>W</v>
      </c>
      <c r="AN467" s="1">
        <v>44076</v>
      </c>
      <c r="AO467" s="10" t="str">
        <f>TEXT(Table1[[#This Row],[Purchased]],"mmmm")</f>
        <v>September</v>
      </c>
      <c r="AP467" s="10" t="str">
        <f>TEXT(Table1[[#This Row],[Purchased]],"yyyy")</f>
        <v>2020</v>
      </c>
      <c r="AQ467" s="1">
        <v>44114</v>
      </c>
    </row>
    <row r="468" spans="1:43" x14ac:dyDescent="0.25">
      <c r="A468" t="str">
        <f t="shared" si="34"/>
        <v>2015Domaine LafageBastide Miraflors Vieilles Vignes</v>
      </c>
      <c r="B468" s="37">
        <v>2015</v>
      </c>
      <c r="C468" s="9" t="s">
        <v>671</v>
      </c>
      <c r="D468" s="9" t="s">
        <v>672</v>
      </c>
      <c r="E468" s="67" t="s">
        <v>1172</v>
      </c>
      <c r="F468" s="37" t="s">
        <v>742</v>
      </c>
      <c r="G468" s="37" t="s">
        <v>766</v>
      </c>
      <c r="H468" s="37" t="s">
        <v>767</v>
      </c>
      <c r="I468" s="107">
        <v>1</v>
      </c>
      <c r="J468" s="37">
        <v>750</v>
      </c>
      <c r="K468" s="107" t="s">
        <v>716</v>
      </c>
      <c r="L468" s="10">
        <f>COUNTIF(Drank!A:A,Table1[[#This Row],[ID]])</f>
        <v>3</v>
      </c>
      <c r="M468" t="s">
        <v>202</v>
      </c>
      <c r="N468" t="s">
        <v>207</v>
      </c>
      <c r="O468">
        <v>1</v>
      </c>
      <c r="P468" s="10">
        <v>2017</v>
      </c>
      <c r="Q468">
        <v>2021</v>
      </c>
      <c r="R468" s="10">
        <f>IF(IFERROR(VLOOKUP(A468,Drank!A:S,15,FALSE),"")=0,"",IFERROR(VLOOKUP(A468,Drank!A:S,15,FALSE),""))</f>
        <v>2020</v>
      </c>
      <c r="S468" s="10">
        <f>IF(IFERROR(VLOOKUP(A468,Drank!A:S,16,FALSE),"")=0,"",IFERROR(VLOOKUP(A468,Drank!A:S,16,FALSE),""))</f>
        <v>2025</v>
      </c>
      <c r="T468" s="10"/>
      <c r="U468">
        <v>94</v>
      </c>
      <c r="V468" s="18">
        <f>IF(IFERROR(VLOOKUP(A468,Drank!A:T,19,FALSE),"")=0,"",IFERROR(VLOOKUP(A468,Drank!A:T,19,FALSE),""))</f>
        <v>91.333333333333329</v>
      </c>
      <c r="W468" s="1">
        <f>IF(IFERROR(VLOOKUP(A468,Drank!A:T,20,FALSE),"")=0,"",IFERROR(VLOOKUP(A468,Drank!A:T,20,FALSE),""))</f>
        <v>43966</v>
      </c>
      <c r="X468" s="10">
        <f>SUMIF(A:A,A468,I:I)</f>
        <v>8</v>
      </c>
      <c r="Y468" s="10">
        <f>IF(Table1[[#This Row],[Drank]]&gt;0,VLOOKUP(Table1[[#This Row],[ID]],Drank!A:P,16,FALSE),IF(Table1[[#This Row],[WALDD]]&gt;0,VLOOKUP(Table1[[#This Row],[ID]],Wine1!A:Q,17,FALSE),Table1[[#This Row],[EP]]))</f>
        <v>2025</v>
      </c>
      <c r="Z468" s="18">
        <f>IF(Table1[[#This Row],[My Rating]]="",IF(Table1[[#This Row],[WA Rating Clean]]="","",Table1[[#This Row],[WA Rating Clean]]),Table1[[#This Row],[My Rating]])</f>
        <v>91.333333333333329</v>
      </c>
      <c r="AA468" s="37">
        <v>2023</v>
      </c>
      <c r="AB468" s="128">
        <v>14.99</v>
      </c>
      <c r="AC468" s="2">
        <f t="shared" si="35"/>
        <v>14.99</v>
      </c>
      <c r="AD468" s="8">
        <v>2</v>
      </c>
      <c r="AE468" s="10">
        <f>IF(Table1[[#This Row],[P/750]]&lt;20,1,IF(Table1[[#This Row],[P/750]]&lt;50,2,3))</f>
        <v>1</v>
      </c>
      <c r="AF468" s="10">
        <f>IF(Table1[[#This Row],[P/750]]&lt;Expenses!$C$30,1,IF(Table1[[#This Row],[P/750]]&lt;Expenses!$C$31,2,IF(Table1[[#This Row],[P/750]]&lt;Expenses!$C$32,3,4)))</f>
        <v>1</v>
      </c>
      <c r="AH468" t="s">
        <v>674</v>
      </c>
      <c r="AI468" s="11">
        <f>Table1[[#This Row],[Price]]/Table1[[#This Row],[Size (ml)]]*750</f>
        <v>14.99</v>
      </c>
      <c r="AJ468">
        <v>94</v>
      </c>
      <c r="AK468" s="37">
        <f>COUNTIF(UniqueID!A:A,Table1[[#This Row],[ID]])</f>
        <v>1</v>
      </c>
      <c r="AL468" s="37" t="str">
        <f>VLOOKUP(Table1[[#This Row],[Cellar Location]],Location!A:F,6,FALSE)</f>
        <v>S</v>
      </c>
      <c r="AN468" s="37"/>
      <c r="AO468" s="37" t="str">
        <f>TEXT(Table1[[#This Row],[Purchased]],"mmmm")</f>
        <v>January</v>
      </c>
      <c r="AP468" s="10" t="str">
        <f>TEXT(Table1[[#This Row],[Purchased]],"yyyy")</f>
        <v>1900</v>
      </c>
      <c r="AQ468" s="10"/>
    </row>
    <row r="469" spans="1:43" x14ac:dyDescent="0.25">
      <c r="A469" t="str">
        <f t="shared" si="34"/>
        <v>2016NortonPrivada Family Blend</v>
      </c>
      <c r="B469" s="37">
        <v>2016</v>
      </c>
      <c r="C469" s="37" t="s">
        <v>1227</v>
      </c>
      <c r="D469" s="37" t="s">
        <v>1228</v>
      </c>
      <c r="E469" s="67" t="s">
        <v>1229</v>
      </c>
      <c r="F469" s="37" t="s">
        <v>731</v>
      </c>
      <c r="G469" s="37" t="s">
        <v>732</v>
      </c>
      <c r="I469" s="107">
        <v>1</v>
      </c>
      <c r="J469">
        <v>750</v>
      </c>
      <c r="K469" s="107" t="s">
        <v>1314</v>
      </c>
      <c r="L469" s="10">
        <f>COUNTIF(Drank!A:A,Table1[[#This Row],[ID]])</f>
        <v>1</v>
      </c>
      <c r="M469" t="s">
        <v>202</v>
      </c>
      <c r="N469" t="s">
        <v>207</v>
      </c>
      <c r="O469">
        <v>1</v>
      </c>
      <c r="P469" s="10"/>
      <c r="R469" s="10">
        <f>IF(IFERROR(VLOOKUP(A469,Drank!A:S,15,FALSE),"")=0,"",IFERROR(VLOOKUP(A469,Drank!A:S,15,FALSE),""))</f>
        <v>2022</v>
      </c>
      <c r="S469" s="10">
        <f>IF(IFERROR(VLOOKUP(A469,Drank!A:S,16,FALSE),"")=0,"",IFERROR(VLOOKUP(A469,Drank!A:S,16,FALSE),""))</f>
        <v>2025</v>
      </c>
      <c r="T469" s="10">
        <v>2023</v>
      </c>
      <c r="V469" s="18">
        <f>IF(IFERROR(VLOOKUP(A469,Drank!A:T,19,FALSE),"")=0,"",IFERROR(VLOOKUP(A469,Drank!A:T,19,FALSE),""))</f>
        <v>88</v>
      </c>
      <c r="W469" s="1">
        <f>IF(IFERROR(VLOOKUP(A469,Drank!A:T,20,FALSE),"")=0,"",IFERROR(VLOOKUP(A469,Drank!A:T,20,FALSE),""))</f>
        <v>43905</v>
      </c>
      <c r="X469" s="10">
        <f>SUMIF(A:A,A469,I:I)</f>
        <v>2</v>
      </c>
      <c r="Y469" s="10">
        <f>IF(Table1[[#This Row],[Drank]]&gt;0,VLOOKUP(Table1[[#This Row],[ID]],Drank!A:P,16,FALSE),IF(Table1[[#This Row],[WALDD]]&gt;0,VLOOKUP(Table1[[#This Row],[ID]],Wine1!A:Q,17,FALSE),Table1[[#This Row],[EP]]))</f>
        <v>2025</v>
      </c>
      <c r="Z469" s="18">
        <f>IF(Table1[[#This Row],[My Rating]]="",IF(Table1[[#This Row],[WA Rating Clean]]="","",Table1[[#This Row],[WA Rating Clean]]),Table1[[#This Row],[My Rating]])</f>
        <v>88</v>
      </c>
      <c r="AA469" s="37">
        <v>2023</v>
      </c>
      <c r="AB469" s="128">
        <v>16</v>
      </c>
      <c r="AC469" s="2">
        <f t="shared" si="35"/>
        <v>16</v>
      </c>
      <c r="AD469" s="8">
        <v>2</v>
      </c>
      <c r="AE469" s="10">
        <f>IF(Table1[[#This Row],[P/750]]&lt;20,1,IF(Table1[[#This Row],[P/750]]&lt;50,2,3))</f>
        <v>1</v>
      </c>
      <c r="AF469" s="10">
        <f>IF(Table1[[#This Row],[P/750]]&lt;Expenses!$C$30,1,IF(Table1[[#This Row],[P/750]]&lt;Expenses!$C$31,2,IF(Table1[[#This Row],[P/750]]&lt;Expenses!$C$32,3,4)))</f>
        <v>1</v>
      </c>
      <c r="AH469" s="37" t="s">
        <v>385</v>
      </c>
      <c r="AI469" s="11">
        <f>Table1[[#This Row],[Price]]/Table1[[#This Row],[Size (ml)]]*750</f>
        <v>16</v>
      </c>
      <c r="AK469" s="10">
        <f>COUNTIF(UniqueID!A:A,Table1[[#This Row],[ID]])</f>
        <v>1</v>
      </c>
      <c r="AL469" s="10" t="str">
        <f>VLOOKUP(Table1[[#This Row],[Cellar Location]],Location!A:F,6,FALSE)</f>
        <v>S</v>
      </c>
      <c r="AN469" s="1">
        <v>43862</v>
      </c>
      <c r="AO469" s="37" t="str">
        <f>TEXT(Table1[[#This Row],[Purchased]],"mmmm")</f>
        <v>February</v>
      </c>
      <c r="AP469" s="10" t="str">
        <f>TEXT(Table1[[#This Row],[Purchased]],"yyyy")</f>
        <v>2020</v>
      </c>
      <c r="AQ469" s="10"/>
    </row>
    <row r="470" spans="1:43" x14ac:dyDescent="0.25">
      <c r="A470" t="str">
        <f t="shared" si="34"/>
        <v>2012Poggio San PoloBrunello di Montalcino</v>
      </c>
      <c r="B470" s="37">
        <v>2012</v>
      </c>
      <c r="C470" s="37" t="s">
        <v>208</v>
      </c>
      <c r="D470" s="25" t="s">
        <v>19</v>
      </c>
      <c r="E470" s="64" t="s">
        <v>280</v>
      </c>
      <c r="F470" s="37" t="s">
        <v>728</v>
      </c>
      <c r="G470" s="37" t="s">
        <v>790</v>
      </c>
      <c r="H470" s="37" t="s">
        <v>19</v>
      </c>
      <c r="I470" s="107">
        <v>1</v>
      </c>
      <c r="J470" s="37">
        <v>750</v>
      </c>
      <c r="K470" s="108" t="s">
        <v>657</v>
      </c>
      <c r="L470" s="37">
        <f>COUNTIF(Drank!A:A,Table1[[#This Row],[ID]])</f>
        <v>1</v>
      </c>
      <c r="M470" t="s">
        <v>202</v>
      </c>
      <c r="N470" t="s">
        <v>207</v>
      </c>
      <c r="O470">
        <v>1</v>
      </c>
      <c r="P470" s="37">
        <v>2017</v>
      </c>
      <c r="Q470">
        <v>2025</v>
      </c>
      <c r="R470" s="37">
        <f>IF(IFERROR(VLOOKUP(A470,Drank!A:S,15,FALSE),"")=0,"",IFERROR(VLOOKUP(A470,Drank!A:S,15,FALSE),""))</f>
        <v>2023</v>
      </c>
      <c r="S470" s="37">
        <f>IF(IFERROR(VLOOKUP(A470,Drank!A:S,16,FALSE),"")=0,"",IFERROR(VLOOKUP(A470,Drank!A:S,16,FALSE),""))</f>
        <v>2025</v>
      </c>
      <c r="T470" s="37"/>
      <c r="U470">
        <v>90</v>
      </c>
      <c r="V470" s="18">
        <f>IF(IFERROR(VLOOKUP(A470,Drank!A:T,19,FALSE),"")=0,"",IFERROR(VLOOKUP(A470,Drank!A:T,19,FALSE),""))</f>
        <v>88</v>
      </c>
      <c r="W470" s="1">
        <f>IF(IFERROR(VLOOKUP(A470,Drank!A:T,20,FALSE),"")=0,"",IFERROR(VLOOKUP(A470,Drank!A:T,20,FALSE),""))</f>
        <v>43526</v>
      </c>
      <c r="X470" s="37">
        <f>SUMIF(A:A,A470,I:I)</f>
        <v>1</v>
      </c>
      <c r="Y470" s="37">
        <f>IF(Table1[[#This Row],[Drank]]&gt;0,VLOOKUP(Table1[[#This Row],[ID]],Drank!A:P,16,FALSE),IF(Table1[[#This Row],[WALDD]]&gt;0,VLOOKUP(Table1[[#This Row],[ID]],Wine1!A:Q,17,FALSE),Table1[[#This Row],[EP]]))</f>
        <v>2025</v>
      </c>
      <c r="Z470" s="18">
        <f>IF(Table1[[#This Row],[My Rating]]="",IF(Table1[[#This Row],[WA Rating Clean]]="","",Table1[[#This Row],[WA Rating Clean]]),Table1[[#This Row],[My Rating]])</f>
        <v>88</v>
      </c>
      <c r="AA470" s="37">
        <v>2023</v>
      </c>
      <c r="AB470" s="128">
        <v>39.99</v>
      </c>
      <c r="AC470" s="2">
        <f t="shared" si="35"/>
        <v>39.99</v>
      </c>
      <c r="AD470" s="8">
        <v>2</v>
      </c>
      <c r="AE470" s="37">
        <f>IF(Table1[[#This Row],[P/750]]&lt;20,1,IF(Table1[[#This Row],[P/750]]&lt;50,2,3))</f>
        <v>2</v>
      </c>
      <c r="AF470" s="37">
        <f>IF(Table1[[#This Row],[P/750]]&lt;Expenses!$C$30,1,IF(Table1[[#This Row],[P/750]]&lt;Expenses!$C$31,2,IF(Table1[[#This Row],[P/750]]&lt;Expenses!$C$32,3,4)))</f>
        <v>3</v>
      </c>
      <c r="AH470" s="37" t="s">
        <v>384</v>
      </c>
      <c r="AI470" s="11">
        <f>Table1[[#This Row],[Price]]/Table1[[#This Row],[Size (ml)]]*750</f>
        <v>39.99</v>
      </c>
      <c r="AJ470">
        <v>90</v>
      </c>
      <c r="AK470" s="37">
        <f>COUNTIF(UniqueID!A:A,Table1[[#This Row],[ID]])</f>
        <v>1</v>
      </c>
      <c r="AL470" s="37" t="str">
        <f>VLOOKUP(Table1[[#This Row],[Cellar Location]],Location!A:F,6,FALSE)</f>
        <v>S</v>
      </c>
      <c r="AN470" s="37"/>
      <c r="AO470" t="str">
        <f>TEXT(Table1[[#This Row],[Purchased]],"mmmm")</f>
        <v>January</v>
      </c>
      <c r="AP470" s="10" t="str">
        <f>TEXT(Table1[[#This Row],[Purchased]],"yyyy")</f>
        <v>1900</v>
      </c>
      <c r="AQ470" s="10"/>
    </row>
    <row r="471" spans="1:43" x14ac:dyDescent="0.25">
      <c r="A471" s="37" t="str">
        <f t="shared" si="34"/>
        <v>2017SichelSichel</v>
      </c>
      <c r="B471" s="8">
        <v>2017</v>
      </c>
      <c r="C471" s="37" t="s">
        <v>409</v>
      </c>
      <c r="D471" s="37" t="s">
        <v>409</v>
      </c>
      <c r="E471" s="37" t="s">
        <v>1200</v>
      </c>
      <c r="F471" s="37" t="s">
        <v>742</v>
      </c>
      <c r="G471" s="37" t="s">
        <v>748</v>
      </c>
      <c r="H471" s="37" t="s">
        <v>260</v>
      </c>
      <c r="I471" s="107">
        <v>1</v>
      </c>
      <c r="J471">
        <v>375</v>
      </c>
      <c r="K471" s="107" t="s">
        <v>1504</v>
      </c>
      <c r="L471" s="37">
        <f>COUNTIF(Drank!A:A,Table1[[#This Row],[ID]])</f>
        <v>10</v>
      </c>
      <c r="M471" t="s">
        <v>201</v>
      </c>
      <c r="N471" t="s">
        <v>206</v>
      </c>
      <c r="O471">
        <v>1</v>
      </c>
      <c r="P471" s="37"/>
      <c r="R471" s="10">
        <f>IF(IFERROR(VLOOKUP(A471,Drank!A:S,15,FALSE),"")=0,"",IFERROR(VLOOKUP(A471,Drank!A:S,15,FALSE),""))</f>
        <v>2020</v>
      </c>
      <c r="S471" s="10">
        <f>IF(IFERROR(VLOOKUP(A471,Drank!A:S,16,FALSE),"")=0,"",IFERROR(VLOOKUP(A471,Drank!A:S,16,FALSE),""))</f>
        <v>2025</v>
      </c>
      <c r="T471" s="10"/>
      <c r="V471" s="18">
        <f>IF(IFERROR(VLOOKUP(A471,Drank!A:T,19,FALSE),"")=0,"",IFERROR(VLOOKUP(A471,Drank!A:T,19,FALSE),""))</f>
        <v>89.7</v>
      </c>
      <c r="W471" s="1">
        <f>IF(IFERROR(VLOOKUP(A471,Drank!A:T,20,FALSE),"")=0,"",IFERROR(VLOOKUP(A471,Drank!A:T,20,FALSE),""))</f>
        <v>44002</v>
      </c>
      <c r="X471" s="10">
        <f>SUMIF(A:A,A471,I:I)</f>
        <v>20</v>
      </c>
      <c r="Y471" s="37">
        <f>IF(Table1[[#This Row],[Drank]]&gt;0,VLOOKUP(Table1[[#This Row],[ID]],Drank!A:P,16,FALSE),IF(Table1[[#This Row],[WALDD]]&gt;0,VLOOKUP(Table1[[#This Row],[ID]],Wine1!A:Q,17,FALSE),Table1[[#This Row],[EP]]))</f>
        <v>2025</v>
      </c>
      <c r="Z471" s="18">
        <f>IF(Table1[[#This Row],[My Rating]]="",IF(Table1[[#This Row],[WA Rating Clean]]="","",Table1[[#This Row],[WA Rating Clean]]),Table1[[#This Row],[My Rating]])</f>
        <v>89.7</v>
      </c>
      <c r="AA471" s="37">
        <v>2023</v>
      </c>
      <c r="AB471" s="128">
        <v>12</v>
      </c>
      <c r="AC471" s="2">
        <f t="shared" si="35"/>
        <v>12</v>
      </c>
      <c r="AD471" s="8">
        <v>2</v>
      </c>
      <c r="AE471" s="37">
        <f>IF(Table1[[#This Row],[P/750]]&lt;20,1,IF(Table1[[#This Row],[P/750]]&lt;50,2,3))</f>
        <v>2</v>
      </c>
      <c r="AF471" s="37">
        <f>IF(Table1[[#This Row],[P/750]]&lt;Expenses!$C$30,1,IF(Table1[[#This Row],[P/750]]&lt;Expenses!$C$31,2,IF(Table1[[#This Row],[P/750]]&lt;Expenses!$C$32,3,4)))</f>
        <v>2</v>
      </c>
      <c r="AH471" t="s">
        <v>385</v>
      </c>
      <c r="AI471" s="11">
        <f>Table1[[#This Row],[Price]]/Table1[[#This Row],[Size (ml)]]*750</f>
        <v>24</v>
      </c>
      <c r="AK471" s="37">
        <f>COUNTIF(UniqueID!A:A,Table1[[#This Row],[ID]])</f>
        <v>1</v>
      </c>
      <c r="AL471" s="37" t="str">
        <f>VLOOKUP(Table1[[#This Row],[Cellar Location]],Location!A:F,6,FALSE)</f>
        <v>S</v>
      </c>
      <c r="AN471" s="1">
        <v>43845</v>
      </c>
      <c r="AO471" s="37" t="str">
        <f>TEXT(Table1[[#This Row],[Purchased]],"mmmm")</f>
        <v>January</v>
      </c>
      <c r="AP471" s="10" t="str">
        <f>TEXT(Table1[[#This Row],[Purchased]],"yyyy")</f>
        <v>2020</v>
      </c>
      <c r="AQ471" s="10"/>
    </row>
    <row r="472" spans="1:43" x14ac:dyDescent="0.25">
      <c r="A472" s="8" t="str">
        <f t="shared" si="34"/>
        <v>2018Cave Les Vignerons de Tavel &amp; LiracLirac Domaine de l'Eyrolle</v>
      </c>
      <c r="B472" s="8">
        <v>2018</v>
      </c>
      <c r="C472" s="37" t="s">
        <v>1424</v>
      </c>
      <c r="D472" s="19" t="s">
        <v>1425</v>
      </c>
      <c r="E472" s="69" t="s">
        <v>286</v>
      </c>
      <c r="F472" s="37" t="s">
        <v>742</v>
      </c>
      <c r="G472" s="37" t="s">
        <v>759</v>
      </c>
      <c r="H472" s="37" t="s">
        <v>1426</v>
      </c>
      <c r="I472" s="107">
        <v>1</v>
      </c>
      <c r="J472">
        <v>750</v>
      </c>
      <c r="K472" s="107" t="s">
        <v>657</v>
      </c>
      <c r="L472" s="10">
        <f>COUNTIF(Drank!A:A,Table1[[#This Row],[ID]])</f>
        <v>2</v>
      </c>
      <c r="M472" t="s">
        <v>202</v>
      </c>
      <c r="N472" t="s">
        <v>207</v>
      </c>
      <c r="O472">
        <v>1</v>
      </c>
      <c r="P472" s="37">
        <v>2019</v>
      </c>
      <c r="Q472">
        <v>2025</v>
      </c>
      <c r="R472" s="10">
        <f>IF(IFERROR(VLOOKUP(A472,Drank!A:S,15,FALSE),"")=0,"",IFERROR(VLOOKUP(A472,Drank!A:S,15,FALSE),""))</f>
        <v>2020</v>
      </c>
      <c r="S472" s="10">
        <f>IF(IFERROR(VLOOKUP(A472,Drank!A:S,16,FALSE),"")=0,"",IFERROR(VLOOKUP(A472,Drank!A:S,16,FALSE),""))</f>
        <v>2025</v>
      </c>
      <c r="T472" s="10"/>
      <c r="U472">
        <v>92</v>
      </c>
      <c r="V472" s="18">
        <f>IF(IFERROR(VLOOKUP(A472,Drank!A:T,19,FALSE),"")=0,"",IFERROR(VLOOKUP(A472,Drank!A:T,19,FALSE),""))</f>
        <v>91.5</v>
      </c>
      <c r="W472" s="1">
        <f>IF(IFERROR(VLOOKUP(A472,Drank!A:T,20,FALSE),"")=0,"",IFERROR(VLOOKUP(A472,Drank!A:T,20,FALSE),""))</f>
        <v>44009</v>
      </c>
      <c r="X472" s="10">
        <f>SUMIF(A:A,A472,I:I)</f>
        <v>10</v>
      </c>
      <c r="Y472" s="10">
        <f>IF(Table1[[#This Row],[Drank]]&gt;0,VLOOKUP(Table1[[#This Row],[ID]],Drank!A:P,16,FALSE),IF(Table1[[#This Row],[WALDD]]&gt;0,VLOOKUP(Table1[[#This Row],[ID]],Wine1!A:Q,17,FALSE),Table1[[#This Row],[EP]]))</f>
        <v>2025</v>
      </c>
      <c r="Z472" s="18">
        <f>IF(Table1[[#This Row],[My Rating]]="",IF(Table1[[#This Row],[WA Rating Clean]]="","",Table1[[#This Row],[WA Rating Clean]]),Table1[[#This Row],[My Rating]])</f>
        <v>91.5</v>
      </c>
      <c r="AA472" s="37">
        <v>2023</v>
      </c>
      <c r="AB472" s="128">
        <v>14.11</v>
      </c>
      <c r="AC472" s="2">
        <f t="shared" si="35"/>
        <v>14.11</v>
      </c>
      <c r="AD472" s="8">
        <v>2</v>
      </c>
      <c r="AE472" s="10">
        <f>IF(Table1[[#This Row],[P/750]]&lt;20,1,IF(Table1[[#This Row],[P/750]]&lt;50,2,3))</f>
        <v>1</v>
      </c>
      <c r="AF472" s="10">
        <f>IF(Table1[[#This Row],[P/750]]&lt;Expenses!$C$30,1,IF(Table1[[#This Row],[P/750]]&lt;Expenses!$C$31,2,IF(Table1[[#This Row],[P/750]]&lt;Expenses!$C$32,3,4)))</f>
        <v>1</v>
      </c>
      <c r="AH472" s="37" t="s">
        <v>384</v>
      </c>
      <c r="AI472" s="11">
        <f>Table1[[#This Row],[Price]]/Table1[[#This Row],[Size (ml)]]*750</f>
        <v>14.109999999999998</v>
      </c>
      <c r="AJ472">
        <v>92</v>
      </c>
      <c r="AK472" s="10">
        <f>COUNTIF(UniqueID!A:A,Table1[[#This Row],[ID]])</f>
        <v>0</v>
      </c>
      <c r="AL472" s="10" t="str">
        <f>VLOOKUP(Table1[[#This Row],[Cellar Location]],Location!A:F,6,FALSE)</f>
        <v>S</v>
      </c>
      <c r="AN472" s="1">
        <v>43986</v>
      </c>
      <c r="AO472" s="10" t="str">
        <f>TEXT(Table1[[#This Row],[Purchased]],"mmmm")</f>
        <v>June</v>
      </c>
      <c r="AP472" s="10" t="str">
        <f>TEXT(Table1[[#This Row],[Purchased]],"yyyy")</f>
        <v>2020</v>
      </c>
      <c r="AQ472" s="10"/>
    </row>
    <row r="473" spans="1:43" x14ac:dyDescent="0.25">
      <c r="A473" t="str">
        <f t="shared" si="34"/>
        <v>2017SichelSichel</v>
      </c>
      <c r="B473" s="8">
        <v>2017</v>
      </c>
      <c r="C473" s="37" t="s">
        <v>409</v>
      </c>
      <c r="D473" s="37" t="s">
        <v>409</v>
      </c>
      <c r="E473" s="37" t="s">
        <v>1200</v>
      </c>
      <c r="F473" s="37" t="s">
        <v>742</v>
      </c>
      <c r="G473" s="37" t="s">
        <v>748</v>
      </c>
      <c r="H473" s="37" t="s">
        <v>260</v>
      </c>
      <c r="I473" s="107">
        <v>1</v>
      </c>
      <c r="J473" s="37">
        <v>375</v>
      </c>
      <c r="K473" s="107" t="s">
        <v>1504</v>
      </c>
      <c r="L473" s="37">
        <f>COUNTIF(Drank!A:A,Table1[[#This Row],[ID]])</f>
        <v>10</v>
      </c>
      <c r="M473" t="s">
        <v>201</v>
      </c>
      <c r="N473" t="s">
        <v>206</v>
      </c>
      <c r="O473">
        <v>1</v>
      </c>
      <c r="P473" s="37"/>
      <c r="R473" s="10">
        <f>IF(IFERROR(VLOOKUP(A473,Drank!A:S,15,FALSE),"")=0,"",IFERROR(VLOOKUP(A473,Drank!A:S,15,FALSE),""))</f>
        <v>2020</v>
      </c>
      <c r="S473" s="10">
        <f>IF(IFERROR(VLOOKUP(A473,Drank!A:S,16,FALSE),"")=0,"",IFERROR(VLOOKUP(A473,Drank!A:S,16,FALSE),""))</f>
        <v>2025</v>
      </c>
      <c r="T473" s="10"/>
      <c r="V473" s="18">
        <f>IF(IFERROR(VLOOKUP(A473,Drank!A:T,19,FALSE),"")=0,"",IFERROR(VLOOKUP(A473,Drank!A:T,19,FALSE),""))</f>
        <v>89.7</v>
      </c>
      <c r="W473" s="1">
        <f>IF(IFERROR(VLOOKUP(A473,Drank!A:T,20,FALSE),"")=0,"",IFERROR(VLOOKUP(A473,Drank!A:T,20,FALSE),""))</f>
        <v>44002</v>
      </c>
      <c r="X473" s="10">
        <f>SUMIF(A:A,A473,I:I)</f>
        <v>20</v>
      </c>
      <c r="Y473" s="37">
        <f>IF(Table1[[#This Row],[Drank]]&gt;0,VLOOKUP(Table1[[#This Row],[ID]],Drank!A:P,16,FALSE),IF(Table1[[#This Row],[WALDD]]&gt;0,VLOOKUP(Table1[[#This Row],[ID]],Wine1!A:Q,17,FALSE),Table1[[#This Row],[EP]]))</f>
        <v>2025</v>
      </c>
      <c r="Z473" s="18">
        <f>IF(Table1[[#This Row],[My Rating]]="",IF(Table1[[#This Row],[WA Rating Clean]]="","",Table1[[#This Row],[WA Rating Clean]]),Table1[[#This Row],[My Rating]])</f>
        <v>89.7</v>
      </c>
      <c r="AA473" s="37">
        <v>2023</v>
      </c>
      <c r="AB473" s="128">
        <v>12</v>
      </c>
      <c r="AC473" s="2">
        <f t="shared" si="35"/>
        <v>12</v>
      </c>
      <c r="AD473" s="8">
        <v>2</v>
      </c>
      <c r="AE473" s="37">
        <f>IF(Table1[[#This Row],[P/750]]&lt;20,1,IF(Table1[[#This Row],[P/750]]&lt;50,2,3))</f>
        <v>2</v>
      </c>
      <c r="AF473" s="37">
        <f>IF(Table1[[#This Row],[P/750]]&lt;Expenses!$C$30,1,IF(Table1[[#This Row],[P/750]]&lt;Expenses!$C$31,2,IF(Table1[[#This Row],[P/750]]&lt;Expenses!$C$32,3,4)))</f>
        <v>2</v>
      </c>
      <c r="AH473" s="37" t="s">
        <v>385</v>
      </c>
      <c r="AI473" s="11">
        <f>Table1[[#This Row],[Price]]/Table1[[#This Row],[Size (ml)]]*750</f>
        <v>24</v>
      </c>
      <c r="AK473" s="37">
        <f>COUNTIF(UniqueID!A:A,Table1[[#This Row],[ID]])</f>
        <v>1</v>
      </c>
      <c r="AL473" s="37" t="str">
        <f>VLOOKUP(Table1[[#This Row],[Cellar Location]],Location!A:F,6,FALSE)</f>
        <v>S</v>
      </c>
      <c r="AN473" s="1">
        <v>43845</v>
      </c>
      <c r="AO473" s="37" t="str">
        <f>TEXT(Table1[[#This Row],[Purchased]],"mmmm")</f>
        <v>January</v>
      </c>
      <c r="AP473" s="10" t="str">
        <f>TEXT(Table1[[#This Row],[Purchased]],"yyyy")</f>
        <v>2020</v>
      </c>
      <c r="AQ473" s="10"/>
    </row>
    <row r="474" spans="1:43" x14ac:dyDescent="0.25">
      <c r="A474" t="str">
        <f t="shared" si="34"/>
        <v>2017SichelSichel</v>
      </c>
      <c r="B474" s="8">
        <v>2017</v>
      </c>
      <c r="C474" s="37" t="s">
        <v>409</v>
      </c>
      <c r="D474" s="37" t="s">
        <v>409</v>
      </c>
      <c r="E474" s="37" t="s">
        <v>1200</v>
      </c>
      <c r="F474" s="37" t="s">
        <v>742</v>
      </c>
      <c r="G474" s="37" t="s">
        <v>748</v>
      </c>
      <c r="H474" s="37" t="s">
        <v>260</v>
      </c>
      <c r="I474" s="107">
        <v>1</v>
      </c>
      <c r="J474" s="37">
        <v>375</v>
      </c>
      <c r="K474" s="107" t="s">
        <v>1504</v>
      </c>
      <c r="L474" s="37">
        <f>COUNTIF(Drank!A:A,Table1[[#This Row],[ID]])</f>
        <v>10</v>
      </c>
      <c r="M474" t="s">
        <v>201</v>
      </c>
      <c r="N474" t="s">
        <v>206</v>
      </c>
      <c r="O474">
        <v>1</v>
      </c>
      <c r="P474" s="37"/>
      <c r="R474" s="10">
        <f>IF(IFERROR(VLOOKUP(A474,Drank!A:S,15,FALSE),"")=0,"",IFERROR(VLOOKUP(A474,Drank!A:S,15,FALSE),""))</f>
        <v>2020</v>
      </c>
      <c r="S474" s="10">
        <f>IF(IFERROR(VLOOKUP(A474,Drank!A:S,16,FALSE),"")=0,"",IFERROR(VLOOKUP(A474,Drank!A:S,16,FALSE),""))</f>
        <v>2025</v>
      </c>
      <c r="T474" s="10"/>
      <c r="V474" s="18">
        <f>IF(IFERROR(VLOOKUP(A474,Drank!A:T,19,FALSE),"")=0,"",IFERROR(VLOOKUP(A474,Drank!A:T,19,FALSE),""))</f>
        <v>89.7</v>
      </c>
      <c r="W474" s="1">
        <f>IF(IFERROR(VLOOKUP(A474,Drank!A:T,20,FALSE),"")=0,"",IFERROR(VLOOKUP(A474,Drank!A:T,20,FALSE),""))</f>
        <v>44002</v>
      </c>
      <c r="X474" s="10">
        <f>SUMIF(A:A,A474,I:I)</f>
        <v>20</v>
      </c>
      <c r="Y474" s="37">
        <f>IF(Table1[[#This Row],[Drank]]&gt;0,VLOOKUP(Table1[[#This Row],[ID]],Drank!A:P,16,FALSE),IF(Table1[[#This Row],[WALDD]]&gt;0,VLOOKUP(Table1[[#This Row],[ID]],Wine1!A:Q,17,FALSE),Table1[[#This Row],[EP]]))</f>
        <v>2025</v>
      </c>
      <c r="Z474" s="18">
        <f>IF(Table1[[#This Row],[My Rating]]="",IF(Table1[[#This Row],[WA Rating Clean]]="","",Table1[[#This Row],[WA Rating Clean]]),Table1[[#This Row],[My Rating]])</f>
        <v>89.7</v>
      </c>
      <c r="AA474" s="37">
        <v>2023</v>
      </c>
      <c r="AB474" s="128">
        <v>12</v>
      </c>
      <c r="AC474" s="2">
        <f t="shared" si="35"/>
        <v>12</v>
      </c>
      <c r="AD474" s="8">
        <v>2</v>
      </c>
      <c r="AE474" s="37">
        <f>IF(Table1[[#This Row],[P/750]]&lt;20,1,IF(Table1[[#This Row],[P/750]]&lt;50,2,3))</f>
        <v>2</v>
      </c>
      <c r="AF474" s="37">
        <f>IF(Table1[[#This Row],[P/750]]&lt;Expenses!$C$30,1,IF(Table1[[#This Row],[P/750]]&lt;Expenses!$C$31,2,IF(Table1[[#This Row],[P/750]]&lt;Expenses!$C$32,3,4)))</f>
        <v>2</v>
      </c>
      <c r="AH474" s="37" t="s">
        <v>385</v>
      </c>
      <c r="AI474" s="11">
        <f>Table1[[#This Row],[Price]]/Table1[[#This Row],[Size (ml)]]*750</f>
        <v>24</v>
      </c>
      <c r="AK474" s="37">
        <f>COUNTIF(UniqueID!A:A,Table1[[#This Row],[ID]])</f>
        <v>1</v>
      </c>
      <c r="AL474" s="37" t="str">
        <f>VLOOKUP(Table1[[#This Row],[Cellar Location]],Location!A:F,6,FALSE)</f>
        <v>S</v>
      </c>
      <c r="AN474" s="1">
        <v>43845</v>
      </c>
      <c r="AO474" s="37" t="str">
        <f>TEXT(Table1[[#This Row],[Purchased]],"mmmm")</f>
        <v>January</v>
      </c>
      <c r="AP474" s="10" t="str">
        <f>TEXT(Table1[[#This Row],[Purchased]],"yyyy")</f>
        <v>2020</v>
      </c>
      <c r="AQ474" s="10"/>
    </row>
    <row r="475" spans="1:43" x14ac:dyDescent="0.25">
      <c r="A475" s="8" t="str">
        <f t="shared" si="34"/>
        <v>2016Romain DuvernayCotes du Rhone Villages Domaine de Pentelines</v>
      </c>
      <c r="B475" s="8">
        <v>2016</v>
      </c>
      <c r="C475" s="37" t="s">
        <v>1428</v>
      </c>
      <c r="D475" s="19" t="s">
        <v>1429</v>
      </c>
      <c r="E475" s="69" t="s">
        <v>417</v>
      </c>
      <c r="F475" s="37" t="s">
        <v>742</v>
      </c>
      <c r="G475" s="37" t="s">
        <v>759</v>
      </c>
      <c r="H475" s="37" t="s">
        <v>760</v>
      </c>
      <c r="I475" s="107">
        <v>1</v>
      </c>
      <c r="J475" s="37">
        <v>750</v>
      </c>
      <c r="K475" s="107" t="s">
        <v>654</v>
      </c>
      <c r="L475" s="10">
        <f>COUNTIF(Drank!A:A,Table1[[#This Row],[ID]])</f>
        <v>2</v>
      </c>
      <c r="M475" t="s">
        <v>202</v>
      </c>
      <c r="N475" t="s">
        <v>207</v>
      </c>
      <c r="O475">
        <v>1</v>
      </c>
      <c r="P475" s="37">
        <v>2017</v>
      </c>
      <c r="Q475">
        <v>2025</v>
      </c>
      <c r="R475" s="10">
        <f>IF(IFERROR(VLOOKUP(A475,Drank!A:S,15,FALSE),"")=0,"",IFERROR(VLOOKUP(A475,Drank!A:S,15,FALSE),""))</f>
        <v>2021</v>
      </c>
      <c r="S475" s="10">
        <f>IF(IFERROR(VLOOKUP(A475,Drank!A:S,16,FALSE),"")=0,"",IFERROR(VLOOKUP(A475,Drank!A:S,16,FALSE),""))</f>
        <v>2026</v>
      </c>
      <c r="T475" s="10"/>
      <c r="U475">
        <v>92</v>
      </c>
      <c r="V475" s="18">
        <f>IF(IFERROR(VLOOKUP(A475,Drank!A:T,19,FALSE),"")=0,"",IFERROR(VLOOKUP(A475,Drank!A:T,19,FALSE),""))</f>
        <v>90.5</v>
      </c>
      <c r="W475" s="1">
        <f>IF(IFERROR(VLOOKUP(A475,Drank!A:T,20,FALSE),"")=0,"",IFERROR(VLOOKUP(A475,Drank!A:T,20,FALSE),""))</f>
        <v>44015</v>
      </c>
      <c r="X475" s="10">
        <f>SUMIF(A:A,A475,I:I)</f>
        <v>10</v>
      </c>
      <c r="Y475" s="10">
        <f>IF(Table1[[#This Row],[Drank]]&gt;0,VLOOKUP(Table1[[#This Row],[ID]],Drank!A:P,16,FALSE),IF(Table1[[#This Row],[WALDD]]&gt;0,VLOOKUP(Table1[[#This Row],[ID]],Wine1!A:Q,17,FALSE),Table1[[#This Row],[EP]]))</f>
        <v>2026</v>
      </c>
      <c r="Z475" s="18">
        <f>IF(Table1[[#This Row],[My Rating]]="",IF(Table1[[#This Row],[WA Rating Clean]]="","",Table1[[#This Row],[WA Rating Clean]]),Table1[[#This Row],[My Rating]])</f>
        <v>90.5</v>
      </c>
      <c r="AA475" s="37">
        <v>2023</v>
      </c>
      <c r="AB475" s="128">
        <v>15.2</v>
      </c>
      <c r="AC475" s="2">
        <f t="shared" si="35"/>
        <v>15.2</v>
      </c>
      <c r="AD475" s="8">
        <v>2</v>
      </c>
      <c r="AE475" s="10">
        <f>IF(Table1[[#This Row],[P/750]]&lt;20,1,IF(Table1[[#This Row],[P/750]]&lt;50,2,3))</f>
        <v>1</v>
      </c>
      <c r="AF475" s="10">
        <f>IF(Table1[[#This Row],[P/750]]&lt;Expenses!$C$30,1,IF(Table1[[#This Row],[P/750]]&lt;Expenses!$C$31,2,IF(Table1[[#This Row],[P/750]]&lt;Expenses!$C$32,3,4)))</f>
        <v>1</v>
      </c>
      <c r="AH475" t="s">
        <v>384</v>
      </c>
      <c r="AI475" s="11">
        <f>Table1[[#This Row],[Price]]/Table1[[#This Row],[Size (ml)]]*750</f>
        <v>15.2</v>
      </c>
      <c r="AJ475">
        <v>92</v>
      </c>
      <c r="AK475" s="10">
        <f>COUNTIF(UniqueID!A:A,Table1[[#This Row],[ID]])</f>
        <v>0</v>
      </c>
      <c r="AL475" s="10" t="str">
        <f>VLOOKUP(Table1[[#This Row],[Cellar Location]],Location!A:F,6,FALSE)</f>
        <v>S</v>
      </c>
      <c r="AN475" s="1">
        <v>43992</v>
      </c>
      <c r="AO475" s="10" t="str">
        <f>TEXT(Table1[[#This Row],[Purchased]],"mmmm")</f>
        <v>June</v>
      </c>
      <c r="AP475" s="10" t="str">
        <f>TEXT(Table1[[#This Row],[Purchased]],"yyyy")</f>
        <v>2020</v>
      </c>
      <c r="AQ475" s="10"/>
    </row>
    <row r="476" spans="1:43" x14ac:dyDescent="0.25">
      <c r="A476" s="8" t="str">
        <f t="shared" si="34"/>
        <v>2016Romain DuvernayCotes du Rhone Villages Domaine de Pentelines</v>
      </c>
      <c r="B476" s="8">
        <v>2016</v>
      </c>
      <c r="C476" s="37" t="s">
        <v>1428</v>
      </c>
      <c r="D476" s="19" t="s">
        <v>1429</v>
      </c>
      <c r="E476" s="69" t="s">
        <v>417</v>
      </c>
      <c r="F476" s="37" t="s">
        <v>742</v>
      </c>
      <c r="G476" s="37" t="s">
        <v>759</v>
      </c>
      <c r="H476" s="37" t="s">
        <v>760</v>
      </c>
      <c r="I476" s="107">
        <v>1</v>
      </c>
      <c r="J476">
        <v>750</v>
      </c>
      <c r="K476" s="107" t="s">
        <v>644</v>
      </c>
      <c r="L476" s="10">
        <f>COUNTIF(Drank!A:A,Table1[[#This Row],[ID]])</f>
        <v>2</v>
      </c>
      <c r="M476" t="s">
        <v>202</v>
      </c>
      <c r="N476" t="s">
        <v>207</v>
      </c>
      <c r="O476">
        <v>1</v>
      </c>
      <c r="P476" s="37">
        <v>2017</v>
      </c>
      <c r="Q476">
        <v>2025</v>
      </c>
      <c r="R476" s="10">
        <f>IF(IFERROR(VLOOKUP(A476,Drank!A:S,15,FALSE),"")=0,"",IFERROR(VLOOKUP(A476,Drank!A:S,15,FALSE),""))</f>
        <v>2021</v>
      </c>
      <c r="S476" s="10">
        <f>IF(IFERROR(VLOOKUP(A476,Drank!A:S,16,FALSE),"")=0,"",IFERROR(VLOOKUP(A476,Drank!A:S,16,FALSE),""))</f>
        <v>2026</v>
      </c>
      <c r="T476" s="10"/>
      <c r="U476">
        <v>92</v>
      </c>
      <c r="V476" s="18">
        <f>IF(IFERROR(VLOOKUP(A476,Drank!A:T,19,FALSE),"")=0,"",IFERROR(VLOOKUP(A476,Drank!A:T,19,FALSE),""))</f>
        <v>90.5</v>
      </c>
      <c r="W476" s="1">
        <f>IF(IFERROR(VLOOKUP(A476,Drank!A:T,20,FALSE),"")=0,"",IFERROR(VLOOKUP(A476,Drank!A:T,20,FALSE),""))</f>
        <v>44015</v>
      </c>
      <c r="X476" s="10">
        <f>SUMIF(A:A,A476,I:I)</f>
        <v>10</v>
      </c>
      <c r="Y476" s="10">
        <f>IF(Table1[[#This Row],[Drank]]&gt;0,VLOOKUP(Table1[[#This Row],[ID]],Drank!A:P,16,FALSE),IF(Table1[[#This Row],[WALDD]]&gt;0,VLOOKUP(Table1[[#This Row],[ID]],Wine1!A:Q,17,FALSE),Table1[[#This Row],[EP]]))</f>
        <v>2026</v>
      </c>
      <c r="Z476" s="18">
        <f>IF(Table1[[#This Row],[My Rating]]="",IF(Table1[[#This Row],[WA Rating Clean]]="","",Table1[[#This Row],[WA Rating Clean]]),Table1[[#This Row],[My Rating]])</f>
        <v>90.5</v>
      </c>
      <c r="AA476" s="37">
        <v>2023</v>
      </c>
      <c r="AB476" s="128">
        <v>15.2</v>
      </c>
      <c r="AC476" s="2">
        <f t="shared" si="35"/>
        <v>15.2</v>
      </c>
      <c r="AD476" s="8">
        <v>2</v>
      </c>
      <c r="AE476" s="10">
        <f>IF(Table1[[#This Row],[P/750]]&lt;20,1,IF(Table1[[#This Row],[P/750]]&lt;50,2,3))</f>
        <v>1</v>
      </c>
      <c r="AF476" s="10">
        <f>IF(Table1[[#This Row],[P/750]]&lt;Expenses!$C$30,1,IF(Table1[[#This Row],[P/750]]&lt;Expenses!$C$31,2,IF(Table1[[#This Row],[P/750]]&lt;Expenses!$C$32,3,4)))</f>
        <v>1</v>
      </c>
      <c r="AH476" s="37" t="s">
        <v>384</v>
      </c>
      <c r="AI476" s="11">
        <f>Table1[[#This Row],[Price]]/Table1[[#This Row],[Size (ml)]]*750</f>
        <v>15.2</v>
      </c>
      <c r="AJ476">
        <v>92</v>
      </c>
      <c r="AK476" s="10">
        <f>COUNTIF(UniqueID!A:A,Table1[[#This Row],[ID]])</f>
        <v>0</v>
      </c>
      <c r="AL476" s="10" t="str">
        <f>VLOOKUP(Table1[[#This Row],[Cellar Location]],Location!A:F,6,FALSE)</f>
        <v>S</v>
      </c>
      <c r="AN476" s="1">
        <v>43992</v>
      </c>
      <c r="AO476" s="10" t="str">
        <f>TEXT(Table1[[#This Row],[Purchased]],"mmmm")</f>
        <v>June</v>
      </c>
      <c r="AP476" s="10" t="str">
        <f>TEXT(Table1[[#This Row],[Purchased]],"yyyy")</f>
        <v>2020</v>
      </c>
      <c r="AQ476" s="10"/>
    </row>
    <row r="477" spans="1:43" x14ac:dyDescent="0.25">
      <c r="A477" t="str">
        <f t="shared" ref="A477:A540" si="36">CONCATENATE(B477,C477,D477)</f>
        <v>2015Domaine du Saint GensGigondas</v>
      </c>
      <c r="B477" s="37">
        <v>2015</v>
      </c>
      <c r="C477" s="37" t="s">
        <v>226</v>
      </c>
      <c r="D477" s="25" t="s">
        <v>227</v>
      </c>
      <c r="E477" s="65" t="s">
        <v>227</v>
      </c>
      <c r="F477" s="37" t="s">
        <v>742</v>
      </c>
      <c r="G477" s="37" t="s">
        <v>759</v>
      </c>
      <c r="H477" s="37" t="s">
        <v>764</v>
      </c>
      <c r="I477" s="107">
        <v>1</v>
      </c>
      <c r="J477">
        <v>750</v>
      </c>
      <c r="K477" s="108" t="s">
        <v>657</v>
      </c>
      <c r="L477" s="37">
        <f>COUNTIF(Drank!A:A,Table1[[#This Row],[ID]])</f>
        <v>1</v>
      </c>
      <c r="M477" t="s">
        <v>202</v>
      </c>
      <c r="N477" t="s">
        <v>207</v>
      </c>
      <c r="O477">
        <v>1</v>
      </c>
      <c r="P477" s="37">
        <v>2017</v>
      </c>
      <c r="Q477">
        <v>2025</v>
      </c>
      <c r="R477" s="37">
        <f>IF(IFERROR(VLOOKUP(A477,Drank!A:S,15,FALSE),"")=0,"",IFERROR(VLOOKUP(A477,Drank!A:S,15,FALSE),""))</f>
        <v>2022</v>
      </c>
      <c r="S477" s="37">
        <f>IF(IFERROR(VLOOKUP(A477,Drank!A:S,16,FALSE),"")=0,"",IFERROR(VLOOKUP(A477,Drank!A:S,16,FALSE),""))</f>
        <v>2026</v>
      </c>
      <c r="T477" s="37"/>
      <c r="U477">
        <v>93</v>
      </c>
      <c r="V477" s="18">
        <f>IF(IFERROR(VLOOKUP(A477,Drank!A:T,19,FALSE),"")=0,"",IFERROR(VLOOKUP(A477,Drank!A:T,19,FALSE),""))</f>
        <v>93</v>
      </c>
      <c r="W477" s="1">
        <f>IF(IFERROR(VLOOKUP(A477,Drank!A:T,20,FALSE),"")=0,"",IFERROR(VLOOKUP(A477,Drank!A:T,20,FALSE),""))</f>
        <v>43597</v>
      </c>
      <c r="X477" s="37">
        <f>SUMIF(A:A,A477,I:I)</f>
        <v>3</v>
      </c>
      <c r="Y477" s="37">
        <f>IF(Table1[[#This Row],[Drank]]&gt;0,VLOOKUP(Table1[[#This Row],[ID]],Drank!A:P,16,FALSE),IF(Table1[[#This Row],[WALDD]]&gt;0,VLOOKUP(Table1[[#This Row],[ID]],Wine1!A:Q,17,FALSE),Table1[[#This Row],[EP]]))</f>
        <v>2026</v>
      </c>
      <c r="Z477" s="18">
        <f>IF(Table1[[#This Row],[My Rating]]="",IF(Table1[[#This Row],[WA Rating Clean]]="","",Table1[[#This Row],[WA Rating Clean]]),Table1[[#This Row],[My Rating]])</f>
        <v>93</v>
      </c>
      <c r="AA477" s="37">
        <v>2023</v>
      </c>
      <c r="AB477" s="128">
        <v>21.99</v>
      </c>
      <c r="AC477" s="2">
        <f t="shared" ref="AC477:AC540" si="37">AB477*I477</f>
        <v>21.99</v>
      </c>
      <c r="AD477" s="8">
        <v>2</v>
      </c>
      <c r="AE477" s="37">
        <f>IF(Table1[[#This Row],[P/750]]&lt;20,1,IF(Table1[[#This Row],[P/750]]&lt;50,2,3))</f>
        <v>2</v>
      </c>
      <c r="AF477" s="37">
        <f>IF(Table1[[#This Row],[P/750]]&lt;Expenses!$C$30,1,IF(Table1[[#This Row],[P/750]]&lt;Expenses!$C$31,2,IF(Table1[[#This Row],[P/750]]&lt;Expenses!$C$32,3,4)))</f>
        <v>2</v>
      </c>
      <c r="AH477" s="37" t="s">
        <v>384</v>
      </c>
      <c r="AI477" s="11">
        <f>Table1[[#This Row],[Price]]/Table1[[#This Row],[Size (ml)]]*750</f>
        <v>21.99</v>
      </c>
      <c r="AJ477">
        <v>93</v>
      </c>
      <c r="AK477" s="37">
        <f>COUNTIF(UniqueID!A:A,Table1[[#This Row],[ID]])</f>
        <v>1</v>
      </c>
      <c r="AL477" s="37" t="str">
        <f>VLOOKUP(Table1[[#This Row],[Cellar Location]],Location!A:F,6,FALSE)</f>
        <v>S</v>
      </c>
      <c r="AN477" s="37"/>
      <c r="AO477" s="37" t="str">
        <f>TEXT(Table1[[#This Row],[Purchased]],"mmmm")</f>
        <v>January</v>
      </c>
      <c r="AP477" s="10" t="str">
        <f>TEXT(Table1[[#This Row],[Purchased]],"yyyy")</f>
        <v>1900</v>
      </c>
      <c r="AQ477" s="10"/>
    </row>
    <row r="478" spans="1:43" x14ac:dyDescent="0.25">
      <c r="A478" t="str">
        <f t="shared" si="36"/>
        <v>2014LutumPinot Noir Sanford &amp; Benedict Vineyard</v>
      </c>
      <c r="B478" s="37">
        <v>2014</v>
      </c>
      <c r="C478" s="9" t="s">
        <v>333</v>
      </c>
      <c r="D478" s="35" t="s">
        <v>373</v>
      </c>
      <c r="E478" s="65" t="s">
        <v>263</v>
      </c>
      <c r="F478" s="37" t="s">
        <v>727</v>
      </c>
      <c r="G478" s="37" t="s">
        <v>806</v>
      </c>
      <c r="H478" s="37" t="s">
        <v>830</v>
      </c>
      <c r="I478" s="107">
        <v>1</v>
      </c>
      <c r="J478">
        <v>750</v>
      </c>
      <c r="K478" s="107" t="s">
        <v>655</v>
      </c>
      <c r="L478" s="37">
        <f>COUNTIF(Drank!A:A,Table1[[#This Row],[ID]])</f>
        <v>1</v>
      </c>
      <c r="M478" t="s">
        <v>202</v>
      </c>
      <c r="N478" t="s">
        <v>207</v>
      </c>
      <c r="O478">
        <v>1</v>
      </c>
      <c r="P478" s="37">
        <v>2016</v>
      </c>
      <c r="Q478">
        <v>2026</v>
      </c>
      <c r="R478" s="10">
        <f>IF(IFERROR(VLOOKUP(A478,Drank!A:S,15,FALSE),"")=0,"",IFERROR(VLOOKUP(A478,Drank!A:S,15,FALSE),""))</f>
        <v>2019</v>
      </c>
      <c r="S478" s="10">
        <f>IF(IFERROR(VLOOKUP(A478,Drank!A:S,16,FALSE),"")=0,"",IFERROR(VLOOKUP(A478,Drank!A:S,16,FALSE),""))</f>
        <v>2026</v>
      </c>
      <c r="T478" s="10"/>
      <c r="U478">
        <v>95</v>
      </c>
      <c r="V478" s="18">
        <f>IF(IFERROR(VLOOKUP(A478,Drank!A:T,19,FALSE),"")=0,"",IFERROR(VLOOKUP(A478,Drank!A:T,19,FALSE),""))</f>
        <v>93</v>
      </c>
      <c r="W478" s="1">
        <f>IF(IFERROR(VLOOKUP(A478,Drank!A:T,20,FALSE),"")=0,"",IFERROR(VLOOKUP(A478,Drank!A:T,20,FALSE),""))</f>
        <v>43656</v>
      </c>
      <c r="X478" s="10">
        <f>SUMIF(A:A,A478,I:I)</f>
        <v>3</v>
      </c>
      <c r="Y478" s="37">
        <f>IF(Table1[[#This Row],[Drank]]&gt;0,VLOOKUP(Table1[[#This Row],[ID]],Drank!A:P,16,FALSE),IF(Table1[[#This Row],[WALDD]]&gt;0,VLOOKUP(Table1[[#This Row],[ID]],Wine1!A:Q,17,FALSE),Table1[[#This Row],[EP]]))</f>
        <v>2026</v>
      </c>
      <c r="Z478" s="18">
        <f>IF(Table1[[#This Row],[My Rating]]="",IF(Table1[[#This Row],[WA Rating Clean]]="","",Table1[[#This Row],[WA Rating Clean]]),Table1[[#This Row],[My Rating]])</f>
        <v>93</v>
      </c>
      <c r="AA478" s="8">
        <v>2023</v>
      </c>
      <c r="AB478" s="128">
        <v>35</v>
      </c>
      <c r="AC478" s="2">
        <f t="shared" si="37"/>
        <v>35</v>
      </c>
      <c r="AD478" s="8">
        <v>2</v>
      </c>
      <c r="AE478" s="37">
        <f>IF(Table1[[#This Row],[P/750]]&lt;20,1,IF(Table1[[#This Row],[P/750]]&lt;50,2,3))</f>
        <v>2</v>
      </c>
      <c r="AF478" s="37">
        <f>IF(Table1[[#This Row],[P/750]]&lt;Expenses!$C$30,1,IF(Table1[[#This Row],[P/750]]&lt;Expenses!$C$31,2,IF(Table1[[#This Row],[P/750]]&lt;Expenses!$C$32,3,4)))</f>
        <v>3</v>
      </c>
      <c r="AH478" s="37" t="s">
        <v>385</v>
      </c>
      <c r="AI478" s="11">
        <f>Table1[[#This Row],[Price]]/Table1[[#This Row],[Size (ml)]]*750</f>
        <v>35</v>
      </c>
      <c r="AJ478">
        <v>95</v>
      </c>
      <c r="AK478" s="37">
        <f>COUNTIF(UniqueID!A:A,Table1[[#This Row],[ID]])</f>
        <v>1</v>
      </c>
      <c r="AL478" s="37" t="str">
        <f>VLOOKUP(Table1[[#This Row],[Cellar Location]],Location!A:F,6,FALSE)</f>
        <v>S</v>
      </c>
      <c r="AN478" s="37"/>
      <c r="AO478" s="37" t="str">
        <f>TEXT(Table1[[#This Row],[Purchased]],"mmmm")</f>
        <v>January</v>
      </c>
      <c r="AP478" s="10" t="str">
        <f>TEXT(Table1[[#This Row],[Purchased]],"yyyy")</f>
        <v>1900</v>
      </c>
      <c r="AQ478" s="10"/>
    </row>
    <row r="479" spans="1:43" x14ac:dyDescent="0.25">
      <c r="A479" t="str">
        <f t="shared" si="36"/>
        <v>2011MazzeiTenuta Belguardo</v>
      </c>
      <c r="B479" s="37">
        <v>2011</v>
      </c>
      <c r="C479" s="37" t="s">
        <v>1166</v>
      </c>
      <c r="D479" s="37" t="s">
        <v>1167</v>
      </c>
      <c r="E479" s="67" t="s">
        <v>1199</v>
      </c>
      <c r="F479" s="37" t="s">
        <v>728</v>
      </c>
      <c r="G479" s="37" t="s">
        <v>790</v>
      </c>
      <c r="H479" s="37" t="s">
        <v>793</v>
      </c>
      <c r="I479" s="107">
        <v>1</v>
      </c>
      <c r="J479" s="37">
        <v>750</v>
      </c>
      <c r="K479" s="107" t="s">
        <v>1150</v>
      </c>
      <c r="L479" s="10">
        <f>COUNTIF(Drank!A:A,Table1[[#This Row],[ID]])</f>
        <v>1</v>
      </c>
      <c r="M479" t="s">
        <v>202</v>
      </c>
      <c r="N479" t="s">
        <v>207</v>
      </c>
      <c r="O479">
        <v>1</v>
      </c>
      <c r="P479" s="10">
        <v>2017</v>
      </c>
      <c r="Q479">
        <v>2024</v>
      </c>
      <c r="R479" s="10">
        <f>IF(IFERROR(VLOOKUP(A479,Drank!A:S,15,FALSE),"")=0,"",IFERROR(VLOOKUP(A479,Drank!A:S,15,FALSE),""))</f>
        <v>2023</v>
      </c>
      <c r="S479" s="10">
        <f>IF(IFERROR(VLOOKUP(A479,Drank!A:S,16,FALSE),"")=0,"",IFERROR(VLOOKUP(A479,Drank!A:S,16,FALSE),""))</f>
        <v>2026</v>
      </c>
      <c r="T479" s="10"/>
      <c r="U479" t="s">
        <v>29</v>
      </c>
      <c r="V479" s="18">
        <f>IF(IFERROR(VLOOKUP(A479,Drank!A:T,19,FALSE),"")=0,"",IFERROR(VLOOKUP(A479,Drank!A:T,19,FALSE),""))</f>
        <v>91</v>
      </c>
      <c r="W479" s="1">
        <f>IF(IFERROR(VLOOKUP(A479,Drank!A:T,20,FALSE),"")=0,"",IFERROR(VLOOKUP(A479,Drank!A:T,20,FALSE),""))</f>
        <v>43870</v>
      </c>
      <c r="X479" s="10">
        <f>SUMIF(A:A,A479,I:I)</f>
        <v>3</v>
      </c>
      <c r="Y479" s="10">
        <f>IF(Table1[[#This Row],[Drank]]&gt;0,VLOOKUP(Table1[[#This Row],[ID]],Drank!A:P,16,FALSE),IF(Table1[[#This Row],[WALDD]]&gt;0,VLOOKUP(Table1[[#This Row],[ID]],Wine1!A:Q,17,FALSE),Table1[[#This Row],[EP]]))</f>
        <v>2026</v>
      </c>
      <c r="Z479" s="18">
        <f>IF(Table1[[#This Row],[My Rating]]="",IF(Table1[[#This Row],[WA Rating Clean]]="","",Table1[[#This Row],[WA Rating Clean]]),Table1[[#This Row],[My Rating]])</f>
        <v>91</v>
      </c>
      <c r="AA479" s="37">
        <v>2023</v>
      </c>
      <c r="AB479" s="128">
        <v>32.99</v>
      </c>
      <c r="AC479" s="2">
        <f t="shared" si="37"/>
        <v>32.99</v>
      </c>
      <c r="AD479" s="8">
        <v>2</v>
      </c>
      <c r="AE479" s="10">
        <f>IF(Table1[[#This Row],[P/750]]&lt;20,1,IF(Table1[[#This Row],[P/750]]&lt;50,2,3))</f>
        <v>2</v>
      </c>
      <c r="AF479" s="10">
        <f>IF(Table1[[#This Row],[P/750]]&lt;Expenses!$C$30,1,IF(Table1[[#This Row],[P/750]]&lt;Expenses!$C$31,2,IF(Table1[[#This Row],[P/750]]&lt;Expenses!$C$32,3,4)))</f>
        <v>3</v>
      </c>
      <c r="AH479" s="37" t="s">
        <v>384</v>
      </c>
      <c r="AI479" s="11">
        <f>Table1[[#This Row],[Price]]/Table1[[#This Row],[Size (ml)]]*750</f>
        <v>32.99</v>
      </c>
      <c r="AJ479" s="37">
        <v>93</v>
      </c>
      <c r="AK479" s="10">
        <f>COUNTIF(UniqueID!A:A,Table1[[#This Row],[ID]])</f>
        <v>1</v>
      </c>
      <c r="AL479" s="10" t="str">
        <f>VLOOKUP(Table1[[#This Row],[Cellar Location]],Location!A:F,6,FALSE)</f>
        <v>S</v>
      </c>
      <c r="AN479" s="1">
        <v>43853</v>
      </c>
      <c r="AO479" t="str">
        <f>TEXT(Table1[[#This Row],[Purchased]],"mmmm")</f>
        <v>January</v>
      </c>
      <c r="AP479" s="10" t="str">
        <f>TEXT(Table1[[#This Row],[Purchased]],"yyyy")</f>
        <v>2020</v>
      </c>
      <c r="AQ479" s="10"/>
    </row>
    <row r="480" spans="1:43" x14ac:dyDescent="0.25">
      <c r="A480" t="str">
        <f t="shared" si="36"/>
        <v>2009Hermanos Perez PascuasEl Pedrosal Reserva</v>
      </c>
      <c r="B480" s="37">
        <v>2009</v>
      </c>
      <c r="C480" s="9" t="s">
        <v>1543</v>
      </c>
      <c r="D480" s="9" t="s">
        <v>1544</v>
      </c>
      <c r="E480" s="69" t="s">
        <v>276</v>
      </c>
      <c r="F480" s="37" t="s">
        <v>729</v>
      </c>
      <c r="G480" s="37" t="s">
        <v>1718</v>
      </c>
      <c r="H480" s="37" t="s">
        <v>818</v>
      </c>
      <c r="I480" s="78">
        <v>1</v>
      </c>
      <c r="J480" s="37">
        <v>750</v>
      </c>
      <c r="K480" s="78" t="s">
        <v>1545</v>
      </c>
      <c r="L480" s="10">
        <f>COUNTIF(Drank!A:A,Table1[[#This Row],[ID]])</f>
        <v>2</v>
      </c>
      <c r="M480" t="s">
        <v>202</v>
      </c>
      <c r="N480" t="s">
        <v>207</v>
      </c>
      <c r="O480">
        <v>1</v>
      </c>
      <c r="P480" s="37">
        <v>2020</v>
      </c>
      <c r="Q480">
        <v>2029</v>
      </c>
      <c r="R480" s="10">
        <f>IF(IFERROR(VLOOKUP(A480,Drank!A:S,15,FALSE),"")=0,"",IFERROR(VLOOKUP(A480,Drank!A:S,15,FALSE),""))</f>
        <v>2020</v>
      </c>
      <c r="S480" s="10">
        <f>IF(IFERROR(VLOOKUP(A480,Drank!A:S,16,FALSE),"")=0,"",IFERROR(VLOOKUP(A480,Drank!A:S,16,FALSE),""))</f>
        <v>2027</v>
      </c>
      <c r="T480" s="10"/>
      <c r="U480">
        <v>95</v>
      </c>
      <c r="V480" s="18">
        <f>IF(IFERROR(VLOOKUP(A480,Drank!A:T,19,FALSE),"")=0,"",IFERROR(VLOOKUP(A480,Drank!A:T,19,FALSE),""))</f>
        <v>94.5</v>
      </c>
      <c r="W480" s="1">
        <f>IF(IFERROR(VLOOKUP(A480,Drank!A:T,20,FALSE),"")=0,"",IFERROR(VLOOKUP(A480,Drank!A:T,20,FALSE),""))</f>
        <v>44079</v>
      </c>
      <c r="X480" s="10">
        <f>SUMIF(A:A,A480,I:I)</f>
        <v>17</v>
      </c>
      <c r="Y480" s="10">
        <f>IF(Table1[[#This Row],[Drank]]&gt;0,VLOOKUP(Table1[[#This Row],[ID]],Drank!A:P,16,FALSE),IF(Table1[[#This Row],[WALDD]]&gt;0,VLOOKUP(Table1[[#This Row],[ID]],Wine1!A:Q,17,FALSE),Table1[[#This Row],[EP]]))</f>
        <v>2027</v>
      </c>
      <c r="Z480" s="18">
        <f>IF(Table1[[#This Row],[My Rating]]="",IF(Table1[[#This Row],[WA Rating Clean]]="","",Table1[[#This Row],[WA Rating Clean]]),Table1[[#This Row],[My Rating]])</f>
        <v>94.5</v>
      </c>
      <c r="AA480" s="37">
        <v>2023</v>
      </c>
      <c r="AB480" s="128">
        <v>29.61</v>
      </c>
      <c r="AC480" s="2">
        <f t="shared" si="37"/>
        <v>29.61</v>
      </c>
      <c r="AD480" s="8"/>
      <c r="AE480" s="10">
        <f>IF(Table1[[#This Row],[P/750]]&lt;20,1,IF(Table1[[#This Row],[P/750]]&lt;50,2,3))</f>
        <v>2</v>
      </c>
      <c r="AF480" s="10">
        <f>IF(Table1[[#This Row],[P/750]]&lt;Expenses!$C$30,1,IF(Table1[[#This Row],[P/750]]&lt;Expenses!$C$31,2,IF(Table1[[#This Row],[P/750]]&lt;Expenses!$C$32,3,4)))</f>
        <v>2</v>
      </c>
      <c r="AH480" s="37" t="s">
        <v>1545</v>
      </c>
      <c r="AI480" s="11">
        <f>Table1[[#This Row],[Price]]/Table1[[#This Row],[Size (ml)]]*750</f>
        <v>29.61</v>
      </c>
      <c r="AJ480">
        <v>95</v>
      </c>
      <c r="AK480" s="10">
        <f>COUNTIF(UniqueID!A:A,Table1[[#This Row],[ID]])</f>
        <v>0</v>
      </c>
      <c r="AL480" s="10" t="str">
        <f>VLOOKUP(Table1[[#This Row],[Cellar Location]],Location!A:F,6,FALSE)</f>
        <v>W</v>
      </c>
      <c r="AN480" s="1">
        <v>44065</v>
      </c>
      <c r="AO480" s="10" t="str">
        <f>TEXT(Table1[[#This Row],[Purchased]],"mmmm")</f>
        <v>August</v>
      </c>
      <c r="AP480" s="10" t="str">
        <f>TEXT(Table1[[#This Row],[Purchased]],"yyyy")</f>
        <v>2020</v>
      </c>
      <c r="AQ480" s="10"/>
    </row>
    <row r="481" spans="1:43" x14ac:dyDescent="0.25">
      <c r="A481" t="str">
        <f t="shared" si="36"/>
        <v>2009Hermanos Perez PascuasEl Pedrosal Reserva</v>
      </c>
      <c r="B481" s="37">
        <v>2009</v>
      </c>
      <c r="C481" s="5" t="s">
        <v>1543</v>
      </c>
      <c r="D481" s="5" t="s">
        <v>1544</v>
      </c>
      <c r="E481" s="69" t="s">
        <v>276</v>
      </c>
      <c r="F481" s="37" t="s">
        <v>729</v>
      </c>
      <c r="G481" s="37" t="s">
        <v>1718</v>
      </c>
      <c r="H481" s="37" t="s">
        <v>818</v>
      </c>
      <c r="I481" s="78">
        <v>1</v>
      </c>
      <c r="J481" s="37">
        <v>750</v>
      </c>
      <c r="K481" s="78" t="s">
        <v>1545</v>
      </c>
      <c r="L481" s="10">
        <f>COUNTIF(Drank!A:A,Table1[[#This Row],[ID]])</f>
        <v>2</v>
      </c>
      <c r="M481" t="s">
        <v>202</v>
      </c>
      <c r="N481" t="s">
        <v>207</v>
      </c>
      <c r="O481">
        <v>1</v>
      </c>
      <c r="P481" s="37">
        <v>2020</v>
      </c>
      <c r="Q481">
        <v>2029</v>
      </c>
      <c r="R481" s="10">
        <f>IF(IFERROR(VLOOKUP(A481,Drank!A:S,15,FALSE),"")=0,"",IFERROR(VLOOKUP(A481,Drank!A:S,15,FALSE),""))</f>
        <v>2020</v>
      </c>
      <c r="S481" s="10">
        <f>IF(IFERROR(VLOOKUP(A481,Drank!A:S,16,FALSE),"")=0,"",IFERROR(VLOOKUP(A481,Drank!A:S,16,FALSE),""))</f>
        <v>2027</v>
      </c>
      <c r="T481" s="10"/>
      <c r="U481">
        <v>95</v>
      </c>
      <c r="V481" s="18">
        <f>IF(IFERROR(VLOOKUP(A481,Drank!A:T,19,FALSE),"")=0,"",IFERROR(VLOOKUP(A481,Drank!A:T,19,FALSE),""))</f>
        <v>94.5</v>
      </c>
      <c r="W481" s="1">
        <f>IF(IFERROR(VLOOKUP(A481,Drank!A:T,20,FALSE),"")=0,"",IFERROR(VLOOKUP(A481,Drank!A:T,20,FALSE),""))</f>
        <v>44079</v>
      </c>
      <c r="X481" s="10">
        <f>SUMIF(A:A,A481,I:I)</f>
        <v>17</v>
      </c>
      <c r="Y481" s="10">
        <f>IF(Table1[[#This Row],[Drank]]&gt;0,VLOOKUP(Table1[[#This Row],[ID]],Drank!A:P,16,FALSE),IF(Table1[[#This Row],[WALDD]]&gt;0,VLOOKUP(Table1[[#This Row],[ID]],Wine1!A:Q,17,FALSE),Table1[[#This Row],[EP]]))</f>
        <v>2027</v>
      </c>
      <c r="Z481" s="18">
        <f>IF(Table1[[#This Row],[My Rating]]="",IF(Table1[[#This Row],[WA Rating Clean]]="","",Table1[[#This Row],[WA Rating Clean]]),Table1[[#This Row],[My Rating]])</f>
        <v>94.5</v>
      </c>
      <c r="AA481" s="37">
        <v>2023</v>
      </c>
      <c r="AB481" s="128">
        <v>29.61</v>
      </c>
      <c r="AC481" s="2">
        <f t="shared" si="37"/>
        <v>29.61</v>
      </c>
      <c r="AD481" s="8"/>
      <c r="AE481" s="10">
        <f>IF(Table1[[#This Row],[P/750]]&lt;20,1,IF(Table1[[#This Row],[P/750]]&lt;50,2,3))</f>
        <v>2</v>
      </c>
      <c r="AF481" s="10">
        <f>IF(Table1[[#This Row],[P/750]]&lt;Expenses!$C$30,1,IF(Table1[[#This Row],[P/750]]&lt;Expenses!$C$31,2,IF(Table1[[#This Row],[P/750]]&lt;Expenses!$C$32,3,4)))</f>
        <v>2</v>
      </c>
      <c r="AH481" s="37" t="s">
        <v>1545</v>
      </c>
      <c r="AI481" s="11">
        <f>Table1[[#This Row],[Price]]/Table1[[#This Row],[Size (ml)]]*750</f>
        <v>29.61</v>
      </c>
      <c r="AJ481">
        <v>95</v>
      </c>
      <c r="AK481" s="10">
        <f>COUNTIF(UniqueID!A:A,Table1[[#This Row],[ID]])</f>
        <v>0</v>
      </c>
      <c r="AL481" s="10" t="str">
        <f>VLOOKUP(Table1[[#This Row],[Cellar Location]],Location!A:F,6,FALSE)</f>
        <v>W</v>
      </c>
      <c r="AN481" s="1">
        <v>44065</v>
      </c>
      <c r="AO481" s="10" t="str">
        <f>TEXT(Table1[[#This Row],[Purchased]],"mmmm")</f>
        <v>August</v>
      </c>
      <c r="AP481" s="10" t="str">
        <f>TEXT(Table1[[#This Row],[Purchased]],"yyyy")</f>
        <v>2020</v>
      </c>
      <c r="AQ481" s="10"/>
    </row>
    <row r="482" spans="1:43" x14ac:dyDescent="0.25">
      <c r="A482" t="str">
        <f t="shared" si="36"/>
        <v>2012Bodegas Castilejo de RobledoAltos de Valdoso Reserva</v>
      </c>
      <c r="B482" s="8">
        <v>2012</v>
      </c>
      <c r="C482" s="5" t="s">
        <v>1565</v>
      </c>
      <c r="D482" s="133" t="s">
        <v>1566</v>
      </c>
      <c r="E482" s="67" t="s">
        <v>1220</v>
      </c>
      <c r="F482" s="37" t="s">
        <v>729</v>
      </c>
      <c r="G482" s="37" t="s">
        <v>1718</v>
      </c>
      <c r="H482" s="37" t="s">
        <v>818</v>
      </c>
      <c r="I482" s="37">
        <v>1</v>
      </c>
      <c r="J482" s="38">
        <v>750</v>
      </c>
      <c r="K482" s="38" t="s">
        <v>384</v>
      </c>
      <c r="L482" s="10">
        <f>COUNTIF(Drank!A:A,Table1[[#This Row],[ID]])</f>
        <v>0</v>
      </c>
      <c r="M482" t="s">
        <v>202</v>
      </c>
      <c r="N482" t="s">
        <v>207</v>
      </c>
      <c r="O482">
        <v>0</v>
      </c>
      <c r="P482" s="37"/>
      <c r="R482" s="10" t="str">
        <f>IF(IFERROR(VLOOKUP(A482,Drank!A:S,15,FALSE),"")=0,"",IFERROR(VLOOKUP(A482,Drank!A:S,15,FALSE),""))</f>
        <v/>
      </c>
      <c r="S482" s="10" t="str">
        <f>IF(IFERROR(VLOOKUP(A482,Drank!A:S,16,FALSE),"")=0,"",IFERROR(VLOOKUP(A482,Drank!A:S,16,FALSE),""))</f>
        <v/>
      </c>
      <c r="T482" s="10">
        <v>2027</v>
      </c>
      <c r="V482" s="18" t="str">
        <f>IF(IFERROR(VLOOKUP(A482,Drank!A:T,19,FALSE),"")=0,"",IFERROR(VLOOKUP(A482,Drank!A:T,19,FALSE),""))</f>
        <v/>
      </c>
      <c r="W482" s="1" t="str">
        <f>IF(IFERROR(VLOOKUP(A482,Drank!A:T,20,FALSE),"")=0,"",IFERROR(VLOOKUP(A482,Drank!A:T,20,FALSE),""))</f>
        <v/>
      </c>
      <c r="X482" s="10">
        <f>SUMIF(A:A,A482,I:I)</f>
        <v>4</v>
      </c>
      <c r="Y482" s="10">
        <f>IF(Table1[[#This Row],[Drank]]&gt;0,VLOOKUP(Table1[[#This Row],[ID]],Drank!A:P,16,FALSE),IF(Table1[[#This Row],[WALDD]]&gt;0,VLOOKUP(Table1[[#This Row],[ID]],Wine1!A:Q,17,FALSE),Table1[[#This Row],[EP]]))</f>
        <v>2027</v>
      </c>
      <c r="Z482" s="18" t="str">
        <f>IF(Table1[[#This Row],[My Rating]]="",IF(Table1[[#This Row],[WA Rating Clean]]="","",Table1[[#This Row],[WA Rating Clean]]),Table1[[#This Row],[My Rating]])</f>
        <v/>
      </c>
      <c r="AA482" s="37">
        <v>2023</v>
      </c>
      <c r="AB482" s="128">
        <v>21.72</v>
      </c>
      <c r="AC482" s="2">
        <f t="shared" si="37"/>
        <v>21.72</v>
      </c>
      <c r="AD482" s="8">
        <v>1</v>
      </c>
      <c r="AE482" s="10">
        <f>IF(Table1[[#This Row],[P/750]]&lt;20,1,IF(Table1[[#This Row],[P/750]]&lt;50,2,3))</f>
        <v>2</v>
      </c>
      <c r="AF482" s="10">
        <f>IF(Table1[[#This Row],[P/750]]&lt;Expenses!$C$30,1,IF(Table1[[#This Row],[P/750]]&lt;Expenses!$C$31,2,IF(Table1[[#This Row],[P/750]]&lt;Expenses!$C$32,3,4)))</f>
        <v>2</v>
      </c>
      <c r="AH482" s="37" t="s">
        <v>384</v>
      </c>
      <c r="AI482" s="11">
        <f>Table1[[#This Row],[Price]]/Table1[[#This Row],[Size (ml)]]*750</f>
        <v>21.72</v>
      </c>
      <c r="AK482" s="10">
        <f>COUNTIF(UniqueID!A:A,Table1[[#This Row],[ID]])</f>
        <v>0</v>
      </c>
      <c r="AL482" s="10" t="str">
        <f>VLOOKUP(Table1[[#This Row],[Cellar Location]],Location!A:F,6,FALSE)</f>
        <v>W</v>
      </c>
      <c r="AN482" s="1">
        <v>44049</v>
      </c>
      <c r="AO482" s="10" t="str">
        <f>TEXT(Table1[[#This Row],[Purchased]],"mmmm")</f>
        <v>August</v>
      </c>
      <c r="AP482" s="10" t="str">
        <f>TEXT(Table1[[#This Row],[Purchased]],"yyyy")</f>
        <v>2020</v>
      </c>
      <c r="AQ482" s="1">
        <v>44137</v>
      </c>
    </row>
    <row r="483" spans="1:43" x14ac:dyDescent="0.25">
      <c r="A483" t="str">
        <f t="shared" si="36"/>
        <v>2016Domaine La Grangette Saint JosephGigondas la Grangette des Garrigues</v>
      </c>
      <c r="B483" s="37">
        <v>2016</v>
      </c>
      <c r="C483" s="5" t="s">
        <v>420</v>
      </c>
      <c r="D483" s="5" t="s">
        <v>421</v>
      </c>
      <c r="E483" s="69" t="s">
        <v>1225</v>
      </c>
      <c r="F483" s="37" t="s">
        <v>742</v>
      </c>
      <c r="G483" s="37" t="s">
        <v>759</v>
      </c>
      <c r="H483" s="37" t="s">
        <v>764</v>
      </c>
      <c r="I483" s="107">
        <v>1</v>
      </c>
      <c r="J483" s="37">
        <v>750</v>
      </c>
      <c r="K483" s="107" t="s">
        <v>594</v>
      </c>
      <c r="L483" s="37">
        <f>COUNTIF(Drank!A:A,Table1[[#This Row],[ID]])</f>
        <v>1</v>
      </c>
      <c r="M483" t="s">
        <v>202</v>
      </c>
      <c r="N483" t="s">
        <v>207</v>
      </c>
      <c r="O483">
        <v>1</v>
      </c>
      <c r="P483" s="37">
        <v>2018</v>
      </c>
      <c r="Q483">
        <v>2028</v>
      </c>
      <c r="R483" s="10">
        <f>IF(IFERROR(VLOOKUP(A483,Drank!A:S,15,FALSE),"")=0,"",IFERROR(VLOOKUP(A483,Drank!A:S,15,FALSE),""))</f>
        <v>2021</v>
      </c>
      <c r="S483" s="10">
        <f>IF(IFERROR(VLOOKUP(A483,Drank!A:S,16,FALSE),"")=0,"",IFERROR(VLOOKUP(A483,Drank!A:S,16,FALSE),""))</f>
        <v>2027</v>
      </c>
      <c r="T483" s="10"/>
      <c r="U483">
        <v>94</v>
      </c>
      <c r="V483" s="18">
        <f>IF(IFERROR(VLOOKUP(A483,Drank!A:T,19,FALSE),"")=0,"",IFERROR(VLOOKUP(A483,Drank!A:T,19,FALSE),""))</f>
        <v>92</v>
      </c>
      <c r="W483" s="1">
        <f>IF(IFERROR(VLOOKUP(A483,Drank!A:T,20,FALSE),"")=0,"",IFERROR(VLOOKUP(A483,Drank!A:T,20,FALSE),""))</f>
        <v>43834</v>
      </c>
      <c r="X483" s="10">
        <f>SUMIF(A:A,A483,I:I)</f>
        <v>11</v>
      </c>
      <c r="Y483" s="37">
        <f>IF(Table1[[#This Row],[Drank]]&gt;0,VLOOKUP(Table1[[#This Row],[ID]],Drank!A:P,16,FALSE),IF(Table1[[#This Row],[WALDD]]&gt;0,VLOOKUP(Table1[[#This Row],[ID]],Wine1!A:Q,17,FALSE),Table1[[#This Row],[EP]]))</f>
        <v>2027</v>
      </c>
      <c r="Z483" s="18">
        <f>IF(Table1[[#This Row],[My Rating]]="",IF(Table1[[#This Row],[WA Rating Clean]]="","",Table1[[#This Row],[WA Rating Clean]]),Table1[[#This Row],[My Rating]])</f>
        <v>92</v>
      </c>
      <c r="AA483" s="37">
        <v>2023</v>
      </c>
      <c r="AB483" s="128">
        <v>22</v>
      </c>
      <c r="AC483" s="2">
        <f t="shared" si="37"/>
        <v>22</v>
      </c>
      <c r="AD483" s="8">
        <v>2</v>
      </c>
      <c r="AE483" s="37">
        <f>IF(Table1[[#This Row],[P/750]]&lt;20,1,IF(Table1[[#This Row],[P/750]]&lt;50,2,3))</f>
        <v>2</v>
      </c>
      <c r="AF483" s="37">
        <f>IF(Table1[[#This Row],[P/750]]&lt;Expenses!$C$30,1,IF(Table1[[#This Row],[P/750]]&lt;Expenses!$C$31,2,IF(Table1[[#This Row],[P/750]]&lt;Expenses!$C$32,3,4)))</f>
        <v>2</v>
      </c>
      <c r="AH483" s="37" t="s">
        <v>384</v>
      </c>
      <c r="AI483" s="11">
        <f>Table1[[#This Row],[Price]]/Table1[[#This Row],[Size (ml)]]*750</f>
        <v>22</v>
      </c>
      <c r="AJ483">
        <v>94</v>
      </c>
      <c r="AK483" s="37">
        <f>COUNTIF(UniqueID!A:A,Table1[[#This Row],[ID]])</f>
        <v>1</v>
      </c>
      <c r="AL483" s="37" t="str">
        <f>VLOOKUP(Table1[[#This Row],[Cellar Location]],Location!A:F,6,FALSE)</f>
        <v>S</v>
      </c>
      <c r="AN483" s="37"/>
      <c r="AO483" s="37" t="str">
        <f>TEXT(Table1[[#This Row],[Purchased]],"mmmm")</f>
        <v>January</v>
      </c>
      <c r="AP483" s="10" t="str">
        <f>TEXT(Table1[[#This Row],[Purchased]],"yyyy")</f>
        <v>1900</v>
      </c>
      <c r="AQ483" s="10"/>
    </row>
    <row r="484" spans="1:43" x14ac:dyDescent="0.25">
      <c r="A484" t="str">
        <f t="shared" si="36"/>
        <v>2016Domaine La Grangette Saint JosephGigondas la Grangette des Garrigues</v>
      </c>
      <c r="B484" s="37">
        <v>2016</v>
      </c>
      <c r="C484" s="5" t="s">
        <v>420</v>
      </c>
      <c r="D484" s="5" t="s">
        <v>421</v>
      </c>
      <c r="E484" s="69" t="s">
        <v>1225</v>
      </c>
      <c r="F484" s="37" t="s">
        <v>742</v>
      </c>
      <c r="G484" s="37" t="s">
        <v>759</v>
      </c>
      <c r="H484" s="37" t="s">
        <v>764</v>
      </c>
      <c r="I484" s="107">
        <v>1</v>
      </c>
      <c r="J484" s="37">
        <v>750</v>
      </c>
      <c r="K484" s="107" t="s">
        <v>594</v>
      </c>
      <c r="L484" s="37">
        <f>COUNTIF(Drank!A:A,Table1[[#This Row],[ID]])</f>
        <v>1</v>
      </c>
      <c r="M484" t="s">
        <v>202</v>
      </c>
      <c r="N484" t="s">
        <v>207</v>
      </c>
      <c r="O484">
        <v>1</v>
      </c>
      <c r="P484" s="37">
        <v>2018</v>
      </c>
      <c r="Q484">
        <v>2028</v>
      </c>
      <c r="R484" s="10">
        <f>IF(IFERROR(VLOOKUP(A484,Drank!A:S,15,FALSE),"")=0,"",IFERROR(VLOOKUP(A484,Drank!A:S,15,FALSE),""))</f>
        <v>2021</v>
      </c>
      <c r="S484" s="10">
        <f>IF(IFERROR(VLOOKUP(A484,Drank!A:S,16,FALSE),"")=0,"",IFERROR(VLOOKUP(A484,Drank!A:S,16,FALSE),""))</f>
        <v>2027</v>
      </c>
      <c r="T484" s="10"/>
      <c r="U484">
        <v>94</v>
      </c>
      <c r="V484" s="18">
        <f>IF(IFERROR(VLOOKUP(A484,Drank!A:T,19,FALSE),"")=0,"",IFERROR(VLOOKUP(A484,Drank!A:T,19,FALSE),""))</f>
        <v>92</v>
      </c>
      <c r="W484" s="1">
        <f>IF(IFERROR(VLOOKUP(A484,Drank!A:T,20,FALSE),"")=0,"",IFERROR(VLOOKUP(A484,Drank!A:T,20,FALSE),""))</f>
        <v>43834</v>
      </c>
      <c r="X484" s="10">
        <f>SUMIF(A:A,A484,I:I)</f>
        <v>11</v>
      </c>
      <c r="Y484" s="37">
        <f>IF(Table1[[#This Row],[Drank]]&gt;0,VLOOKUP(Table1[[#This Row],[ID]],Drank!A:P,16,FALSE),IF(Table1[[#This Row],[WALDD]]&gt;0,VLOOKUP(Table1[[#This Row],[ID]],Wine1!A:Q,17,FALSE),Table1[[#This Row],[EP]]))</f>
        <v>2027</v>
      </c>
      <c r="Z484" s="18">
        <f>IF(Table1[[#This Row],[My Rating]]="",IF(Table1[[#This Row],[WA Rating Clean]]="","",Table1[[#This Row],[WA Rating Clean]]),Table1[[#This Row],[My Rating]])</f>
        <v>92</v>
      </c>
      <c r="AA484" s="37">
        <v>2023</v>
      </c>
      <c r="AB484" s="128">
        <v>22</v>
      </c>
      <c r="AC484" s="2">
        <f t="shared" si="37"/>
        <v>22</v>
      </c>
      <c r="AD484" s="8">
        <v>2</v>
      </c>
      <c r="AE484" s="37">
        <f>IF(Table1[[#This Row],[P/750]]&lt;20,1,IF(Table1[[#This Row],[P/750]]&lt;50,2,3))</f>
        <v>2</v>
      </c>
      <c r="AF484" s="37">
        <f>IF(Table1[[#This Row],[P/750]]&lt;Expenses!$C$30,1,IF(Table1[[#This Row],[P/750]]&lt;Expenses!$C$31,2,IF(Table1[[#This Row],[P/750]]&lt;Expenses!$C$32,3,4)))</f>
        <v>2</v>
      </c>
      <c r="AH484" t="s">
        <v>384</v>
      </c>
      <c r="AI484" s="11">
        <f>Table1[[#This Row],[Price]]/Table1[[#This Row],[Size (ml)]]*750</f>
        <v>22</v>
      </c>
      <c r="AJ484">
        <v>94</v>
      </c>
      <c r="AK484" s="37">
        <f>COUNTIF(UniqueID!A:A,Table1[[#This Row],[ID]])</f>
        <v>1</v>
      </c>
      <c r="AL484" s="37" t="str">
        <f>VLOOKUP(Table1[[#This Row],[Cellar Location]],Location!A:F,6,FALSE)</f>
        <v>S</v>
      </c>
      <c r="AN484" s="37"/>
      <c r="AO484" s="37" t="str">
        <f>TEXT(Table1[[#This Row],[Purchased]],"mmmm")</f>
        <v>January</v>
      </c>
      <c r="AP484" s="10" t="str">
        <f>TEXT(Table1[[#This Row],[Purchased]],"yyyy")</f>
        <v>1900</v>
      </c>
      <c r="AQ484" s="10"/>
    </row>
    <row r="485" spans="1:43" x14ac:dyDescent="0.25">
      <c r="A485" s="37" t="str">
        <f t="shared" si="36"/>
        <v>2013Eighty FourPetit Sirah</v>
      </c>
      <c r="B485" s="37">
        <v>2013</v>
      </c>
      <c r="C485" s="9" t="s">
        <v>318</v>
      </c>
      <c r="D485" s="9" t="s">
        <v>319</v>
      </c>
      <c r="E485" s="68" t="s">
        <v>1332</v>
      </c>
      <c r="F485" s="9" t="s">
        <v>727</v>
      </c>
      <c r="G485" s="9" t="s">
        <v>806</v>
      </c>
      <c r="H485" s="9" t="s">
        <v>832</v>
      </c>
      <c r="I485" s="107">
        <v>1</v>
      </c>
      <c r="J485">
        <v>750</v>
      </c>
      <c r="K485" s="107" t="s">
        <v>1405</v>
      </c>
      <c r="L485" s="10">
        <f>COUNTIF(Drank!A:A,Table1[[#This Row],[ID]])</f>
        <v>1</v>
      </c>
      <c r="M485" t="s">
        <v>202</v>
      </c>
      <c r="N485" t="s">
        <v>207</v>
      </c>
      <c r="O485">
        <v>0</v>
      </c>
      <c r="P485" s="37"/>
      <c r="R485" s="10">
        <f>IF(IFERROR(VLOOKUP(A485,Drank!A:S,15,FALSE),"")=0,"",IFERROR(VLOOKUP(A485,Drank!A:S,15,FALSE),""))</f>
        <v>2023</v>
      </c>
      <c r="S485" s="10">
        <f>IF(IFERROR(VLOOKUP(A485,Drank!A:S,16,FALSE),"")=0,"",IFERROR(VLOOKUP(A485,Drank!A:S,16,FALSE),""))</f>
        <v>2027</v>
      </c>
      <c r="T485" s="10">
        <v>2027</v>
      </c>
      <c r="V485" s="18">
        <f>IF(IFERROR(VLOOKUP(A485,Drank!A:T,19,FALSE),"")=0,"",IFERROR(VLOOKUP(A485,Drank!A:T,19,FALSE),""))</f>
        <v>93</v>
      </c>
      <c r="W485" s="1">
        <f>IF(IFERROR(VLOOKUP(A485,Drank!A:T,20,FALSE),"")=0,"",IFERROR(VLOOKUP(A485,Drank!A:T,20,FALSE),""))</f>
        <v>44051</v>
      </c>
      <c r="X485" s="10">
        <f>SUMIF(A:A,A485,I:I)</f>
        <v>3</v>
      </c>
      <c r="Y485" s="10">
        <f>IF(Table1[[#This Row],[Drank]]&gt;0,VLOOKUP(Table1[[#This Row],[ID]],Drank!A:P,16,FALSE),IF(Table1[[#This Row],[WALDD]]&gt;0,VLOOKUP(Table1[[#This Row],[ID]],Wine1!A:Q,17,FALSE),Table1[[#This Row],[EP]]))</f>
        <v>2027</v>
      </c>
      <c r="Z485" s="18">
        <f>IF(Table1[[#This Row],[My Rating]]="",IF(Table1[[#This Row],[WA Rating Clean]]="","",Table1[[#This Row],[WA Rating Clean]]),Table1[[#This Row],[My Rating]])</f>
        <v>93</v>
      </c>
      <c r="AA485" s="37">
        <v>2023</v>
      </c>
      <c r="AB485" s="128">
        <v>38.229999999999997</v>
      </c>
      <c r="AC485" s="2">
        <f t="shared" si="37"/>
        <v>38.229999999999997</v>
      </c>
      <c r="AD485" s="8">
        <v>2</v>
      </c>
      <c r="AE485" s="10">
        <f>IF(Table1[[#This Row],[P/750]]&lt;20,1,IF(Table1[[#This Row],[P/750]]&lt;50,2,3))</f>
        <v>2</v>
      </c>
      <c r="AF485" s="10">
        <f>IF(Table1[[#This Row],[P/750]]&lt;Expenses!$C$30,1,IF(Table1[[#This Row],[P/750]]&lt;Expenses!$C$31,2,IF(Table1[[#This Row],[P/750]]&lt;Expenses!$C$32,3,4)))</f>
        <v>3</v>
      </c>
      <c r="AH485" t="s">
        <v>385</v>
      </c>
      <c r="AI485" s="11">
        <f>Table1[[#This Row],[Price]]/Table1[[#This Row],[Size (ml)]]*750</f>
        <v>38.229999999999997</v>
      </c>
      <c r="AK485" s="10">
        <f>COUNTIF(UniqueID!A:A,Table1[[#This Row],[ID]])</f>
        <v>0</v>
      </c>
      <c r="AL485" s="10" t="str">
        <f>VLOOKUP(Table1[[#This Row],[Cellar Location]],Location!A:F,6,FALSE)</f>
        <v>S</v>
      </c>
      <c r="AN485" s="1">
        <v>43923</v>
      </c>
      <c r="AO485" s="10" t="str">
        <f>TEXT(Table1[[#This Row],[Purchased]],"mmmm")</f>
        <v>April</v>
      </c>
      <c r="AP485" s="10" t="str">
        <f>TEXT(Table1[[#This Row],[Purchased]],"yyyy")</f>
        <v>2020</v>
      </c>
      <c r="AQ485" s="10"/>
    </row>
    <row r="486" spans="1:43" x14ac:dyDescent="0.25">
      <c r="A486" s="37" t="str">
        <f t="shared" si="36"/>
        <v>2013Palazzo WineRed Blend Right Bank Reserve</v>
      </c>
      <c r="B486" s="37">
        <v>2013</v>
      </c>
      <c r="C486" s="37" t="s">
        <v>87</v>
      </c>
      <c r="D486" s="37" t="s">
        <v>88</v>
      </c>
      <c r="E486" s="64" t="s">
        <v>282</v>
      </c>
      <c r="F486" s="37" t="s">
        <v>727</v>
      </c>
      <c r="G486" s="37" t="s">
        <v>806</v>
      </c>
      <c r="H486" s="37" t="s">
        <v>832</v>
      </c>
      <c r="I486" s="107">
        <v>1</v>
      </c>
      <c r="J486">
        <v>750</v>
      </c>
      <c r="K486" s="107" t="s">
        <v>650</v>
      </c>
      <c r="L486" s="37">
        <f>COUNTIF(Drank!A:A,Table1[[#This Row],[ID]])</f>
        <v>1</v>
      </c>
      <c r="M486" t="s">
        <v>202</v>
      </c>
      <c r="N486" t="s">
        <v>207</v>
      </c>
      <c r="O486">
        <v>1</v>
      </c>
      <c r="P486" s="37"/>
      <c r="R486" s="37">
        <f>IF(IFERROR(VLOOKUP(A486,Drank!A:S,15,FALSE),"")=0,"",IFERROR(VLOOKUP(A486,Drank!A:S,15,FALSE),""))</f>
        <v>2023</v>
      </c>
      <c r="S486" s="37">
        <f>IF(IFERROR(VLOOKUP(A486,Drank!A:S,16,FALSE),"")=0,"",IFERROR(VLOOKUP(A486,Drank!A:S,16,FALSE),""))</f>
        <v>2027</v>
      </c>
      <c r="T486" s="37"/>
      <c r="V486" s="18">
        <f>IF(IFERROR(VLOOKUP(A486,Drank!A:T,19,FALSE),"")=0,"",IFERROR(VLOOKUP(A486,Drank!A:T,19,FALSE),""))</f>
        <v>91</v>
      </c>
      <c r="W486" s="1">
        <f>IF(IFERROR(VLOOKUP(A486,Drank!A:T,20,FALSE),"")=0,"",IFERROR(VLOOKUP(A486,Drank!A:T,20,FALSE),""))</f>
        <v>43498</v>
      </c>
      <c r="X486" s="37">
        <f>SUMIF(A:A,A486,I:I)</f>
        <v>3</v>
      </c>
      <c r="Y486" s="37">
        <f>IF(Table1[[#This Row],[Drank]]&gt;0,VLOOKUP(Table1[[#This Row],[ID]],Drank!A:P,16,FALSE),IF(Table1[[#This Row],[WALDD]]&gt;0,VLOOKUP(Table1[[#This Row],[ID]],Wine1!A:Q,17,FALSE),Table1[[#This Row],[EP]]))</f>
        <v>2027</v>
      </c>
      <c r="Z486" s="18">
        <f>IF(Table1[[#This Row],[My Rating]]="",IF(Table1[[#This Row],[WA Rating Clean]]="","",Table1[[#This Row],[WA Rating Clean]]),Table1[[#This Row],[My Rating]])</f>
        <v>91</v>
      </c>
      <c r="AA486" s="37">
        <v>2023</v>
      </c>
      <c r="AB486" s="14">
        <v>49.99</v>
      </c>
      <c r="AC486" s="2">
        <f t="shared" si="37"/>
        <v>49.99</v>
      </c>
      <c r="AD486" s="8">
        <v>2</v>
      </c>
      <c r="AE486" s="37">
        <f>IF(Table1[[#This Row],[P/750]]&lt;20,1,IF(Table1[[#This Row],[P/750]]&lt;50,2,3))</f>
        <v>2</v>
      </c>
      <c r="AF486" s="37">
        <f>IF(Table1[[#This Row],[P/750]]&lt;Expenses!$C$30,1,IF(Table1[[#This Row],[P/750]]&lt;Expenses!$C$31,2,IF(Table1[[#This Row],[P/750]]&lt;Expenses!$C$32,3,4)))</f>
        <v>3</v>
      </c>
      <c r="AH486" s="37" t="s">
        <v>384</v>
      </c>
      <c r="AI486" s="11">
        <f>Table1[[#This Row],[Price]]/Table1[[#This Row],[Size (ml)]]*750</f>
        <v>49.990000000000009</v>
      </c>
      <c r="AK486" s="37">
        <f>COUNTIF(UniqueID!A:A,Table1[[#This Row],[ID]])</f>
        <v>1</v>
      </c>
      <c r="AL486" s="37" t="str">
        <f>VLOOKUP(Table1[[#This Row],[Cellar Location]],Location!A:F,6,FALSE)</f>
        <v>S</v>
      </c>
      <c r="AN486" s="37"/>
      <c r="AO486" s="37" t="str">
        <f>TEXT(Table1[[#This Row],[Purchased]],"mmmm")</f>
        <v>January</v>
      </c>
      <c r="AP486" s="10" t="str">
        <f>TEXT(Table1[[#This Row],[Purchased]],"yyyy")</f>
        <v>1900</v>
      </c>
      <c r="AQ486" s="10"/>
    </row>
    <row r="487" spans="1:43" x14ac:dyDescent="0.25">
      <c r="A487" s="37" t="str">
        <f t="shared" si="36"/>
        <v>2011Tenuta VitanzaBrunello di Montalcino Riserva Firma</v>
      </c>
      <c r="B487" s="37">
        <v>2011</v>
      </c>
      <c r="C487" s="9" t="s">
        <v>214</v>
      </c>
      <c r="D487" s="9" t="s">
        <v>215</v>
      </c>
      <c r="E487" s="68" t="s">
        <v>1250</v>
      </c>
      <c r="F487" s="37" t="s">
        <v>728</v>
      </c>
      <c r="G487" s="37" t="s">
        <v>790</v>
      </c>
      <c r="H487" s="37" t="s">
        <v>19</v>
      </c>
      <c r="I487" s="107">
        <v>1</v>
      </c>
      <c r="J487" s="37">
        <v>750</v>
      </c>
      <c r="K487" s="107" t="s">
        <v>1196</v>
      </c>
      <c r="L487" s="10">
        <f>COUNTIF(Drank!A:A,Table1[[#This Row],[ID]])</f>
        <v>1</v>
      </c>
      <c r="M487" t="s">
        <v>202</v>
      </c>
      <c r="N487" t="s">
        <v>207</v>
      </c>
      <c r="O487">
        <v>1</v>
      </c>
      <c r="P487" s="37">
        <v>2017</v>
      </c>
      <c r="Q487">
        <v>2027</v>
      </c>
      <c r="R487" s="10">
        <f>IF(IFERROR(VLOOKUP(A487,Drank!A:S,15,FALSE),"")=0,"",IFERROR(VLOOKUP(A487,Drank!A:S,15,FALSE),""))</f>
        <v>2023</v>
      </c>
      <c r="S487" s="10">
        <f>IF(IFERROR(VLOOKUP(A487,Drank!A:S,16,FALSE),"")=0,"",IFERROR(VLOOKUP(A487,Drank!A:S,16,FALSE),""))</f>
        <v>2027</v>
      </c>
      <c r="T487" s="10"/>
      <c r="U487">
        <v>91</v>
      </c>
      <c r="V487" s="18">
        <f>IF(IFERROR(VLOOKUP(A487,Drank!A:T,19,FALSE),"")=0,"",IFERROR(VLOOKUP(A487,Drank!A:T,19,FALSE),""))</f>
        <v>90</v>
      </c>
      <c r="W487" s="1">
        <f>IF(IFERROR(VLOOKUP(A487,Drank!A:T,20,FALSE),"")=0,"",IFERROR(VLOOKUP(A487,Drank!A:T,20,FALSE),""))</f>
        <v>44052</v>
      </c>
      <c r="X487" s="10">
        <f>SUMIF(A:A,A487,I:I)</f>
        <v>3</v>
      </c>
      <c r="Y487" s="10">
        <f>IF(Table1[[#This Row],[Drank]]&gt;0,VLOOKUP(Table1[[#This Row],[ID]],Drank!A:P,16,FALSE),IF(Table1[[#This Row],[WALDD]]&gt;0,VLOOKUP(Table1[[#This Row],[ID]],Wine1!A:Q,17,FALSE),Table1[[#This Row],[EP]]))</f>
        <v>2027</v>
      </c>
      <c r="Z487" s="18">
        <f>IF(Table1[[#This Row],[My Rating]]="",IF(Table1[[#This Row],[WA Rating Clean]]="","",Table1[[#This Row],[WA Rating Clean]]),Table1[[#This Row],[My Rating]])</f>
        <v>90</v>
      </c>
      <c r="AA487" s="37">
        <v>2023</v>
      </c>
      <c r="AB487" s="128">
        <v>32.58</v>
      </c>
      <c r="AC487" s="2">
        <f t="shared" si="37"/>
        <v>32.58</v>
      </c>
      <c r="AD487" s="8">
        <v>2</v>
      </c>
      <c r="AE487" s="10">
        <f>IF(Table1[[#This Row],[P/750]]&lt;20,1,IF(Table1[[#This Row],[P/750]]&lt;50,2,3))</f>
        <v>2</v>
      </c>
      <c r="AF487" s="10">
        <f>IF(Table1[[#This Row],[P/750]]&lt;Expenses!$C$30,1,IF(Table1[[#This Row],[P/750]]&lt;Expenses!$C$31,2,IF(Table1[[#This Row],[P/750]]&lt;Expenses!$C$32,3,4)))</f>
        <v>3</v>
      </c>
      <c r="AH487" s="37" t="s">
        <v>384</v>
      </c>
      <c r="AI487" s="11">
        <f>Table1[[#This Row],[Price]]/Table1[[#This Row],[Size (ml)]]*750</f>
        <v>32.58</v>
      </c>
      <c r="AJ487">
        <v>91</v>
      </c>
      <c r="AK487" s="10">
        <f>COUNTIF(UniqueID!A:A,Table1[[#This Row],[ID]])</f>
        <v>0</v>
      </c>
      <c r="AL487" s="10" t="str">
        <f>VLOOKUP(Table1[[#This Row],[Cellar Location]],Location!A:F,6,FALSE)</f>
        <v>S</v>
      </c>
      <c r="AN487" s="1">
        <v>43941</v>
      </c>
      <c r="AO487" s="10" t="str">
        <f>TEXT(Table1[[#This Row],[Purchased]],"mmmm")</f>
        <v>April</v>
      </c>
      <c r="AP487" s="10" t="str">
        <f>TEXT(Table1[[#This Row],[Purchased]],"yyyy")</f>
        <v>2020</v>
      </c>
      <c r="AQ487" s="10"/>
    </row>
    <row r="488" spans="1:43" x14ac:dyDescent="0.25">
      <c r="A488" s="37" t="str">
        <f t="shared" si="36"/>
        <v>2014FontanafreddaBarolo Serralunga d'Alba</v>
      </c>
      <c r="B488" s="37">
        <v>2014</v>
      </c>
      <c r="C488" s="9" t="s">
        <v>428</v>
      </c>
      <c r="D488" s="9" t="s">
        <v>584</v>
      </c>
      <c r="E488" s="67" t="s">
        <v>1206</v>
      </c>
      <c r="F488" s="37" t="s">
        <v>728</v>
      </c>
      <c r="G488" s="37" t="s">
        <v>778</v>
      </c>
      <c r="H488" s="37" t="s">
        <v>783</v>
      </c>
      <c r="I488" s="107">
        <v>1</v>
      </c>
      <c r="J488" s="37">
        <v>1500</v>
      </c>
      <c r="K488" s="107" t="s">
        <v>625</v>
      </c>
      <c r="L488" s="37">
        <f>COUNTIF(Drank!A:A,Table1[[#This Row],[ID]])</f>
        <v>0</v>
      </c>
      <c r="M488" t="s">
        <v>202</v>
      </c>
      <c r="N488" t="s">
        <v>207</v>
      </c>
      <c r="O488">
        <v>1</v>
      </c>
      <c r="P488" s="10">
        <v>2019</v>
      </c>
      <c r="Q488">
        <v>2028</v>
      </c>
      <c r="R488" s="10" t="str">
        <f>IF(IFERROR(VLOOKUP(A488,Drank!A:S,15,FALSE),"")=0,"",IFERROR(VLOOKUP(A488,Drank!A:S,15,FALSE),""))</f>
        <v/>
      </c>
      <c r="S488" s="10" t="str">
        <f>IF(IFERROR(VLOOKUP(A488,Drank!A:S,16,FALSE),"")=0,"",IFERROR(VLOOKUP(A488,Drank!A:S,16,FALSE),""))</f>
        <v/>
      </c>
      <c r="T488" s="10"/>
      <c r="U488">
        <v>89</v>
      </c>
      <c r="V488" s="18" t="str">
        <f>IF(IFERROR(VLOOKUP(A488,Drank!A:T,19,FALSE),"")=0,"",IFERROR(VLOOKUP(A488,Drank!A:T,19,FALSE),""))</f>
        <v/>
      </c>
      <c r="W488" s="1" t="str">
        <f>IF(IFERROR(VLOOKUP(A488,Drank!A:T,20,FALSE),"")=0,"",IFERROR(VLOOKUP(A488,Drank!A:T,20,FALSE),""))</f>
        <v/>
      </c>
      <c r="X488" s="10">
        <f>SUMIF(A:A,A488,I:I)</f>
        <v>2</v>
      </c>
      <c r="Y488" s="10">
        <f>IF(Table1[[#This Row],[Drank]]&gt;0,VLOOKUP(Table1[[#This Row],[ID]],Drank!A:P,16,FALSE),IF(Table1[[#This Row],[WALDD]]&gt;0,VLOOKUP(Table1[[#This Row],[ID]],Wine1!A:Q,17,FALSE),Table1[[#This Row],[EP]]))</f>
        <v>2028</v>
      </c>
      <c r="Z488" s="18">
        <f>IF(Table1[[#This Row],[My Rating]]="",IF(Table1[[#This Row],[WA Rating Clean]]="","",Table1[[#This Row],[WA Rating Clean]]),Table1[[#This Row],[My Rating]])</f>
        <v>89</v>
      </c>
      <c r="AA488" s="37">
        <v>2023</v>
      </c>
      <c r="AB488" s="128">
        <v>65.989999999999995</v>
      </c>
      <c r="AC488" s="2">
        <f t="shared" si="37"/>
        <v>65.989999999999995</v>
      </c>
      <c r="AD488" s="8">
        <v>2</v>
      </c>
      <c r="AE488" s="10">
        <f>IF(Table1[[#This Row],[P/750]]&lt;20,1,IF(Table1[[#This Row],[P/750]]&lt;50,2,3))</f>
        <v>2</v>
      </c>
      <c r="AF488" s="10">
        <f>IF(Table1[[#This Row],[P/750]]&lt;Expenses!$C$30,1,IF(Table1[[#This Row],[P/750]]&lt;Expenses!$C$31,2,IF(Table1[[#This Row],[P/750]]&lt;Expenses!$C$32,3,4)))</f>
        <v>3</v>
      </c>
      <c r="AH488" s="37" t="s">
        <v>1130</v>
      </c>
      <c r="AI488" s="11">
        <f>Table1[[#This Row],[Price]]/Table1[[#This Row],[Size (ml)]]*750</f>
        <v>32.994999999999997</v>
      </c>
      <c r="AJ488" s="37">
        <v>89</v>
      </c>
      <c r="AK488" s="37">
        <f>COUNTIF(UniqueID!A:A,Table1[[#This Row],[ID]])</f>
        <v>1</v>
      </c>
      <c r="AL488" s="37" t="str">
        <f>VLOOKUP(Table1[[#This Row],[Cellar Location]],Location!A:F,6,FALSE)</f>
        <v>S</v>
      </c>
      <c r="AN488" s="37"/>
      <c r="AO488" s="37" t="str">
        <f>TEXT(Table1[[#This Row],[Purchased]],"mmmm")</f>
        <v>January</v>
      </c>
      <c r="AP488" s="10" t="str">
        <f>TEXT(Table1[[#This Row],[Purchased]],"yyyy")</f>
        <v>1900</v>
      </c>
      <c r="AQ488" s="10"/>
    </row>
    <row r="489" spans="1:43" x14ac:dyDescent="0.25">
      <c r="A489" s="37" t="str">
        <f t="shared" si="36"/>
        <v>2008Tua RitaGiusto di Notri</v>
      </c>
      <c r="B489" s="37">
        <v>2008</v>
      </c>
      <c r="C489" s="37" t="s">
        <v>859</v>
      </c>
      <c r="D489" s="37" t="s">
        <v>860</v>
      </c>
      <c r="E489" s="67" t="s">
        <v>1563</v>
      </c>
      <c r="F489" s="37" t="s">
        <v>728</v>
      </c>
      <c r="G489" s="37" t="s">
        <v>790</v>
      </c>
      <c r="H489" s="37" t="s">
        <v>796</v>
      </c>
      <c r="I489" s="8">
        <v>1</v>
      </c>
      <c r="J489" s="38">
        <v>750</v>
      </c>
      <c r="K489" s="38" t="s">
        <v>1564</v>
      </c>
      <c r="L489" s="10">
        <f>COUNTIF(Drank!A:A,Table1[[#This Row],[ID]])</f>
        <v>0</v>
      </c>
      <c r="M489" t="s">
        <v>202</v>
      </c>
      <c r="N489" t="s">
        <v>207</v>
      </c>
      <c r="O489">
        <v>1</v>
      </c>
      <c r="P489" s="10">
        <v>2016</v>
      </c>
      <c r="Q489">
        <v>2028</v>
      </c>
      <c r="R489" s="10" t="str">
        <f>IF(IFERROR(VLOOKUP(A489,Drank!A:S,15,FALSE),"")=0,"",IFERROR(VLOOKUP(A489,Drank!A:S,15,FALSE),""))</f>
        <v/>
      </c>
      <c r="S489" s="10" t="str">
        <f>IF(IFERROR(VLOOKUP(A489,Drank!A:S,16,FALSE),"")=0,"",IFERROR(VLOOKUP(A489,Drank!A:S,16,FALSE),""))</f>
        <v/>
      </c>
      <c r="T489" s="10"/>
      <c r="U489">
        <v>94</v>
      </c>
      <c r="V489" s="18" t="str">
        <f>IF(IFERROR(VLOOKUP(A489,Drank!A:T,19,FALSE),"")=0,"",IFERROR(VLOOKUP(A489,Drank!A:T,19,FALSE),""))</f>
        <v/>
      </c>
      <c r="W489" s="1" t="str">
        <f>IF(IFERROR(VLOOKUP(A489,Drank!A:T,20,FALSE),"")=0,"",IFERROR(VLOOKUP(A489,Drank!A:T,20,FALSE),""))</f>
        <v/>
      </c>
      <c r="X489" s="10">
        <f>SUMIF(A:A,A489,I:I)</f>
        <v>12</v>
      </c>
      <c r="Y489" s="10">
        <f>IF(Table1[[#This Row],[Drank]]&gt;0,VLOOKUP(Table1[[#This Row],[ID]],Drank!A:P,16,FALSE),IF(Table1[[#This Row],[WALDD]]&gt;0,VLOOKUP(Table1[[#This Row],[ID]],Wine1!A:Q,17,FALSE),Table1[[#This Row],[EP]]))</f>
        <v>2028</v>
      </c>
      <c r="Z489" s="18">
        <f>IF(Table1[[#This Row],[My Rating]]="",IF(Table1[[#This Row],[WA Rating Clean]]="","",Table1[[#This Row],[WA Rating Clean]]),Table1[[#This Row],[My Rating]])</f>
        <v>94</v>
      </c>
      <c r="AA489" s="37">
        <v>2023</v>
      </c>
      <c r="AB489" s="128">
        <v>54.41</v>
      </c>
      <c r="AC489" s="2">
        <f t="shared" si="37"/>
        <v>54.41</v>
      </c>
      <c r="AD489" s="8">
        <v>1</v>
      </c>
      <c r="AE489" s="10">
        <f>IF(Table1[[#This Row],[P/750]]&lt;20,1,IF(Table1[[#This Row],[P/750]]&lt;50,2,3))</f>
        <v>3</v>
      </c>
      <c r="AF489" s="10">
        <f>IF(Table1[[#This Row],[P/750]]&lt;Expenses!$C$30,1,IF(Table1[[#This Row],[P/750]]&lt;Expenses!$C$31,2,IF(Table1[[#This Row],[P/750]]&lt;Expenses!$C$32,3,4)))</f>
        <v>3</v>
      </c>
      <c r="AH489" s="37" t="s">
        <v>1564</v>
      </c>
      <c r="AI489" s="11">
        <f>Table1[[#This Row],[Price]]/Table1[[#This Row],[Size (ml)]]*750</f>
        <v>54.41</v>
      </c>
      <c r="AJ489">
        <v>94</v>
      </c>
      <c r="AK489" s="10">
        <f>COUNTIF(UniqueID!A:A,Table1[[#This Row],[ID]])</f>
        <v>0</v>
      </c>
      <c r="AL489" s="10" t="str">
        <f>VLOOKUP(Table1[[#This Row],[Cellar Location]],Location!A:F,6,FALSE)</f>
        <v>W</v>
      </c>
      <c r="AN489" s="1">
        <v>44045</v>
      </c>
      <c r="AO489" s="10" t="str">
        <f>TEXT(Table1[[#This Row],[Purchased]],"mmmm")</f>
        <v>August</v>
      </c>
      <c r="AP489" s="10" t="str">
        <f>TEXT(Table1[[#This Row],[Purchased]],"yyyy")</f>
        <v>2020</v>
      </c>
      <c r="AQ489" s="1">
        <v>44094</v>
      </c>
    </row>
    <row r="490" spans="1:43" x14ac:dyDescent="0.25">
      <c r="A490" s="37" t="str">
        <f t="shared" si="36"/>
        <v>2015Giuseppe CampagnolaAmarone della Valpolicella Classico Vigneti Vallata di Marano</v>
      </c>
      <c r="B490" s="37">
        <v>2015</v>
      </c>
      <c r="C490" s="9" t="s">
        <v>311</v>
      </c>
      <c r="D490" s="9" t="s">
        <v>592</v>
      </c>
      <c r="E490" s="64" t="s">
        <v>313</v>
      </c>
      <c r="F490" s="37" t="s">
        <v>728</v>
      </c>
      <c r="G490" s="37" t="s">
        <v>799</v>
      </c>
      <c r="H490" s="37" t="s">
        <v>800</v>
      </c>
      <c r="I490" s="8">
        <v>1</v>
      </c>
      <c r="J490" s="38">
        <v>750</v>
      </c>
      <c r="K490" s="38" t="s">
        <v>384</v>
      </c>
      <c r="L490" s="10">
        <f>COUNTIF(Drank!A:A,Table1[[#This Row],[ID]])</f>
        <v>1</v>
      </c>
      <c r="M490" t="s">
        <v>202</v>
      </c>
      <c r="N490" t="s">
        <v>207</v>
      </c>
      <c r="O490">
        <v>1</v>
      </c>
      <c r="P490" s="10">
        <v>2019</v>
      </c>
      <c r="Q490">
        <v>2028</v>
      </c>
      <c r="R490" s="10">
        <f>IF(IFERROR(VLOOKUP(A490,Drank!A:S,15,FALSE),"")=0,"",IFERROR(VLOOKUP(A490,Drank!A:S,15,FALSE),""))</f>
        <v>2025</v>
      </c>
      <c r="S490" s="10">
        <f>IF(IFERROR(VLOOKUP(A490,Drank!A:S,16,FALSE),"")=0,"",IFERROR(VLOOKUP(A490,Drank!A:S,16,FALSE),""))</f>
        <v>2028</v>
      </c>
      <c r="T490" s="10"/>
      <c r="U490">
        <v>91</v>
      </c>
      <c r="V490" s="18">
        <f>IF(IFERROR(VLOOKUP(A490,Drank!A:T,19,FALSE),"")=0,"",IFERROR(VLOOKUP(A490,Drank!A:T,19,FALSE),""))</f>
        <v>92</v>
      </c>
      <c r="W490" s="1">
        <f>IF(IFERROR(VLOOKUP(A490,Drank!A:T,20,FALSE),"")=0,"",IFERROR(VLOOKUP(A490,Drank!A:T,20,FALSE),""))</f>
        <v>43890</v>
      </c>
      <c r="X490" s="10">
        <f>SUMIF(A:A,A490,I:I)</f>
        <v>8</v>
      </c>
      <c r="Y490" s="10">
        <f>IF(Table1[[#This Row],[Drank]]&gt;0,VLOOKUP(Table1[[#This Row],[ID]],Drank!A:P,16,FALSE),IF(Table1[[#This Row],[WALDD]]&gt;0,VLOOKUP(Table1[[#This Row],[ID]],Wine1!A:Q,17,FALSE),Table1[[#This Row],[EP]]))</f>
        <v>2028</v>
      </c>
      <c r="Z490" s="18">
        <f>IF(Table1[[#This Row],[My Rating]]="",IF(Table1[[#This Row],[WA Rating Clean]]="","",Table1[[#This Row],[WA Rating Clean]]),Table1[[#This Row],[My Rating]])</f>
        <v>92</v>
      </c>
      <c r="AA490" s="37">
        <v>2023</v>
      </c>
      <c r="AB490" s="128">
        <v>32.58</v>
      </c>
      <c r="AC490" s="2">
        <f t="shared" si="37"/>
        <v>32.58</v>
      </c>
      <c r="AD490" s="8">
        <v>1</v>
      </c>
      <c r="AE490" s="10">
        <f>IF(Table1[[#This Row],[P/750]]&lt;20,1,IF(Table1[[#This Row],[P/750]]&lt;50,2,3))</f>
        <v>2</v>
      </c>
      <c r="AF490" s="10">
        <f>IF(Table1[[#This Row],[P/750]]&lt;Expenses!$C$30,1,IF(Table1[[#This Row],[P/750]]&lt;Expenses!$C$31,2,IF(Table1[[#This Row],[P/750]]&lt;Expenses!$C$32,3,4)))</f>
        <v>3</v>
      </c>
      <c r="AH490" s="37" t="s">
        <v>384</v>
      </c>
      <c r="AI490" s="11">
        <f>Table1[[#This Row],[Price]]/Table1[[#This Row],[Size (ml)]]*750</f>
        <v>32.58</v>
      </c>
      <c r="AJ490">
        <v>91</v>
      </c>
      <c r="AK490" s="10">
        <f>COUNTIF(UniqueID!A:A,Table1[[#This Row],[ID]])</f>
        <v>1</v>
      </c>
      <c r="AL490" s="10" t="str">
        <f>VLOOKUP(Table1[[#This Row],[Cellar Location]],Location!A:F,6,FALSE)</f>
        <v>W</v>
      </c>
      <c r="AN490" s="1">
        <v>44063</v>
      </c>
      <c r="AO490" s="10" t="str">
        <f>TEXT(Table1[[#This Row],[Purchased]],"mmmm")</f>
        <v>August</v>
      </c>
      <c r="AP490" s="10" t="str">
        <f>TEXT(Table1[[#This Row],[Purchased]],"yyyy")</f>
        <v>2020</v>
      </c>
      <c r="AQ490" s="1">
        <v>44137</v>
      </c>
    </row>
    <row r="491" spans="1:43" x14ac:dyDescent="0.25">
      <c r="A491" t="str">
        <f t="shared" si="36"/>
        <v>2017Richard RottiersMoulin-Ã -Vent Foudres</v>
      </c>
      <c r="B491" s="37">
        <v>2017</v>
      </c>
      <c r="C491" s="30" t="s">
        <v>445</v>
      </c>
      <c r="D491" s="9" t="s">
        <v>446</v>
      </c>
      <c r="E491" s="69" t="s">
        <v>336</v>
      </c>
      <c r="F491" s="37" t="s">
        <v>742</v>
      </c>
      <c r="G491" s="37" t="s">
        <v>745</v>
      </c>
      <c r="H491" s="37" t="s">
        <v>746</v>
      </c>
      <c r="I491" s="107">
        <v>1</v>
      </c>
      <c r="J491" s="37">
        <v>750</v>
      </c>
      <c r="K491" s="108" t="s">
        <v>591</v>
      </c>
      <c r="L491" s="10">
        <f>COUNTIF(Drank!A:A,Table1[[#This Row],[ID]])</f>
        <v>2</v>
      </c>
      <c r="M491" t="s">
        <v>202</v>
      </c>
      <c r="N491" t="s">
        <v>207</v>
      </c>
      <c r="O491">
        <v>1</v>
      </c>
      <c r="P491" s="10">
        <v>2019</v>
      </c>
      <c r="Q491">
        <v>2029</v>
      </c>
      <c r="R491" s="10">
        <f>IF(IFERROR(VLOOKUP(A491,Drank!A:S,15,FALSE),"")=0,"",IFERROR(VLOOKUP(A491,Drank!A:S,15,FALSE),""))</f>
        <v>2021</v>
      </c>
      <c r="S491" s="10">
        <f>IF(IFERROR(VLOOKUP(A491,Drank!A:S,16,FALSE),"")=0,"",IFERROR(VLOOKUP(A491,Drank!A:S,16,FALSE),""))</f>
        <v>2029</v>
      </c>
      <c r="T491" s="10"/>
      <c r="U491">
        <v>92</v>
      </c>
      <c r="V491" s="18">
        <f>IF(IFERROR(VLOOKUP(A491,Drank!A:T,19,FALSE),"")=0,"",IFERROR(VLOOKUP(A491,Drank!A:T,19,FALSE),""))</f>
        <v>90</v>
      </c>
      <c r="W491" s="1">
        <f>IF(IFERROR(VLOOKUP(A491,Drank!A:T,20,FALSE),"")=0,"",IFERROR(VLOOKUP(A491,Drank!A:T,20,FALSE),""))</f>
        <v>43835</v>
      </c>
      <c r="X491" s="10">
        <f>SUMIF(A:A,A491,I:I)</f>
        <v>10</v>
      </c>
      <c r="Y491" s="10">
        <f>IF(Table1[[#This Row],[Drank]]&gt;0,VLOOKUP(Table1[[#This Row],[ID]],Drank!A:P,16,FALSE),IF(Table1[[#This Row],[WALDD]]&gt;0,VLOOKUP(Table1[[#This Row],[ID]],Wine1!A:Q,17,FALSE),Table1[[#This Row],[EP]]))</f>
        <v>2029</v>
      </c>
      <c r="Z491" s="18">
        <f>IF(Table1[[#This Row],[My Rating]]="",IF(Table1[[#This Row],[WA Rating Clean]]="","",Table1[[#This Row],[WA Rating Clean]]),Table1[[#This Row],[My Rating]])</f>
        <v>90</v>
      </c>
      <c r="AA491" s="37">
        <v>2023</v>
      </c>
      <c r="AB491" s="128">
        <v>14.99</v>
      </c>
      <c r="AC491" s="2">
        <f t="shared" si="37"/>
        <v>14.99</v>
      </c>
      <c r="AD491" s="8">
        <v>2</v>
      </c>
      <c r="AE491" s="10">
        <f>IF(Table1[[#This Row],[P/750]]&lt;20,1,IF(Table1[[#This Row],[P/750]]&lt;50,2,3))</f>
        <v>1</v>
      </c>
      <c r="AF491" s="10">
        <f>IF(Table1[[#This Row],[P/750]]&lt;Expenses!$C$30,1,IF(Table1[[#This Row],[P/750]]&lt;Expenses!$C$31,2,IF(Table1[[#This Row],[P/750]]&lt;Expenses!$C$32,3,4)))</f>
        <v>1</v>
      </c>
      <c r="AH491" s="37" t="s">
        <v>384</v>
      </c>
      <c r="AI491" s="11">
        <f>Table1[[#This Row],[Price]]/Table1[[#This Row],[Size (ml)]]*750</f>
        <v>14.99</v>
      </c>
      <c r="AJ491" s="37">
        <v>92</v>
      </c>
      <c r="AK491" s="37">
        <f>COUNTIF(UniqueID!A:A,Table1[[#This Row],[ID]])</f>
        <v>1</v>
      </c>
      <c r="AL491" s="37" t="str">
        <f>VLOOKUP(Table1[[#This Row],[Cellar Location]],Location!A:F,6,FALSE)</f>
        <v>S</v>
      </c>
      <c r="AN491" s="37"/>
      <c r="AO491" s="37" t="str">
        <f>TEXT(Table1[[#This Row],[Purchased]],"mmmm")</f>
        <v>January</v>
      </c>
      <c r="AP491" s="10" t="str">
        <f>TEXT(Table1[[#This Row],[Purchased]],"yyyy")</f>
        <v>1900</v>
      </c>
      <c r="AQ491" s="10"/>
    </row>
    <row r="492" spans="1:43" x14ac:dyDescent="0.25">
      <c r="A492" t="str">
        <f t="shared" si="36"/>
        <v>2017Altos Las HormigasMalbec Appellation Gualtallary</v>
      </c>
      <c r="B492" s="37">
        <v>2017</v>
      </c>
      <c r="C492" s="9" t="s">
        <v>232</v>
      </c>
      <c r="D492" s="9" t="s">
        <v>233</v>
      </c>
      <c r="E492" s="67" t="s">
        <v>1207</v>
      </c>
      <c r="F492" s="37" t="s">
        <v>731</v>
      </c>
      <c r="G492" s="37" t="s">
        <v>732</v>
      </c>
      <c r="H492" s="37" t="s">
        <v>1190</v>
      </c>
      <c r="I492" s="8">
        <v>1</v>
      </c>
      <c r="J492" s="107">
        <v>750</v>
      </c>
      <c r="K492" s="8" t="s">
        <v>1846</v>
      </c>
      <c r="L492" s="10">
        <f>COUNTIF(Drank!A:A,Table1[[#This Row],[ID]])</f>
        <v>1</v>
      </c>
      <c r="M492" t="s">
        <v>202</v>
      </c>
      <c r="N492" t="s">
        <v>207</v>
      </c>
      <c r="O492">
        <v>1</v>
      </c>
      <c r="P492" s="10">
        <v>2019</v>
      </c>
      <c r="Q492">
        <v>2030</v>
      </c>
      <c r="R492" s="10">
        <f>IF(IFERROR(VLOOKUP(A492,Drank!A:S,15,FALSE),"")=0,"",IFERROR(VLOOKUP(A492,Drank!A:S,15,FALSE),""))</f>
        <v>2022</v>
      </c>
      <c r="S492" s="10">
        <f>IF(IFERROR(VLOOKUP(A492,Drank!A:S,16,FALSE),"")=0,"",IFERROR(VLOOKUP(A492,Drank!A:S,16,FALSE),""))</f>
        <v>2030</v>
      </c>
      <c r="T492" s="10"/>
      <c r="U492" t="s">
        <v>1180</v>
      </c>
      <c r="V492" s="18">
        <f>IF(IFERROR(VLOOKUP(A492,Drank!A:T,19,FALSE),"")=0,"",IFERROR(VLOOKUP(A492,Drank!A:T,19,FALSE),""))</f>
        <v>94</v>
      </c>
      <c r="W492" s="1">
        <f>IF(IFERROR(VLOOKUP(A492,Drank!A:T,20,FALSE),"")=0,"",IFERROR(VLOOKUP(A492,Drank!A:T,20,FALSE),""))</f>
        <v>43953</v>
      </c>
      <c r="X492" s="10">
        <f>SUMIF(A:A,A492,I:I)</f>
        <v>38</v>
      </c>
      <c r="Y492" s="10">
        <f>IF(Table1[[#This Row],[Drank]]&gt;0,VLOOKUP(Table1[[#This Row],[ID]],Drank!A:P,16,FALSE),IF(Table1[[#This Row],[WALDD]]&gt;0,VLOOKUP(Table1[[#This Row],[ID]],Wine1!A:Q,17,FALSE),Table1[[#This Row],[EP]]))</f>
        <v>2030</v>
      </c>
      <c r="Z492" s="18">
        <f>IF(Table1[[#This Row],[My Rating]]="",IF(Table1[[#This Row],[WA Rating Clean]]="","",Table1[[#This Row],[WA Rating Clean]]),Table1[[#This Row],[My Rating]])</f>
        <v>94</v>
      </c>
      <c r="AA492" s="37">
        <v>2023</v>
      </c>
      <c r="AB492" s="128">
        <v>35.85</v>
      </c>
      <c r="AC492" s="2">
        <f t="shared" si="37"/>
        <v>35.85</v>
      </c>
      <c r="AD492" s="8">
        <v>1</v>
      </c>
      <c r="AE492" s="10">
        <f>IF(Table1[[#This Row],[P/750]]&lt;20,1,IF(Table1[[#This Row],[P/750]]&lt;50,2,3))</f>
        <v>2</v>
      </c>
      <c r="AF492" s="10">
        <f>IF(Table1[[#This Row],[P/750]]&lt;Expenses!$C$30,1,IF(Table1[[#This Row],[P/750]]&lt;Expenses!$C$31,2,IF(Table1[[#This Row],[P/750]]&lt;Expenses!$C$32,3,4)))</f>
        <v>3</v>
      </c>
      <c r="AH492" t="s">
        <v>1128</v>
      </c>
      <c r="AI492" s="11">
        <f>Table1[[#This Row],[Price]]/Table1[[#This Row],[Size (ml)]]*750</f>
        <v>35.85</v>
      </c>
      <c r="AJ492">
        <v>96</v>
      </c>
      <c r="AK492" s="10">
        <f>COUNTIF(UniqueID!A:A,Table1[[#This Row],[ID]])</f>
        <v>1</v>
      </c>
      <c r="AL492" s="10" t="str">
        <f>VLOOKUP(Table1[[#This Row],[Cellar Location]],Location!A:F,6,FALSE)</f>
        <v>S</v>
      </c>
      <c r="AN492" s="1">
        <v>44070</v>
      </c>
      <c r="AO492" s="10" t="str">
        <f>TEXT(Table1[[#This Row],[Purchased]],"mmmm")</f>
        <v>August</v>
      </c>
      <c r="AP492" s="10" t="str">
        <f>TEXT(Table1[[#This Row],[Purchased]],"yyyy")</f>
        <v>2020</v>
      </c>
      <c r="AQ492" s="1"/>
    </row>
    <row r="493" spans="1:43" x14ac:dyDescent="0.25">
      <c r="A493" t="str">
        <f t="shared" si="36"/>
        <v>2017Altos Las HormigasMalbec Appellation Gualtallary</v>
      </c>
      <c r="B493" s="37">
        <v>2017</v>
      </c>
      <c r="C493" s="9" t="s">
        <v>232</v>
      </c>
      <c r="D493" s="9" t="s">
        <v>233</v>
      </c>
      <c r="E493" s="67" t="s">
        <v>1207</v>
      </c>
      <c r="F493" s="37" t="s">
        <v>731</v>
      </c>
      <c r="G493" s="37" t="s">
        <v>732</v>
      </c>
      <c r="H493" s="37" t="s">
        <v>1190</v>
      </c>
      <c r="I493" s="8">
        <v>1</v>
      </c>
      <c r="J493" s="107">
        <v>750</v>
      </c>
      <c r="K493" s="8" t="s">
        <v>1846</v>
      </c>
      <c r="L493" s="10">
        <f>COUNTIF(Drank!A:A,Table1[[#This Row],[ID]])</f>
        <v>1</v>
      </c>
      <c r="M493" t="s">
        <v>202</v>
      </c>
      <c r="N493" t="s">
        <v>207</v>
      </c>
      <c r="O493">
        <v>1</v>
      </c>
      <c r="P493" s="10">
        <v>2019</v>
      </c>
      <c r="Q493">
        <v>2030</v>
      </c>
      <c r="R493" s="10">
        <f>IF(IFERROR(VLOOKUP(A493,Drank!A:S,15,FALSE),"")=0,"",IFERROR(VLOOKUP(A493,Drank!A:S,15,FALSE),""))</f>
        <v>2022</v>
      </c>
      <c r="S493" s="10">
        <f>IF(IFERROR(VLOOKUP(A493,Drank!A:S,16,FALSE),"")=0,"",IFERROR(VLOOKUP(A493,Drank!A:S,16,FALSE),""))</f>
        <v>2030</v>
      </c>
      <c r="T493" s="10"/>
      <c r="U493" t="s">
        <v>1180</v>
      </c>
      <c r="V493" s="18">
        <f>IF(IFERROR(VLOOKUP(A493,Drank!A:T,19,FALSE),"")=0,"",IFERROR(VLOOKUP(A493,Drank!A:T,19,FALSE),""))</f>
        <v>94</v>
      </c>
      <c r="W493" s="1">
        <f>IF(IFERROR(VLOOKUP(A493,Drank!A:T,20,FALSE),"")=0,"",IFERROR(VLOOKUP(A493,Drank!A:T,20,FALSE),""))</f>
        <v>43953</v>
      </c>
      <c r="X493" s="10">
        <f>SUMIF(A:A,A493,I:I)</f>
        <v>38</v>
      </c>
      <c r="Y493" s="10">
        <f>IF(Table1[[#This Row],[Drank]]&gt;0,VLOOKUP(Table1[[#This Row],[ID]],Drank!A:P,16,FALSE),IF(Table1[[#This Row],[WALDD]]&gt;0,VLOOKUP(Table1[[#This Row],[ID]],Wine1!A:Q,17,FALSE),Table1[[#This Row],[EP]]))</f>
        <v>2030</v>
      </c>
      <c r="Z493" s="18">
        <f>IF(Table1[[#This Row],[My Rating]]="",IF(Table1[[#This Row],[WA Rating Clean]]="","",Table1[[#This Row],[WA Rating Clean]]),Table1[[#This Row],[My Rating]])</f>
        <v>94</v>
      </c>
      <c r="AA493" s="37">
        <v>2023</v>
      </c>
      <c r="AB493" s="128">
        <v>35.85</v>
      </c>
      <c r="AC493" s="2">
        <f t="shared" si="37"/>
        <v>35.85</v>
      </c>
      <c r="AD493" s="8">
        <v>1</v>
      </c>
      <c r="AE493" s="10">
        <f>IF(Table1[[#This Row],[P/750]]&lt;20,1,IF(Table1[[#This Row],[P/750]]&lt;50,2,3))</f>
        <v>2</v>
      </c>
      <c r="AF493" s="10">
        <f>IF(Table1[[#This Row],[P/750]]&lt;Expenses!$C$30,1,IF(Table1[[#This Row],[P/750]]&lt;Expenses!$C$31,2,IF(Table1[[#This Row],[P/750]]&lt;Expenses!$C$32,3,4)))</f>
        <v>3</v>
      </c>
      <c r="AH493" s="37" t="s">
        <v>1128</v>
      </c>
      <c r="AI493" s="11">
        <f>Table1[[#This Row],[Price]]/Table1[[#This Row],[Size (ml)]]*750</f>
        <v>35.85</v>
      </c>
      <c r="AJ493">
        <v>96</v>
      </c>
      <c r="AK493" s="10">
        <f>COUNTIF(UniqueID!A:A,Table1[[#This Row],[ID]])</f>
        <v>1</v>
      </c>
      <c r="AL493" s="10" t="str">
        <f>VLOOKUP(Table1[[#This Row],[Cellar Location]],Location!A:F,6,FALSE)</f>
        <v>S</v>
      </c>
      <c r="AN493" s="1">
        <v>44070</v>
      </c>
      <c r="AO493" s="10" t="str">
        <f>TEXT(Table1[[#This Row],[Purchased]],"mmmm")</f>
        <v>August</v>
      </c>
      <c r="AP493" s="10" t="str">
        <f>TEXT(Table1[[#This Row],[Purchased]],"yyyy")</f>
        <v>2020</v>
      </c>
      <c r="AQ493" s="1"/>
    </row>
    <row r="494" spans="1:43" x14ac:dyDescent="0.25">
      <c r="A494" t="str">
        <f t="shared" si="36"/>
        <v>2010Chateau Sigalas RabaudLieutenant de Sigalas</v>
      </c>
      <c r="B494" s="37">
        <v>2010</v>
      </c>
      <c r="C494" s="37" t="s">
        <v>1337</v>
      </c>
      <c r="D494" s="37" t="s">
        <v>1338</v>
      </c>
      <c r="E494" s="67" t="s">
        <v>1339</v>
      </c>
      <c r="F494" s="67" t="s">
        <v>742</v>
      </c>
      <c r="G494" s="37" t="s">
        <v>748</v>
      </c>
      <c r="H494" s="37" t="s">
        <v>260</v>
      </c>
      <c r="I494" s="107">
        <v>1</v>
      </c>
      <c r="J494" s="37">
        <v>375</v>
      </c>
      <c r="K494" s="107" t="s">
        <v>1504</v>
      </c>
      <c r="L494" s="10">
        <f>COUNTIF(Drank!A:A,Table1[[#This Row],[ID]])</f>
        <v>1</v>
      </c>
      <c r="M494" t="s">
        <v>201</v>
      </c>
      <c r="N494" t="s">
        <v>206</v>
      </c>
      <c r="O494">
        <v>0</v>
      </c>
      <c r="P494" s="10"/>
      <c r="R494" s="10">
        <f>IF(IFERROR(VLOOKUP(A494,Drank!A:S,15,FALSE),"")=0,"",IFERROR(VLOOKUP(A494,Drank!A:S,15,FALSE),""))</f>
        <v>2021</v>
      </c>
      <c r="S494" s="10">
        <f>IF(IFERROR(VLOOKUP(A494,Drank!A:S,16,FALSE),"")=0,"",IFERROR(VLOOKUP(A494,Drank!A:S,16,FALSE),""))</f>
        <v>2030</v>
      </c>
      <c r="T494" s="10">
        <v>2028</v>
      </c>
      <c r="V494" s="18">
        <f>IF(IFERROR(VLOOKUP(A494,Drank!A:T,19,FALSE),"")=0,"",IFERROR(VLOOKUP(A494,Drank!A:T,19,FALSE),""))</f>
        <v>88</v>
      </c>
      <c r="W494" s="1" t="str">
        <f>IF(IFERROR(VLOOKUP(A494,Drank!A:T,20,FALSE),"")=0,"",IFERROR(VLOOKUP(A494,Drank!A:T,20,FALSE),""))</f>
        <v/>
      </c>
      <c r="X494" s="10">
        <f>SUMIF(A:A,A494,I:I)</f>
        <v>9</v>
      </c>
      <c r="Y494" s="10">
        <f>IF(Table1[[#This Row],[Drank]]&gt;0,VLOOKUP(Table1[[#This Row],[ID]],Drank!A:P,16,FALSE),IF(Table1[[#This Row],[WALDD]]&gt;0,VLOOKUP(Table1[[#This Row],[ID]],Wine1!A:Q,17,FALSE),Table1[[#This Row],[EP]]))</f>
        <v>2030</v>
      </c>
      <c r="Z494" s="18">
        <f>IF(Table1[[#This Row],[My Rating]]="",IF(Table1[[#This Row],[WA Rating Clean]]="","",Table1[[#This Row],[WA Rating Clean]]),Table1[[#This Row],[My Rating]])</f>
        <v>88</v>
      </c>
      <c r="AA494" s="8">
        <v>2023</v>
      </c>
      <c r="AB494" s="128">
        <v>13.11</v>
      </c>
      <c r="AC494" s="2">
        <f t="shared" si="37"/>
        <v>13.11</v>
      </c>
      <c r="AD494" s="8">
        <v>2</v>
      </c>
      <c r="AE494" s="10">
        <f>IF(Table1[[#This Row],[P/750]]&lt;20,1,IF(Table1[[#This Row],[P/750]]&lt;50,2,3))</f>
        <v>2</v>
      </c>
      <c r="AF494" s="10">
        <f>IF(Table1[[#This Row],[P/750]]&lt;Expenses!$C$30,1,IF(Table1[[#This Row],[P/750]]&lt;Expenses!$C$31,2,IF(Table1[[#This Row],[P/750]]&lt;Expenses!$C$32,3,4)))</f>
        <v>2</v>
      </c>
      <c r="AH494" s="37" t="s">
        <v>385</v>
      </c>
      <c r="AI494" s="11">
        <f>Table1[[#This Row],[Price]]/Table1[[#This Row],[Size (ml)]]*750</f>
        <v>26.22</v>
      </c>
      <c r="AJ494" s="37"/>
      <c r="AK494" s="10">
        <f>COUNTIF(UniqueID!A:A,Table1[[#This Row],[ID]])</f>
        <v>0</v>
      </c>
      <c r="AL494" s="10" t="str">
        <f>VLOOKUP(Table1[[#This Row],[Cellar Location]],Location!A:F,6,FALSE)</f>
        <v>S</v>
      </c>
      <c r="AN494" s="1">
        <v>43923</v>
      </c>
      <c r="AO494" s="10" t="str">
        <f>TEXT(Table1[[#This Row],[Purchased]],"mmmm")</f>
        <v>April</v>
      </c>
      <c r="AP494" s="10" t="str">
        <f>TEXT(Table1[[#This Row],[Purchased]],"yyyy")</f>
        <v>2020</v>
      </c>
      <c r="AQ494" s="10"/>
    </row>
    <row r="495" spans="1:43" x14ac:dyDescent="0.25">
      <c r="A495" t="str">
        <f t="shared" si="36"/>
        <v>2017Altos Las HormigasMalbec Appellation Gualtallary</v>
      </c>
      <c r="B495" s="37">
        <v>2017</v>
      </c>
      <c r="C495" s="9" t="s">
        <v>232</v>
      </c>
      <c r="D495" s="9" t="s">
        <v>233</v>
      </c>
      <c r="E495" s="67" t="s">
        <v>1207</v>
      </c>
      <c r="F495" s="37" t="s">
        <v>731</v>
      </c>
      <c r="G495" s="37" t="s">
        <v>732</v>
      </c>
      <c r="H495" s="37" t="s">
        <v>1190</v>
      </c>
      <c r="I495" s="107">
        <v>1</v>
      </c>
      <c r="J495">
        <v>750</v>
      </c>
      <c r="K495" s="107" t="s">
        <v>627</v>
      </c>
      <c r="L495" s="10">
        <f>COUNTIF(Drank!A:A,Table1[[#This Row],[ID]])</f>
        <v>1</v>
      </c>
      <c r="M495" t="s">
        <v>202</v>
      </c>
      <c r="N495" t="s">
        <v>207</v>
      </c>
      <c r="O495">
        <v>1</v>
      </c>
      <c r="P495" s="10">
        <v>2019</v>
      </c>
      <c r="Q495">
        <v>2030</v>
      </c>
      <c r="R495" s="10">
        <f>IF(IFERROR(VLOOKUP(A495,Drank!A:S,15,FALSE),"")=0,"",IFERROR(VLOOKUP(A495,Drank!A:S,15,FALSE),""))</f>
        <v>2022</v>
      </c>
      <c r="S495" s="10">
        <f>IF(IFERROR(VLOOKUP(A495,Drank!A:S,16,FALSE),"")=0,"",IFERROR(VLOOKUP(A495,Drank!A:S,16,FALSE),""))</f>
        <v>2030</v>
      </c>
      <c r="T495" s="10"/>
      <c r="U495" t="s">
        <v>1180</v>
      </c>
      <c r="V495" s="18">
        <f>IF(IFERROR(VLOOKUP(A495,Drank!A:T,19,FALSE),"")=0,"",IFERROR(VLOOKUP(A495,Drank!A:T,19,FALSE),""))</f>
        <v>94</v>
      </c>
      <c r="W495" s="1">
        <f>IF(IFERROR(VLOOKUP(A495,Drank!A:T,20,FALSE),"")=0,"",IFERROR(VLOOKUP(A495,Drank!A:T,20,FALSE),""))</f>
        <v>43953</v>
      </c>
      <c r="X495" s="10">
        <f>SUMIF(A:A,A495,I:I)</f>
        <v>38</v>
      </c>
      <c r="Y495" s="10">
        <f>IF(Table1[[#This Row],[Drank]]&gt;0,VLOOKUP(Table1[[#This Row],[ID]],Drank!A:P,16,FALSE),IF(Table1[[#This Row],[WALDD]]&gt;0,VLOOKUP(Table1[[#This Row],[ID]],Wine1!A:Q,17,FALSE),Table1[[#This Row],[EP]]))</f>
        <v>2030</v>
      </c>
      <c r="Z495" s="18">
        <f>IF(Table1[[#This Row],[My Rating]]="",IF(Table1[[#This Row],[WA Rating Clean]]="","",Table1[[#This Row],[WA Rating Clean]]),Table1[[#This Row],[My Rating]])</f>
        <v>94</v>
      </c>
      <c r="AA495" s="37">
        <v>2023</v>
      </c>
      <c r="AB495" s="128">
        <v>39.97</v>
      </c>
      <c r="AC495" s="2">
        <f t="shared" si="37"/>
        <v>39.97</v>
      </c>
      <c r="AD495" s="8">
        <v>2</v>
      </c>
      <c r="AE495" s="10">
        <f>IF(Table1[[#This Row],[P/750]]&lt;20,1,IF(Table1[[#This Row],[P/750]]&lt;50,2,3))</f>
        <v>2</v>
      </c>
      <c r="AF495" s="10">
        <f>IF(Table1[[#This Row],[P/750]]&lt;Expenses!$C$30,1,IF(Table1[[#This Row],[P/750]]&lt;Expenses!$C$31,2,IF(Table1[[#This Row],[P/750]]&lt;Expenses!$C$32,3,4)))</f>
        <v>3</v>
      </c>
      <c r="AH495" s="37" t="s">
        <v>1188</v>
      </c>
      <c r="AI495" s="11">
        <f>Table1[[#This Row],[Price]]/Table1[[#This Row],[Size (ml)]]*750</f>
        <v>39.97</v>
      </c>
      <c r="AJ495">
        <v>96</v>
      </c>
      <c r="AK495" s="10">
        <f>COUNTIF(UniqueID!A:A,Table1[[#This Row],[ID]])</f>
        <v>1</v>
      </c>
      <c r="AL495" s="10" t="str">
        <f>VLOOKUP(Table1[[#This Row],[Cellar Location]],Location!A:F,6,FALSE)</f>
        <v>S</v>
      </c>
      <c r="AN495" s="1">
        <v>43860</v>
      </c>
      <c r="AO495" s="37" t="str">
        <f>TEXT(Table1[[#This Row],[Purchased]],"mmmm")</f>
        <v>January</v>
      </c>
      <c r="AP495" s="10" t="str">
        <f>TEXT(Table1[[#This Row],[Purchased]],"yyyy")</f>
        <v>2020</v>
      </c>
      <c r="AQ495" s="10"/>
    </row>
    <row r="496" spans="1:43" x14ac:dyDescent="0.25">
      <c r="A496" t="str">
        <f t="shared" si="36"/>
        <v>2016Casanova di NeriPietradonice</v>
      </c>
      <c r="B496" s="37">
        <v>2016</v>
      </c>
      <c r="C496" s="8" t="s">
        <v>18</v>
      </c>
      <c r="D496" s="37" t="s">
        <v>1179</v>
      </c>
      <c r="E496" s="64" t="s">
        <v>32</v>
      </c>
      <c r="F496" s="37" t="s">
        <v>728</v>
      </c>
      <c r="G496" s="37" t="s">
        <v>790</v>
      </c>
      <c r="H496" s="37" t="s">
        <v>796</v>
      </c>
      <c r="I496" s="37">
        <v>1</v>
      </c>
      <c r="J496" s="107">
        <v>750</v>
      </c>
      <c r="K496" s="37" t="s">
        <v>1542</v>
      </c>
      <c r="L496" s="10">
        <f>COUNTIF(Drank!A:A,Table1[[#This Row],[ID]])</f>
        <v>0</v>
      </c>
      <c r="M496" t="s">
        <v>202</v>
      </c>
      <c r="N496" t="s">
        <v>207</v>
      </c>
      <c r="O496">
        <v>1</v>
      </c>
      <c r="P496" s="10">
        <v>2019</v>
      </c>
      <c r="Q496">
        <v>2030</v>
      </c>
      <c r="R496" s="10" t="str">
        <f>IF(IFERROR(VLOOKUP(A496,Drank!A:S,15,FALSE),"")=0,"",IFERROR(VLOOKUP(A496,Drank!A:S,15,FALSE),""))</f>
        <v/>
      </c>
      <c r="S496" s="10" t="str">
        <f>IF(IFERROR(VLOOKUP(A496,Drank!A:S,16,FALSE),"")=0,"",IFERROR(VLOOKUP(A496,Drank!A:S,16,FALSE),""))</f>
        <v/>
      </c>
      <c r="T496" s="10"/>
      <c r="U496" t="s">
        <v>17</v>
      </c>
      <c r="V496" s="18" t="str">
        <f>IF(IFERROR(VLOOKUP(A496,Drank!A:T,19,FALSE),"")=0,"",IFERROR(VLOOKUP(A496,Drank!A:T,19,FALSE),""))</f>
        <v/>
      </c>
      <c r="W496" s="1" t="str">
        <f>IF(IFERROR(VLOOKUP(A496,Drank!A:T,20,FALSE),"")=0,"",IFERROR(VLOOKUP(A496,Drank!A:T,20,FALSE),""))</f>
        <v/>
      </c>
      <c r="X496" s="10">
        <f>SUMIF(A:A,A496,I:I)</f>
        <v>2</v>
      </c>
      <c r="Y496" s="10">
        <f>IF(Table1[[#This Row],[Drank]]&gt;0,VLOOKUP(Table1[[#This Row],[ID]],Drank!A:P,16,FALSE),IF(Table1[[#This Row],[WALDD]]&gt;0,VLOOKUP(Table1[[#This Row],[ID]],Wine1!A:Q,17,FALSE),Table1[[#This Row],[EP]]))</f>
        <v>2030</v>
      </c>
      <c r="Z496" s="18">
        <f>IF(Table1[[#This Row],[My Rating]]="",IF(Table1[[#This Row],[WA Rating Clean]]="","",Table1[[#This Row],[WA Rating Clean]]),Table1[[#This Row],[My Rating]])</f>
        <v>94</v>
      </c>
      <c r="AA496" s="37">
        <v>2023</v>
      </c>
      <c r="AB496" s="128">
        <v>68.94</v>
      </c>
      <c r="AC496" s="2">
        <f t="shared" si="37"/>
        <v>68.94</v>
      </c>
      <c r="AD496" s="8">
        <v>0</v>
      </c>
      <c r="AE496" s="10">
        <f>IF(Table1[[#This Row],[P/750]]&lt;20,1,IF(Table1[[#This Row],[P/750]]&lt;50,2,3))</f>
        <v>3</v>
      </c>
      <c r="AF496" s="10">
        <f>IF(Table1[[#This Row],[P/750]]&lt;Expenses!$C$30,1,IF(Table1[[#This Row],[P/750]]&lt;Expenses!$C$31,2,IF(Table1[[#This Row],[P/750]]&lt;Expenses!$C$32,3,4)))</f>
        <v>4</v>
      </c>
      <c r="AH496" s="37" t="s">
        <v>1189</v>
      </c>
      <c r="AI496" s="11">
        <f>Table1[[#This Row],[Price]]/Table1[[#This Row],[Size (ml)]]*750</f>
        <v>68.94</v>
      </c>
      <c r="AJ496">
        <v>94</v>
      </c>
      <c r="AK496" s="10">
        <f>COUNTIF(UniqueID!A:A,Table1[[#This Row],[ID]])</f>
        <v>1</v>
      </c>
      <c r="AL496" s="10" t="str">
        <f>VLOOKUP(Table1[[#This Row],[Cellar Location]],Location!A:F,6,FALSE)</f>
        <v>S</v>
      </c>
      <c r="AN496" s="1">
        <v>43860</v>
      </c>
      <c r="AO496" s="37" t="str">
        <f>TEXT(Table1[[#This Row],[Purchased]],"mmmm")</f>
        <v>January</v>
      </c>
      <c r="AP496" s="10" t="str">
        <f>TEXT(Table1[[#This Row],[Purchased]],"yyyy")</f>
        <v>2020</v>
      </c>
      <c r="AQ496" s="10"/>
    </row>
    <row r="497" spans="1:43" s="37" customFormat="1" x14ac:dyDescent="0.25">
      <c r="A497" s="37" t="str">
        <f t="shared" si="36"/>
        <v>2014F. E. TrimbachGewurztraminer</v>
      </c>
      <c r="B497" s="37">
        <v>2014</v>
      </c>
      <c r="C497" s="9" t="s">
        <v>109</v>
      </c>
      <c r="D497" s="9" t="s">
        <v>110</v>
      </c>
      <c r="E497" s="64" t="s">
        <v>110</v>
      </c>
      <c r="F497" s="37" t="s">
        <v>742</v>
      </c>
      <c r="G497" s="37" t="s">
        <v>743</v>
      </c>
      <c r="H497" s="37" t="s">
        <v>744</v>
      </c>
      <c r="I497" s="107">
        <v>1</v>
      </c>
      <c r="J497" s="37">
        <v>750</v>
      </c>
      <c r="K497" s="108" t="s">
        <v>657</v>
      </c>
      <c r="L497" s="37">
        <f>COUNTIF(Drank!A:A,Table1[[#This Row],[ID]])</f>
        <v>0</v>
      </c>
      <c r="M497" s="37" t="s">
        <v>201</v>
      </c>
      <c r="N497" s="37" t="s">
        <v>207</v>
      </c>
      <c r="O497" s="37">
        <v>1</v>
      </c>
      <c r="P497" s="37">
        <v>2020</v>
      </c>
      <c r="Q497" s="37">
        <v>2030</v>
      </c>
      <c r="R497" s="37" t="str">
        <f>IF(IFERROR(VLOOKUP(A497,Drank!A:S,15,FALSE),"")=0,"",IFERROR(VLOOKUP(A497,Drank!A:S,15,FALSE),""))</f>
        <v/>
      </c>
      <c r="S497" s="37" t="str">
        <f>IF(IFERROR(VLOOKUP(A497,Drank!A:S,16,FALSE),"")=0,"",IFERROR(VLOOKUP(A497,Drank!A:S,16,FALSE),""))</f>
        <v/>
      </c>
      <c r="U497" s="37">
        <v>88</v>
      </c>
      <c r="V497" s="18" t="str">
        <f>IF(IFERROR(VLOOKUP(A497,Drank!A:T,19,FALSE),"")=0,"",IFERROR(VLOOKUP(A497,Drank!A:T,19,FALSE),""))</f>
        <v/>
      </c>
      <c r="W497" s="1" t="str">
        <f>IF(IFERROR(VLOOKUP(A497,Drank!A:T,20,FALSE),"")=0,"",IFERROR(VLOOKUP(A497,Drank!A:T,20,FALSE),""))</f>
        <v/>
      </c>
      <c r="X497" s="37">
        <f>SUMIF(A:A,A497,I:I)</f>
        <v>1</v>
      </c>
      <c r="Y497" s="37">
        <f>IF(Table1[[#This Row],[Drank]]&gt;0,VLOOKUP(Table1[[#This Row],[ID]],Drank!A:P,16,FALSE),IF(Table1[[#This Row],[WALDD]]&gt;0,VLOOKUP(Table1[[#This Row],[ID]],Wine1!A:Q,17,FALSE),Table1[[#This Row],[EP]]))</f>
        <v>2030</v>
      </c>
      <c r="Z497" s="18">
        <f>IF(Table1[[#This Row],[My Rating]]="",IF(Table1[[#This Row],[WA Rating Clean]]="","",Table1[[#This Row],[WA Rating Clean]]),Table1[[#This Row],[My Rating]])</f>
        <v>88</v>
      </c>
      <c r="AA497" s="37">
        <v>2023</v>
      </c>
      <c r="AB497" s="134">
        <v>22</v>
      </c>
      <c r="AC497" s="2">
        <f t="shared" si="37"/>
        <v>22</v>
      </c>
      <c r="AD497" s="8">
        <v>2</v>
      </c>
      <c r="AE497" s="37">
        <f>IF(Table1[[#This Row],[P/750]]&lt;20,1,IF(Table1[[#This Row],[P/750]]&lt;50,2,3))</f>
        <v>2</v>
      </c>
      <c r="AF497" s="37">
        <f>IF(Table1[[#This Row],[P/750]]&lt;Expenses!$C$30,1,IF(Table1[[#This Row],[P/750]]&lt;Expenses!$C$31,2,IF(Table1[[#This Row],[P/750]]&lt;Expenses!$C$32,3,4)))</f>
        <v>2</v>
      </c>
      <c r="AH497" s="37" t="s">
        <v>1141</v>
      </c>
      <c r="AI497" s="11">
        <f>Table1[[#This Row],[Price]]/Table1[[#This Row],[Size (ml)]]*750</f>
        <v>22</v>
      </c>
      <c r="AJ497" s="37">
        <v>88</v>
      </c>
      <c r="AK497" s="37">
        <f>COUNTIF(UniqueID!A:A,Table1[[#This Row],[ID]])</f>
        <v>1</v>
      </c>
      <c r="AL497" s="37" t="str">
        <f>VLOOKUP(Table1[[#This Row],[Cellar Location]],Location!A:F,6,FALSE)</f>
        <v>S</v>
      </c>
      <c r="AO497" s="37" t="str">
        <f>TEXT(Table1[[#This Row],[Purchased]],"mmmm")</f>
        <v>January</v>
      </c>
      <c r="AP497" s="10" t="str">
        <f>TEXT(Table1[[#This Row],[Purchased]],"yyyy")</f>
        <v>1900</v>
      </c>
      <c r="AQ497" s="10"/>
    </row>
    <row r="498" spans="1:43" s="37" customFormat="1" x14ac:dyDescent="0.25">
      <c r="A498" s="37" t="str">
        <f t="shared" si="36"/>
        <v>2016Quinta do ValladoTouriga Nacional</v>
      </c>
      <c r="B498" s="8">
        <v>2016</v>
      </c>
      <c r="C498" s="9" t="s">
        <v>210</v>
      </c>
      <c r="D498" s="30" t="s">
        <v>211</v>
      </c>
      <c r="E498" s="68" t="s">
        <v>1221</v>
      </c>
      <c r="F498" s="9" t="s">
        <v>804</v>
      </c>
      <c r="G498" s="9" t="s">
        <v>805</v>
      </c>
      <c r="H498" s="9"/>
      <c r="I498" s="107">
        <v>1</v>
      </c>
      <c r="J498" s="37">
        <v>750</v>
      </c>
      <c r="K498" s="108" t="s">
        <v>590</v>
      </c>
      <c r="L498" s="37">
        <f>COUNTIF(Drank!A:A,Table1[[#This Row],[ID]])</f>
        <v>4</v>
      </c>
      <c r="M498" s="37" t="s">
        <v>202</v>
      </c>
      <c r="N498" s="37" t="s">
        <v>207</v>
      </c>
      <c r="O498" s="37">
        <v>1</v>
      </c>
      <c r="P498" s="37">
        <v>2020</v>
      </c>
      <c r="Q498" s="37">
        <v>2032</v>
      </c>
      <c r="R498" s="37">
        <f>IF(IFERROR(VLOOKUP(A498,Drank!A:S,15,FALSE),"")=0,"",IFERROR(VLOOKUP(A498,Drank!A:S,15,FALSE),""))</f>
        <v>2021</v>
      </c>
      <c r="S498" s="37">
        <f>IF(IFERROR(VLOOKUP(A498,Drank!A:S,16,FALSE),"")=0,"",IFERROR(VLOOKUP(A498,Drank!A:S,16,FALSE),""))</f>
        <v>2030</v>
      </c>
      <c r="U498" s="37">
        <v>93</v>
      </c>
      <c r="V498" s="18">
        <f>IF(IFERROR(VLOOKUP(A498,Drank!A:T,19,FALSE),"")=0,"",IFERROR(VLOOKUP(A498,Drank!A:T,19,FALSE),""))</f>
        <v>92</v>
      </c>
      <c r="W498" s="1">
        <f>IF(IFERROR(VLOOKUP(A498,Drank!A:T,20,FALSE),"")=0,"",IFERROR(VLOOKUP(A498,Drank!A:T,20,FALSE),""))</f>
        <v>43847</v>
      </c>
      <c r="X498" s="37">
        <f>SUMIF(A:A,A498,I:I)</f>
        <v>7</v>
      </c>
      <c r="Y498" s="37">
        <f>IF(Table1[[#This Row],[Drank]]&gt;0,VLOOKUP(Table1[[#This Row],[ID]],Drank!A:P,16,FALSE),IF(Table1[[#This Row],[WALDD]]&gt;0,VLOOKUP(Table1[[#This Row],[ID]],Wine1!A:Q,17,FALSE),Table1[[#This Row],[EP]]))</f>
        <v>2030</v>
      </c>
      <c r="Z498" s="18">
        <f>IF(Table1[[#This Row],[My Rating]]="",IF(Table1[[#This Row],[WA Rating Clean]]="","",Table1[[#This Row],[WA Rating Clean]]),Table1[[#This Row],[My Rating]])</f>
        <v>92</v>
      </c>
      <c r="AA498" s="37">
        <v>2023</v>
      </c>
      <c r="AB498" s="128">
        <v>24.99</v>
      </c>
      <c r="AC498" s="2">
        <f t="shared" si="37"/>
        <v>24.99</v>
      </c>
      <c r="AD498" s="8">
        <v>2</v>
      </c>
      <c r="AE498" s="37">
        <f>IF(Table1[[#This Row],[P/750]]&lt;20,1,IF(Table1[[#This Row],[P/750]]&lt;50,2,3))</f>
        <v>2</v>
      </c>
      <c r="AF498" s="37">
        <f>IF(Table1[[#This Row],[P/750]]&lt;Expenses!$C$30,1,IF(Table1[[#This Row],[P/750]]&lt;Expenses!$C$31,2,IF(Table1[[#This Row],[P/750]]&lt;Expenses!$C$32,3,4)))</f>
        <v>2</v>
      </c>
      <c r="AH498" s="37" t="s">
        <v>384</v>
      </c>
      <c r="AI498" s="11">
        <f>Table1[[#This Row],[Price]]/Table1[[#This Row],[Size (ml)]]*750</f>
        <v>24.989999999999995</v>
      </c>
      <c r="AJ498" s="37">
        <v>93</v>
      </c>
      <c r="AK498" s="37">
        <f>COUNTIF(UniqueID!A:A,Table1[[#This Row],[ID]])</f>
        <v>1</v>
      </c>
      <c r="AL498" s="37" t="str">
        <f>VLOOKUP(Table1[[#This Row],[Cellar Location]],Location!A:F,6,FALSE)</f>
        <v>S</v>
      </c>
      <c r="AO498" s="37" t="str">
        <f>TEXT(Table1[[#This Row],[Purchased]],"mmmm")</f>
        <v>January</v>
      </c>
      <c r="AP498" s="10" t="str">
        <f>TEXT(Table1[[#This Row],[Purchased]],"yyyy")</f>
        <v>1900</v>
      </c>
      <c r="AQ498" s="10"/>
    </row>
    <row r="499" spans="1:43" s="37" customFormat="1" x14ac:dyDescent="0.25">
      <c r="A499" s="37" t="str">
        <f t="shared" si="36"/>
        <v>2013Tenuta CarrettaRoero Riserva Bric Paradiso</v>
      </c>
      <c r="B499" s="8">
        <v>2013</v>
      </c>
      <c r="C499" s="37" t="s">
        <v>452</v>
      </c>
      <c r="D499" s="25" t="s">
        <v>453</v>
      </c>
      <c r="E499" s="67" t="s">
        <v>1206</v>
      </c>
      <c r="F499" s="37" t="s">
        <v>728</v>
      </c>
      <c r="G499" s="37" t="s">
        <v>778</v>
      </c>
      <c r="H499" s="37" t="s">
        <v>773</v>
      </c>
      <c r="I499" s="107">
        <v>1</v>
      </c>
      <c r="J499" s="37">
        <v>750</v>
      </c>
      <c r="K499" s="108" t="s">
        <v>590</v>
      </c>
      <c r="L499" s="10">
        <f>COUNTIF(Drank!A:A,Table1[[#This Row],[ID]])</f>
        <v>1</v>
      </c>
      <c r="M499" s="37" t="s">
        <v>202</v>
      </c>
      <c r="N499" s="37" t="s">
        <v>207</v>
      </c>
      <c r="O499" s="37">
        <v>1</v>
      </c>
      <c r="P499" s="10">
        <v>2018</v>
      </c>
      <c r="Q499" s="37">
        <v>2028</v>
      </c>
      <c r="R499" s="10">
        <f>IF(IFERROR(VLOOKUP(A499,Drank!A:S,15,FALSE),"")=0,"",IFERROR(VLOOKUP(A499,Drank!A:S,15,FALSE),""))</f>
        <v>2022</v>
      </c>
      <c r="S499" s="10">
        <f>IF(IFERROR(VLOOKUP(A499,Drank!A:S,16,FALSE),"")=0,"",IFERROR(VLOOKUP(A499,Drank!A:S,16,FALSE),""))</f>
        <v>2030</v>
      </c>
      <c r="T499" s="10"/>
      <c r="U499" s="37" t="s">
        <v>196</v>
      </c>
      <c r="V499" s="18">
        <f>IF(IFERROR(VLOOKUP(A499,Drank!A:T,19,FALSE),"")=0,"",IFERROR(VLOOKUP(A499,Drank!A:T,19,FALSE),""))</f>
        <v>94</v>
      </c>
      <c r="W499" s="1">
        <f>IF(IFERROR(VLOOKUP(A499,Drank!A:T,20,FALSE),"")=0,"",IFERROR(VLOOKUP(A499,Drank!A:T,20,FALSE),""))</f>
        <v>43849</v>
      </c>
      <c r="X499" s="10">
        <f>SUMIF(A:A,A499,I:I)</f>
        <v>5</v>
      </c>
      <c r="Y499" s="10">
        <f>IF(Table1[[#This Row],[Drank]]&gt;0,VLOOKUP(Table1[[#This Row],[ID]],Drank!A:P,16,FALSE),IF(Table1[[#This Row],[WALDD]]&gt;0,VLOOKUP(Table1[[#This Row],[ID]],Wine1!A:Q,17,FALSE),Table1[[#This Row],[EP]]))</f>
        <v>2030</v>
      </c>
      <c r="Z499" s="18">
        <f>IF(Table1[[#This Row],[My Rating]]="",IF(Table1[[#This Row],[WA Rating Clean]]="","",Table1[[#This Row],[WA Rating Clean]]),Table1[[#This Row],[My Rating]])</f>
        <v>94</v>
      </c>
      <c r="AA499" s="37">
        <v>2023</v>
      </c>
      <c r="AB499" s="128">
        <v>26</v>
      </c>
      <c r="AC499" s="2">
        <f t="shared" si="37"/>
        <v>26</v>
      </c>
      <c r="AD499" s="8">
        <v>2</v>
      </c>
      <c r="AE499" s="10">
        <f>IF(Table1[[#This Row],[P/750]]&lt;20,1,IF(Table1[[#This Row],[P/750]]&lt;50,2,3))</f>
        <v>2</v>
      </c>
      <c r="AF499" s="10">
        <f>IF(Table1[[#This Row],[P/750]]&lt;Expenses!$C$30,1,IF(Table1[[#This Row],[P/750]]&lt;Expenses!$C$31,2,IF(Table1[[#This Row],[P/750]]&lt;Expenses!$C$32,3,4)))</f>
        <v>2</v>
      </c>
      <c r="AH499" s="37" t="s">
        <v>385</v>
      </c>
      <c r="AI499" s="11">
        <f>Table1[[#This Row],[Price]]/Table1[[#This Row],[Size (ml)]]*750</f>
        <v>26</v>
      </c>
      <c r="AJ499" s="37">
        <v>91</v>
      </c>
      <c r="AK499" s="37">
        <f>COUNTIF(UniqueID!A:A,Table1[[#This Row],[ID]])</f>
        <v>1</v>
      </c>
      <c r="AL499" s="37" t="str">
        <f>VLOOKUP(Table1[[#This Row],[Cellar Location]],Location!A:F,6,FALSE)</f>
        <v>S</v>
      </c>
      <c r="AO499" s="37" t="str">
        <f>TEXT(Table1[[#This Row],[Purchased]],"mmmm")</f>
        <v>January</v>
      </c>
      <c r="AP499" s="10" t="str">
        <f>TEXT(Table1[[#This Row],[Purchased]],"yyyy")</f>
        <v>1900</v>
      </c>
      <c r="AQ499" s="10"/>
    </row>
    <row r="500" spans="1:43" s="37" customFormat="1" x14ac:dyDescent="0.25">
      <c r="A500" s="37" t="str">
        <f t="shared" si="36"/>
        <v>2015Xavier VignonCotes du Rhone Villages Arcane XIX Le Soleil</v>
      </c>
      <c r="B500" s="37">
        <v>2015</v>
      </c>
      <c r="C500" s="8" t="s">
        <v>405</v>
      </c>
      <c r="D500" s="25" t="s">
        <v>1856</v>
      </c>
      <c r="E500" s="68" t="s">
        <v>1222</v>
      </c>
      <c r="F500" s="37" t="s">
        <v>742</v>
      </c>
      <c r="G500" s="37" t="s">
        <v>759</v>
      </c>
      <c r="H500" s="37" t="s">
        <v>760</v>
      </c>
      <c r="I500" s="107">
        <v>1</v>
      </c>
      <c r="J500" s="37">
        <v>750</v>
      </c>
      <c r="K500" s="107" t="s">
        <v>647</v>
      </c>
      <c r="L500" s="37">
        <f>COUNTIF(Drank!A:A,Table1[[#This Row],[ID]])</f>
        <v>2</v>
      </c>
      <c r="M500" s="37" t="s">
        <v>202</v>
      </c>
      <c r="N500" s="37" t="s">
        <v>207</v>
      </c>
      <c r="O500" s="37">
        <v>1</v>
      </c>
      <c r="P500" s="37">
        <v>2017</v>
      </c>
      <c r="Q500" s="37">
        <v>2027</v>
      </c>
      <c r="R500" s="10">
        <f>IF(IFERROR(VLOOKUP(A500,Drank!A:S,15,FALSE),"")=0,"",IFERROR(VLOOKUP(A500,Drank!A:S,15,FALSE),""))</f>
        <v>2021</v>
      </c>
      <c r="S500" s="10">
        <f>IF(IFERROR(VLOOKUP(A500,Drank!A:S,16,FALSE),"")=0,"",IFERROR(VLOOKUP(A500,Drank!A:S,16,FALSE),""))</f>
        <v>2025</v>
      </c>
      <c r="T500" s="10"/>
      <c r="U500" s="37">
        <v>94</v>
      </c>
      <c r="V500" s="18">
        <f>IF(IFERROR(VLOOKUP(A500,Drank!A:T,19,FALSE),"")=0,"",IFERROR(VLOOKUP(A500,Drank!A:T,19,FALSE),""))</f>
        <v>93</v>
      </c>
      <c r="W500" s="1">
        <f>IF(IFERROR(VLOOKUP(A500,Drank!A:T,20,FALSE),"")=0,"",IFERROR(VLOOKUP(A500,Drank!A:T,20,FALSE),""))</f>
        <v>44071</v>
      </c>
      <c r="X500" s="10">
        <f>SUMIF(A:A,A500,I:I)</f>
        <v>6</v>
      </c>
      <c r="Y500" s="37">
        <f>IF(Table1[[#This Row],[Drank]]&gt;0,VLOOKUP(Table1[[#This Row],[ID]],Drank!A:P,16,FALSE),IF(Table1[[#This Row],[WALDD]]&gt;0,VLOOKUP(Table1[[#This Row],[ID]],Wine1!A:Q,17,FALSE),Table1[[#This Row],[EP]]))</f>
        <v>2025</v>
      </c>
      <c r="Z500" s="18">
        <f>IF(Table1[[#This Row],[My Rating]]="",IF(Table1[[#This Row],[WA Rating Clean]]="","",Table1[[#This Row],[WA Rating Clean]]),Table1[[#This Row],[My Rating]])</f>
        <v>93</v>
      </c>
      <c r="AA500" s="37">
        <v>2023</v>
      </c>
      <c r="AB500" s="128">
        <v>20</v>
      </c>
      <c r="AC500" s="2">
        <f t="shared" si="37"/>
        <v>20</v>
      </c>
      <c r="AD500" s="8">
        <v>2</v>
      </c>
      <c r="AE500" s="37">
        <f>IF(Table1[[#This Row],[P/750]]&lt;20,1,IF(Table1[[#This Row],[P/750]]&lt;50,2,3))</f>
        <v>2</v>
      </c>
      <c r="AF500" s="37">
        <f>IF(Table1[[#This Row],[P/750]]&lt;Expenses!$C$30,1,IF(Table1[[#This Row],[P/750]]&lt;Expenses!$C$31,2,IF(Table1[[#This Row],[P/750]]&lt;Expenses!$C$32,3,4)))</f>
        <v>2</v>
      </c>
      <c r="AH500" s="37" t="s">
        <v>385</v>
      </c>
      <c r="AI500" s="11">
        <f>Table1[[#This Row],[Price]]/Table1[[#This Row],[Size (ml)]]*750</f>
        <v>20</v>
      </c>
      <c r="AJ500" s="37">
        <v>94</v>
      </c>
      <c r="AK500" s="37">
        <f>COUNTIF(UniqueID!A:A,Table1[[#This Row],[ID]])</f>
        <v>0</v>
      </c>
      <c r="AL500" s="37" t="str">
        <f>VLOOKUP(Table1[[#This Row],[Cellar Location]],Location!A:F,6,FALSE)</f>
        <v>S</v>
      </c>
      <c r="AO500" s="37" t="str">
        <f>TEXT(Table1[[#This Row],[Purchased]],"mmmm")</f>
        <v>January</v>
      </c>
      <c r="AP500" s="10" t="str">
        <f>TEXT(Table1[[#This Row],[Purchased]],"yyyy")</f>
        <v>1900</v>
      </c>
      <c r="AQ500" s="10"/>
    </row>
    <row r="501" spans="1:43" s="37" customFormat="1" x14ac:dyDescent="0.25">
      <c r="A501" s="37" t="str">
        <f t="shared" si="36"/>
        <v>2013BrancaiaIlatraia</v>
      </c>
      <c r="B501" s="37">
        <v>2013</v>
      </c>
      <c r="C501" s="37" t="s">
        <v>140</v>
      </c>
      <c r="D501" s="37" t="s">
        <v>372</v>
      </c>
      <c r="E501" s="67" t="s">
        <v>1637</v>
      </c>
      <c r="F501" s="37" t="s">
        <v>728</v>
      </c>
      <c r="G501" s="37" t="s">
        <v>790</v>
      </c>
      <c r="H501" s="37" t="s">
        <v>794</v>
      </c>
      <c r="I501" s="8">
        <v>1</v>
      </c>
      <c r="J501" s="107">
        <v>750</v>
      </c>
      <c r="K501" s="8" t="s">
        <v>1852</v>
      </c>
      <c r="L501" s="37">
        <f>COUNTIF(Drank!A:A,Table1[[#This Row],[ID]])</f>
        <v>1</v>
      </c>
      <c r="M501" s="37" t="s">
        <v>202</v>
      </c>
      <c r="N501" s="37" t="s">
        <v>207</v>
      </c>
      <c r="O501" s="37">
        <v>1</v>
      </c>
      <c r="P501" s="37">
        <v>2017</v>
      </c>
      <c r="Q501" s="37">
        <v>2030</v>
      </c>
      <c r="R501" s="10">
        <f>IF(IFERROR(VLOOKUP(A501,Drank!A:S,15,FALSE),"")=0,"",IFERROR(VLOOKUP(A501,Drank!A:S,15,FALSE),""))</f>
        <v>2027</v>
      </c>
      <c r="S501" s="10">
        <f>IF(IFERROR(VLOOKUP(A501,Drank!A:S,16,FALSE),"")=0,"",IFERROR(VLOOKUP(A501,Drank!A:S,16,FALSE),""))</f>
        <v>2030</v>
      </c>
      <c r="T501" s="10"/>
      <c r="U501" s="37">
        <v>97</v>
      </c>
      <c r="V501" s="18">
        <f>IF(IFERROR(VLOOKUP(A501,Drank!A:T,19,FALSE),"")=0,"",IFERROR(VLOOKUP(A501,Drank!A:T,19,FALSE),""))</f>
        <v>92</v>
      </c>
      <c r="W501" s="1">
        <f>IF(IFERROR(VLOOKUP(A501,Drank!A:T,20,FALSE),"")=0,"",IFERROR(VLOOKUP(A501,Drank!A:T,20,FALSE),""))</f>
        <v>44067</v>
      </c>
      <c r="X501" s="10">
        <f>SUMIF(A:A,A501,I:I)</f>
        <v>8</v>
      </c>
      <c r="Y501" s="37">
        <f>IF(Table1[[#This Row],[Drank]]&gt;0,VLOOKUP(Table1[[#This Row],[ID]],Drank!A:P,16,FALSE),IF(Table1[[#This Row],[WALDD]]&gt;0,VLOOKUP(Table1[[#This Row],[ID]],Wine1!A:Q,17,FALSE),Table1[[#This Row],[EP]]))</f>
        <v>2030</v>
      </c>
      <c r="Z501" s="18">
        <f>IF(Table1[[#This Row],[My Rating]]="",IF(Table1[[#This Row],[WA Rating Clean]]="","",Table1[[#This Row],[WA Rating Clean]]),Table1[[#This Row],[My Rating]])</f>
        <v>92</v>
      </c>
      <c r="AA501" s="8">
        <v>2023</v>
      </c>
      <c r="AB501" s="128">
        <v>50.69</v>
      </c>
      <c r="AC501" s="2">
        <f t="shared" si="37"/>
        <v>50.69</v>
      </c>
      <c r="AD501" s="8">
        <v>2</v>
      </c>
      <c r="AE501" s="37">
        <f>IF(Table1[[#This Row],[P/750]]&lt;20,1,IF(Table1[[#This Row],[P/750]]&lt;50,2,3))</f>
        <v>3</v>
      </c>
      <c r="AF501" s="37">
        <f>IF(Table1[[#This Row],[P/750]]&lt;Expenses!$C$30,1,IF(Table1[[#This Row],[P/750]]&lt;Expenses!$C$31,2,IF(Table1[[#This Row],[P/750]]&lt;Expenses!$C$32,3,4)))</f>
        <v>3</v>
      </c>
      <c r="AH501" s="37" t="s">
        <v>1128</v>
      </c>
      <c r="AI501" s="11">
        <f>Table1[[#This Row],[Price]]/Table1[[#This Row],[Size (ml)]]*750</f>
        <v>50.690000000000005</v>
      </c>
      <c r="AJ501" s="37">
        <v>97</v>
      </c>
      <c r="AK501" s="37">
        <f>COUNTIF(UniqueID!A:A,Table1[[#This Row],[ID]])</f>
        <v>1</v>
      </c>
      <c r="AL501" s="37" t="str">
        <f>VLOOKUP(Table1[[#This Row],[Cellar Location]],Location!A:F,6,FALSE)</f>
        <v>S</v>
      </c>
      <c r="AN501" s="1">
        <v>44070</v>
      </c>
      <c r="AO501" s="37" t="str">
        <f>TEXT(Table1[[#This Row],[Purchased]],"mmmm")</f>
        <v>August</v>
      </c>
      <c r="AP501" s="10" t="str">
        <f>TEXT(Table1[[#This Row],[Purchased]],"yyyy")</f>
        <v>2020</v>
      </c>
      <c r="AQ501" s="10"/>
    </row>
    <row r="502" spans="1:43" s="37" customFormat="1" x14ac:dyDescent="0.25">
      <c r="A502" s="37" t="str">
        <f t="shared" si="36"/>
        <v>2014Freemark AbbeyCabernet Sauvignon Napa Valley</v>
      </c>
      <c r="B502" s="37">
        <v>2014</v>
      </c>
      <c r="C502" s="37" t="s">
        <v>93</v>
      </c>
      <c r="D502" s="25" t="s">
        <v>94</v>
      </c>
      <c r="E502" s="64" t="s">
        <v>32</v>
      </c>
      <c r="F502" s="37" t="s">
        <v>727</v>
      </c>
      <c r="G502" s="37" t="s">
        <v>806</v>
      </c>
      <c r="H502" s="37" t="s">
        <v>832</v>
      </c>
      <c r="I502" s="107">
        <v>1</v>
      </c>
      <c r="J502" s="37">
        <v>750</v>
      </c>
      <c r="K502" s="107" t="s">
        <v>656</v>
      </c>
      <c r="L502" s="37">
        <f>COUNTIF(Drank!A:A,Table1[[#This Row],[ID]])</f>
        <v>0</v>
      </c>
      <c r="M502" s="37" t="s">
        <v>202</v>
      </c>
      <c r="N502" s="37" t="s">
        <v>207</v>
      </c>
      <c r="O502" s="37">
        <v>1</v>
      </c>
      <c r="P502" s="37">
        <v>2017</v>
      </c>
      <c r="Q502" s="37">
        <v>2031</v>
      </c>
      <c r="R502" s="37" t="str">
        <f>IF(IFERROR(VLOOKUP(A502,Drank!A:S,15,FALSE),"")=0,"",IFERROR(VLOOKUP(A502,Drank!A:S,15,FALSE),""))</f>
        <v/>
      </c>
      <c r="S502" s="37" t="str">
        <f>IF(IFERROR(VLOOKUP(A502,Drank!A:S,16,FALSE),"")=0,"",IFERROR(VLOOKUP(A502,Drank!A:S,16,FALSE),""))</f>
        <v/>
      </c>
      <c r="U502" s="37">
        <v>92</v>
      </c>
      <c r="V502" s="18" t="str">
        <f>IF(IFERROR(VLOOKUP(A502,Drank!A:T,19,FALSE),"")=0,"",IFERROR(VLOOKUP(A502,Drank!A:T,19,FALSE),""))</f>
        <v/>
      </c>
      <c r="W502" s="1" t="str">
        <f>IF(IFERROR(VLOOKUP(A502,Drank!A:T,20,FALSE),"")=0,"",IFERROR(VLOOKUP(A502,Drank!A:T,20,FALSE),""))</f>
        <v/>
      </c>
      <c r="X502" s="37">
        <f>SUMIF(A:A,A502,I:I)</f>
        <v>2</v>
      </c>
      <c r="Y502" s="37">
        <f>IF(Table1[[#This Row],[Drank]]&gt;0,VLOOKUP(Table1[[#This Row],[ID]],Drank!A:P,16,FALSE),IF(Table1[[#This Row],[WALDD]]&gt;0,VLOOKUP(Table1[[#This Row],[ID]],Wine1!A:Q,17,FALSE),Table1[[#This Row],[EP]]))</f>
        <v>2031</v>
      </c>
      <c r="Z502" s="18">
        <f>IF(Table1[[#This Row],[My Rating]]="",IF(Table1[[#This Row],[WA Rating Clean]]="","",Table1[[#This Row],[WA Rating Clean]]),Table1[[#This Row],[My Rating]])</f>
        <v>92</v>
      </c>
      <c r="AA502" s="8">
        <v>2023</v>
      </c>
      <c r="AB502" s="14">
        <v>44.99</v>
      </c>
      <c r="AC502" s="2">
        <f t="shared" si="37"/>
        <v>44.99</v>
      </c>
      <c r="AD502" s="8">
        <v>2</v>
      </c>
      <c r="AE502" s="37">
        <f>IF(Table1[[#This Row],[P/750]]&lt;20,1,IF(Table1[[#This Row],[P/750]]&lt;50,2,3))</f>
        <v>2</v>
      </c>
      <c r="AF502" s="37">
        <f>IF(Table1[[#This Row],[P/750]]&lt;Expenses!$C$30,1,IF(Table1[[#This Row],[P/750]]&lt;Expenses!$C$31,2,IF(Table1[[#This Row],[P/750]]&lt;Expenses!$C$32,3,4)))</f>
        <v>3</v>
      </c>
      <c r="AH502" s="37" t="s">
        <v>1128</v>
      </c>
      <c r="AI502" s="11">
        <f>Table1[[#This Row],[Price]]/Table1[[#This Row],[Size (ml)]]*750</f>
        <v>44.99</v>
      </c>
      <c r="AJ502" s="37">
        <v>92</v>
      </c>
      <c r="AK502" s="37">
        <f>COUNTIF(UniqueID!A:A,Table1[[#This Row],[ID]])</f>
        <v>1</v>
      </c>
      <c r="AL502" s="37" t="str">
        <f>VLOOKUP(Table1[[#This Row],[Cellar Location]],Location!A:F,6,FALSE)</f>
        <v>S</v>
      </c>
      <c r="AO502" s="37" t="str">
        <f>TEXT(Table1[[#This Row],[Purchased]],"mmmm")</f>
        <v>January</v>
      </c>
      <c r="AP502" s="10" t="str">
        <f>TEXT(Table1[[#This Row],[Purchased]],"yyyy")</f>
        <v>1900</v>
      </c>
      <c r="AQ502" s="10"/>
    </row>
    <row r="503" spans="1:43" s="37" customFormat="1" x14ac:dyDescent="0.25">
      <c r="A503" s="37" t="str">
        <f t="shared" si="36"/>
        <v>2017Becklyn CellarsCabernet Sauvignon</v>
      </c>
      <c r="B503" s="37">
        <v>2017</v>
      </c>
      <c r="C503" s="37" t="s">
        <v>581</v>
      </c>
      <c r="D503" s="37" t="s">
        <v>32</v>
      </c>
      <c r="E503" s="65" t="s">
        <v>32</v>
      </c>
      <c r="F503" s="37" t="s">
        <v>727</v>
      </c>
      <c r="G503" s="37" t="s">
        <v>806</v>
      </c>
      <c r="H503" s="9"/>
      <c r="I503" s="107">
        <v>1</v>
      </c>
      <c r="J503" s="37">
        <v>750</v>
      </c>
      <c r="K503" s="107" t="s">
        <v>642</v>
      </c>
      <c r="L503" s="10">
        <f>COUNTIF(Drank!A:A,Table1[[#This Row],[ID]])</f>
        <v>0</v>
      </c>
      <c r="M503" s="37" t="s">
        <v>202</v>
      </c>
      <c r="N503" s="37" t="s">
        <v>207</v>
      </c>
      <c r="O503" s="37">
        <v>0</v>
      </c>
      <c r="P503" s="10"/>
      <c r="R503" s="10" t="str">
        <f>IF(IFERROR(VLOOKUP(A503,Drank!A:S,15,FALSE),"")=0,"",IFERROR(VLOOKUP(A503,Drank!A:S,15,FALSE),""))</f>
        <v/>
      </c>
      <c r="S503" s="10" t="str">
        <f>IF(IFERROR(VLOOKUP(A503,Drank!A:S,16,FALSE),"")=0,"",IFERROR(VLOOKUP(A503,Drank!A:S,16,FALSE),""))</f>
        <v/>
      </c>
      <c r="T503" s="10">
        <v>2033</v>
      </c>
      <c r="V503" s="18" t="str">
        <f>IF(IFERROR(VLOOKUP(A503,Drank!A:T,19,FALSE),"")=0,"",IFERROR(VLOOKUP(A503,Drank!A:T,19,FALSE),""))</f>
        <v/>
      </c>
      <c r="W503" s="1" t="str">
        <f>IF(IFERROR(VLOOKUP(A503,Drank!A:T,20,FALSE),"")=0,"",IFERROR(VLOOKUP(A503,Drank!A:T,20,FALSE),""))</f>
        <v/>
      </c>
      <c r="X503" s="10">
        <f>SUMIF(A:A,A503,I:I)</f>
        <v>2</v>
      </c>
      <c r="Y503" s="10">
        <f>IF(Table1[[#This Row],[Drank]]&gt;0,VLOOKUP(Table1[[#This Row],[ID]],Drank!A:P,16,FALSE),IF(Table1[[#This Row],[WALDD]]&gt;0,VLOOKUP(Table1[[#This Row],[ID]],Wine1!A:Q,17,FALSE),Table1[[#This Row],[EP]]))</f>
        <v>2033</v>
      </c>
      <c r="Z503" s="18" t="str">
        <f>IF(Table1[[#This Row],[My Rating]]="",IF(Table1[[#This Row],[WA Rating Clean]]="","",Table1[[#This Row],[WA Rating Clean]]),Table1[[#This Row],[My Rating]])</f>
        <v/>
      </c>
      <c r="AA503" s="37">
        <v>2023</v>
      </c>
      <c r="AB503" s="128">
        <v>65</v>
      </c>
      <c r="AC503" s="2">
        <f t="shared" si="37"/>
        <v>65</v>
      </c>
      <c r="AD503" s="8">
        <v>2</v>
      </c>
      <c r="AE503" s="10">
        <f>IF(Table1[[#This Row],[P/750]]&lt;20,1,IF(Table1[[#This Row],[P/750]]&lt;50,2,3))</f>
        <v>3</v>
      </c>
      <c r="AF503" s="10">
        <f>IF(Table1[[#This Row],[P/750]]&lt;Expenses!$C$30,1,IF(Table1[[#This Row],[P/750]]&lt;Expenses!$C$31,2,IF(Table1[[#This Row],[P/750]]&lt;Expenses!$C$32,3,4)))</f>
        <v>4</v>
      </c>
      <c r="AH503" s="37" t="s">
        <v>581</v>
      </c>
      <c r="AI503" s="11">
        <f>Table1[[#This Row],[Price]]/Table1[[#This Row],[Size (ml)]]*750</f>
        <v>65</v>
      </c>
      <c r="AK503" s="37">
        <f>COUNTIF(UniqueID!A:A,Table1[[#This Row],[ID]])</f>
        <v>1</v>
      </c>
      <c r="AL503" s="37" t="str">
        <f>VLOOKUP(Table1[[#This Row],[Cellar Location]],Location!A:F,6,FALSE)</f>
        <v>S</v>
      </c>
      <c r="AO503" s="37" t="str">
        <f>TEXT(Table1[[#This Row],[Purchased]],"mmmm")</f>
        <v>January</v>
      </c>
      <c r="AP503" s="10" t="str">
        <f>TEXT(Table1[[#This Row],[Purchased]],"yyyy")</f>
        <v>1900</v>
      </c>
      <c r="AQ503" s="10"/>
    </row>
    <row r="504" spans="1:43" s="37" customFormat="1" x14ac:dyDescent="0.25">
      <c r="A504" s="37" t="str">
        <f t="shared" si="36"/>
        <v>2015CortonesiBrunello di Montalcino La Mannella</v>
      </c>
      <c r="B504" s="37">
        <v>2015</v>
      </c>
      <c r="C504" s="37" t="s">
        <v>72</v>
      </c>
      <c r="D504" s="25" t="s">
        <v>73</v>
      </c>
      <c r="E504" s="67" t="s">
        <v>1250</v>
      </c>
      <c r="F504" s="37" t="s">
        <v>728</v>
      </c>
      <c r="G504" s="37" t="s">
        <v>790</v>
      </c>
      <c r="H504" s="37" t="s">
        <v>19</v>
      </c>
      <c r="I504" s="8">
        <v>1</v>
      </c>
      <c r="J504" s="38">
        <v>750</v>
      </c>
      <c r="K504" s="38" t="s">
        <v>384</v>
      </c>
      <c r="L504" s="10">
        <f>COUNTIF(Drank!A:A,Table1[[#This Row],[ID]])</f>
        <v>1</v>
      </c>
      <c r="M504" s="37" t="s">
        <v>202</v>
      </c>
      <c r="N504" s="37" t="s">
        <v>207</v>
      </c>
      <c r="O504" s="37">
        <v>1</v>
      </c>
      <c r="P504" s="37">
        <v>2021</v>
      </c>
      <c r="Q504" s="37">
        <v>2035</v>
      </c>
      <c r="R504" s="10">
        <f>IF(IFERROR(VLOOKUP(A504,Drank!A:S,15,FALSE),"")=0,"",IFERROR(VLOOKUP(A504,Drank!A:S,15,FALSE),""))</f>
        <v>2026</v>
      </c>
      <c r="S504" s="10">
        <f>IF(IFERROR(VLOOKUP(A504,Drank!A:S,16,FALSE),"")=0,"",IFERROR(VLOOKUP(A504,Drank!A:S,16,FALSE),""))</f>
        <v>2033</v>
      </c>
      <c r="T504" s="10"/>
      <c r="U504" s="37">
        <v>94</v>
      </c>
      <c r="V504" s="18">
        <f>IF(IFERROR(VLOOKUP(A504,Drank!A:T,19,FALSE),"")=0,"",IFERROR(VLOOKUP(A504,Drank!A:T,19,FALSE),""))</f>
        <v>94</v>
      </c>
      <c r="W504" s="1">
        <f>IF(IFERROR(VLOOKUP(A504,Drank!A:T,20,FALSE),"")=0,"",IFERROR(VLOOKUP(A504,Drank!A:T,20,FALSE),""))</f>
        <v>43995</v>
      </c>
      <c r="X504" s="10">
        <f>SUMIF(A:A,A504,I:I)</f>
        <v>23</v>
      </c>
      <c r="Y504" s="10">
        <f>IF(Table1[[#This Row],[Drank]]&gt;0,VLOOKUP(Table1[[#This Row],[ID]],Drank!A:P,16,FALSE),IF(Table1[[#This Row],[WALDD]]&gt;0,VLOOKUP(Table1[[#This Row],[ID]],Wine1!A:Q,17,FALSE),Table1[[#This Row],[EP]]))</f>
        <v>2033</v>
      </c>
      <c r="Z504" s="18">
        <f>IF(Table1[[#This Row],[My Rating]]="",IF(Table1[[#This Row],[WA Rating Clean]]="","",Table1[[#This Row],[WA Rating Clean]]),Table1[[#This Row],[My Rating]])</f>
        <v>94</v>
      </c>
      <c r="AA504" s="37">
        <v>2023</v>
      </c>
      <c r="AB504" s="128">
        <v>36.92</v>
      </c>
      <c r="AC504" s="2">
        <f t="shared" si="37"/>
        <v>36.92</v>
      </c>
      <c r="AD504" s="8">
        <v>1</v>
      </c>
      <c r="AE504" s="10">
        <f>IF(Table1[[#This Row],[P/750]]&lt;20,1,IF(Table1[[#This Row],[P/750]]&lt;50,2,3))</f>
        <v>2</v>
      </c>
      <c r="AF504" s="10">
        <f>IF(Table1[[#This Row],[P/750]]&lt;Expenses!$C$30,1,IF(Table1[[#This Row],[P/750]]&lt;Expenses!$C$31,2,IF(Table1[[#This Row],[P/750]]&lt;Expenses!$C$32,3,4)))</f>
        <v>3</v>
      </c>
      <c r="AH504" s="37" t="s">
        <v>384</v>
      </c>
      <c r="AI504" s="11">
        <f>Table1[[#This Row],[Price]]/Table1[[#This Row],[Size (ml)]]*750</f>
        <v>36.92</v>
      </c>
      <c r="AJ504" s="37">
        <v>94</v>
      </c>
      <c r="AK504" s="10">
        <f>COUNTIF(UniqueID!A:A,Table1[[#This Row],[ID]])</f>
        <v>0</v>
      </c>
      <c r="AL504" s="10" t="str">
        <f>VLOOKUP(Table1[[#This Row],[Cellar Location]],Location!A:F,6,FALSE)</f>
        <v>W</v>
      </c>
      <c r="AN504" s="1">
        <v>44045</v>
      </c>
      <c r="AO504" s="10" t="str">
        <f>TEXT(Table1[[#This Row],[Purchased]],"mmmm")</f>
        <v>August</v>
      </c>
      <c r="AP504" s="10" t="str">
        <f>TEXT(Table1[[#This Row],[Purchased]],"yyyy")</f>
        <v>2020</v>
      </c>
      <c r="AQ504" s="1">
        <v>44138</v>
      </c>
    </row>
    <row r="505" spans="1:43" x14ac:dyDescent="0.25">
      <c r="A505" t="str">
        <f t="shared" si="36"/>
        <v>2015Orin Swift CellarsPapillon Proprietary Red</v>
      </c>
      <c r="B505" s="37">
        <v>2015</v>
      </c>
      <c r="C505" s="37" t="s">
        <v>120</v>
      </c>
      <c r="D505" s="37" t="s">
        <v>121</v>
      </c>
      <c r="E505" s="64" t="s">
        <v>1443</v>
      </c>
      <c r="F505" s="37" t="s">
        <v>727</v>
      </c>
      <c r="G505" s="37" t="s">
        <v>806</v>
      </c>
      <c r="H505" s="37" t="s">
        <v>832</v>
      </c>
      <c r="I505" s="37">
        <v>1</v>
      </c>
      <c r="J505" s="37">
        <v>750</v>
      </c>
      <c r="K505" s="8" t="s">
        <v>8</v>
      </c>
      <c r="L505" s="37">
        <f>COUNTIF(Drank!A:A,Table1[[#This Row],[ID]])</f>
        <v>0</v>
      </c>
      <c r="M505" t="s">
        <v>202</v>
      </c>
      <c r="N505" t="s">
        <v>207</v>
      </c>
      <c r="O505">
        <v>1</v>
      </c>
      <c r="P505" s="37">
        <v>2018</v>
      </c>
      <c r="Q505">
        <v>2034</v>
      </c>
      <c r="R505" s="37" t="str">
        <f>IF(IFERROR(VLOOKUP(A505,Drank!A:S,15,FALSE),"")=0,"",IFERROR(VLOOKUP(A505,Drank!A:S,15,FALSE),""))</f>
        <v/>
      </c>
      <c r="S505" s="37" t="str">
        <f>IF(IFERROR(VLOOKUP(A505,Drank!A:S,16,FALSE),"")=0,"",IFERROR(VLOOKUP(A505,Drank!A:S,16,FALSE),""))</f>
        <v/>
      </c>
      <c r="T505" s="37"/>
      <c r="U505">
        <v>94</v>
      </c>
      <c r="V505" s="18" t="str">
        <f>IF(IFERROR(VLOOKUP(A505,Drank!A:T,19,FALSE),"")=0,"",IFERROR(VLOOKUP(A505,Drank!A:T,19,FALSE),""))</f>
        <v/>
      </c>
      <c r="W505" s="1" t="str">
        <f>IF(IFERROR(VLOOKUP(A505,Drank!A:T,20,FALSE),"")=0,"",IFERROR(VLOOKUP(A505,Drank!A:T,20,FALSE),""))</f>
        <v/>
      </c>
      <c r="X505" s="37">
        <f>SUMIF(A:A,A505,I:I)</f>
        <v>2</v>
      </c>
      <c r="Y505" s="37">
        <f>IF(Table1[[#This Row],[Drank]]&gt;0,VLOOKUP(Table1[[#This Row],[ID]],Drank!A:P,16,FALSE),IF(Table1[[#This Row],[WALDD]]&gt;0,VLOOKUP(Table1[[#This Row],[ID]],Wine1!A:Q,17,FALSE),Table1[[#This Row],[EP]]))</f>
        <v>2034</v>
      </c>
      <c r="Z505" s="18">
        <f>IF(Table1[[#This Row],[My Rating]]="",IF(Table1[[#This Row],[WA Rating Clean]]="","",Table1[[#This Row],[WA Rating Clean]]),Table1[[#This Row],[My Rating]])</f>
        <v>94</v>
      </c>
      <c r="AA505" s="37">
        <v>2023</v>
      </c>
      <c r="AB505" s="134">
        <v>67</v>
      </c>
      <c r="AC505" s="2">
        <f t="shared" si="37"/>
        <v>67</v>
      </c>
      <c r="AD505" s="8">
        <v>0</v>
      </c>
      <c r="AE505" s="37">
        <f>IF(Table1[[#This Row],[P/750]]&lt;20,1,IF(Table1[[#This Row],[P/750]]&lt;50,2,3))</f>
        <v>3</v>
      </c>
      <c r="AF505" s="37">
        <f>IF(Table1[[#This Row],[P/750]]&lt;Expenses!$C$30,1,IF(Table1[[#This Row],[P/750]]&lt;Expenses!$C$31,2,IF(Table1[[#This Row],[P/750]]&lt;Expenses!$C$32,3,4)))</f>
        <v>4</v>
      </c>
      <c r="AH505" s="37" t="s">
        <v>1131</v>
      </c>
      <c r="AI505" s="11">
        <f>Table1[[#This Row],[Price]]/Table1[[#This Row],[Size (ml)]]*750</f>
        <v>67</v>
      </c>
      <c r="AJ505">
        <v>94</v>
      </c>
      <c r="AK505" s="37">
        <f>COUNTIF(UniqueID!A:A,Table1[[#This Row],[ID]])</f>
        <v>1</v>
      </c>
      <c r="AL505" s="37" t="str">
        <f>VLOOKUP(Table1[[#This Row],[Cellar Location]],Location!A:F,6,FALSE)</f>
        <v>K</v>
      </c>
      <c r="AN505" s="37"/>
      <c r="AO505" s="37" t="str">
        <f>TEXT(Table1[[#This Row],[Purchased]],"mmmm")</f>
        <v>January</v>
      </c>
      <c r="AP505" s="10" t="str">
        <f>TEXT(Table1[[#This Row],[Purchased]],"yyyy")</f>
        <v>1900</v>
      </c>
      <c r="AQ505" s="10"/>
    </row>
    <row r="506" spans="1:43" x14ac:dyDescent="0.25">
      <c r="A506" t="str">
        <f t="shared" si="36"/>
        <v>2016Produttori del BarbarescoBarbaresco</v>
      </c>
      <c r="B506" s="37">
        <v>2016</v>
      </c>
      <c r="C506" s="37" t="s">
        <v>248</v>
      </c>
      <c r="D506" s="37" t="s">
        <v>249</v>
      </c>
      <c r="E506" s="67" t="s">
        <v>1206</v>
      </c>
      <c r="F506" s="37" t="s">
        <v>728</v>
      </c>
      <c r="G506" s="37" t="s">
        <v>778</v>
      </c>
      <c r="H506" s="37" t="s">
        <v>249</v>
      </c>
      <c r="I506" s="37">
        <v>1</v>
      </c>
      <c r="J506" s="107">
        <v>750</v>
      </c>
      <c r="K506" s="8" t="s">
        <v>1850</v>
      </c>
      <c r="L506" s="10">
        <f>COUNTIF(Drank!A:A,Table1[[#This Row],[ID]])</f>
        <v>2</v>
      </c>
      <c r="M506" t="s">
        <v>202</v>
      </c>
      <c r="N506" t="s">
        <v>207</v>
      </c>
      <c r="O506">
        <v>1</v>
      </c>
      <c r="P506" s="37">
        <v>2022</v>
      </c>
      <c r="Q506">
        <v>2040</v>
      </c>
      <c r="R506" s="10">
        <f>IF(IFERROR(VLOOKUP(A506,Drank!A:S,15,FALSE),"")=0,"",IFERROR(VLOOKUP(A506,Drank!A:S,15,FALSE),""))</f>
        <v>2021</v>
      </c>
      <c r="S506" s="10">
        <f>IF(IFERROR(VLOOKUP(A506,Drank!A:S,16,FALSE),"")=0,"",IFERROR(VLOOKUP(A506,Drank!A:S,16,FALSE),""))</f>
        <v>2032</v>
      </c>
      <c r="T506" s="10"/>
      <c r="U506">
        <v>95</v>
      </c>
      <c r="V506" s="18">
        <f>IF(IFERROR(VLOOKUP(A506,Drank!A:T,19,FALSE),"")=0,"",IFERROR(VLOOKUP(A506,Drank!A:T,19,FALSE),""))</f>
        <v>95.5</v>
      </c>
      <c r="W506" s="1">
        <f>IF(IFERROR(VLOOKUP(A506,Drank!A:T,20,FALSE),"")=0,"",IFERROR(VLOOKUP(A506,Drank!A:T,20,FALSE),""))</f>
        <v>44079</v>
      </c>
      <c r="X506" s="10">
        <f>SUMIF(A:A,A506,I:I)</f>
        <v>41</v>
      </c>
      <c r="Y506" s="10">
        <f>IF(Table1[[#This Row],[Drank]]&gt;0,VLOOKUP(Table1[[#This Row],[ID]],Drank!A:P,16,FALSE),IF(Table1[[#This Row],[WALDD]]&gt;0,VLOOKUP(Table1[[#This Row],[ID]],Wine1!A:Q,17,FALSE),Table1[[#This Row],[EP]]))</f>
        <v>2032</v>
      </c>
      <c r="Z506" s="18">
        <f>IF(Table1[[#This Row],[My Rating]]="",IF(Table1[[#This Row],[WA Rating Clean]]="","",Table1[[#This Row],[WA Rating Clean]]),Table1[[#This Row],[My Rating]])</f>
        <v>95.5</v>
      </c>
      <c r="AA506" s="37">
        <v>2023</v>
      </c>
      <c r="AB506" s="128">
        <v>42.36</v>
      </c>
      <c r="AC506" s="2">
        <f t="shared" si="37"/>
        <v>42.36</v>
      </c>
      <c r="AD506" s="8">
        <v>1</v>
      </c>
      <c r="AE506" s="10">
        <f>IF(Table1[[#This Row],[P/750]]&lt;20,1,IF(Table1[[#This Row],[P/750]]&lt;50,2,3))</f>
        <v>2</v>
      </c>
      <c r="AF506" s="10">
        <f>IF(Table1[[#This Row],[P/750]]&lt;Expenses!$C$30,1,IF(Table1[[#This Row],[P/750]]&lt;Expenses!$C$31,2,IF(Table1[[#This Row],[P/750]]&lt;Expenses!$C$32,3,4)))</f>
        <v>3</v>
      </c>
      <c r="AH506" s="37" t="s">
        <v>1128</v>
      </c>
      <c r="AI506" s="11">
        <f>Table1[[#This Row],[Price]]/Table1[[#This Row],[Size (ml)]]*750</f>
        <v>42.36</v>
      </c>
      <c r="AJ506" s="37">
        <v>95</v>
      </c>
      <c r="AK506" s="10">
        <f>COUNTIF(UniqueID!A:A,Table1[[#This Row],[ID]])</f>
        <v>1</v>
      </c>
      <c r="AL506" s="10" t="str">
        <f>VLOOKUP(Table1[[#This Row],[Cellar Location]],Location!A:F,6,FALSE)</f>
        <v>S</v>
      </c>
      <c r="AN506" s="1">
        <v>44070</v>
      </c>
      <c r="AO506" s="10" t="str">
        <f>TEXT(Table1[[#This Row],[Purchased]],"mmmm")</f>
        <v>August</v>
      </c>
      <c r="AP506" s="10" t="str">
        <f>TEXT(Table1[[#This Row],[Purchased]],"yyyy")</f>
        <v>2020</v>
      </c>
      <c r="AQ506" s="1"/>
    </row>
    <row r="507" spans="1:43" x14ac:dyDescent="0.25">
      <c r="A507" t="str">
        <f t="shared" si="36"/>
        <v>2016Produttori del BarbarescoBarbaresco</v>
      </c>
      <c r="B507" s="37">
        <v>2016</v>
      </c>
      <c r="C507" s="37" t="s">
        <v>248</v>
      </c>
      <c r="D507" s="37" t="s">
        <v>249</v>
      </c>
      <c r="E507" s="67" t="s">
        <v>1206</v>
      </c>
      <c r="F507" s="37" t="s">
        <v>728</v>
      </c>
      <c r="G507" s="37" t="s">
        <v>778</v>
      </c>
      <c r="H507" s="37" t="s">
        <v>249</v>
      </c>
      <c r="I507" s="107">
        <v>1</v>
      </c>
      <c r="J507" s="37">
        <v>750</v>
      </c>
      <c r="K507" s="107" t="s">
        <v>1408</v>
      </c>
      <c r="L507" s="37">
        <f>COUNTIF(Drank!A:A,Table1[[#This Row],[ID]])</f>
        <v>2</v>
      </c>
      <c r="M507" t="s">
        <v>202</v>
      </c>
      <c r="N507" t="s">
        <v>207</v>
      </c>
      <c r="O507">
        <v>1</v>
      </c>
      <c r="P507" s="37">
        <v>2022</v>
      </c>
      <c r="Q507">
        <v>2040</v>
      </c>
      <c r="R507" s="10">
        <f>IF(IFERROR(VLOOKUP(A507,Drank!A:S,15,FALSE),"")=0,"",IFERROR(VLOOKUP(A507,Drank!A:S,15,FALSE),""))</f>
        <v>2021</v>
      </c>
      <c r="S507" s="10">
        <f>IF(IFERROR(VLOOKUP(A507,Drank!A:S,16,FALSE),"")=0,"",IFERROR(VLOOKUP(A507,Drank!A:S,16,FALSE),""))</f>
        <v>2032</v>
      </c>
      <c r="T507" s="10"/>
      <c r="U507">
        <v>95</v>
      </c>
      <c r="V507" s="18">
        <f>IF(IFERROR(VLOOKUP(A507,Drank!A:T,19,FALSE),"")=0,"",IFERROR(VLOOKUP(A507,Drank!A:T,19,FALSE),""))</f>
        <v>95.5</v>
      </c>
      <c r="W507" s="1">
        <f>IF(IFERROR(VLOOKUP(A507,Drank!A:T,20,FALSE),"")=0,"",IFERROR(VLOOKUP(A507,Drank!A:T,20,FALSE),""))</f>
        <v>44079</v>
      </c>
      <c r="X507" s="10">
        <f>SUMIF(A:A,A507,I:I)</f>
        <v>41</v>
      </c>
      <c r="Y507" s="37">
        <f>IF(Table1[[#This Row],[Drank]]&gt;0,VLOOKUP(Table1[[#This Row],[ID]],Drank!A:P,16,FALSE),IF(Table1[[#This Row],[WALDD]]&gt;0,VLOOKUP(Table1[[#This Row],[ID]],Wine1!A:Q,17,FALSE),Table1[[#This Row],[EP]]))</f>
        <v>2032</v>
      </c>
      <c r="Z507" s="18">
        <f>IF(Table1[[#This Row],[My Rating]]="",IF(Table1[[#This Row],[WA Rating Clean]]="","",Table1[[#This Row],[WA Rating Clean]]),Table1[[#This Row],[My Rating]])</f>
        <v>95.5</v>
      </c>
      <c r="AA507" s="8">
        <v>2023</v>
      </c>
      <c r="AB507" s="128">
        <v>46.94</v>
      </c>
      <c r="AC507" s="2">
        <f t="shared" si="37"/>
        <v>46.94</v>
      </c>
      <c r="AD507" s="8">
        <v>2</v>
      </c>
      <c r="AE507" s="37">
        <f>IF(Table1[[#This Row],[P/750]]&lt;20,1,IF(Table1[[#This Row],[P/750]]&lt;50,2,3))</f>
        <v>2</v>
      </c>
      <c r="AF507" s="37">
        <f>IF(Table1[[#This Row],[P/750]]&lt;Expenses!$C$30,1,IF(Table1[[#This Row],[P/750]]&lt;Expenses!$C$31,2,IF(Table1[[#This Row],[P/750]]&lt;Expenses!$C$32,3,4)))</f>
        <v>3</v>
      </c>
      <c r="AH507" s="37" t="s">
        <v>1128</v>
      </c>
      <c r="AI507" s="11">
        <f>Table1[[#This Row],[Price]]/Table1[[#This Row],[Size (ml)]]*750</f>
        <v>46.94</v>
      </c>
      <c r="AJ507">
        <v>95</v>
      </c>
      <c r="AK507" s="37">
        <f>COUNTIF(UniqueID!A:A,Table1[[#This Row],[ID]])</f>
        <v>1</v>
      </c>
      <c r="AL507" s="37" t="str">
        <f>VLOOKUP(Table1[[#This Row],[Cellar Location]],Location!A:F,6,FALSE)</f>
        <v>S</v>
      </c>
      <c r="AN507" s="1">
        <v>43966</v>
      </c>
      <c r="AO507" s="37" t="str">
        <f>TEXT(Table1[[#This Row],[Purchased]],"mmmm")</f>
        <v>May</v>
      </c>
      <c r="AP507" s="10" t="str">
        <f>TEXT(Table1[[#This Row],[Purchased]],"yyyy")</f>
        <v>2020</v>
      </c>
      <c r="AQ507" s="10"/>
    </row>
    <row r="508" spans="1:43" x14ac:dyDescent="0.25">
      <c r="A508" t="str">
        <f t="shared" si="36"/>
        <v>2017Quinta do ValladoTouriga Nacional</v>
      </c>
      <c r="B508" s="8">
        <v>2017</v>
      </c>
      <c r="C508" s="9" t="s">
        <v>210</v>
      </c>
      <c r="D508" s="9" t="s">
        <v>211</v>
      </c>
      <c r="E508" s="68" t="s">
        <v>1221</v>
      </c>
      <c r="F508" s="9" t="s">
        <v>804</v>
      </c>
      <c r="G508" s="9" t="s">
        <v>805</v>
      </c>
      <c r="H508" s="9"/>
      <c r="I508" s="37">
        <v>1</v>
      </c>
      <c r="J508" s="38">
        <v>750</v>
      </c>
      <c r="K508" s="38" t="s">
        <v>384</v>
      </c>
      <c r="L508" s="10">
        <f>COUNTIF(Drank!A:A,Table1[[#This Row],[ID]])</f>
        <v>0</v>
      </c>
      <c r="M508" t="s">
        <v>202</v>
      </c>
      <c r="N508" t="s">
        <v>207</v>
      </c>
      <c r="O508">
        <v>1</v>
      </c>
      <c r="P508" s="37">
        <v>2020</v>
      </c>
      <c r="Q508">
        <v>2037</v>
      </c>
      <c r="R508" s="10" t="str">
        <f>IF(IFERROR(VLOOKUP(A508,Drank!A:S,15,FALSE),"")=0,"",IFERROR(VLOOKUP(A508,Drank!A:S,15,FALSE),""))</f>
        <v/>
      </c>
      <c r="S508" s="10" t="str">
        <f>IF(IFERROR(VLOOKUP(A508,Drank!A:S,16,FALSE),"")=0,"",IFERROR(VLOOKUP(A508,Drank!A:S,16,FALSE),""))</f>
        <v/>
      </c>
      <c r="T508" s="10"/>
      <c r="U508">
        <v>94</v>
      </c>
      <c r="V508" s="18" t="str">
        <f>IF(IFERROR(VLOOKUP(A508,Drank!A:T,19,FALSE),"")=0,"",IFERROR(VLOOKUP(A508,Drank!A:T,19,FALSE),""))</f>
        <v/>
      </c>
      <c r="W508" s="1" t="str">
        <f>IF(IFERROR(VLOOKUP(A508,Drank!A:T,20,FALSE),"")=0,"",IFERROR(VLOOKUP(A508,Drank!A:T,20,FALSE),""))</f>
        <v/>
      </c>
      <c r="X508" s="10">
        <f>SUMIF(A:A,A508,I:I)</f>
        <v>4</v>
      </c>
      <c r="Y508" s="10">
        <f>IF(Table1[[#This Row],[Drank]]&gt;0,VLOOKUP(Table1[[#This Row],[ID]],Drank!A:P,16,FALSE),IF(Table1[[#This Row],[WALDD]]&gt;0,VLOOKUP(Table1[[#This Row],[ID]],Wine1!A:Q,17,FALSE),Table1[[#This Row],[EP]]))</f>
        <v>2037</v>
      </c>
      <c r="Z508" s="18">
        <f>IF(Table1[[#This Row],[My Rating]]="",IF(Table1[[#This Row],[WA Rating Clean]]="","",Table1[[#This Row],[WA Rating Clean]]),Table1[[#This Row],[My Rating]])</f>
        <v>94</v>
      </c>
      <c r="AA508" s="37">
        <v>2023</v>
      </c>
      <c r="AB508" s="128">
        <v>27.15</v>
      </c>
      <c r="AC508" s="2">
        <f t="shared" si="37"/>
        <v>27.15</v>
      </c>
      <c r="AD508" s="8">
        <v>1</v>
      </c>
      <c r="AE508" s="10">
        <f>IF(Table1[[#This Row],[P/750]]&lt;20,1,IF(Table1[[#This Row],[P/750]]&lt;50,2,3))</f>
        <v>2</v>
      </c>
      <c r="AF508" s="10">
        <f>IF(Table1[[#This Row],[P/750]]&lt;Expenses!$C$30,1,IF(Table1[[#This Row],[P/750]]&lt;Expenses!$C$31,2,IF(Table1[[#This Row],[P/750]]&lt;Expenses!$C$32,3,4)))</f>
        <v>2</v>
      </c>
      <c r="AH508" s="37" t="s">
        <v>384</v>
      </c>
      <c r="AI508" s="11">
        <f>Table1[[#This Row],[Price]]/Table1[[#This Row],[Size (ml)]]*750</f>
        <v>27.15</v>
      </c>
      <c r="AJ508">
        <v>94</v>
      </c>
      <c r="AK508" s="10">
        <f>COUNTIF(UniqueID!A:A,Table1[[#This Row],[ID]])</f>
        <v>0</v>
      </c>
      <c r="AL508" s="10" t="str">
        <f>VLOOKUP(Table1[[#This Row],[Cellar Location]],Location!A:F,6,FALSE)</f>
        <v>W</v>
      </c>
      <c r="AN508" s="1">
        <v>44027</v>
      </c>
      <c r="AO508" s="10" t="str">
        <f>TEXT(Table1[[#This Row],[Purchased]],"mmmm")</f>
        <v>July</v>
      </c>
      <c r="AP508" s="10" t="str">
        <f>TEXT(Table1[[#This Row],[Purchased]],"yyyy")</f>
        <v>2020</v>
      </c>
      <c r="AQ508" s="1">
        <v>44138</v>
      </c>
    </row>
    <row r="509" spans="1:43" x14ac:dyDescent="0.25">
      <c r="A509" s="37" t="str">
        <f t="shared" si="36"/>
        <v>2016Paolo ScavinoBarolo</v>
      </c>
      <c r="B509" s="37">
        <v>2016</v>
      </c>
      <c r="C509" s="37" t="s">
        <v>1796</v>
      </c>
      <c r="D509" s="9" t="s">
        <v>268</v>
      </c>
      <c r="E509" s="67" t="s">
        <v>1206</v>
      </c>
      <c r="F509" s="37" t="s">
        <v>728</v>
      </c>
      <c r="G509" s="37" t="s">
        <v>778</v>
      </c>
      <c r="H509" s="37" t="s">
        <v>268</v>
      </c>
      <c r="I509" s="37">
        <v>1</v>
      </c>
      <c r="J509" s="107">
        <v>750</v>
      </c>
      <c r="K509" s="8" t="s">
        <v>1812</v>
      </c>
      <c r="L509" s="10">
        <f>COUNTIF(Drank!A:A,Table1[[#This Row],[ID]])</f>
        <v>0</v>
      </c>
      <c r="M509" t="s">
        <v>202</v>
      </c>
      <c r="N509" t="s">
        <v>207</v>
      </c>
      <c r="O509">
        <v>1</v>
      </c>
      <c r="P509" s="10">
        <v>2023</v>
      </c>
      <c r="Q509">
        <v>2040</v>
      </c>
      <c r="R509" s="10" t="str">
        <f>IF(IFERROR(VLOOKUP(A509,Drank!A:S,15,FALSE),"")=0,"",IFERROR(VLOOKUP(A509,Drank!A:S,15,FALSE),""))</f>
        <v/>
      </c>
      <c r="S509" s="10" t="str">
        <f>IF(IFERROR(VLOOKUP(A509,Drank!A:S,16,FALSE),"")=0,"",IFERROR(VLOOKUP(A509,Drank!A:S,16,FALSE),""))</f>
        <v/>
      </c>
      <c r="T509" s="10"/>
      <c r="U509">
        <v>95</v>
      </c>
      <c r="V509" s="18" t="str">
        <f>IF(IFERROR(VLOOKUP(A509,Drank!A:T,19,FALSE),"")=0,"",IFERROR(VLOOKUP(A509,Drank!A:T,19,FALSE),""))</f>
        <v/>
      </c>
      <c r="W509" s="1" t="str">
        <f>IF(IFERROR(VLOOKUP(A509,Drank!A:T,20,FALSE),"")=0,"",IFERROR(VLOOKUP(A509,Drank!A:T,20,FALSE),""))</f>
        <v/>
      </c>
      <c r="X509" s="10">
        <f>SUMIF(A:A,A509,I:I)</f>
        <v>6</v>
      </c>
      <c r="Y509" s="10">
        <f>IF(Table1[[#This Row],[Drank]]&gt;0,VLOOKUP(Table1[[#This Row],[ID]],Drank!A:P,16,FALSE),IF(Table1[[#This Row],[WALDD]]&gt;0,VLOOKUP(Table1[[#This Row],[ID]],Wine1!A:Q,17,FALSE),Table1[[#This Row],[EP]]))</f>
        <v>2040</v>
      </c>
      <c r="Z509" s="18">
        <f>IF(Table1[[#This Row],[My Rating]]="",IF(Table1[[#This Row],[WA Rating Clean]]="","",Table1[[#This Row],[WA Rating Clean]]),Table1[[#This Row],[My Rating]])</f>
        <v>95</v>
      </c>
      <c r="AA509" s="37">
        <v>2023</v>
      </c>
      <c r="AB509" s="128">
        <v>44.77</v>
      </c>
      <c r="AC509" s="2">
        <f t="shared" si="37"/>
        <v>44.77</v>
      </c>
      <c r="AD509" s="8">
        <v>1</v>
      </c>
      <c r="AE509" s="10">
        <f>IF(Table1[[#This Row],[P/750]]&lt;20,1,IF(Table1[[#This Row],[P/750]]&lt;50,2,3))</f>
        <v>2</v>
      </c>
      <c r="AF509" s="10">
        <f>IF(Table1[[#This Row],[P/750]]&lt;Expenses!$C$30,1,IF(Table1[[#This Row],[P/750]]&lt;Expenses!$C$31,2,IF(Table1[[#This Row],[P/750]]&lt;Expenses!$C$32,3,4)))</f>
        <v>3</v>
      </c>
      <c r="AH509" s="25" t="s">
        <v>1803</v>
      </c>
      <c r="AI509" s="11">
        <f>Table1[[#This Row],[Price]]/Table1[[#This Row],[Size (ml)]]*750</f>
        <v>44.77</v>
      </c>
      <c r="AJ509" s="37">
        <v>95</v>
      </c>
      <c r="AK509" s="10">
        <f>COUNTIF(UniqueID!A:A,Table1[[#This Row],[ID]])</f>
        <v>0</v>
      </c>
      <c r="AL509" s="10" t="str">
        <f>VLOOKUP(Table1[[#This Row],[Cellar Location]],Location!A:F,6,FALSE)</f>
        <v>S</v>
      </c>
      <c r="AN509" s="1">
        <v>44065</v>
      </c>
      <c r="AO509" s="10" t="str">
        <f>TEXT(Table1[[#This Row],[Purchased]],"mmmm")</f>
        <v>August</v>
      </c>
      <c r="AP509" s="10" t="str">
        <f>TEXT(Table1[[#This Row],[Purchased]],"yyyy")</f>
        <v>2020</v>
      </c>
      <c r="AQ509" s="10"/>
    </row>
    <row r="510" spans="1:43" x14ac:dyDescent="0.25">
      <c r="A510" t="str">
        <f t="shared" si="36"/>
        <v>2009Chateau La Tour BlancheLa Tour Blanche</v>
      </c>
      <c r="B510" s="37">
        <v>2009</v>
      </c>
      <c r="C510" s="37" t="s">
        <v>1208</v>
      </c>
      <c r="D510" s="37" t="s">
        <v>216</v>
      </c>
      <c r="E510" s="69" t="s">
        <v>1215</v>
      </c>
      <c r="F510" s="37" t="s">
        <v>742</v>
      </c>
      <c r="G510" s="37" t="s">
        <v>748</v>
      </c>
      <c r="H510" s="37" t="s">
        <v>260</v>
      </c>
      <c r="I510" s="107">
        <v>1</v>
      </c>
      <c r="J510">
        <v>375</v>
      </c>
      <c r="K510" s="107" t="s">
        <v>1504</v>
      </c>
      <c r="L510" s="37">
        <f>COUNTIF(Drank!A:A,Table1[[#This Row],[ID]])</f>
        <v>4</v>
      </c>
      <c r="M510" t="s">
        <v>201</v>
      </c>
      <c r="N510" t="s">
        <v>206</v>
      </c>
      <c r="O510">
        <v>1</v>
      </c>
      <c r="P510" s="37">
        <v>2019</v>
      </c>
      <c r="Q510">
        <v>2042</v>
      </c>
      <c r="R510" s="37">
        <f>IF(IFERROR(VLOOKUP(A510,Drank!A:S,15,FALSE),"")=0,"",IFERROR(VLOOKUP(A510,Drank!A:S,15,FALSE),""))</f>
        <v>2020</v>
      </c>
      <c r="S510" s="37">
        <f>IF(IFERROR(VLOOKUP(A510,Drank!A:S,16,FALSE),"")=0,"",IFERROR(VLOOKUP(A510,Drank!A:S,16,FALSE),""))</f>
        <v>2040</v>
      </c>
      <c r="T510" s="37"/>
      <c r="U510">
        <v>93</v>
      </c>
      <c r="V510" s="18">
        <f>IF(IFERROR(VLOOKUP(A510,Drank!A:T,19,FALSE),"")=0,"",IFERROR(VLOOKUP(A510,Drank!A:T,19,FALSE),""))</f>
        <v>92.25</v>
      </c>
      <c r="W510" s="1">
        <f>IF(IFERROR(VLOOKUP(A510,Drank!A:T,20,FALSE),"")=0,"",IFERROR(VLOOKUP(A510,Drank!A:T,20,FALSE),""))</f>
        <v>43646</v>
      </c>
      <c r="X510" s="37">
        <f>SUMIF(A:A,A510,I:I)</f>
        <v>9</v>
      </c>
      <c r="Y510" s="37">
        <f>IF(Table1[[#This Row],[Drank]]&gt;0,VLOOKUP(Table1[[#This Row],[ID]],Drank!A:P,16,FALSE),IF(Table1[[#This Row],[WALDD]]&gt;0,VLOOKUP(Table1[[#This Row],[ID]],Wine1!A:Q,17,FALSE),Table1[[#This Row],[EP]]))</f>
        <v>2040</v>
      </c>
      <c r="Z510" s="18">
        <f>IF(Table1[[#This Row],[My Rating]]="",IF(Table1[[#This Row],[WA Rating Clean]]="","",Table1[[#This Row],[WA Rating Clean]]),Table1[[#This Row],[My Rating]])</f>
        <v>92.25</v>
      </c>
      <c r="AA510" s="37">
        <v>2023</v>
      </c>
      <c r="AB510" s="128">
        <v>20.99</v>
      </c>
      <c r="AC510" s="2">
        <f t="shared" si="37"/>
        <v>20.99</v>
      </c>
      <c r="AD510" s="8">
        <v>2</v>
      </c>
      <c r="AE510" s="37">
        <f>IF(Table1[[#This Row],[P/750]]&lt;20,1,IF(Table1[[#This Row],[P/750]]&lt;50,2,3))</f>
        <v>2</v>
      </c>
      <c r="AF510" s="37">
        <f>IF(Table1[[#This Row],[P/750]]&lt;Expenses!$C$30,1,IF(Table1[[#This Row],[P/750]]&lt;Expenses!$C$31,2,IF(Table1[[#This Row],[P/750]]&lt;Expenses!$C$32,3,4)))</f>
        <v>3</v>
      </c>
      <c r="AH510" s="37" t="s">
        <v>385</v>
      </c>
      <c r="AI510" s="11">
        <f>Table1[[#This Row],[Price]]/Table1[[#This Row],[Size (ml)]]*750</f>
        <v>41.98</v>
      </c>
      <c r="AJ510">
        <v>93</v>
      </c>
      <c r="AK510" s="37">
        <f>COUNTIF(UniqueID!A:A,Table1[[#This Row],[ID]])</f>
        <v>1</v>
      </c>
      <c r="AL510" s="37" t="str">
        <f>VLOOKUP(Table1[[#This Row],[Cellar Location]],Location!A:F,6,FALSE)</f>
        <v>S</v>
      </c>
      <c r="AN510" s="1">
        <v>43846</v>
      </c>
      <c r="AO510" s="37" t="str">
        <f>TEXT(Table1[[#This Row],[Purchased]],"mmmm")</f>
        <v>January</v>
      </c>
      <c r="AP510" s="10" t="str">
        <f>TEXT(Table1[[#This Row],[Purchased]],"yyyy")</f>
        <v>2020</v>
      </c>
      <c r="AQ510" s="10"/>
    </row>
    <row r="511" spans="1:43" x14ac:dyDescent="0.25">
      <c r="A511" t="str">
        <f t="shared" si="36"/>
        <v>2016Tua RitaGiusto di Notri</v>
      </c>
      <c r="B511" s="37">
        <v>2016</v>
      </c>
      <c r="C511" s="37" t="s">
        <v>859</v>
      </c>
      <c r="D511" s="37" t="s">
        <v>860</v>
      </c>
      <c r="E511" s="67" t="s">
        <v>1266</v>
      </c>
      <c r="F511" s="37" t="s">
        <v>728</v>
      </c>
      <c r="G511" s="37" t="s">
        <v>790</v>
      </c>
      <c r="H511" s="37" t="s">
        <v>796</v>
      </c>
      <c r="I511" s="107">
        <v>1</v>
      </c>
      <c r="J511" s="37">
        <v>750</v>
      </c>
      <c r="K511" s="107" t="s">
        <v>927</v>
      </c>
      <c r="L511" s="10">
        <f>COUNTIF(Drank!A:A,Table1[[#This Row],[ID]])</f>
        <v>0</v>
      </c>
      <c r="M511" t="s">
        <v>202</v>
      </c>
      <c r="N511" t="s">
        <v>207</v>
      </c>
      <c r="O511">
        <v>1</v>
      </c>
      <c r="P511" s="10">
        <v>2020</v>
      </c>
      <c r="Q511">
        <v>2040</v>
      </c>
      <c r="R511" s="10" t="str">
        <f>IF(IFERROR(VLOOKUP(A511,Drank!A:S,15,FALSE),"")=0,"",IFERROR(VLOOKUP(A511,Drank!A:S,15,FALSE),""))</f>
        <v/>
      </c>
      <c r="S511" s="10" t="str">
        <f>IF(IFERROR(VLOOKUP(A511,Drank!A:S,16,FALSE),"")=0,"",IFERROR(VLOOKUP(A511,Drank!A:S,16,FALSE),""))</f>
        <v/>
      </c>
      <c r="T511" s="10"/>
      <c r="U511">
        <v>97</v>
      </c>
      <c r="V511" s="18" t="str">
        <f>IF(IFERROR(VLOOKUP(A511,Drank!A:T,19,FALSE),"")=0,"",IFERROR(VLOOKUP(A511,Drank!A:T,19,FALSE),""))</f>
        <v/>
      </c>
      <c r="W511" s="1" t="str">
        <f>IF(IFERROR(VLOOKUP(A511,Drank!A:T,20,FALSE),"")=0,"",IFERROR(VLOOKUP(A511,Drank!A:T,20,FALSE),""))</f>
        <v/>
      </c>
      <c r="X511" s="10">
        <f>SUMIF(A:A,A511,I:I)</f>
        <v>4</v>
      </c>
      <c r="Y511" s="10">
        <f>IF(Table1[[#This Row],[Drank]]&gt;0,VLOOKUP(Table1[[#This Row],[ID]],Drank!A:P,16,FALSE),IF(Table1[[#This Row],[WALDD]]&gt;0,VLOOKUP(Table1[[#This Row],[ID]],Wine1!A:Q,17,FALSE),Table1[[#This Row],[EP]]))</f>
        <v>2040</v>
      </c>
      <c r="Z511" s="18">
        <f>IF(Table1[[#This Row],[My Rating]]="",IF(Table1[[#This Row],[WA Rating Clean]]="","",Table1[[#This Row],[WA Rating Clean]]),Table1[[#This Row],[My Rating]])</f>
        <v>97</v>
      </c>
      <c r="AA511" s="37">
        <v>2023</v>
      </c>
      <c r="AB511" s="128">
        <v>59.99</v>
      </c>
      <c r="AC511" s="2">
        <f t="shared" si="37"/>
        <v>59.99</v>
      </c>
      <c r="AD511" s="8">
        <v>2</v>
      </c>
      <c r="AE511" s="10">
        <f>IF(Table1[[#This Row],[P/750]]&lt;20,1,IF(Table1[[#This Row],[P/750]]&lt;50,2,3))</f>
        <v>3</v>
      </c>
      <c r="AF511" s="10">
        <f>IF(Table1[[#This Row],[P/750]]&lt;Expenses!$C$30,1,IF(Table1[[#This Row],[P/750]]&lt;Expenses!$C$31,2,IF(Table1[[#This Row],[P/750]]&lt;Expenses!$C$32,3,4)))</f>
        <v>3</v>
      </c>
      <c r="AH511" s="37" t="s">
        <v>384</v>
      </c>
      <c r="AI511" s="11">
        <f>Table1[[#This Row],[Price]]/Table1[[#This Row],[Size (ml)]]*750</f>
        <v>59.989999999999995</v>
      </c>
      <c r="AJ511">
        <v>97</v>
      </c>
      <c r="AK511" s="10">
        <f>COUNTIF(UniqueID!A:A,Table1[[#This Row],[ID]])</f>
        <v>1</v>
      </c>
      <c r="AL511" s="37" t="str">
        <f>VLOOKUP(Table1[[#This Row],[Cellar Location]],Location!A:F,6,FALSE)</f>
        <v>S</v>
      </c>
      <c r="AN511" s="1">
        <v>43825</v>
      </c>
      <c r="AO511" s="37" t="str">
        <f>TEXT(Table1[[#This Row],[Purchased]],"mmmm")</f>
        <v>December</v>
      </c>
      <c r="AP511" s="10" t="str">
        <f>TEXT(Table1[[#This Row],[Purchased]],"yyyy")</f>
        <v>2019</v>
      </c>
      <c r="AQ511" s="10"/>
    </row>
    <row r="512" spans="1:43" x14ac:dyDescent="0.25">
      <c r="A512" s="37" t="str">
        <f t="shared" si="36"/>
        <v>2016OdderoBarolo</v>
      </c>
      <c r="B512" s="37">
        <v>2016</v>
      </c>
      <c r="C512" s="37" t="s">
        <v>1173</v>
      </c>
      <c r="D512" s="37" t="s">
        <v>268</v>
      </c>
      <c r="E512" s="37" t="s">
        <v>1206</v>
      </c>
      <c r="F512" s="37" t="s">
        <v>728</v>
      </c>
      <c r="G512" s="37" t="s">
        <v>778</v>
      </c>
      <c r="H512" s="37" t="s">
        <v>268</v>
      </c>
      <c r="I512" s="8">
        <v>1</v>
      </c>
      <c r="J512" s="38">
        <v>750</v>
      </c>
      <c r="K512" s="38" t="s">
        <v>1526</v>
      </c>
      <c r="L512" s="10">
        <f>COUNTIF(Drank!A:A,Table1[[#This Row],[ID]])</f>
        <v>0</v>
      </c>
      <c r="M512" t="s">
        <v>202</v>
      </c>
      <c r="N512" t="s">
        <v>207</v>
      </c>
      <c r="O512">
        <v>1</v>
      </c>
      <c r="P512" s="37">
        <v>2022</v>
      </c>
      <c r="Q512">
        <v>2040</v>
      </c>
      <c r="R512" s="10" t="str">
        <f>IF(IFERROR(VLOOKUP(A512,Drank!A:S,15,FALSE),"")=0,"",IFERROR(VLOOKUP(A512,Drank!A:S,15,FALSE),""))</f>
        <v/>
      </c>
      <c r="S512" s="10" t="str">
        <f>IF(IFERROR(VLOOKUP(A512,Drank!A:S,16,FALSE),"")=0,"",IFERROR(VLOOKUP(A512,Drank!A:S,16,FALSE),""))</f>
        <v/>
      </c>
      <c r="T512" s="10"/>
      <c r="U512" t="s">
        <v>17</v>
      </c>
      <c r="V512" s="18" t="str">
        <f>IF(IFERROR(VLOOKUP(A512,Drank!A:T,19,FALSE),"")=0,"",IFERROR(VLOOKUP(A512,Drank!A:T,19,FALSE),""))</f>
        <v/>
      </c>
      <c r="W512" s="1" t="str">
        <f>IF(IFERROR(VLOOKUP(A512,Drank!A:T,20,FALSE),"")=0,"",IFERROR(VLOOKUP(A512,Drank!A:T,20,FALSE),""))</f>
        <v/>
      </c>
      <c r="X512" s="10">
        <f>SUMIF(A:A,A512,I:I)</f>
        <v>4</v>
      </c>
      <c r="Y512" s="10">
        <f>IF(Table1[[#This Row],[Drank]]&gt;0,VLOOKUP(Table1[[#This Row],[ID]],Drank!A:P,16,FALSE),IF(Table1[[#This Row],[WALDD]]&gt;0,VLOOKUP(Table1[[#This Row],[ID]],Wine1!A:Q,17,FALSE),Table1[[#This Row],[EP]]))</f>
        <v>2040</v>
      </c>
      <c r="Z512" s="18">
        <f>IF(Table1[[#This Row],[My Rating]]="",IF(Table1[[#This Row],[WA Rating Clean]]="","",Table1[[#This Row],[WA Rating Clean]]),Table1[[#This Row],[My Rating]])</f>
        <v>94</v>
      </c>
      <c r="AA512" s="8">
        <v>2023</v>
      </c>
      <c r="AB512" s="128">
        <v>43.44</v>
      </c>
      <c r="AC512" s="2">
        <f t="shared" si="37"/>
        <v>43.44</v>
      </c>
      <c r="AD512" s="8">
        <v>1</v>
      </c>
      <c r="AE512" s="10">
        <f>IF(Table1[[#This Row],[P/750]]&lt;20,1,IF(Table1[[#This Row],[P/750]]&lt;50,2,3))</f>
        <v>2</v>
      </c>
      <c r="AF512" s="10">
        <f>IF(Table1[[#This Row],[P/750]]&lt;Expenses!$C$30,1,IF(Table1[[#This Row],[P/750]]&lt;Expenses!$C$31,2,IF(Table1[[#This Row],[P/750]]&lt;Expenses!$C$32,3,4)))</f>
        <v>3</v>
      </c>
      <c r="AH512" s="37" t="s">
        <v>1478</v>
      </c>
      <c r="AI512" s="11">
        <f>Table1[[#This Row],[Price]]/Table1[[#This Row],[Size (ml)]]*750</f>
        <v>43.44</v>
      </c>
      <c r="AJ512" s="37">
        <v>94</v>
      </c>
      <c r="AK512" s="10">
        <f>COUNTIF(UniqueID!A:A,Table1[[#This Row],[ID]])</f>
        <v>0</v>
      </c>
      <c r="AL512" s="10" t="str">
        <f>VLOOKUP(Table1[[#This Row],[Cellar Location]],Location!A:F,6,FALSE)</f>
        <v>W</v>
      </c>
      <c r="AN512" s="1">
        <v>44064</v>
      </c>
      <c r="AO512" s="10" t="str">
        <f>TEXT(Table1[[#This Row],[Purchased]],"mmmm")</f>
        <v>August</v>
      </c>
      <c r="AP512" s="10" t="str">
        <f>TEXT(Table1[[#This Row],[Purchased]],"yyyy")</f>
        <v>2020</v>
      </c>
      <c r="AQ512" s="1">
        <v>44114</v>
      </c>
    </row>
    <row r="513" spans="1:43" x14ac:dyDescent="0.25">
      <c r="A513" s="37" t="str">
        <f t="shared" si="36"/>
        <v>2016Clos du RoyClos du Roy</v>
      </c>
      <c r="B513" s="37">
        <v>2016</v>
      </c>
      <c r="C513" s="37" t="s">
        <v>854</v>
      </c>
      <c r="D513" s="37" t="s">
        <v>854</v>
      </c>
      <c r="E513" s="37" t="s">
        <v>1198</v>
      </c>
      <c r="F513" s="37" t="s">
        <v>742</v>
      </c>
      <c r="G513" s="37" t="s">
        <v>748</v>
      </c>
      <c r="H513" s="37" t="s">
        <v>856</v>
      </c>
      <c r="I513" s="107">
        <v>1</v>
      </c>
      <c r="J513" s="37">
        <v>750</v>
      </c>
      <c r="K513" s="107" t="s">
        <v>927</v>
      </c>
      <c r="L513" s="10">
        <f>COUNTIF(Drank!A:A,Table1[[#This Row],[ID]])</f>
        <v>1</v>
      </c>
      <c r="M513" t="s">
        <v>202</v>
      </c>
      <c r="N513" t="s">
        <v>207</v>
      </c>
      <c r="O513">
        <v>1</v>
      </c>
      <c r="P513" s="10">
        <v>2021</v>
      </c>
      <c r="Q513">
        <v>2038</v>
      </c>
      <c r="R513" s="10" t="str">
        <f>IF(IFERROR(VLOOKUP(A513,Drank!A:S,15,FALSE),"")=0,"",IFERROR(VLOOKUP(A513,Drank!A:S,15,FALSE),""))</f>
        <v/>
      </c>
      <c r="S513" s="10">
        <f>IF(IFERROR(VLOOKUP(A513,Drank!A:S,16,FALSE),"")=0,"",IFERROR(VLOOKUP(A513,Drank!A:S,16,FALSE),""))</f>
        <v>2045</v>
      </c>
      <c r="T513" s="10"/>
      <c r="U513" t="s">
        <v>855</v>
      </c>
      <c r="V513" s="18">
        <f>IF(IFERROR(VLOOKUP(A513,Drank!A:T,19,FALSE),"")=0,"",IFERROR(VLOOKUP(A513,Drank!A:T,19,FALSE),""))</f>
        <v>91</v>
      </c>
      <c r="W513" s="1">
        <f>IF(IFERROR(VLOOKUP(A513,Drank!A:T,20,FALSE),"")=0,"",IFERROR(VLOOKUP(A513,Drank!A:T,20,FALSE),""))</f>
        <v>43830</v>
      </c>
      <c r="X513" s="10">
        <f>SUMIF(A:A,A513,I:I)</f>
        <v>15</v>
      </c>
      <c r="Y513" s="10">
        <f>IF(Table1[[#This Row],[Drank]]&gt;0,VLOOKUP(Table1[[#This Row],[ID]],Drank!A:P,16,FALSE),IF(Table1[[#This Row],[WALDD]]&gt;0,VLOOKUP(Table1[[#This Row],[ID]],Wine1!A:Q,17,FALSE),Table1[[#This Row],[EP]]))</f>
        <v>2045</v>
      </c>
      <c r="Z513" s="18">
        <f>IF(Table1[[#This Row],[My Rating]]="",IF(Table1[[#This Row],[WA Rating Clean]]="","",Table1[[#This Row],[WA Rating Clean]]),Table1[[#This Row],[My Rating]])</f>
        <v>91</v>
      </c>
      <c r="AA513" s="37">
        <v>2023</v>
      </c>
      <c r="AB513" s="128">
        <v>16.989999999999998</v>
      </c>
      <c r="AC513" s="2">
        <f t="shared" si="37"/>
        <v>16.989999999999998</v>
      </c>
      <c r="AD513" s="8">
        <v>2</v>
      </c>
      <c r="AE513" s="10">
        <f>IF(Table1[[#This Row],[P/750]]&lt;20,1,IF(Table1[[#This Row],[P/750]]&lt;50,2,3))</f>
        <v>1</v>
      </c>
      <c r="AF513" s="10">
        <f>IF(Table1[[#This Row],[P/750]]&lt;Expenses!$C$30,1,IF(Table1[[#This Row],[P/750]]&lt;Expenses!$C$31,2,IF(Table1[[#This Row],[P/750]]&lt;Expenses!$C$32,3,4)))</f>
        <v>2</v>
      </c>
      <c r="AH513" s="37" t="s">
        <v>371</v>
      </c>
      <c r="AI513" s="11">
        <f>Table1[[#This Row],[Price]]/Table1[[#This Row],[Size (ml)]]*750</f>
        <v>16.989999999999998</v>
      </c>
      <c r="AJ513">
        <v>92</v>
      </c>
      <c r="AK513" s="10">
        <f>COUNTIF(UniqueID!A:A,Table1[[#This Row],[ID]])</f>
        <v>1</v>
      </c>
      <c r="AL513" s="37" t="str">
        <f>VLOOKUP(Table1[[#This Row],[Cellar Location]],Location!A:F,6,FALSE)</f>
        <v>S</v>
      </c>
      <c r="AN513" s="37"/>
      <c r="AO513" s="37" t="str">
        <f>TEXT(Table1[[#This Row],[Purchased]],"mmmm")</f>
        <v>January</v>
      </c>
      <c r="AP513" s="10" t="str">
        <f>TEXT(Table1[[#This Row],[Purchased]],"yyyy")</f>
        <v>1900</v>
      </c>
      <c r="AQ513" s="10"/>
    </row>
    <row r="514" spans="1:43" x14ac:dyDescent="0.25">
      <c r="A514" t="str">
        <f t="shared" si="36"/>
        <v>2015Il PoggioneBrunello di Montalcino</v>
      </c>
      <c r="B514" s="8">
        <v>2015</v>
      </c>
      <c r="C514" s="37" t="s">
        <v>1124</v>
      </c>
      <c r="D514" s="8" t="s">
        <v>19</v>
      </c>
      <c r="E514" s="67" t="s">
        <v>1250</v>
      </c>
      <c r="F514" s="37" t="s">
        <v>728</v>
      </c>
      <c r="G514" s="37" t="s">
        <v>790</v>
      </c>
      <c r="H514" s="37" t="s">
        <v>19</v>
      </c>
      <c r="I514" s="8">
        <v>1</v>
      </c>
      <c r="J514" s="38">
        <v>750</v>
      </c>
      <c r="K514" s="38" t="s">
        <v>435</v>
      </c>
      <c r="L514" s="10">
        <f>COUNTIF(Drank!A:A,Table1[[#This Row],[ID]])</f>
        <v>0</v>
      </c>
      <c r="M514" t="s">
        <v>202</v>
      </c>
      <c r="N514" t="s">
        <v>207</v>
      </c>
      <c r="O514">
        <v>1</v>
      </c>
      <c r="P514" s="37">
        <v>2021</v>
      </c>
      <c r="Q514">
        <v>2045</v>
      </c>
      <c r="R514" s="10" t="str">
        <f>IF(IFERROR(VLOOKUP(A514,Drank!A:S,15,FALSE),"")=0,"",IFERROR(VLOOKUP(A514,Drank!A:S,15,FALSE),""))</f>
        <v/>
      </c>
      <c r="S514" s="10" t="str">
        <f>IF(IFERROR(VLOOKUP(A514,Drank!A:S,16,FALSE),"")=0,"",IFERROR(VLOOKUP(A514,Drank!A:S,16,FALSE),""))</f>
        <v/>
      </c>
      <c r="T514" s="10"/>
      <c r="U514">
        <v>97</v>
      </c>
      <c r="V514" s="18" t="str">
        <f>IF(IFERROR(VLOOKUP(A514,Drank!A:T,19,FALSE),"")=0,"",IFERROR(VLOOKUP(A514,Drank!A:T,19,FALSE),""))</f>
        <v/>
      </c>
      <c r="W514" s="1" t="str">
        <f>IF(IFERROR(VLOOKUP(A514,Drank!A:T,20,FALSE),"")=0,"",IFERROR(VLOOKUP(A514,Drank!A:T,20,FALSE),""))</f>
        <v/>
      </c>
      <c r="X514" s="10">
        <f>SUMIF(A:A,A514,I:I)</f>
        <v>6</v>
      </c>
      <c r="Y514" s="10">
        <f>IF(Table1[[#This Row],[Drank]]&gt;0,VLOOKUP(Table1[[#This Row],[ID]],Drank!A:P,16,FALSE),IF(Table1[[#This Row],[WALDD]]&gt;0,VLOOKUP(Table1[[#This Row],[ID]],Wine1!A:Q,17,FALSE),Table1[[#This Row],[EP]]))</f>
        <v>2045</v>
      </c>
      <c r="Z514" s="18">
        <f>IF(Table1[[#This Row],[My Rating]]="",IF(Table1[[#This Row],[WA Rating Clean]]="","",Table1[[#This Row],[WA Rating Clean]]),Table1[[#This Row],[My Rating]])</f>
        <v>97</v>
      </c>
      <c r="AA514" s="8">
        <v>2023</v>
      </c>
      <c r="AB514" s="128">
        <v>73.849999999999994</v>
      </c>
      <c r="AC514" s="2">
        <f t="shared" si="37"/>
        <v>73.849999999999994</v>
      </c>
      <c r="AD514" s="8">
        <v>1</v>
      </c>
      <c r="AE514" s="10">
        <f>IF(Table1[[#This Row],[P/750]]&lt;20,1,IF(Table1[[#This Row],[P/750]]&lt;50,2,3))</f>
        <v>3</v>
      </c>
      <c r="AF514" s="10">
        <f>IF(Table1[[#This Row],[P/750]]&lt;Expenses!$C$30,1,IF(Table1[[#This Row],[P/750]]&lt;Expenses!$C$31,2,IF(Table1[[#This Row],[P/750]]&lt;Expenses!$C$32,3,4)))</f>
        <v>4</v>
      </c>
      <c r="AH514" s="37" t="s">
        <v>1478</v>
      </c>
      <c r="AI514" s="11">
        <f>Table1[[#This Row],[Price]]/Table1[[#This Row],[Size (ml)]]*750</f>
        <v>73.849999999999994</v>
      </c>
      <c r="AJ514">
        <v>97</v>
      </c>
      <c r="AK514" s="10">
        <f>COUNTIF(UniqueID!A:A,Table1[[#This Row],[ID]])</f>
        <v>0</v>
      </c>
      <c r="AL514" s="10" t="str">
        <f>VLOOKUP(Table1[[#This Row],[Cellar Location]],Location!A:F,6,FALSE)</f>
        <v>W</v>
      </c>
      <c r="AN514" s="1">
        <v>44064</v>
      </c>
      <c r="AO514" s="10" t="str">
        <f>TEXT(Table1[[#This Row],[Purchased]],"mmmm")</f>
        <v>August</v>
      </c>
      <c r="AP514" s="10" t="str">
        <f>TEXT(Table1[[#This Row],[Purchased]],"yyyy")</f>
        <v>2020</v>
      </c>
      <c r="AQ514" s="1">
        <v>44114</v>
      </c>
    </row>
    <row r="515" spans="1:43" x14ac:dyDescent="0.25">
      <c r="A515" t="str">
        <f t="shared" si="36"/>
        <v>2016Doisy-VedrinesPetit-Vedrines</v>
      </c>
      <c r="B515" s="37">
        <v>2016</v>
      </c>
      <c r="C515" s="37" t="s">
        <v>843</v>
      </c>
      <c r="D515" s="37" t="s">
        <v>1686</v>
      </c>
      <c r="E515" s="69" t="s">
        <v>1688</v>
      </c>
      <c r="F515" s="37" t="s">
        <v>742</v>
      </c>
      <c r="G515" s="37" t="s">
        <v>748</v>
      </c>
      <c r="H515" s="37" t="s">
        <v>260</v>
      </c>
      <c r="I515" s="8">
        <v>1</v>
      </c>
      <c r="J515" s="38">
        <v>375</v>
      </c>
      <c r="K515" s="38" t="s">
        <v>1687</v>
      </c>
      <c r="L515" s="10">
        <f>COUNTIF(Drank!A:A,Table1[[#This Row],[ID]])</f>
        <v>0</v>
      </c>
      <c r="M515" t="s">
        <v>201</v>
      </c>
      <c r="N515" t="s">
        <v>206</v>
      </c>
      <c r="O515">
        <v>0</v>
      </c>
      <c r="P515" s="37"/>
      <c r="R515" s="10" t="str">
        <f>IF(IFERROR(VLOOKUP(A515,Drank!A:S,15,FALSE),"")=0,"",IFERROR(VLOOKUP(A515,Drank!A:S,15,FALSE),""))</f>
        <v/>
      </c>
      <c r="S515" s="10" t="str">
        <f>IF(IFERROR(VLOOKUP(A515,Drank!A:S,16,FALSE),"")=0,"",IFERROR(VLOOKUP(A515,Drank!A:S,16,FALSE),""))</f>
        <v/>
      </c>
      <c r="T515" s="10"/>
      <c r="V515" s="18" t="str">
        <f>IF(IFERROR(VLOOKUP(A515,Drank!A:T,19,FALSE),"")=0,"",IFERROR(VLOOKUP(A515,Drank!A:T,19,FALSE),""))</f>
        <v/>
      </c>
      <c r="W515" s="1" t="str">
        <f>IF(IFERROR(VLOOKUP(A515,Drank!A:T,20,FALSE),"")=0,"",IFERROR(VLOOKUP(A515,Drank!A:T,20,FALSE),""))</f>
        <v/>
      </c>
      <c r="X515" s="10">
        <f>SUMIF(A:A,A515,I:I)</f>
        <v>24</v>
      </c>
      <c r="Y515" s="10">
        <f>IF(Table1[[#This Row],[Drank]]&gt;0,VLOOKUP(Table1[[#This Row],[ID]],Drank!A:P,16,FALSE),IF(Table1[[#This Row],[WALDD]]&gt;0,VLOOKUP(Table1[[#This Row],[ID]],Wine1!A:Q,17,FALSE),Table1[[#This Row],[EP]]))</f>
        <v>0</v>
      </c>
      <c r="Z515" s="18" t="str">
        <f>IF(Table1[[#This Row],[My Rating]]="",IF(Table1[[#This Row],[WA Rating Clean]]="","",Table1[[#This Row],[WA Rating Clean]]),Table1[[#This Row],[My Rating]])</f>
        <v/>
      </c>
      <c r="AA515" s="8">
        <v>2024</v>
      </c>
      <c r="AB515" s="128">
        <v>16.399999999999999</v>
      </c>
      <c r="AC515" s="2">
        <f t="shared" si="37"/>
        <v>16.399999999999999</v>
      </c>
      <c r="AD515" s="8">
        <v>1</v>
      </c>
      <c r="AE515" s="10">
        <f>IF(Table1[[#This Row],[P/750]]&lt;20,1,IF(Table1[[#This Row],[P/750]]&lt;50,2,3))</f>
        <v>2</v>
      </c>
      <c r="AF515" s="10">
        <f>IF(Table1[[#This Row],[P/750]]&lt;Expenses!$C$30,1,IF(Table1[[#This Row],[P/750]]&lt;Expenses!$C$31,2,IF(Table1[[#This Row],[P/750]]&lt;Expenses!$C$32,3,4)))</f>
        <v>3</v>
      </c>
      <c r="AH515" s="37" t="s">
        <v>1189</v>
      </c>
      <c r="AI515" s="11">
        <f>Table1[[#This Row],[Price]]/Table1[[#This Row],[Size (ml)]]*750</f>
        <v>32.799999999999997</v>
      </c>
      <c r="AJ515" s="37"/>
      <c r="AK515" s="10">
        <f>COUNTIF(UniqueID!A:A,Table1[[#This Row],[ID]])</f>
        <v>0</v>
      </c>
      <c r="AL515" s="10" t="str">
        <f>VLOOKUP(Table1[[#This Row],[Cellar Location]],Location!A:F,6,FALSE)</f>
        <v>W</v>
      </c>
      <c r="AN515" s="1">
        <v>44061</v>
      </c>
      <c r="AO515" s="10" t="str">
        <f>TEXT(Table1[[#This Row],[Purchased]],"mmmm")</f>
        <v>August</v>
      </c>
      <c r="AP515" s="10" t="str">
        <f>TEXT(Table1[[#This Row],[Purchased]],"yyyy")</f>
        <v>2020</v>
      </c>
      <c r="AQ515" s="1">
        <v>44137</v>
      </c>
    </row>
    <row r="516" spans="1:43" x14ac:dyDescent="0.25">
      <c r="A516" t="str">
        <f t="shared" si="36"/>
        <v>2016Doisy-VedrinesPetit-Vedrines</v>
      </c>
      <c r="B516" s="37">
        <v>2016</v>
      </c>
      <c r="C516" s="37" t="s">
        <v>843</v>
      </c>
      <c r="D516" s="37" t="s">
        <v>1686</v>
      </c>
      <c r="E516" s="69" t="s">
        <v>1688</v>
      </c>
      <c r="F516" s="37" t="s">
        <v>742</v>
      </c>
      <c r="G516" s="37" t="s">
        <v>748</v>
      </c>
      <c r="H516" s="37" t="s">
        <v>260</v>
      </c>
      <c r="I516" s="8">
        <v>1</v>
      </c>
      <c r="J516" s="38">
        <v>375</v>
      </c>
      <c r="K516" s="38" t="s">
        <v>1687</v>
      </c>
      <c r="L516" s="10">
        <f>COUNTIF(Drank!A:A,Table1[[#This Row],[ID]])</f>
        <v>0</v>
      </c>
      <c r="M516" t="s">
        <v>201</v>
      </c>
      <c r="N516" t="s">
        <v>206</v>
      </c>
      <c r="O516">
        <v>0</v>
      </c>
      <c r="P516" s="37"/>
      <c r="R516" s="10" t="str">
        <f>IF(IFERROR(VLOOKUP(A516,Drank!A:S,15,FALSE),"")=0,"",IFERROR(VLOOKUP(A516,Drank!A:S,15,FALSE),""))</f>
        <v/>
      </c>
      <c r="S516" s="10" t="str">
        <f>IF(IFERROR(VLOOKUP(A516,Drank!A:S,16,FALSE),"")=0,"",IFERROR(VLOOKUP(A516,Drank!A:S,16,FALSE),""))</f>
        <v/>
      </c>
      <c r="T516" s="10"/>
      <c r="V516" s="18" t="str">
        <f>IF(IFERROR(VLOOKUP(A516,Drank!A:T,19,FALSE),"")=0,"",IFERROR(VLOOKUP(A516,Drank!A:T,19,FALSE),""))</f>
        <v/>
      </c>
      <c r="W516" s="1" t="str">
        <f>IF(IFERROR(VLOOKUP(A516,Drank!A:T,20,FALSE),"")=0,"",IFERROR(VLOOKUP(A516,Drank!A:T,20,FALSE),""))</f>
        <v/>
      </c>
      <c r="X516" s="10">
        <f>SUMIF(A:A,A516,I:I)</f>
        <v>24</v>
      </c>
      <c r="Y516" s="10">
        <f>IF(Table1[[#This Row],[Drank]]&gt;0,VLOOKUP(Table1[[#This Row],[ID]],Drank!A:P,16,FALSE),IF(Table1[[#This Row],[WALDD]]&gt;0,VLOOKUP(Table1[[#This Row],[ID]],Wine1!A:Q,17,FALSE),Table1[[#This Row],[EP]]))</f>
        <v>0</v>
      </c>
      <c r="Z516" s="18" t="str">
        <f>IF(Table1[[#This Row],[My Rating]]="",IF(Table1[[#This Row],[WA Rating Clean]]="","",Table1[[#This Row],[WA Rating Clean]]),Table1[[#This Row],[My Rating]])</f>
        <v/>
      </c>
      <c r="AA516" s="8">
        <v>2024</v>
      </c>
      <c r="AB516" s="128">
        <v>16.399999999999999</v>
      </c>
      <c r="AC516" s="2">
        <f t="shared" si="37"/>
        <v>16.399999999999999</v>
      </c>
      <c r="AD516" s="8">
        <v>1</v>
      </c>
      <c r="AE516" s="10">
        <f>IF(Table1[[#This Row],[P/750]]&lt;20,1,IF(Table1[[#This Row],[P/750]]&lt;50,2,3))</f>
        <v>2</v>
      </c>
      <c r="AF516" s="10">
        <f>IF(Table1[[#This Row],[P/750]]&lt;Expenses!$C$30,1,IF(Table1[[#This Row],[P/750]]&lt;Expenses!$C$31,2,IF(Table1[[#This Row],[P/750]]&lt;Expenses!$C$32,3,4)))</f>
        <v>3</v>
      </c>
      <c r="AH516" s="37" t="s">
        <v>1189</v>
      </c>
      <c r="AI516" s="11">
        <f>Table1[[#This Row],[Price]]/Table1[[#This Row],[Size (ml)]]*750</f>
        <v>32.799999999999997</v>
      </c>
      <c r="AK516" s="10">
        <f>COUNTIF(UniqueID!A:A,Table1[[#This Row],[ID]])</f>
        <v>0</v>
      </c>
      <c r="AL516" s="10" t="str">
        <f>VLOOKUP(Table1[[#This Row],[Cellar Location]],Location!A:F,6,FALSE)</f>
        <v>W</v>
      </c>
      <c r="AN516" s="1">
        <v>44061</v>
      </c>
      <c r="AO516" s="10" t="str">
        <f>TEXT(Table1[[#This Row],[Purchased]],"mmmm")</f>
        <v>August</v>
      </c>
      <c r="AP516" s="10" t="str">
        <f>TEXT(Table1[[#This Row],[Purchased]],"yyyy")</f>
        <v>2020</v>
      </c>
      <c r="AQ516" s="1">
        <v>44137</v>
      </c>
    </row>
    <row r="517" spans="1:43" s="37" customFormat="1" x14ac:dyDescent="0.25">
      <c r="A517" s="37" t="str">
        <f t="shared" si="36"/>
        <v>2015GordoYecla</v>
      </c>
      <c r="B517" s="8">
        <v>2015</v>
      </c>
      <c r="C517" s="8" t="s">
        <v>1815</v>
      </c>
      <c r="D517" s="19" t="s">
        <v>1816</v>
      </c>
      <c r="E517" s="63" t="s">
        <v>1817</v>
      </c>
      <c r="F517" s="37" t="s">
        <v>729</v>
      </c>
      <c r="G517" s="37" t="s">
        <v>821</v>
      </c>
      <c r="H517" s="37" t="s">
        <v>1816</v>
      </c>
      <c r="I517" s="37">
        <v>1</v>
      </c>
      <c r="J517" s="8">
        <v>750</v>
      </c>
      <c r="K517" s="8" t="s">
        <v>236</v>
      </c>
      <c r="L517" s="10">
        <f>COUNTIF(Drank!A:A,Table1[[#This Row],[ID]])</f>
        <v>1</v>
      </c>
      <c r="M517" s="37" t="s">
        <v>202</v>
      </c>
      <c r="N517" s="37" t="s">
        <v>207</v>
      </c>
      <c r="O517" s="37">
        <v>0</v>
      </c>
      <c r="P517" s="10"/>
      <c r="R517" s="10">
        <f>IF(IFERROR(VLOOKUP(A517,Drank!A:S,15,FALSE),"")=0,"",IFERROR(VLOOKUP(A517,Drank!A:S,15,FALSE),""))</f>
        <v>2021</v>
      </c>
      <c r="S517" s="10">
        <f>IF(IFERROR(VLOOKUP(A517,Drank!A:S,16,FALSE),"")=0,"",IFERROR(VLOOKUP(A517,Drank!A:S,16,FALSE),""))</f>
        <v>2025</v>
      </c>
      <c r="T517" s="10">
        <v>2023</v>
      </c>
      <c r="V517" s="18">
        <f>IF(IFERROR(VLOOKUP(A517,Drank!A:T,19,FALSE),"")=0,"",IFERROR(VLOOKUP(A517,Drank!A:T,19,FALSE),""))</f>
        <v>89</v>
      </c>
      <c r="W517" s="1">
        <f>IF(IFERROR(VLOOKUP(A517,Drank!A:T,20,FALSE),"")=0,"",IFERROR(VLOOKUP(A517,Drank!A:T,20,FALSE),""))</f>
        <v>44080</v>
      </c>
      <c r="X517" s="10">
        <f>SUMIF(A:A,A517,I:I)</f>
        <v>5</v>
      </c>
      <c r="Y517" s="10">
        <f>IF(Table1[[#This Row],[Drank]]&gt;0,VLOOKUP(Table1[[#This Row],[ID]],Drank!A:P,16,FALSE),IF(Table1[[#This Row],[WALDD]]&gt;0,VLOOKUP(Table1[[#This Row],[ID]],Wine1!A:Q,17,FALSE),Table1[[#This Row],[EP]]))</f>
        <v>2025</v>
      </c>
      <c r="Z517" s="18">
        <f>IF(Table1[[#This Row],[My Rating]]="",IF(Table1[[#This Row],[WA Rating Clean]]="","",Table1[[#This Row],[WA Rating Clean]]),Table1[[#This Row],[My Rating]])</f>
        <v>89</v>
      </c>
      <c r="AA517" s="37">
        <v>2024</v>
      </c>
      <c r="AB517" s="128">
        <v>13.77</v>
      </c>
      <c r="AC517" s="2">
        <f t="shared" si="37"/>
        <v>13.77</v>
      </c>
      <c r="AD517" s="8"/>
      <c r="AE517" s="10">
        <f>IF(Table1[[#This Row],[P/750]]&lt;20,1,IF(Table1[[#This Row],[P/750]]&lt;50,2,3))</f>
        <v>1</v>
      </c>
      <c r="AF517" s="10">
        <f>IF(Table1[[#This Row],[P/750]]&lt;Expenses!$C$30,1,IF(Table1[[#This Row],[P/750]]&lt;Expenses!$C$31,2,IF(Table1[[#This Row],[P/750]]&lt;Expenses!$C$32,3,4)))</f>
        <v>1</v>
      </c>
      <c r="AH517" s="25" t="s">
        <v>385</v>
      </c>
      <c r="AI517" s="11">
        <f>Table1[[#This Row],[Price]]/Table1[[#This Row],[Size (ml)]]*750</f>
        <v>13.769999999999998</v>
      </c>
      <c r="AK517" s="10">
        <f>COUNTIF(UniqueID!A:A,Table1[[#This Row],[ID]])</f>
        <v>0</v>
      </c>
      <c r="AL517" s="10" t="str">
        <f>VLOOKUP(Table1[[#This Row],[Cellar Location]],Location!A:F,6,FALSE)</f>
        <v>C</v>
      </c>
      <c r="AN517" s="1">
        <v>44068</v>
      </c>
      <c r="AO517" s="10" t="str">
        <f>TEXT(Table1[[#This Row],[Purchased]],"mmmm")</f>
        <v>August</v>
      </c>
      <c r="AP517" s="10" t="str">
        <f>TEXT(Table1[[#This Row],[Purchased]],"yyyy")</f>
        <v>2020</v>
      </c>
      <c r="AQ517" s="1">
        <v>44114</v>
      </c>
    </row>
    <row r="518" spans="1:43" s="37" customFormat="1" x14ac:dyDescent="0.25">
      <c r="A518" s="37" t="str">
        <f t="shared" si="36"/>
        <v>2018Grand Serres, LesCotes du Rhone Portes du Castelas</v>
      </c>
      <c r="B518" s="37">
        <v>2018</v>
      </c>
      <c r="C518" s="19" t="s">
        <v>1704</v>
      </c>
      <c r="D518" s="9" t="s">
        <v>1705</v>
      </c>
      <c r="E518" s="68" t="s">
        <v>1706</v>
      </c>
      <c r="F518" s="37" t="s">
        <v>742</v>
      </c>
      <c r="G518" s="37" t="s">
        <v>759</v>
      </c>
      <c r="H518" s="37" t="s">
        <v>761</v>
      </c>
      <c r="I518" s="37">
        <v>1</v>
      </c>
      <c r="J518" s="107">
        <v>750</v>
      </c>
      <c r="K518" s="8" t="s">
        <v>1812</v>
      </c>
      <c r="L518" s="10">
        <f>COUNTIF(Drank!A:A,Table1[[#This Row],[ID]])</f>
        <v>0</v>
      </c>
      <c r="M518" s="37" t="s">
        <v>202</v>
      </c>
      <c r="N518" s="37" t="s">
        <v>207</v>
      </c>
      <c r="O518" s="37">
        <v>0</v>
      </c>
      <c r="R518" s="10" t="str">
        <f>IF(IFERROR(VLOOKUP(A518,Drank!A:S,15,FALSE),"")=0,"",IFERROR(VLOOKUP(A518,Drank!A:S,15,FALSE),""))</f>
        <v/>
      </c>
      <c r="S518" s="10" t="str">
        <f>IF(IFERROR(VLOOKUP(A518,Drank!A:S,16,FALSE),"")=0,"",IFERROR(VLOOKUP(A518,Drank!A:S,16,FALSE),""))</f>
        <v/>
      </c>
      <c r="T518" s="10">
        <v>2024</v>
      </c>
      <c r="V518" s="18" t="str">
        <f>IF(IFERROR(VLOOKUP(A518,Drank!A:T,19,FALSE),"")=0,"",IFERROR(VLOOKUP(A518,Drank!A:T,19,FALSE),""))</f>
        <v/>
      </c>
      <c r="W518" s="1" t="str">
        <f>IF(IFERROR(VLOOKUP(A518,Drank!A:T,20,FALSE),"")=0,"",IFERROR(VLOOKUP(A518,Drank!A:T,20,FALSE),""))</f>
        <v/>
      </c>
      <c r="X518" s="10">
        <f>SUMIF(A:A,A518,I:I)</f>
        <v>4</v>
      </c>
      <c r="Y518" s="10">
        <f>IF(Table1[[#This Row],[Drank]]&gt;0,VLOOKUP(Table1[[#This Row],[ID]],Drank!A:P,16,FALSE),IF(Table1[[#This Row],[WALDD]]&gt;0,VLOOKUP(Table1[[#This Row],[ID]],Wine1!A:Q,17,FALSE),Table1[[#This Row],[EP]]))</f>
        <v>2024</v>
      </c>
      <c r="Z518" s="18" t="str">
        <f>IF(Table1[[#This Row],[My Rating]]="",IF(Table1[[#This Row],[WA Rating Clean]]="","",Table1[[#This Row],[WA Rating Clean]]),Table1[[#This Row],[My Rating]])</f>
        <v/>
      </c>
      <c r="AA518" s="37">
        <v>2024</v>
      </c>
      <c r="AB518" s="128">
        <v>14.11</v>
      </c>
      <c r="AC518" s="2">
        <f t="shared" si="37"/>
        <v>14.11</v>
      </c>
      <c r="AD518" s="8">
        <v>0</v>
      </c>
      <c r="AE518" s="10">
        <f>IF(Table1[[#This Row],[P/750]]&lt;20,1,IF(Table1[[#This Row],[P/750]]&lt;50,2,3))</f>
        <v>1</v>
      </c>
      <c r="AF518" s="10">
        <f>IF(Table1[[#This Row],[P/750]]&lt;Expenses!$C$30,1,IF(Table1[[#This Row],[P/750]]&lt;Expenses!$C$31,2,IF(Table1[[#This Row],[P/750]]&lt;Expenses!$C$32,3,4)))</f>
        <v>1</v>
      </c>
      <c r="AH518" s="37" t="s">
        <v>384</v>
      </c>
      <c r="AI518" s="11">
        <f>Table1[[#This Row],[Price]]/Table1[[#This Row],[Size (ml)]]*750</f>
        <v>14.109999999999998</v>
      </c>
      <c r="AK518" s="10">
        <f>COUNTIF(UniqueID!A:A,Table1[[#This Row],[ID]])</f>
        <v>0</v>
      </c>
      <c r="AL518" s="10" t="str">
        <f>VLOOKUP(Table1[[#This Row],[Cellar Location]],Location!A:F,6,FALSE)</f>
        <v>S</v>
      </c>
      <c r="AN518" s="1">
        <v>44062</v>
      </c>
      <c r="AO518" s="10" t="str">
        <f>TEXT(Table1[[#This Row],[Purchased]],"mmmm")</f>
        <v>August</v>
      </c>
      <c r="AP518" s="10" t="str">
        <f>TEXT(Table1[[#This Row],[Purchased]],"yyyy")</f>
        <v>2020</v>
      </c>
      <c r="AQ518" s="10"/>
    </row>
    <row r="519" spans="1:43" s="37" customFormat="1" x14ac:dyDescent="0.25">
      <c r="A519" s="37" t="str">
        <f t="shared" si="36"/>
        <v>2003BroadbentVintage Porto</v>
      </c>
      <c r="B519" s="37">
        <v>2003</v>
      </c>
      <c r="C519" s="9" t="s">
        <v>6</v>
      </c>
      <c r="D519" s="9" t="s">
        <v>7</v>
      </c>
      <c r="E519" s="65" t="s">
        <v>257</v>
      </c>
      <c r="F519" s="37" t="s">
        <v>804</v>
      </c>
      <c r="G519" s="37" t="s">
        <v>805</v>
      </c>
      <c r="H519" s="9"/>
      <c r="I519" s="37">
        <v>1</v>
      </c>
      <c r="J519" s="37">
        <v>750</v>
      </c>
      <c r="K519" s="8" t="s">
        <v>8</v>
      </c>
      <c r="L519" s="37">
        <f>COUNTIF(Drank!A:A,Table1[[#This Row],[ID]])</f>
        <v>0</v>
      </c>
      <c r="M519" s="37" t="s">
        <v>202</v>
      </c>
      <c r="N519" s="37" t="s">
        <v>206</v>
      </c>
      <c r="O519" s="37">
        <v>0</v>
      </c>
      <c r="R519" s="37" t="str">
        <f>IF(IFERROR(VLOOKUP(A519,Drank!A:S,15,FALSE),"")=0,"",IFERROR(VLOOKUP(A519,Drank!A:S,15,FALSE),""))</f>
        <v/>
      </c>
      <c r="S519" s="37" t="str">
        <f>IF(IFERROR(VLOOKUP(A519,Drank!A:S,16,FALSE),"")=0,"",IFERROR(VLOOKUP(A519,Drank!A:S,16,FALSE),""))</f>
        <v/>
      </c>
      <c r="T519" s="37">
        <v>2024</v>
      </c>
      <c r="V519" s="18" t="str">
        <f>IF(IFERROR(VLOOKUP(A519,Drank!A:T,19,FALSE),"")=0,"",IFERROR(VLOOKUP(A519,Drank!A:T,19,FALSE),""))</f>
        <v/>
      </c>
      <c r="W519" s="1" t="str">
        <f>IF(IFERROR(VLOOKUP(A519,Drank!A:T,20,FALSE),"")=0,"",IFERROR(VLOOKUP(A519,Drank!A:T,20,FALSE),""))</f>
        <v/>
      </c>
      <c r="X519" s="37">
        <f>SUMIF(A:A,A519,I:I)</f>
        <v>1</v>
      </c>
      <c r="Y519" s="37">
        <f>IF(Table1[[#This Row],[Drank]]&gt;0,VLOOKUP(Table1[[#This Row],[ID]],Drank!A:P,16,FALSE),IF(Table1[[#This Row],[WALDD]]&gt;0,VLOOKUP(Table1[[#This Row],[ID]],Wine1!A:Q,17,FALSE),Table1[[#This Row],[EP]]))</f>
        <v>2024</v>
      </c>
      <c r="Z519" s="18" t="str">
        <f>IF(Table1[[#This Row],[My Rating]]="",IF(Table1[[#This Row],[WA Rating Clean]]="","",Table1[[#This Row],[WA Rating Clean]]),Table1[[#This Row],[My Rating]])</f>
        <v/>
      </c>
      <c r="AA519" s="37">
        <v>2024</v>
      </c>
      <c r="AB519" s="134">
        <v>50</v>
      </c>
      <c r="AC519" s="2">
        <f t="shared" si="37"/>
        <v>50</v>
      </c>
      <c r="AD519" s="8">
        <v>0</v>
      </c>
      <c r="AE519" s="37">
        <f>IF(Table1[[#This Row],[P/750]]&lt;20,1,IF(Table1[[#This Row],[P/750]]&lt;50,2,3))</f>
        <v>3</v>
      </c>
      <c r="AF519" s="37">
        <f>IF(Table1[[#This Row],[P/750]]&lt;Expenses!$C$30,1,IF(Table1[[#This Row],[P/750]]&lt;Expenses!$C$31,2,IF(Table1[[#This Row],[P/750]]&lt;Expenses!$C$32,3,4)))</f>
        <v>3</v>
      </c>
      <c r="AH519" s="37" t="s">
        <v>1142</v>
      </c>
      <c r="AI519" s="11">
        <f>Table1[[#This Row],[Price]]/Table1[[#This Row],[Size (ml)]]*750</f>
        <v>50</v>
      </c>
      <c r="AK519" s="37">
        <f>COUNTIF(UniqueID!A:A,Table1[[#This Row],[ID]])</f>
        <v>1</v>
      </c>
      <c r="AL519" s="37" t="str">
        <f>VLOOKUP(Table1[[#This Row],[Cellar Location]],Location!A:F,6,FALSE)</f>
        <v>K</v>
      </c>
      <c r="AO519" s="37" t="str">
        <f>TEXT(Table1[[#This Row],[Purchased]],"mmmm")</f>
        <v>January</v>
      </c>
      <c r="AP519" s="10" t="str">
        <f>TEXT(Table1[[#This Row],[Purchased]],"yyyy")</f>
        <v>1900</v>
      </c>
      <c r="AQ519" s="10"/>
    </row>
    <row r="520" spans="1:43" s="37" customFormat="1" x14ac:dyDescent="0.25">
      <c r="A520" s="37" t="str">
        <f t="shared" si="36"/>
        <v>2010CondeNeo</v>
      </c>
      <c r="B520" s="37">
        <v>2010</v>
      </c>
      <c r="C520" s="37" t="s">
        <v>45</v>
      </c>
      <c r="D520" s="37" t="s">
        <v>46</v>
      </c>
      <c r="E520" s="69" t="s">
        <v>276</v>
      </c>
      <c r="F520" s="37" t="s">
        <v>729</v>
      </c>
      <c r="G520" s="37" t="s">
        <v>1718</v>
      </c>
      <c r="H520" s="37" t="s">
        <v>818</v>
      </c>
      <c r="I520" s="107">
        <v>1</v>
      </c>
      <c r="J520" s="37">
        <v>750</v>
      </c>
      <c r="K520" s="107" t="s">
        <v>654</v>
      </c>
      <c r="L520" s="10">
        <f>COUNTIF(Drank!A:A,Table1[[#This Row],[ID]])</f>
        <v>6</v>
      </c>
      <c r="M520" s="37" t="s">
        <v>202</v>
      </c>
      <c r="N520" s="37" t="s">
        <v>207</v>
      </c>
      <c r="O520" s="37">
        <v>1</v>
      </c>
      <c r="P520" s="37">
        <v>2014</v>
      </c>
      <c r="Q520" s="37">
        <v>2020</v>
      </c>
      <c r="R520" s="10">
        <f>IF(IFERROR(VLOOKUP(A520,Drank!A:S,15,FALSE),"")=0,"",IFERROR(VLOOKUP(A520,Drank!A:S,15,FALSE),""))</f>
        <v>2021</v>
      </c>
      <c r="S520" s="10">
        <f>IF(IFERROR(VLOOKUP(A520,Drank!A:S,16,FALSE),"")=0,"",IFERROR(VLOOKUP(A520,Drank!A:S,16,FALSE),""))</f>
        <v>2024</v>
      </c>
      <c r="T520" s="10"/>
      <c r="U520" s="37">
        <v>93</v>
      </c>
      <c r="V520" s="18">
        <f>IF(IFERROR(VLOOKUP(A520,Drank!A:T,19,FALSE),"")=0,"",IFERROR(VLOOKUP(A520,Drank!A:T,19,FALSE),""))</f>
        <v>92.166666666666671</v>
      </c>
      <c r="W520" s="1">
        <f>IF(IFERROR(VLOOKUP(A520,Drank!A:T,20,FALSE),"")=0,"",IFERROR(VLOOKUP(A520,Drank!A:T,20,FALSE),""))</f>
        <v>43987</v>
      </c>
      <c r="X520" s="10">
        <f>SUMIF(A:A,A520,I:I)</f>
        <v>4</v>
      </c>
      <c r="Y520" s="10">
        <f>IF(Table1[[#This Row],[Drank]]&gt;0,VLOOKUP(Table1[[#This Row],[ID]],Drank!A:P,16,FALSE),IF(Table1[[#This Row],[WALDD]]&gt;0,VLOOKUP(Table1[[#This Row],[ID]],Wine1!A:Q,17,FALSE),Table1[[#This Row],[EP]]))</f>
        <v>2024</v>
      </c>
      <c r="Z520" s="18">
        <f>IF(Table1[[#This Row],[My Rating]]="",IF(Table1[[#This Row],[WA Rating Clean]]="","",Table1[[#This Row],[WA Rating Clean]]),Table1[[#This Row],[My Rating]])</f>
        <v>92.166666666666671</v>
      </c>
      <c r="AA520" s="37">
        <v>2024</v>
      </c>
      <c r="AB520" s="128">
        <v>21.99</v>
      </c>
      <c r="AC520" s="2">
        <f t="shared" si="37"/>
        <v>21.99</v>
      </c>
      <c r="AD520" s="8">
        <v>2</v>
      </c>
      <c r="AE520" s="37">
        <f>IF(Table1[[#This Row],[P/750]]&lt;20,1,IF(Table1[[#This Row],[P/750]]&lt;50,2,3))</f>
        <v>2</v>
      </c>
      <c r="AF520" s="37">
        <f>IF(Table1[[#This Row],[P/750]]&lt;Expenses!$C$30,1,IF(Table1[[#This Row],[P/750]]&lt;Expenses!$C$31,2,IF(Table1[[#This Row],[P/750]]&lt;Expenses!$C$32,3,4)))</f>
        <v>2</v>
      </c>
      <c r="AH520" s="37" t="s">
        <v>384</v>
      </c>
      <c r="AI520" s="11">
        <f>Table1[[#This Row],[Price]]/Table1[[#This Row],[Size (ml)]]*750</f>
        <v>21.99</v>
      </c>
      <c r="AJ520" s="37">
        <v>93</v>
      </c>
      <c r="AK520" s="37">
        <f>COUNTIF(UniqueID!A:A,Table1[[#This Row],[ID]])</f>
        <v>1</v>
      </c>
      <c r="AL520" s="37" t="str">
        <f>VLOOKUP(Table1[[#This Row],[Cellar Location]],Location!A:F,6,FALSE)</f>
        <v>S</v>
      </c>
      <c r="AO520" s="37" t="str">
        <f>TEXT(Table1[[#This Row],[Purchased]],"mmmm")</f>
        <v>January</v>
      </c>
      <c r="AP520" s="10" t="str">
        <f>TEXT(Table1[[#This Row],[Purchased]],"yyyy")</f>
        <v>1900</v>
      </c>
      <c r="AQ520" s="10"/>
    </row>
    <row r="521" spans="1:43" s="37" customFormat="1" x14ac:dyDescent="0.25">
      <c r="A521" s="37" t="str">
        <f t="shared" si="36"/>
        <v>2005Pierre UsseglioChateauneuf du Pape</v>
      </c>
      <c r="B521" s="37">
        <v>2005</v>
      </c>
      <c r="C521" s="37" t="s">
        <v>1126</v>
      </c>
      <c r="D521" s="37" t="s">
        <v>1106</v>
      </c>
      <c r="E521" s="67" t="s">
        <v>1171</v>
      </c>
      <c r="F521" s="37" t="s">
        <v>742</v>
      </c>
      <c r="G521" s="37" t="s">
        <v>759</v>
      </c>
      <c r="H521" s="37" t="s">
        <v>762</v>
      </c>
      <c r="I521" s="107">
        <v>1</v>
      </c>
      <c r="J521" s="37">
        <v>750</v>
      </c>
      <c r="K521" s="107" t="s">
        <v>1150</v>
      </c>
      <c r="L521" s="10">
        <f>COUNTIF(Drank!A:A,Table1[[#This Row],[ID]])</f>
        <v>1</v>
      </c>
      <c r="M521" s="37" t="s">
        <v>202</v>
      </c>
      <c r="N521" s="37" t="s">
        <v>207</v>
      </c>
      <c r="O521" s="37">
        <v>1</v>
      </c>
      <c r="P521" s="10">
        <v>2015</v>
      </c>
      <c r="Q521" s="37">
        <v>2021</v>
      </c>
      <c r="R521" s="10">
        <f>IF(IFERROR(VLOOKUP(A521,Drank!A:S,15,FALSE),"")=0,"",IFERROR(VLOOKUP(A521,Drank!A:S,15,FALSE),""))</f>
        <v>2024</v>
      </c>
      <c r="S521" s="10">
        <f>IF(IFERROR(VLOOKUP(A521,Drank!A:S,16,FALSE),"")=0,"",IFERROR(VLOOKUP(A521,Drank!A:S,16,FALSE),""))</f>
        <v>2024</v>
      </c>
      <c r="T521" s="10"/>
      <c r="U521" s="37">
        <v>91</v>
      </c>
      <c r="V521" s="18">
        <f>IF(IFERROR(VLOOKUP(A521,Drank!A:T,19,FALSE),"")=0,"",IFERROR(VLOOKUP(A521,Drank!A:T,19,FALSE),""))</f>
        <v>92</v>
      </c>
      <c r="W521" s="1">
        <f>IF(IFERROR(VLOOKUP(A521,Drank!A:T,20,FALSE),"")=0,"",IFERROR(VLOOKUP(A521,Drank!A:T,20,FALSE),""))</f>
        <v>43862</v>
      </c>
      <c r="X521" s="10">
        <f>SUMIF(A:A,A521,I:I)</f>
        <v>3</v>
      </c>
      <c r="Y521" s="10">
        <f>IF(Table1[[#This Row],[Drank]]&gt;0,VLOOKUP(Table1[[#This Row],[ID]],Drank!A:P,16,FALSE),IF(Table1[[#This Row],[WALDD]]&gt;0,VLOOKUP(Table1[[#This Row],[ID]],Wine1!A:Q,17,FALSE),Table1[[#This Row],[EP]]))</f>
        <v>2024</v>
      </c>
      <c r="Z521" s="18">
        <f>IF(Table1[[#This Row],[My Rating]]="",IF(Table1[[#This Row],[WA Rating Clean]]="","",Table1[[#This Row],[WA Rating Clean]]),Table1[[#This Row],[My Rating]])</f>
        <v>92</v>
      </c>
      <c r="AA521" s="37">
        <v>2024</v>
      </c>
      <c r="AB521" s="128">
        <v>39.99</v>
      </c>
      <c r="AC521" s="2">
        <f t="shared" si="37"/>
        <v>39.99</v>
      </c>
      <c r="AD521" s="8">
        <v>2</v>
      </c>
      <c r="AE521" s="10">
        <f>IF(Table1[[#This Row],[P/750]]&lt;20,1,IF(Table1[[#This Row],[P/750]]&lt;50,2,3))</f>
        <v>2</v>
      </c>
      <c r="AF521" s="10">
        <f>IF(Table1[[#This Row],[P/750]]&lt;Expenses!$C$30,1,IF(Table1[[#This Row],[P/750]]&lt;Expenses!$C$31,2,IF(Table1[[#This Row],[P/750]]&lt;Expenses!$C$32,3,4)))</f>
        <v>3</v>
      </c>
      <c r="AH521" s="37" t="s">
        <v>415</v>
      </c>
      <c r="AI521" s="11">
        <f>Table1[[#This Row],[Price]]/Table1[[#This Row],[Size (ml)]]*750</f>
        <v>39.99</v>
      </c>
      <c r="AJ521" s="37">
        <v>91</v>
      </c>
      <c r="AK521" s="10">
        <f>COUNTIF(UniqueID!A:A,Table1[[#This Row],[ID]])</f>
        <v>1</v>
      </c>
      <c r="AL521" s="10" t="str">
        <f>VLOOKUP(Table1[[#This Row],[Cellar Location]],Location!A:F,6,FALSE)</f>
        <v>S</v>
      </c>
      <c r="AN521" s="1">
        <v>43832</v>
      </c>
      <c r="AO521" s="37" t="str">
        <f>TEXT(Table1[[#This Row],[Purchased]],"mmmm")</f>
        <v>January</v>
      </c>
      <c r="AP521" s="10" t="str">
        <f>TEXT(Table1[[#This Row],[Purchased]],"yyyy")</f>
        <v>2020</v>
      </c>
      <c r="AQ521" s="10"/>
    </row>
    <row r="522" spans="1:43" s="37" customFormat="1" x14ac:dyDescent="0.25">
      <c r="A522" s="37" t="str">
        <f t="shared" si="36"/>
        <v>2005LansonGold Label Vintage Brut</v>
      </c>
      <c r="B522" s="37">
        <v>2005</v>
      </c>
      <c r="C522" s="37" t="s">
        <v>1597</v>
      </c>
      <c r="D522" s="37" t="s">
        <v>1598</v>
      </c>
      <c r="E522" s="119" t="s">
        <v>1599</v>
      </c>
      <c r="F522" s="37" t="s">
        <v>742</v>
      </c>
      <c r="G522" s="37" t="s">
        <v>416</v>
      </c>
      <c r="I522" s="8">
        <v>1</v>
      </c>
      <c r="J522" s="38">
        <v>750</v>
      </c>
      <c r="K522" s="38" t="s">
        <v>1139</v>
      </c>
      <c r="L522" s="10">
        <f>COUNTIF(Drank!A:A,Table1[[#This Row],[ID]])</f>
        <v>0</v>
      </c>
      <c r="M522" s="37" t="s">
        <v>201</v>
      </c>
      <c r="N522" s="37" t="s">
        <v>638</v>
      </c>
      <c r="O522" s="37">
        <v>1</v>
      </c>
      <c r="P522" s="10">
        <v>2016</v>
      </c>
      <c r="Q522" s="37">
        <v>2024</v>
      </c>
      <c r="R522" s="10" t="str">
        <f>IF(IFERROR(VLOOKUP(A522,Drank!A:S,15,FALSE),"")=0,"",IFERROR(VLOOKUP(A522,Drank!A:S,15,FALSE),""))</f>
        <v/>
      </c>
      <c r="S522" s="10" t="str">
        <f>IF(IFERROR(VLOOKUP(A522,Drank!A:S,16,FALSE),"")=0,"",IFERROR(VLOOKUP(A522,Drank!A:S,16,FALSE),""))</f>
        <v/>
      </c>
      <c r="T522" s="10"/>
      <c r="U522" s="37">
        <v>92</v>
      </c>
      <c r="V522" s="18" t="str">
        <f>IF(IFERROR(VLOOKUP(A522,Drank!A:T,19,FALSE),"")=0,"",IFERROR(VLOOKUP(A522,Drank!A:T,19,FALSE),""))</f>
        <v/>
      </c>
      <c r="W522" s="1" t="str">
        <f>IF(IFERROR(VLOOKUP(A522,Drank!A:T,20,FALSE),"")=0,"",IFERROR(VLOOKUP(A522,Drank!A:T,20,FALSE),""))</f>
        <v/>
      </c>
      <c r="X522" s="10">
        <f>SUMIF(A:A,A522,I:I)</f>
        <v>2</v>
      </c>
      <c r="Y522" s="10">
        <f>IF(Table1[[#This Row],[Drank]]&gt;0,VLOOKUP(Table1[[#This Row],[ID]],Drank!A:P,16,FALSE),IF(Table1[[#This Row],[WALDD]]&gt;0,VLOOKUP(Table1[[#This Row],[ID]],Wine1!A:Q,17,FALSE),Table1[[#This Row],[EP]]))</f>
        <v>2024</v>
      </c>
      <c r="Z522" s="18">
        <f>IF(Table1[[#This Row],[My Rating]]="",IF(Table1[[#This Row],[WA Rating Clean]]="","",Table1[[#This Row],[WA Rating Clean]]),Table1[[#This Row],[My Rating]])</f>
        <v>92</v>
      </c>
      <c r="AA522" s="37">
        <v>2024</v>
      </c>
      <c r="AB522" s="128">
        <v>77.23</v>
      </c>
      <c r="AC522" s="2">
        <f t="shared" si="37"/>
        <v>77.23</v>
      </c>
      <c r="AD522" s="8">
        <v>1</v>
      </c>
      <c r="AE522" s="10">
        <f>IF(Table1[[#This Row],[P/750]]&lt;20,1,IF(Table1[[#This Row],[P/750]]&lt;50,2,3))</f>
        <v>3</v>
      </c>
      <c r="AF522" s="10">
        <f>IF(Table1[[#This Row],[P/750]]&lt;Expenses!$C$30,1,IF(Table1[[#This Row],[P/750]]&lt;Expenses!$C$31,2,IF(Table1[[#This Row],[P/750]]&lt;Expenses!$C$32,3,4)))</f>
        <v>4</v>
      </c>
      <c r="AH522" s="37" t="s">
        <v>1139</v>
      </c>
      <c r="AI522" s="11">
        <f>Table1[[#This Row],[Price]]/Table1[[#This Row],[Size (ml)]]*750</f>
        <v>77.23</v>
      </c>
      <c r="AJ522" s="37">
        <v>92</v>
      </c>
      <c r="AK522" s="10">
        <f>COUNTIF(UniqueID!A:A,Table1[[#This Row],[ID]])</f>
        <v>0</v>
      </c>
      <c r="AL522" s="10" t="str">
        <f>VLOOKUP(Table1[[#This Row],[Cellar Location]],Location!A:F,6,FALSE)</f>
        <v>W</v>
      </c>
      <c r="AN522" s="1">
        <v>44058</v>
      </c>
      <c r="AO522" s="10" t="str">
        <f>TEXT(Table1[[#This Row],[Purchased]],"mmmm")</f>
        <v>August</v>
      </c>
      <c r="AP522" s="10" t="str">
        <f>TEXT(Table1[[#This Row],[Purchased]],"yyyy")</f>
        <v>2020</v>
      </c>
      <c r="AQ522" s="1">
        <v>44132</v>
      </c>
    </row>
    <row r="523" spans="1:43" s="37" customFormat="1" x14ac:dyDescent="0.25">
      <c r="A523" s="37" t="str">
        <f t="shared" si="36"/>
        <v>2005EscuderoVidau</v>
      </c>
      <c r="B523" s="37">
        <v>2005</v>
      </c>
      <c r="C523" s="37" t="s">
        <v>217</v>
      </c>
      <c r="D523" s="37" t="s">
        <v>1658</v>
      </c>
      <c r="E523" s="67" t="s">
        <v>1659</v>
      </c>
      <c r="F523" s="37" t="s">
        <v>729</v>
      </c>
      <c r="G523" s="37" t="s">
        <v>823</v>
      </c>
      <c r="I523" s="8">
        <v>1</v>
      </c>
      <c r="J523" s="38">
        <v>750</v>
      </c>
      <c r="K523" s="38" t="s">
        <v>384</v>
      </c>
      <c r="L523" s="10">
        <f>COUNTIF(Drank!A:A,Table1[[#This Row],[ID]])</f>
        <v>1</v>
      </c>
      <c r="M523" s="37" t="s">
        <v>202</v>
      </c>
      <c r="N523" s="37" t="s">
        <v>207</v>
      </c>
      <c r="O523" s="37">
        <v>1</v>
      </c>
      <c r="P523" s="10">
        <v>2010</v>
      </c>
      <c r="Q523" s="37">
        <v>2020</v>
      </c>
      <c r="R523" s="10" t="str">
        <f>IF(IFERROR(VLOOKUP(A523,Drank!A:S,15,FALSE),"")=0,"",IFERROR(VLOOKUP(A523,Drank!A:S,15,FALSE),""))</f>
        <v/>
      </c>
      <c r="S523" s="10">
        <f>IF(IFERROR(VLOOKUP(A523,Drank!A:S,16,FALSE),"")=0,"",IFERROR(VLOOKUP(A523,Drank!A:S,16,FALSE),""))</f>
        <v>2025</v>
      </c>
      <c r="T523" s="10"/>
      <c r="U523" s="37" t="s">
        <v>1404</v>
      </c>
      <c r="V523" s="18">
        <f>IF(IFERROR(VLOOKUP(A523,Drank!A:T,19,FALSE),"")=0,"",IFERROR(VLOOKUP(A523,Drank!A:T,19,FALSE),""))</f>
        <v>92</v>
      </c>
      <c r="W523" s="1">
        <f>IF(IFERROR(VLOOKUP(A523,Drank!A:T,20,FALSE),"")=0,"",IFERROR(VLOOKUP(A523,Drank!A:T,20,FALSE),""))</f>
        <v>44062</v>
      </c>
      <c r="X523" s="10">
        <f>SUMIF(A:A,A523,I:I)</f>
        <v>11</v>
      </c>
      <c r="Y523" s="10">
        <f>IF(Table1[[#This Row],[Drank]]&gt;0,VLOOKUP(Table1[[#This Row],[ID]],Drank!A:P,16,FALSE),IF(Table1[[#This Row],[WALDD]]&gt;0,VLOOKUP(Table1[[#This Row],[ID]],Wine1!A:Q,17,FALSE),Table1[[#This Row],[EP]]))</f>
        <v>2025</v>
      </c>
      <c r="Z523" s="18">
        <f>IF(Table1[[#This Row],[My Rating]]="",IF(Table1[[#This Row],[WA Rating Clean]]="","",Table1[[#This Row],[WA Rating Clean]]),Table1[[#This Row],[My Rating]])</f>
        <v>92</v>
      </c>
      <c r="AA523" s="37">
        <v>2024</v>
      </c>
      <c r="AB523" s="128">
        <v>21.71</v>
      </c>
      <c r="AC523" s="2">
        <f t="shared" si="37"/>
        <v>21.71</v>
      </c>
      <c r="AD523" s="8">
        <v>1</v>
      </c>
      <c r="AE523" s="10">
        <f>IF(Table1[[#This Row],[P/750]]&lt;20,1,IF(Table1[[#This Row],[P/750]]&lt;50,2,3))</f>
        <v>2</v>
      </c>
      <c r="AF523" s="10">
        <f>IF(Table1[[#This Row],[P/750]]&lt;Expenses!$C$30,1,IF(Table1[[#This Row],[P/750]]&lt;Expenses!$C$31,2,IF(Table1[[#This Row],[P/750]]&lt;Expenses!$C$32,3,4)))</f>
        <v>2</v>
      </c>
      <c r="AH523" s="37" t="s">
        <v>384</v>
      </c>
      <c r="AI523" s="11">
        <f>Table1[[#This Row],[Price]]/Table1[[#This Row],[Size (ml)]]*750</f>
        <v>21.71</v>
      </c>
      <c r="AJ523" s="37">
        <v>90</v>
      </c>
      <c r="AK523" s="10">
        <f>COUNTIF(UniqueID!A:A,Table1[[#This Row],[ID]])</f>
        <v>0</v>
      </c>
      <c r="AL523" s="10" t="str">
        <f>VLOOKUP(Table1[[#This Row],[Cellar Location]],Location!A:F,6,FALSE)</f>
        <v>W</v>
      </c>
      <c r="AN523" s="1">
        <v>44063</v>
      </c>
      <c r="AO523" s="10" t="str">
        <f>TEXT(Table1[[#This Row],[Purchased]],"mmmm")</f>
        <v>August</v>
      </c>
      <c r="AP523" s="10" t="str">
        <f>TEXT(Table1[[#This Row],[Purchased]],"yyyy")</f>
        <v>2020</v>
      </c>
      <c r="AQ523" s="1">
        <v>44131</v>
      </c>
    </row>
    <row r="524" spans="1:43" x14ac:dyDescent="0.25">
      <c r="A524" t="str">
        <f t="shared" si="36"/>
        <v>2005EscuderoVidau</v>
      </c>
      <c r="B524" s="37">
        <v>2005</v>
      </c>
      <c r="C524" s="37" t="s">
        <v>217</v>
      </c>
      <c r="D524" s="37" t="s">
        <v>1658</v>
      </c>
      <c r="E524" s="67" t="s">
        <v>1659</v>
      </c>
      <c r="F524" s="37" t="s">
        <v>729</v>
      </c>
      <c r="G524" s="37" t="s">
        <v>823</v>
      </c>
      <c r="I524" s="8">
        <v>1</v>
      </c>
      <c r="J524" s="38">
        <v>750</v>
      </c>
      <c r="K524" s="38" t="s">
        <v>384</v>
      </c>
      <c r="L524" s="10">
        <f>COUNTIF(Drank!A:A,Table1[[#This Row],[ID]])</f>
        <v>1</v>
      </c>
      <c r="M524" t="s">
        <v>202</v>
      </c>
      <c r="N524" t="s">
        <v>207</v>
      </c>
      <c r="O524">
        <v>1</v>
      </c>
      <c r="P524" s="10">
        <v>2010</v>
      </c>
      <c r="Q524">
        <v>2020</v>
      </c>
      <c r="R524" s="10" t="str">
        <f>IF(IFERROR(VLOOKUP(A524,Drank!A:S,15,FALSE),"")=0,"",IFERROR(VLOOKUP(A524,Drank!A:S,15,FALSE),""))</f>
        <v/>
      </c>
      <c r="S524" s="10">
        <f>IF(IFERROR(VLOOKUP(A524,Drank!A:S,16,FALSE),"")=0,"",IFERROR(VLOOKUP(A524,Drank!A:S,16,FALSE),""))</f>
        <v>2025</v>
      </c>
      <c r="T524" s="10"/>
      <c r="U524" t="s">
        <v>1404</v>
      </c>
      <c r="V524" s="18">
        <f>IF(IFERROR(VLOOKUP(A524,Drank!A:T,19,FALSE),"")=0,"",IFERROR(VLOOKUP(A524,Drank!A:T,19,FALSE),""))</f>
        <v>92</v>
      </c>
      <c r="W524" s="1">
        <f>IF(IFERROR(VLOOKUP(A524,Drank!A:T,20,FALSE),"")=0,"",IFERROR(VLOOKUP(A524,Drank!A:T,20,FALSE),""))</f>
        <v>44062</v>
      </c>
      <c r="X524" s="10">
        <f>SUMIF(A:A,A524,I:I)</f>
        <v>11</v>
      </c>
      <c r="Y524" s="10">
        <f>IF(Table1[[#This Row],[Drank]]&gt;0,VLOOKUP(Table1[[#This Row],[ID]],Drank!A:P,16,FALSE),IF(Table1[[#This Row],[WALDD]]&gt;0,VLOOKUP(Table1[[#This Row],[ID]],Wine1!A:Q,17,FALSE),Table1[[#This Row],[EP]]))</f>
        <v>2025</v>
      </c>
      <c r="Z524" s="18">
        <f>IF(Table1[[#This Row],[My Rating]]="",IF(Table1[[#This Row],[WA Rating Clean]]="","",Table1[[#This Row],[WA Rating Clean]]),Table1[[#This Row],[My Rating]])</f>
        <v>92</v>
      </c>
      <c r="AA524" s="37">
        <v>2024</v>
      </c>
      <c r="AB524" s="128">
        <v>21.71</v>
      </c>
      <c r="AC524" s="2">
        <f t="shared" si="37"/>
        <v>21.71</v>
      </c>
      <c r="AD524" s="8">
        <v>1</v>
      </c>
      <c r="AE524" s="10">
        <f>IF(Table1[[#This Row],[P/750]]&lt;20,1,IF(Table1[[#This Row],[P/750]]&lt;50,2,3))</f>
        <v>2</v>
      </c>
      <c r="AF524" s="10">
        <f>IF(Table1[[#This Row],[P/750]]&lt;Expenses!$C$30,1,IF(Table1[[#This Row],[P/750]]&lt;Expenses!$C$31,2,IF(Table1[[#This Row],[P/750]]&lt;Expenses!$C$32,3,4)))</f>
        <v>2</v>
      </c>
      <c r="AH524" s="37" t="s">
        <v>384</v>
      </c>
      <c r="AI524" s="11">
        <f>Table1[[#This Row],[Price]]/Table1[[#This Row],[Size (ml)]]*750</f>
        <v>21.71</v>
      </c>
      <c r="AJ524">
        <v>90</v>
      </c>
      <c r="AK524" s="10">
        <f>COUNTIF(UniqueID!A:A,Table1[[#This Row],[ID]])</f>
        <v>0</v>
      </c>
      <c r="AL524" s="10" t="str">
        <f>VLOOKUP(Table1[[#This Row],[Cellar Location]],Location!A:F,6,FALSE)</f>
        <v>W</v>
      </c>
      <c r="AN524" s="1">
        <v>44063</v>
      </c>
      <c r="AO524" s="10" t="str">
        <f>TEXT(Table1[[#This Row],[Purchased]],"mmmm")</f>
        <v>August</v>
      </c>
      <c r="AP524" s="10" t="str">
        <f>TEXT(Table1[[#This Row],[Purchased]],"yyyy")</f>
        <v>2020</v>
      </c>
      <c r="AQ524" s="1">
        <v>44131</v>
      </c>
    </row>
    <row r="525" spans="1:43" x14ac:dyDescent="0.25">
      <c r="A525" t="str">
        <f t="shared" si="36"/>
        <v>2017Vintage LongbottomHenry's Drive Shiraz-Cabernet Sauvignon</v>
      </c>
      <c r="B525" s="8">
        <v>2017</v>
      </c>
      <c r="C525" s="37" t="s">
        <v>1547</v>
      </c>
      <c r="D525" s="32" t="s">
        <v>1550</v>
      </c>
      <c r="E525" s="67" t="s">
        <v>1551</v>
      </c>
      <c r="F525" s="37" t="s">
        <v>736</v>
      </c>
      <c r="G525" s="37" t="s">
        <v>737</v>
      </c>
      <c r="I525" s="37">
        <v>1</v>
      </c>
      <c r="J525" s="38">
        <v>750</v>
      </c>
      <c r="K525" s="38" t="s">
        <v>384</v>
      </c>
      <c r="L525" s="10">
        <f>COUNTIF(Drank!A:A,Table1[[#This Row],[ID]])</f>
        <v>0</v>
      </c>
      <c r="M525" t="s">
        <v>202</v>
      </c>
      <c r="N525" t="s">
        <v>207</v>
      </c>
      <c r="O525">
        <v>1</v>
      </c>
      <c r="P525" s="37">
        <v>2019</v>
      </c>
      <c r="Q525" s="37">
        <v>2025</v>
      </c>
      <c r="R525" s="10" t="str">
        <f>IF(IFERROR(VLOOKUP(A525,Drank!A:S,15,FALSE),"")=0,"",IFERROR(VLOOKUP(A525,Drank!A:S,15,FALSE),""))</f>
        <v/>
      </c>
      <c r="S525" s="10" t="str">
        <f>IF(IFERROR(VLOOKUP(A525,Drank!A:S,16,FALSE),"")=0,"",IFERROR(VLOOKUP(A525,Drank!A:S,16,FALSE),""))</f>
        <v/>
      </c>
      <c r="T525" s="10"/>
      <c r="U525" s="37">
        <v>91</v>
      </c>
      <c r="V525" s="18" t="str">
        <f>IF(IFERROR(VLOOKUP(A525,Drank!A:T,19,FALSE),"")=0,"",IFERROR(VLOOKUP(A525,Drank!A:T,19,FALSE),""))</f>
        <v/>
      </c>
      <c r="W525" s="1" t="str">
        <f>IF(IFERROR(VLOOKUP(A525,Drank!A:T,20,FALSE),"")=0,"",IFERROR(VLOOKUP(A525,Drank!A:T,20,FALSE),""))</f>
        <v/>
      </c>
      <c r="X525" s="10">
        <f>SUMIF(A:A,A525,I:I)</f>
        <v>4</v>
      </c>
      <c r="Y525" s="10">
        <f>IF(Table1[[#This Row],[Drank]]&gt;0,VLOOKUP(Table1[[#This Row],[ID]],Drank!A:P,16,FALSE),IF(Table1[[#This Row],[WALDD]]&gt;0,VLOOKUP(Table1[[#This Row],[ID]],Wine1!A:Q,17,FALSE),Table1[[#This Row],[EP]]))</f>
        <v>2025</v>
      </c>
      <c r="Z525" s="18">
        <f>IF(Table1[[#This Row],[My Rating]]="",IF(Table1[[#This Row],[WA Rating Clean]]="","",Table1[[#This Row],[WA Rating Clean]]),Table1[[#This Row],[My Rating]])</f>
        <v>91</v>
      </c>
      <c r="AA525" s="37">
        <v>2024</v>
      </c>
      <c r="AB525" s="128">
        <v>21.72</v>
      </c>
      <c r="AC525" s="2">
        <f t="shared" si="37"/>
        <v>21.72</v>
      </c>
      <c r="AD525" s="8">
        <v>1</v>
      </c>
      <c r="AE525" s="10">
        <f>IF(Table1[[#This Row],[P/750]]&lt;20,1,IF(Table1[[#This Row],[P/750]]&lt;50,2,3))</f>
        <v>2</v>
      </c>
      <c r="AF525" s="10">
        <f>IF(Table1[[#This Row],[P/750]]&lt;Expenses!$C$30,1,IF(Table1[[#This Row],[P/750]]&lt;Expenses!$C$31,2,IF(Table1[[#This Row],[P/750]]&lt;Expenses!$C$32,3,4)))</f>
        <v>2</v>
      </c>
      <c r="AH525" s="37" t="s">
        <v>384</v>
      </c>
      <c r="AI525" s="11">
        <f>Table1[[#This Row],[Price]]/Table1[[#This Row],[Size (ml)]]*750</f>
        <v>21.72</v>
      </c>
      <c r="AJ525">
        <v>91</v>
      </c>
      <c r="AK525" s="10">
        <f>COUNTIF(UniqueID!A:A,Table1[[#This Row],[ID]])</f>
        <v>0</v>
      </c>
      <c r="AL525" s="10" t="str">
        <f>VLOOKUP(Table1[[#This Row],[Cellar Location]],Location!A:F,6,FALSE)</f>
        <v>W</v>
      </c>
      <c r="AN525" s="1">
        <v>44041</v>
      </c>
      <c r="AO525" s="10" t="str">
        <f>TEXT(Table1[[#This Row],[Purchased]],"mmmm")</f>
        <v>July</v>
      </c>
      <c r="AP525" s="10" t="str">
        <f>TEXT(Table1[[#This Row],[Purchased]],"yyyy")</f>
        <v>2020</v>
      </c>
      <c r="AQ525" s="1">
        <v>44138</v>
      </c>
    </row>
    <row r="526" spans="1:43" s="37" customFormat="1" x14ac:dyDescent="0.25">
      <c r="A526" s="37" t="str">
        <f t="shared" si="36"/>
        <v>2014Los Frailes1771</v>
      </c>
      <c r="B526" s="8">
        <v>2014</v>
      </c>
      <c r="C526" s="19" t="s">
        <v>242</v>
      </c>
      <c r="D526" s="79">
        <v>1771</v>
      </c>
      <c r="E526" s="67" t="s">
        <v>1223</v>
      </c>
      <c r="F526" s="37" t="s">
        <v>729</v>
      </c>
      <c r="G526" s="37" t="s">
        <v>826</v>
      </c>
      <c r="I526" s="107">
        <v>1</v>
      </c>
      <c r="J526" s="37">
        <v>750</v>
      </c>
      <c r="K526" s="107" t="s">
        <v>1150</v>
      </c>
      <c r="L526" s="37">
        <f>COUNTIF(Drank!A:A,Table1[[#This Row],[ID]])</f>
        <v>5</v>
      </c>
      <c r="M526" s="37" t="s">
        <v>202</v>
      </c>
      <c r="N526" s="37" t="s">
        <v>207</v>
      </c>
      <c r="O526" s="37">
        <v>1</v>
      </c>
      <c r="P526" s="37">
        <v>2018</v>
      </c>
      <c r="Q526" s="37">
        <v>2023</v>
      </c>
      <c r="R526" s="37">
        <f>IF(IFERROR(VLOOKUP(A526,Drank!A:S,15,FALSE),"")=0,"",IFERROR(VLOOKUP(A526,Drank!A:S,15,FALSE),""))</f>
        <v>2021</v>
      </c>
      <c r="S526" s="37">
        <f>IF(IFERROR(VLOOKUP(A526,Drank!A:S,16,FALSE),"")=0,"",IFERROR(VLOOKUP(A526,Drank!A:S,16,FALSE),""))</f>
        <v>2025</v>
      </c>
      <c r="U526" s="37">
        <v>93</v>
      </c>
      <c r="V526" s="18">
        <f>IF(IFERROR(VLOOKUP(A526,Drank!A:T,19,FALSE),"")=0,"",IFERROR(VLOOKUP(A526,Drank!A:T,19,FALSE),""))</f>
        <v>92.4</v>
      </c>
      <c r="W526" s="1">
        <f>IF(IFERROR(VLOOKUP(A526,Drank!A:T,20,FALSE),"")=0,"",IFERROR(VLOOKUP(A526,Drank!A:T,20,FALSE),""))</f>
        <v>44052</v>
      </c>
      <c r="X526" s="37">
        <f>SUMIF(A:A,A526,I:I)</f>
        <v>9</v>
      </c>
      <c r="Y526" s="37">
        <f>IF(Table1[[#This Row],[Drank]]&gt;0,VLOOKUP(Table1[[#This Row],[ID]],Drank!A:P,16,FALSE),IF(Table1[[#This Row],[WALDD]]&gt;0,VLOOKUP(Table1[[#This Row],[ID]],Wine1!A:Q,17,FALSE),Table1[[#This Row],[EP]]))</f>
        <v>2025</v>
      </c>
      <c r="Z526" s="18">
        <f>IF(Table1[[#This Row],[My Rating]]="",IF(Table1[[#This Row],[WA Rating Clean]]="","",Table1[[#This Row],[WA Rating Clean]]),Table1[[#This Row],[My Rating]])</f>
        <v>92.4</v>
      </c>
      <c r="AA526" s="37">
        <v>2024</v>
      </c>
      <c r="AB526" s="128">
        <v>19.5</v>
      </c>
      <c r="AC526" s="2">
        <f t="shared" si="37"/>
        <v>19.5</v>
      </c>
      <c r="AD526" s="8">
        <v>2</v>
      </c>
      <c r="AE526" s="37">
        <f>IF(Table1[[#This Row],[P/750]]&lt;20,1,IF(Table1[[#This Row],[P/750]]&lt;50,2,3))</f>
        <v>1</v>
      </c>
      <c r="AF526" s="37">
        <f>IF(Table1[[#This Row],[P/750]]&lt;Expenses!$C$30,1,IF(Table1[[#This Row],[P/750]]&lt;Expenses!$C$31,2,IF(Table1[[#This Row],[P/750]]&lt;Expenses!$C$32,3,4)))</f>
        <v>2</v>
      </c>
      <c r="AH526" s="37" t="s">
        <v>385</v>
      </c>
      <c r="AI526" s="11">
        <f>Table1[[#This Row],[Price]]/Table1[[#This Row],[Size (ml)]]*750</f>
        <v>19.5</v>
      </c>
      <c r="AJ526" s="37">
        <v>93</v>
      </c>
      <c r="AK526" s="37">
        <f>COUNTIF(UniqueID!A:A,Table1[[#This Row],[ID]])</f>
        <v>1</v>
      </c>
      <c r="AL526" s="37" t="str">
        <f>VLOOKUP(Table1[[#This Row],[Cellar Location]],Location!A:F,6,FALSE)</f>
        <v>S</v>
      </c>
      <c r="AO526" s="37" t="str">
        <f>TEXT(Table1[[#This Row],[Purchased]],"mmmm")</f>
        <v>January</v>
      </c>
      <c r="AP526" s="10" t="str">
        <f>TEXT(Table1[[#This Row],[Purchased]],"yyyy")</f>
        <v>1900</v>
      </c>
      <c r="AQ526" s="10"/>
    </row>
    <row r="527" spans="1:43" s="37" customFormat="1" x14ac:dyDescent="0.25">
      <c r="A527" s="37" t="str">
        <f t="shared" si="36"/>
        <v>2016Domaine de la Combe DieuRasteau</v>
      </c>
      <c r="B527" s="8">
        <v>2016</v>
      </c>
      <c r="C527" s="9" t="s">
        <v>407</v>
      </c>
      <c r="D527" s="30" t="s">
        <v>408</v>
      </c>
      <c r="E527" s="66" t="s">
        <v>417</v>
      </c>
      <c r="F527" s="9" t="s">
        <v>742</v>
      </c>
      <c r="G527" s="9" t="s">
        <v>759</v>
      </c>
      <c r="H527" s="9" t="s">
        <v>765</v>
      </c>
      <c r="I527" s="107">
        <v>1</v>
      </c>
      <c r="J527" s="37">
        <v>750</v>
      </c>
      <c r="K527" s="107" t="s">
        <v>649</v>
      </c>
      <c r="L527" s="37">
        <f>COUNTIF(Drank!A:A,Table1[[#This Row],[ID]])</f>
        <v>5</v>
      </c>
      <c r="M527" s="37" t="s">
        <v>202</v>
      </c>
      <c r="N527" s="37" t="s">
        <v>207</v>
      </c>
      <c r="O527" s="37">
        <v>1</v>
      </c>
      <c r="P527" s="37">
        <v>2018</v>
      </c>
      <c r="Q527" s="37">
        <v>2023</v>
      </c>
      <c r="R527" s="10">
        <f>IF(IFERROR(VLOOKUP(A527,Drank!A:S,15,FALSE),"")=0,"",IFERROR(VLOOKUP(A527,Drank!A:S,15,FALSE),""))</f>
        <v>2021</v>
      </c>
      <c r="S527" s="10">
        <f>IF(IFERROR(VLOOKUP(A527,Drank!A:S,16,FALSE),"")=0,"",IFERROR(VLOOKUP(A527,Drank!A:S,16,FALSE),""))</f>
        <v>2025</v>
      </c>
      <c r="T527" s="10"/>
      <c r="U527" s="37">
        <v>92</v>
      </c>
      <c r="V527" s="18">
        <f>IF(IFERROR(VLOOKUP(A527,Drank!A:T,19,FALSE),"")=0,"",IFERROR(VLOOKUP(A527,Drank!A:T,19,FALSE),""))</f>
        <v>92.2</v>
      </c>
      <c r="W527" s="1">
        <f>IF(IFERROR(VLOOKUP(A527,Drank!A:T,20,FALSE),"")=0,"",IFERROR(VLOOKUP(A527,Drank!A:T,20,FALSE),""))</f>
        <v>44002</v>
      </c>
      <c r="X527" s="10">
        <f>SUMIF(A:A,A527,I:I)</f>
        <v>15</v>
      </c>
      <c r="Y527" s="37">
        <f>IF(Table1[[#This Row],[Drank]]&gt;0,VLOOKUP(Table1[[#This Row],[ID]],Drank!A:P,16,FALSE),IF(Table1[[#This Row],[WALDD]]&gt;0,VLOOKUP(Table1[[#This Row],[ID]],Wine1!A:Q,17,FALSE),Table1[[#This Row],[EP]]))</f>
        <v>2025</v>
      </c>
      <c r="Z527" s="18">
        <f>IF(Table1[[#This Row],[My Rating]]="",IF(Table1[[#This Row],[WA Rating Clean]]="","",Table1[[#This Row],[WA Rating Clean]]),Table1[[#This Row],[My Rating]])</f>
        <v>92.2</v>
      </c>
      <c r="AA527" s="37">
        <v>2024</v>
      </c>
      <c r="AB527" s="128">
        <v>13.99</v>
      </c>
      <c r="AC527" s="2">
        <f t="shared" si="37"/>
        <v>13.99</v>
      </c>
      <c r="AD527" s="8">
        <v>2</v>
      </c>
      <c r="AE527" s="37">
        <f>IF(Table1[[#This Row],[P/750]]&lt;20,1,IF(Table1[[#This Row],[P/750]]&lt;50,2,3))</f>
        <v>1</v>
      </c>
      <c r="AF527" s="37">
        <f>IF(Table1[[#This Row],[P/750]]&lt;Expenses!$C$30,1,IF(Table1[[#This Row],[P/750]]&lt;Expenses!$C$31,2,IF(Table1[[#This Row],[P/750]]&lt;Expenses!$C$32,3,4)))</f>
        <v>1</v>
      </c>
      <c r="AH527" s="37" t="s">
        <v>384</v>
      </c>
      <c r="AI527" s="11">
        <f>Table1[[#This Row],[Price]]/Table1[[#This Row],[Size (ml)]]*750</f>
        <v>13.99</v>
      </c>
      <c r="AJ527" s="37">
        <v>92</v>
      </c>
      <c r="AK527" s="37">
        <f>COUNTIF(UniqueID!A:A,Table1[[#This Row],[ID]])</f>
        <v>1</v>
      </c>
      <c r="AL527" s="37" t="str">
        <f>VLOOKUP(Table1[[#This Row],[Cellar Location]],Location!A:F,6,FALSE)</f>
        <v>S</v>
      </c>
      <c r="AO527" s="37" t="str">
        <f>TEXT(Table1[[#This Row],[Purchased]],"mmmm")</f>
        <v>January</v>
      </c>
      <c r="AP527" s="10" t="str">
        <f>TEXT(Table1[[#This Row],[Purchased]],"yyyy")</f>
        <v>1900</v>
      </c>
      <c r="AQ527" s="10"/>
    </row>
    <row r="528" spans="1:43" s="37" customFormat="1" x14ac:dyDescent="0.25">
      <c r="A528" s="37" t="str">
        <f t="shared" si="36"/>
        <v>2016Domaine de la Combe DieuRasteau</v>
      </c>
      <c r="B528" s="8">
        <v>2016</v>
      </c>
      <c r="C528" s="37" t="s">
        <v>407</v>
      </c>
      <c r="D528" s="25" t="s">
        <v>408</v>
      </c>
      <c r="E528" s="66" t="s">
        <v>417</v>
      </c>
      <c r="F528" s="9" t="s">
        <v>742</v>
      </c>
      <c r="G528" s="9" t="s">
        <v>759</v>
      </c>
      <c r="H528" s="9" t="s">
        <v>765</v>
      </c>
      <c r="I528" s="107">
        <v>1</v>
      </c>
      <c r="J528" s="37">
        <v>750</v>
      </c>
      <c r="K528" s="107" t="s">
        <v>649</v>
      </c>
      <c r="L528" s="37">
        <f>COUNTIF(Drank!A:A,Table1[[#This Row],[ID]])</f>
        <v>5</v>
      </c>
      <c r="M528" s="37" t="s">
        <v>202</v>
      </c>
      <c r="N528" s="37" t="s">
        <v>207</v>
      </c>
      <c r="O528" s="37">
        <v>1</v>
      </c>
      <c r="P528" s="37">
        <v>2018</v>
      </c>
      <c r="Q528" s="37">
        <v>2023</v>
      </c>
      <c r="R528" s="10">
        <f>IF(IFERROR(VLOOKUP(A528,Drank!A:S,15,FALSE),"")=0,"",IFERROR(VLOOKUP(A528,Drank!A:S,15,FALSE),""))</f>
        <v>2021</v>
      </c>
      <c r="S528" s="10">
        <f>IF(IFERROR(VLOOKUP(A528,Drank!A:S,16,FALSE),"")=0,"",IFERROR(VLOOKUP(A528,Drank!A:S,16,FALSE),""))</f>
        <v>2025</v>
      </c>
      <c r="T528" s="10"/>
      <c r="U528" s="37">
        <v>92</v>
      </c>
      <c r="V528" s="18">
        <f>IF(IFERROR(VLOOKUP(A528,Drank!A:T,19,FALSE),"")=0,"",IFERROR(VLOOKUP(A528,Drank!A:T,19,FALSE),""))</f>
        <v>92.2</v>
      </c>
      <c r="W528" s="1">
        <f>IF(IFERROR(VLOOKUP(A528,Drank!A:T,20,FALSE),"")=0,"",IFERROR(VLOOKUP(A528,Drank!A:T,20,FALSE),""))</f>
        <v>44002</v>
      </c>
      <c r="X528" s="10">
        <f>SUMIF(A:A,A528,I:I)</f>
        <v>15</v>
      </c>
      <c r="Y528" s="37">
        <f>IF(Table1[[#This Row],[Drank]]&gt;0,VLOOKUP(Table1[[#This Row],[ID]],Drank!A:P,16,FALSE),IF(Table1[[#This Row],[WALDD]]&gt;0,VLOOKUP(Table1[[#This Row],[ID]],Wine1!A:Q,17,FALSE),Table1[[#This Row],[EP]]))</f>
        <v>2025</v>
      </c>
      <c r="Z528" s="18">
        <f>IF(Table1[[#This Row],[My Rating]]="",IF(Table1[[#This Row],[WA Rating Clean]]="","",Table1[[#This Row],[WA Rating Clean]]),Table1[[#This Row],[My Rating]])</f>
        <v>92.2</v>
      </c>
      <c r="AA528" s="37">
        <v>2024</v>
      </c>
      <c r="AB528" s="128">
        <v>13.99</v>
      </c>
      <c r="AC528" s="2">
        <f t="shared" si="37"/>
        <v>13.99</v>
      </c>
      <c r="AD528" s="8">
        <v>2</v>
      </c>
      <c r="AE528" s="37">
        <f>IF(Table1[[#This Row],[P/750]]&lt;20,1,IF(Table1[[#This Row],[P/750]]&lt;50,2,3))</f>
        <v>1</v>
      </c>
      <c r="AF528" s="37">
        <f>IF(Table1[[#This Row],[P/750]]&lt;Expenses!$C$30,1,IF(Table1[[#This Row],[P/750]]&lt;Expenses!$C$31,2,IF(Table1[[#This Row],[P/750]]&lt;Expenses!$C$32,3,4)))</f>
        <v>1</v>
      </c>
      <c r="AH528" s="37" t="s">
        <v>384</v>
      </c>
      <c r="AI528" s="11">
        <f>Table1[[#This Row],[Price]]/Table1[[#This Row],[Size (ml)]]*750</f>
        <v>13.99</v>
      </c>
      <c r="AJ528" s="37">
        <v>92</v>
      </c>
      <c r="AK528" s="37">
        <f>COUNTIF(UniqueID!A:A,Table1[[#This Row],[ID]])</f>
        <v>1</v>
      </c>
      <c r="AL528" s="37" t="str">
        <f>VLOOKUP(Table1[[#This Row],[Cellar Location]],Location!A:F,6,FALSE)</f>
        <v>S</v>
      </c>
      <c r="AO528" s="37" t="str">
        <f>TEXT(Table1[[#This Row],[Purchased]],"mmmm")</f>
        <v>January</v>
      </c>
      <c r="AP528" s="10" t="str">
        <f>TEXT(Table1[[#This Row],[Purchased]],"yyyy")</f>
        <v>1900</v>
      </c>
      <c r="AQ528" s="10"/>
    </row>
    <row r="529" spans="1:43" s="37" customFormat="1" x14ac:dyDescent="0.25">
      <c r="A529" s="37" t="str">
        <f t="shared" si="36"/>
        <v>2016Domaine de la Combe DieuRasteau</v>
      </c>
      <c r="B529" s="8">
        <v>2016</v>
      </c>
      <c r="C529" s="37" t="s">
        <v>407</v>
      </c>
      <c r="D529" s="25" t="s">
        <v>408</v>
      </c>
      <c r="E529" s="66" t="s">
        <v>417</v>
      </c>
      <c r="F529" s="9" t="s">
        <v>742</v>
      </c>
      <c r="G529" s="9" t="s">
        <v>759</v>
      </c>
      <c r="H529" s="9" t="s">
        <v>765</v>
      </c>
      <c r="I529" s="107">
        <v>1</v>
      </c>
      <c r="J529" s="37">
        <v>750</v>
      </c>
      <c r="K529" s="107" t="s">
        <v>649</v>
      </c>
      <c r="L529" s="37">
        <f>COUNTIF(Drank!A:A,Table1[[#This Row],[ID]])</f>
        <v>5</v>
      </c>
      <c r="M529" s="37" t="s">
        <v>202</v>
      </c>
      <c r="N529" s="37" t="s">
        <v>207</v>
      </c>
      <c r="O529" s="37">
        <v>1</v>
      </c>
      <c r="P529" s="37">
        <v>2018</v>
      </c>
      <c r="Q529" s="37">
        <v>2023</v>
      </c>
      <c r="R529" s="10">
        <f>IF(IFERROR(VLOOKUP(A529,Drank!A:S,15,FALSE),"")=0,"",IFERROR(VLOOKUP(A529,Drank!A:S,15,FALSE),""))</f>
        <v>2021</v>
      </c>
      <c r="S529" s="10">
        <f>IF(IFERROR(VLOOKUP(A529,Drank!A:S,16,FALSE),"")=0,"",IFERROR(VLOOKUP(A529,Drank!A:S,16,FALSE),""))</f>
        <v>2025</v>
      </c>
      <c r="T529" s="10"/>
      <c r="U529" s="37">
        <v>92</v>
      </c>
      <c r="V529" s="18">
        <f>IF(IFERROR(VLOOKUP(A529,Drank!A:T,19,FALSE),"")=0,"",IFERROR(VLOOKUP(A529,Drank!A:T,19,FALSE),""))</f>
        <v>92.2</v>
      </c>
      <c r="W529" s="1">
        <f>IF(IFERROR(VLOOKUP(A529,Drank!A:T,20,FALSE),"")=0,"",IFERROR(VLOOKUP(A529,Drank!A:T,20,FALSE),""))</f>
        <v>44002</v>
      </c>
      <c r="X529" s="10">
        <f>SUMIF(A:A,A529,I:I)</f>
        <v>15</v>
      </c>
      <c r="Y529" s="37">
        <f>IF(Table1[[#This Row],[Drank]]&gt;0,VLOOKUP(Table1[[#This Row],[ID]],Drank!A:P,16,FALSE),IF(Table1[[#This Row],[WALDD]]&gt;0,VLOOKUP(Table1[[#This Row],[ID]],Wine1!A:Q,17,FALSE),Table1[[#This Row],[EP]]))</f>
        <v>2025</v>
      </c>
      <c r="Z529" s="18">
        <f>IF(Table1[[#This Row],[My Rating]]="",IF(Table1[[#This Row],[WA Rating Clean]]="","",Table1[[#This Row],[WA Rating Clean]]),Table1[[#This Row],[My Rating]])</f>
        <v>92.2</v>
      </c>
      <c r="AA529" s="37">
        <v>2024</v>
      </c>
      <c r="AB529" s="128">
        <v>13.99</v>
      </c>
      <c r="AC529" s="2">
        <f t="shared" si="37"/>
        <v>13.99</v>
      </c>
      <c r="AD529" s="8">
        <v>2</v>
      </c>
      <c r="AE529" s="37">
        <f>IF(Table1[[#This Row],[P/750]]&lt;20,1,IF(Table1[[#This Row],[P/750]]&lt;50,2,3))</f>
        <v>1</v>
      </c>
      <c r="AF529" s="37">
        <f>IF(Table1[[#This Row],[P/750]]&lt;Expenses!$C$30,1,IF(Table1[[#This Row],[P/750]]&lt;Expenses!$C$31,2,IF(Table1[[#This Row],[P/750]]&lt;Expenses!$C$32,3,4)))</f>
        <v>1</v>
      </c>
      <c r="AH529" s="37" t="s">
        <v>384</v>
      </c>
      <c r="AI529" s="11">
        <f>Table1[[#This Row],[Price]]/Table1[[#This Row],[Size (ml)]]*750</f>
        <v>13.99</v>
      </c>
      <c r="AJ529" s="37">
        <v>92</v>
      </c>
      <c r="AK529" s="37">
        <f>COUNTIF(UniqueID!A:A,Table1[[#This Row],[ID]])</f>
        <v>1</v>
      </c>
      <c r="AL529" s="37" t="str">
        <f>VLOOKUP(Table1[[#This Row],[Cellar Location]],Location!A:F,6,FALSE)</f>
        <v>S</v>
      </c>
      <c r="AO529" s="37" t="str">
        <f>TEXT(Table1[[#This Row],[Purchased]],"mmmm")</f>
        <v>January</v>
      </c>
      <c r="AP529" s="10" t="str">
        <f>TEXT(Table1[[#This Row],[Purchased]],"yyyy")</f>
        <v>1900</v>
      </c>
      <c r="AQ529" s="10"/>
    </row>
    <row r="530" spans="1:43" x14ac:dyDescent="0.25">
      <c r="A530" s="8" t="str">
        <f t="shared" si="36"/>
        <v>2017Diez-CaballeroCrianza</v>
      </c>
      <c r="B530" s="8">
        <v>2017</v>
      </c>
      <c r="C530" s="8" t="s">
        <v>1216</v>
      </c>
      <c r="D530" s="37" t="s">
        <v>108</v>
      </c>
      <c r="E530" s="67" t="s">
        <v>1220</v>
      </c>
      <c r="F530" s="37" t="s">
        <v>729</v>
      </c>
      <c r="G530" s="37" t="s">
        <v>823</v>
      </c>
      <c r="I530" s="107">
        <v>1</v>
      </c>
      <c r="J530" s="37">
        <v>750</v>
      </c>
      <c r="K530" s="107" t="s">
        <v>716</v>
      </c>
      <c r="L530" s="10">
        <f>COUNTIF(Drank!A:A,Table1[[#This Row],[ID]])</f>
        <v>3</v>
      </c>
      <c r="M530" t="s">
        <v>202</v>
      </c>
      <c r="N530" t="s">
        <v>207</v>
      </c>
      <c r="O530">
        <v>1</v>
      </c>
      <c r="P530" s="37">
        <v>2019</v>
      </c>
      <c r="Q530" s="37">
        <v>2024</v>
      </c>
      <c r="R530" s="10">
        <f>IF(IFERROR(VLOOKUP(A530,Drank!A:S,15,FALSE),"")=0,"",IFERROR(VLOOKUP(A530,Drank!A:S,15,FALSE),""))</f>
        <v>2021</v>
      </c>
      <c r="S530" s="10">
        <f>IF(IFERROR(VLOOKUP(A530,Drank!A:S,16,FALSE),"")=0,"",IFERROR(VLOOKUP(A530,Drank!A:S,16,FALSE),""))</f>
        <v>2025</v>
      </c>
      <c r="T530" s="10"/>
      <c r="U530" s="37">
        <v>90</v>
      </c>
      <c r="V530" s="18">
        <f>IF(IFERROR(VLOOKUP(A530,Drank!A:T,19,FALSE),"")=0,"",IFERROR(VLOOKUP(A530,Drank!A:T,19,FALSE),""))</f>
        <v>90.666666666666671</v>
      </c>
      <c r="W530" s="1">
        <f>IF(IFERROR(VLOOKUP(A530,Drank!A:T,20,FALSE),"")=0,"",IFERROR(VLOOKUP(A530,Drank!A:T,20,FALSE),""))</f>
        <v>44015</v>
      </c>
      <c r="X530" s="10">
        <f>SUMIF(A:A,A530,I:I)</f>
        <v>21</v>
      </c>
      <c r="Y530" s="10">
        <f>IF(Table1[[#This Row],[Drank]]&gt;0,VLOOKUP(Table1[[#This Row],[ID]],Drank!A:P,16,FALSE),IF(Table1[[#This Row],[WALDD]]&gt;0,VLOOKUP(Table1[[#This Row],[ID]],Wine1!A:Q,17,FALSE),Table1[[#This Row],[EP]]))</f>
        <v>2025</v>
      </c>
      <c r="Z530" s="18">
        <f>IF(Table1[[#This Row],[My Rating]]="",IF(Table1[[#This Row],[WA Rating Clean]]="","",Table1[[#This Row],[WA Rating Clean]]),Table1[[#This Row],[My Rating]])</f>
        <v>90.666666666666671</v>
      </c>
      <c r="AA530" s="37">
        <v>2024</v>
      </c>
      <c r="AB530" s="128">
        <v>14.11</v>
      </c>
      <c r="AC530" s="2">
        <f t="shared" si="37"/>
        <v>14.11</v>
      </c>
      <c r="AD530" s="8">
        <v>2</v>
      </c>
      <c r="AE530" s="10">
        <f>IF(Table1[[#This Row],[P/750]]&lt;20,1,IF(Table1[[#This Row],[P/750]]&lt;50,2,3))</f>
        <v>1</v>
      </c>
      <c r="AF530" s="10">
        <f>IF(Table1[[#This Row],[P/750]]&lt;Expenses!$C$30,1,IF(Table1[[#This Row],[P/750]]&lt;Expenses!$C$31,2,IF(Table1[[#This Row],[P/750]]&lt;Expenses!$C$32,3,4)))</f>
        <v>1</v>
      </c>
      <c r="AH530" s="37" t="s">
        <v>384</v>
      </c>
      <c r="AI530" s="11">
        <f>Table1[[#This Row],[Price]]/Table1[[#This Row],[Size (ml)]]*750</f>
        <v>14.109999999999998</v>
      </c>
      <c r="AJ530" s="37">
        <v>90</v>
      </c>
      <c r="AK530" s="10">
        <f>COUNTIF(UniqueID!A:A,Table1[[#This Row],[ID]])</f>
        <v>0</v>
      </c>
      <c r="AL530" s="10" t="str">
        <f>VLOOKUP(Table1[[#This Row],[Cellar Location]],Location!A:F,6,FALSE)</f>
        <v>S</v>
      </c>
      <c r="AN530" s="1">
        <v>43993</v>
      </c>
      <c r="AO530" s="10" t="str">
        <f>TEXT(Table1[[#This Row],[Purchased]],"mmmm")</f>
        <v>June</v>
      </c>
      <c r="AP530" s="10" t="str">
        <f>TEXT(Table1[[#This Row],[Purchased]],"yyyy")</f>
        <v>2020</v>
      </c>
      <c r="AQ530" s="10"/>
    </row>
    <row r="531" spans="1:43" x14ac:dyDescent="0.25">
      <c r="A531" s="8" t="str">
        <f t="shared" si="36"/>
        <v>2017Diez-CaballeroCrianza</v>
      </c>
      <c r="B531" s="8">
        <v>2017</v>
      </c>
      <c r="C531" s="8" t="s">
        <v>1216</v>
      </c>
      <c r="D531" s="37" t="s">
        <v>108</v>
      </c>
      <c r="E531" s="67" t="s">
        <v>1220</v>
      </c>
      <c r="F531" s="37" t="s">
        <v>729</v>
      </c>
      <c r="G531" s="37" t="s">
        <v>823</v>
      </c>
      <c r="I531" s="107">
        <v>1</v>
      </c>
      <c r="J531">
        <v>750</v>
      </c>
      <c r="K531" s="107" t="s">
        <v>1405</v>
      </c>
      <c r="L531" s="10">
        <f>COUNTIF(Drank!A:A,Table1[[#This Row],[ID]])</f>
        <v>3</v>
      </c>
      <c r="M531" t="s">
        <v>202</v>
      </c>
      <c r="N531" t="s">
        <v>207</v>
      </c>
      <c r="O531">
        <v>1</v>
      </c>
      <c r="P531" s="37">
        <v>2019</v>
      </c>
      <c r="Q531">
        <v>2024</v>
      </c>
      <c r="R531" s="10">
        <f>IF(IFERROR(VLOOKUP(A531,Drank!A:S,15,FALSE),"")=0,"",IFERROR(VLOOKUP(A531,Drank!A:S,15,FALSE),""))</f>
        <v>2021</v>
      </c>
      <c r="S531" s="10">
        <f>IF(IFERROR(VLOOKUP(A531,Drank!A:S,16,FALSE),"")=0,"",IFERROR(VLOOKUP(A531,Drank!A:S,16,FALSE),""))</f>
        <v>2025</v>
      </c>
      <c r="T531" s="10"/>
      <c r="U531">
        <v>90</v>
      </c>
      <c r="V531" s="18">
        <f>IF(IFERROR(VLOOKUP(A531,Drank!A:T,19,FALSE),"")=0,"",IFERROR(VLOOKUP(A531,Drank!A:T,19,FALSE),""))</f>
        <v>90.666666666666671</v>
      </c>
      <c r="W531" s="1">
        <f>IF(IFERROR(VLOOKUP(A531,Drank!A:T,20,FALSE),"")=0,"",IFERROR(VLOOKUP(A531,Drank!A:T,20,FALSE),""))</f>
        <v>44015</v>
      </c>
      <c r="X531" s="10">
        <f>SUMIF(A:A,A531,I:I)</f>
        <v>21</v>
      </c>
      <c r="Y531" s="10">
        <f>IF(Table1[[#This Row],[Drank]]&gt;0,VLOOKUP(Table1[[#This Row],[ID]],Drank!A:P,16,FALSE),IF(Table1[[#This Row],[WALDD]]&gt;0,VLOOKUP(Table1[[#This Row],[ID]],Wine1!A:Q,17,FALSE),Table1[[#This Row],[EP]]))</f>
        <v>2025</v>
      </c>
      <c r="Z531" s="18">
        <f>IF(Table1[[#This Row],[My Rating]]="",IF(Table1[[#This Row],[WA Rating Clean]]="","",Table1[[#This Row],[WA Rating Clean]]),Table1[[#This Row],[My Rating]])</f>
        <v>90.666666666666671</v>
      </c>
      <c r="AA531" s="37">
        <v>2024</v>
      </c>
      <c r="AB531" s="128">
        <v>14.11</v>
      </c>
      <c r="AC531" s="2">
        <f t="shared" si="37"/>
        <v>14.11</v>
      </c>
      <c r="AD531" s="8">
        <v>2</v>
      </c>
      <c r="AE531" s="10">
        <f>IF(Table1[[#This Row],[P/750]]&lt;20,1,IF(Table1[[#This Row],[P/750]]&lt;50,2,3))</f>
        <v>1</v>
      </c>
      <c r="AF531" s="10">
        <f>IF(Table1[[#This Row],[P/750]]&lt;Expenses!$C$30,1,IF(Table1[[#This Row],[P/750]]&lt;Expenses!$C$31,2,IF(Table1[[#This Row],[P/750]]&lt;Expenses!$C$32,3,4)))</f>
        <v>1</v>
      </c>
      <c r="AH531" s="37" t="s">
        <v>384</v>
      </c>
      <c r="AI531" s="11">
        <f>Table1[[#This Row],[Price]]/Table1[[#This Row],[Size (ml)]]*750</f>
        <v>14.109999999999998</v>
      </c>
      <c r="AJ531">
        <v>90</v>
      </c>
      <c r="AK531" s="10">
        <f>COUNTIF(UniqueID!A:A,Table1[[#This Row],[ID]])</f>
        <v>0</v>
      </c>
      <c r="AL531" s="10" t="str">
        <f>VLOOKUP(Table1[[#This Row],[Cellar Location]],Location!A:F,6,FALSE)</f>
        <v>S</v>
      </c>
      <c r="AN531" s="1">
        <v>43993</v>
      </c>
      <c r="AO531" s="10" t="str">
        <f>TEXT(Table1[[#This Row],[Purchased]],"mmmm")</f>
        <v>June</v>
      </c>
      <c r="AP531" s="10" t="str">
        <f>TEXT(Table1[[#This Row],[Purchased]],"yyyy")</f>
        <v>2020</v>
      </c>
      <c r="AQ531" s="10"/>
    </row>
    <row r="532" spans="1:43" x14ac:dyDescent="0.25">
      <c r="A532" t="str">
        <f t="shared" si="36"/>
        <v>2018Cave Les Vignerons de Tavel &amp; LiracLirac Domaine de l'Eyrolle</v>
      </c>
      <c r="B532" s="8">
        <v>2018</v>
      </c>
      <c r="C532" s="37" t="s">
        <v>1424</v>
      </c>
      <c r="D532" s="19" t="s">
        <v>1425</v>
      </c>
      <c r="E532" s="69" t="s">
        <v>286</v>
      </c>
      <c r="F532" s="37" t="s">
        <v>742</v>
      </c>
      <c r="G532" s="37" t="s">
        <v>759</v>
      </c>
      <c r="H532" s="37" t="s">
        <v>1426</v>
      </c>
      <c r="I532" s="107">
        <v>1</v>
      </c>
      <c r="J532">
        <v>750</v>
      </c>
      <c r="K532" s="108" t="s">
        <v>1505</v>
      </c>
      <c r="L532" s="10">
        <f>COUNTIF(Drank!A:A,Table1[[#This Row],[ID]])</f>
        <v>2</v>
      </c>
      <c r="M532" t="s">
        <v>202</v>
      </c>
      <c r="N532" t="s">
        <v>207</v>
      </c>
      <c r="O532">
        <v>1</v>
      </c>
      <c r="P532" s="37">
        <v>2019</v>
      </c>
      <c r="Q532">
        <v>2025</v>
      </c>
      <c r="R532" s="10">
        <f>IF(IFERROR(VLOOKUP(A532,Drank!A:S,15,FALSE),"")=0,"",IFERROR(VLOOKUP(A532,Drank!A:S,15,FALSE),""))</f>
        <v>2020</v>
      </c>
      <c r="S532" s="10">
        <f>IF(IFERROR(VLOOKUP(A532,Drank!A:S,16,FALSE),"")=0,"",IFERROR(VLOOKUP(A532,Drank!A:S,16,FALSE),""))</f>
        <v>2025</v>
      </c>
      <c r="T532" s="10"/>
      <c r="U532">
        <v>92</v>
      </c>
      <c r="V532" s="18">
        <f>IF(IFERROR(VLOOKUP(A532,Drank!A:T,19,FALSE),"")=0,"",IFERROR(VLOOKUP(A532,Drank!A:T,19,FALSE),""))</f>
        <v>91.5</v>
      </c>
      <c r="W532" s="1">
        <f>IF(IFERROR(VLOOKUP(A532,Drank!A:T,20,FALSE),"")=0,"",IFERROR(VLOOKUP(A532,Drank!A:T,20,FALSE),""))</f>
        <v>44009</v>
      </c>
      <c r="X532" s="10">
        <f>SUMIF(A:A,A532,I:I)</f>
        <v>10</v>
      </c>
      <c r="Y532" s="10">
        <f>IF(Table1[[#This Row],[Drank]]&gt;0,VLOOKUP(Table1[[#This Row],[ID]],Drank!A:P,16,FALSE),IF(Table1[[#This Row],[WALDD]]&gt;0,VLOOKUP(Table1[[#This Row],[ID]],Wine1!A:Q,17,FALSE),Table1[[#This Row],[EP]]))</f>
        <v>2025</v>
      </c>
      <c r="Z532" s="18">
        <f>IF(Table1[[#This Row],[My Rating]]="",IF(Table1[[#This Row],[WA Rating Clean]]="","",Table1[[#This Row],[WA Rating Clean]]),Table1[[#This Row],[My Rating]])</f>
        <v>91.5</v>
      </c>
      <c r="AA532" s="37">
        <v>2024</v>
      </c>
      <c r="AB532" s="128">
        <v>14.11</v>
      </c>
      <c r="AC532" s="2">
        <f t="shared" si="37"/>
        <v>14.11</v>
      </c>
      <c r="AD532" s="8">
        <v>2</v>
      </c>
      <c r="AE532" s="10">
        <f>IF(Table1[[#This Row],[P/750]]&lt;20,1,IF(Table1[[#This Row],[P/750]]&lt;50,2,3))</f>
        <v>1</v>
      </c>
      <c r="AF532" s="10">
        <f>IF(Table1[[#This Row],[P/750]]&lt;Expenses!$C$30,1,IF(Table1[[#This Row],[P/750]]&lt;Expenses!$C$31,2,IF(Table1[[#This Row],[P/750]]&lt;Expenses!$C$32,3,4)))</f>
        <v>1</v>
      </c>
      <c r="AH532" s="37" t="s">
        <v>384</v>
      </c>
      <c r="AI532" s="11">
        <f>Table1[[#This Row],[Price]]/Table1[[#This Row],[Size (ml)]]*750</f>
        <v>14.109999999999998</v>
      </c>
      <c r="AJ532">
        <v>92</v>
      </c>
      <c r="AK532" s="10">
        <f>COUNTIF(UniqueID!A:A,Table1[[#This Row],[ID]])</f>
        <v>0</v>
      </c>
      <c r="AL532" s="10" t="str">
        <f>VLOOKUP(Table1[[#This Row],[Cellar Location]],Location!A:F,6,FALSE)</f>
        <v>S</v>
      </c>
      <c r="AN532" s="1">
        <v>43986</v>
      </c>
      <c r="AO532" s="10" t="str">
        <f>TEXT(Table1[[#This Row],[Purchased]],"mmmm")</f>
        <v>June</v>
      </c>
      <c r="AP532" s="10" t="str">
        <f>TEXT(Table1[[#This Row],[Purchased]],"yyyy")</f>
        <v>2020</v>
      </c>
      <c r="AQ532" s="10"/>
    </row>
    <row r="533" spans="1:43" x14ac:dyDescent="0.25">
      <c r="A533" t="str">
        <f t="shared" si="36"/>
        <v>2012Chateau de VaudieuChateauneuf du Pape Amiral G</v>
      </c>
      <c r="B533" s="37">
        <v>2012</v>
      </c>
      <c r="C533" s="37" t="s">
        <v>331</v>
      </c>
      <c r="D533" s="37" t="s">
        <v>332</v>
      </c>
      <c r="E533" s="64" t="s">
        <v>284</v>
      </c>
      <c r="F533" s="37" t="s">
        <v>742</v>
      </c>
      <c r="G533" s="37" t="s">
        <v>759</v>
      </c>
      <c r="H533" s="9" t="s">
        <v>762</v>
      </c>
      <c r="I533" s="107">
        <v>1</v>
      </c>
      <c r="J533" s="37">
        <v>750</v>
      </c>
      <c r="K533" s="107" t="s">
        <v>653</v>
      </c>
      <c r="L533" s="37">
        <f>COUNTIF(Drank!A:A,Table1[[#This Row],[ID]])</f>
        <v>0</v>
      </c>
      <c r="M533" t="s">
        <v>202</v>
      </c>
      <c r="N533" t="s">
        <v>207</v>
      </c>
      <c r="O533">
        <v>1</v>
      </c>
      <c r="P533" s="37">
        <v>2015</v>
      </c>
      <c r="Q533">
        <v>2025</v>
      </c>
      <c r="R533" s="10" t="str">
        <f>IF(IFERROR(VLOOKUP(A533,Drank!A:S,15,FALSE),"")=0,"",IFERROR(VLOOKUP(A533,Drank!A:S,15,FALSE),""))</f>
        <v/>
      </c>
      <c r="S533" s="10" t="str">
        <f>IF(IFERROR(VLOOKUP(A533,Drank!A:S,16,FALSE),"")=0,"",IFERROR(VLOOKUP(A533,Drank!A:S,16,FALSE),""))</f>
        <v/>
      </c>
      <c r="T533" s="10"/>
      <c r="U533">
        <v>96</v>
      </c>
      <c r="V533" s="18" t="str">
        <f>IF(IFERROR(VLOOKUP(A533,Drank!A:T,19,FALSE),"")=0,"",IFERROR(VLOOKUP(A533,Drank!A:T,19,FALSE),""))</f>
        <v/>
      </c>
      <c r="W533" s="1" t="str">
        <f>IF(IFERROR(VLOOKUP(A533,Drank!A:T,20,FALSE),"")=0,"",IFERROR(VLOOKUP(A533,Drank!A:T,20,FALSE),""))</f>
        <v/>
      </c>
      <c r="X533" s="10">
        <f>SUMIF(A:A,A533,I:I)</f>
        <v>2</v>
      </c>
      <c r="Y533" s="37">
        <f>IF(Table1[[#This Row],[Drank]]&gt;0,VLOOKUP(Table1[[#This Row],[ID]],Drank!A:P,16,FALSE),IF(Table1[[#This Row],[WALDD]]&gt;0,VLOOKUP(Table1[[#This Row],[ID]],Wine1!A:Q,17,FALSE),Table1[[#This Row],[EP]]))</f>
        <v>2025</v>
      </c>
      <c r="Z533" s="18">
        <f>IF(Table1[[#This Row],[My Rating]]="",IF(Table1[[#This Row],[WA Rating Clean]]="","",Table1[[#This Row],[WA Rating Clean]]),Table1[[#This Row],[My Rating]])</f>
        <v>96</v>
      </c>
      <c r="AA533" s="6">
        <v>2024</v>
      </c>
      <c r="AB533" s="128">
        <v>65</v>
      </c>
      <c r="AC533" s="2">
        <f t="shared" si="37"/>
        <v>65</v>
      </c>
      <c r="AD533" s="8">
        <v>2</v>
      </c>
      <c r="AE533" s="37">
        <f>IF(Table1[[#This Row],[P/750]]&lt;20,1,IF(Table1[[#This Row],[P/750]]&lt;50,2,3))</f>
        <v>3</v>
      </c>
      <c r="AF533" s="37">
        <f>IF(Table1[[#This Row],[P/750]]&lt;Expenses!$C$30,1,IF(Table1[[#This Row],[P/750]]&lt;Expenses!$C$31,2,IF(Table1[[#This Row],[P/750]]&lt;Expenses!$C$32,3,4)))</f>
        <v>4</v>
      </c>
      <c r="AH533" s="37" t="s">
        <v>385</v>
      </c>
      <c r="AI533" s="11">
        <f>Table1[[#This Row],[Price]]/Table1[[#This Row],[Size (ml)]]*750</f>
        <v>65</v>
      </c>
      <c r="AJ533">
        <v>96</v>
      </c>
      <c r="AK533" s="37">
        <f>COUNTIF(UniqueID!A:A,Table1[[#This Row],[ID]])</f>
        <v>1</v>
      </c>
      <c r="AL533" s="37" t="str">
        <f>VLOOKUP(Table1[[#This Row],[Cellar Location]],Location!A:F,6,FALSE)</f>
        <v>S</v>
      </c>
      <c r="AN533" s="37"/>
      <c r="AO533" s="37" t="str">
        <f>TEXT(Table1[[#This Row],[Purchased]],"mmmm")</f>
        <v>January</v>
      </c>
      <c r="AP533" s="10" t="str">
        <f>TEXT(Table1[[#This Row],[Purchased]],"yyyy")</f>
        <v>1900</v>
      </c>
      <c r="AQ533" s="10"/>
    </row>
    <row r="534" spans="1:43" x14ac:dyDescent="0.25">
      <c r="A534" t="str">
        <f t="shared" si="36"/>
        <v>2016Diez-CaballeroVendimia Seleccionada</v>
      </c>
      <c r="B534" s="37">
        <v>2016</v>
      </c>
      <c r="C534" s="19" t="s">
        <v>1216</v>
      </c>
      <c r="D534" s="9" t="s">
        <v>303</v>
      </c>
      <c r="E534" s="67" t="s">
        <v>1220</v>
      </c>
      <c r="F534" s="37" t="s">
        <v>729</v>
      </c>
      <c r="G534" s="37" t="s">
        <v>823</v>
      </c>
      <c r="I534" s="107">
        <v>1</v>
      </c>
      <c r="J534" s="37">
        <v>750</v>
      </c>
      <c r="K534" s="107" t="s">
        <v>1314</v>
      </c>
      <c r="L534" s="37">
        <f>COUNTIF(Drank!A:A,Table1[[#This Row],[ID]])</f>
        <v>1</v>
      </c>
      <c r="M534" t="s">
        <v>202</v>
      </c>
      <c r="N534" t="s">
        <v>207</v>
      </c>
      <c r="O534">
        <v>1</v>
      </c>
      <c r="P534" s="37">
        <v>2019</v>
      </c>
      <c r="Q534">
        <v>2026</v>
      </c>
      <c r="R534" s="10">
        <f>IF(IFERROR(VLOOKUP(A534,Drank!A:S,15,FALSE),"")=0,"",IFERROR(VLOOKUP(A534,Drank!A:S,15,FALSE),""))</f>
        <v>2021</v>
      </c>
      <c r="S534" s="10">
        <f>IF(IFERROR(VLOOKUP(A534,Drank!A:S,16,FALSE),"")=0,"",IFERROR(VLOOKUP(A534,Drank!A:S,16,FALSE),""))</f>
        <v>2025</v>
      </c>
      <c r="T534" s="10"/>
      <c r="U534">
        <v>92</v>
      </c>
      <c r="V534" s="18">
        <f>IF(IFERROR(VLOOKUP(A534,Drank!A:T,19,FALSE),"")=0,"",IFERROR(VLOOKUP(A534,Drank!A:T,19,FALSE),""))</f>
        <v>90</v>
      </c>
      <c r="W534" s="1">
        <f>IF(IFERROR(VLOOKUP(A534,Drank!A:T,20,FALSE),"")=0,"",IFERROR(VLOOKUP(A534,Drank!A:T,20,FALSE),""))</f>
        <v>43883</v>
      </c>
      <c r="X534" s="10">
        <f>SUMIF(A:A,A534,I:I)</f>
        <v>7</v>
      </c>
      <c r="Y534" s="37">
        <f>IF(Table1[[#This Row],[Drank]]&gt;0,VLOOKUP(Table1[[#This Row],[ID]],Drank!A:P,16,FALSE),IF(Table1[[#This Row],[WALDD]]&gt;0,VLOOKUP(Table1[[#This Row],[ID]],Wine1!A:Q,17,FALSE),Table1[[#This Row],[EP]]))</f>
        <v>2025</v>
      </c>
      <c r="Z534" s="18">
        <f>IF(Table1[[#This Row],[My Rating]]="",IF(Table1[[#This Row],[WA Rating Clean]]="","",Table1[[#This Row],[WA Rating Clean]]),Table1[[#This Row],[My Rating]])</f>
        <v>90</v>
      </c>
      <c r="AA534" s="37">
        <v>2024</v>
      </c>
      <c r="AB534" s="128">
        <v>16.989999999999998</v>
      </c>
      <c r="AC534" s="2">
        <f t="shared" si="37"/>
        <v>16.989999999999998</v>
      </c>
      <c r="AD534" s="8">
        <v>2</v>
      </c>
      <c r="AE534" s="8">
        <f>IF(Table1[[#This Row],[P/750]]&lt;20,1,IF(Table1[[#This Row],[P/750]]&lt;50,2,3))</f>
        <v>1</v>
      </c>
      <c r="AF534" s="8">
        <f>IF(Table1[[#This Row],[P/750]]&lt;Expenses!$C$30,1,IF(Table1[[#This Row],[P/750]]&lt;Expenses!$C$31,2,IF(Table1[[#This Row],[P/750]]&lt;Expenses!$C$32,3,4)))</f>
        <v>2</v>
      </c>
      <c r="AH534" s="37" t="s">
        <v>384</v>
      </c>
      <c r="AI534" s="11">
        <f>Table1[[#This Row],[Price]]/Table1[[#This Row],[Size (ml)]]*750</f>
        <v>16.989999999999998</v>
      </c>
      <c r="AJ534">
        <v>92</v>
      </c>
      <c r="AK534" s="37">
        <f>COUNTIF(UniqueID!A:A,Table1[[#This Row],[ID]])</f>
        <v>1</v>
      </c>
      <c r="AL534" s="37" t="str">
        <f>VLOOKUP(Table1[[#This Row],[Cellar Location]],Location!A:F,6,FALSE)</f>
        <v>S</v>
      </c>
      <c r="AN534" s="1">
        <v>43873</v>
      </c>
      <c r="AO534" s="37" t="str">
        <f>TEXT(Table1[[#This Row],[Purchased]],"mmmm")</f>
        <v>February</v>
      </c>
      <c r="AP534" s="10" t="str">
        <f>TEXT(Table1[[#This Row],[Purchased]],"yyyy")</f>
        <v>2020</v>
      </c>
      <c r="AQ534" s="10"/>
    </row>
    <row r="535" spans="1:43" x14ac:dyDescent="0.25">
      <c r="A535" t="str">
        <f t="shared" si="36"/>
        <v>2017Domaine de l'AmandineCotes du Rhone Villages Seguret</v>
      </c>
      <c r="B535" s="8">
        <v>2017</v>
      </c>
      <c r="C535" s="37" t="s">
        <v>361</v>
      </c>
      <c r="D535" s="37" t="s">
        <v>362</v>
      </c>
      <c r="E535" s="37" t="s">
        <v>1197</v>
      </c>
      <c r="F535" s="37" t="s">
        <v>742</v>
      </c>
      <c r="G535" s="37" t="s">
        <v>759</v>
      </c>
      <c r="H535" s="37" t="s">
        <v>760</v>
      </c>
      <c r="I535" s="107">
        <v>1</v>
      </c>
      <c r="J535">
        <v>750</v>
      </c>
      <c r="K535" s="107" t="s">
        <v>654</v>
      </c>
      <c r="L535" s="10">
        <f>COUNTIF(Drank!A:A,Table1[[#This Row],[ID]])</f>
        <v>17</v>
      </c>
      <c r="M535" t="s">
        <v>202</v>
      </c>
      <c r="N535" t="s">
        <v>207</v>
      </c>
      <c r="O535">
        <v>1</v>
      </c>
      <c r="P535" s="37">
        <v>2018</v>
      </c>
      <c r="Q535">
        <v>2025</v>
      </c>
      <c r="R535" s="10">
        <f>IF(IFERROR(VLOOKUP(A535,Drank!A:S,15,FALSE),"")=0,"",IFERROR(VLOOKUP(A535,Drank!A:S,15,FALSE),""))</f>
        <v>2020</v>
      </c>
      <c r="S535" s="10">
        <f>IF(IFERROR(VLOOKUP(A535,Drank!A:S,16,FALSE),"")=0,"",IFERROR(VLOOKUP(A535,Drank!A:S,16,FALSE),""))</f>
        <v>2025</v>
      </c>
      <c r="T535" s="10"/>
      <c r="U535">
        <v>93</v>
      </c>
      <c r="V535" s="18">
        <f>IF(IFERROR(VLOOKUP(A535,Drank!A:T,19,FALSE),"")=0,"",IFERROR(VLOOKUP(A535,Drank!A:T,19,FALSE),""))</f>
        <v>92.470588235294116</v>
      </c>
      <c r="W535" s="1">
        <f>IF(IFERROR(VLOOKUP(A535,Drank!A:T,20,FALSE),"")=0,"",IFERROR(VLOOKUP(A535,Drank!A:T,20,FALSE),""))</f>
        <v>44030</v>
      </c>
      <c r="X535" s="10">
        <f>SUMIF(A:A,A535,I:I)</f>
        <v>20</v>
      </c>
      <c r="Y535" s="10">
        <f>IF(Table1[[#This Row],[Drank]]&gt;0,VLOOKUP(Table1[[#This Row],[ID]],Drank!A:P,16,FALSE),IF(Table1[[#This Row],[WALDD]]&gt;0,VLOOKUP(Table1[[#This Row],[ID]],Wine1!A:Q,17,FALSE),Table1[[#This Row],[EP]]))</f>
        <v>2025</v>
      </c>
      <c r="Z535" s="18">
        <f>IF(Table1[[#This Row],[My Rating]]="",IF(Table1[[#This Row],[WA Rating Clean]]="","",Table1[[#This Row],[WA Rating Clean]]),Table1[[#This Row],[My Rating]])</f>
        <v>92.470588235294116</v>
      </c>
      <c r="AA535" s="8">
        <v>2024</v>
      </c>
      <c r="AB535" s="128">
        <v>14.99</v>
      </c>
      <c r="AC535" s="2">
        <f t="shared" si="37"/>
        <v>14.99</v>
      </c>
      <c r="AD535" s="8">
        <v>2</v>
      </c>
      <c r="AE535" s="37">
        <f>IF(Table1[[#This Row],[P/750]]&lt;20,1,IF(Table1[[#This Row],[P/750]]&lt;50,2,3))</f>
        <v>1</v>
      </c>
      <c r="AF535" s="37">
        <f>IF(Table1[[#This Row],[P/750]]&lt;Expenses!$C$30,1,IF(Table1[[#This Row],[P/750]]&lt;Expenses!$C$31,2,IF(Table1[[#This Row],[P/750]]&lt;Expenses!$C$32,3,4)))</f>
        <v>1</v>
      </c>
      <c r="AH535" t="s">
        <v>384</v>
      </c>
      <c r="AI535" s="11">
        <f>Table1[[#This Row],[Price]]/Table1[[#This Row],[Size (ml)]]*750</f>
        <v>14.99</v>
      </c>
      <c r="AJ535">
        <v>93</v>
      </c>
      <c r="AK535" s="37">
        <f>COUNTIF(UniqueID!A:A,Table1[[#This Row],[ID]])</f>
        <v>1</v>
      </c>
      <c r="AL535" s="37" t="str">
        <f>VLOOKUP(Table1[[#This Row],[Cellar Location]],Location!A:F,6,FALSE)</f>
        <v>S</v>
      </c>
      <c r="AN535" s="1">
        <v>43806</v>
      </c>
      <c r="AO535" s="37" t="str">
        <f>TEXT(Table1[[#This Row],[Purchased]],"mmmm")</f>
        <v>December</v>
      </c>
      <c r="AP535" s="10" t="str">
        <f>TEXT(Table1[[#This Row],[Purchased]],"yyyy")</f>
        <v>2019</v>
      </c>
      <c r="AQ535" s="10"/>
    </row>
    <row r="536" spans="1:43" x14ac:dyDescent="0.25">
      <c r="A536" t="str">
        <f t="shared" si="36"/>
        <v>2017Domaine de l'AmandineCotes du Rhone Villages Seguret</v>
      </c>
      <c r="B536" s="8">
        <v>2017</v>
      </c>
      <c r="C536" s="37" t="s">
        <v>361</v>
      </c>
      <c r="D536" s="37" t="s">
        <v>362</v>
      </c>
      <c r="E536" s="37" t="s">
        <v>1197</v>
      </c>
      <c r="F536" s="37" t="s">
        <v>742</v>
      </c>
      <c r="G536" s="37" t="s">
        <v>759</v>
      </c>
      <c r="H536" s="37" t="s">
        <v>760</v>
      </c>
      <c r="I536" s="107">
        <v>1</v>
      </c>
      <c r="J536">
        <v>750</v>
      </c>
      <c r="K536" s="107" t="s">
        <v>626</v>
      </c>
      <c r="L536" s="10">
        <f>COUNTIF(Drank!A:A,Table1[[#This Row],[ID]])</f>
        <v>17</v>
      </c>
      <c r="M536" t="s">
        <v>202</v>
      </c>
      <c r="N536" t="s">
        <v>207</v>
      </c>
      <c r="O536">
        <v>1</v>
      </c>
      <c r="P536" s="37">
        <v>2018</v>
      </c>
      <c r="Q536">
        <v>2025</v>
      </c>
      <c r="R536" s="10">
        <f>IF(IFERROR(VLOOKUP(A536,Drank!A:S,15,FALSE),"")=0,"",IFERROR(VLOOKUP(A536,Drank!A:S,15,FALSE),""))</f>
        <v>2020</v>
      </c>
      <c r="S536" s="10">
        <f>IF(IFERROR(VLOOKUP(A536,Drank!A:S,16,FALSE),"")=0,"",IFERROR(VLOOKUP(A536,Drank!A:S,16,FALSE),""))</f>
        <v>2025</v>
      </c>
      <c r="T536" s="10"/>
      <c r="U536">
        <v>93</v>
      </c>
      <c r="V536" s="18">
        <f>IF(IFERROR(VLOOKUP(A536,Drank!A:T,19,FALSE),"")=0,"",IFERROR(VLOOKUP(A536,Drank!A:T,19,FALSE),""))</f>
        <v>92.470588235294116</v>
      </c>
      <c r="W536" s="1">
        <f>IF(IFERROR(VLOOKUP(A536,Drank!A:T,20,FALSE),"")=0,"",IFERROR(VLOOKUP(A536,Drank!A:T,20,FALSE),""))</f>
        <v>44030</v>
      </c>
      <c r="X536" s="10">
        <f>SUMIF(A:A,A536,I:I)</f>
        <v>20</v>
      </c>
      <c r="Y536" s="10">
        <f>IF(Table1[[#This Row],[Drank]]&gt;0,VLOOKUP(Table1[[#This Row],[ID]],Drank!A:P,16,FALSE),IF(Table1[[#This Row],[WALDD]]&gt;0,VLOOKUP(Table1[[#This Row],[ID]],Wine1!A:Q,17,FALSE),Table1[[#This Row],[EP]]))</f>
        <v>2025</v>
      </c>
      <c r="Z536" s="18">
        <f>IF(Table1[[#This Row],[My Rating]]="",IF(Table1[[#This Row],[WA Rating Clean]]="","",Table1[[#This Row],[WA Rating Clean]]),Table1[[#This Row],[My Rating]])</f>
        <v>92.470588235294116</v>
      </c>
      <c r="AA536" s="8">
        <v>2024</v>
      </c>
      <c r="AB536" s="128">
        <v>14.99</v>
      </c>
      <c r="AC536" s="2">
        <f t="shared" si="37"/>
        <v>14.99</v>
      </c>
      <c r="AD536" s="8">
        <v>2</v>
      </c>
      <c r="AE536" s="37">
        <f>IF(Table1[[#This Row],[P/750]]&lt;20,1,IF(Table1[[#This Row],[P/750]]&lt;50,2,3))</f>
        <v>1</v>
      </c>
      <c r="AF536" s="37">
        <f>IF(Table1[[#This Row],[P/750]]&lt;Expenses!$C$30,1,IF(Table1[[#This Row],[P/750]]&lt;Expenses!$C$31,2,IF(Table1[[#This Row],[P/750]]&lt;Expenses!$C$32,3,4)))</f>
        <v>1</v>
      </c>
      <c r="AH536" s="37" t="s">
        <v>384</v>
      </c>
      <c r="AI536" s="11">
        <f>Table1[[#This Row],[Price]]/Table1[[#This Row],[Size (ml)]]*750</f>
        <v>14.99</v>
      </c>
      <c r="AJ536">
        <v>93</v>
      </c>
      <c r="AK536" s="37">
        <f>COUNTIF(UniqueID!A:A,Table1[[#This Row],[ID]])</f>
        <v>1</v>
      </c>
      <c r="AL536" s="37" t="str">
        <f>VLOOKUP(Table1[[#This Row],[Cellar Location]],Location!A:F,6,FALSE)</f>
        <v>S</v>
      </c>
      <c r="AN536" s="1">
        <v>43806</v>
      </c>
      <c r="AO536" s="37" t="str">
        <f>TEXT(Table1[[#This Row],[Purchased]],"mmmm")</f>
        <v>December</v>
      </c>
      <c r="AP536" s="10" t="str">
        <f>TEXT(Table1[[#This Row],[Purchased]],"yyyy")</f>
        <v>2019</v>
      </c>
      <c r="AQ536" s="10"/>
    </row>
    <row r="537" spans="1:43" x14ac:dyDescent="0.25">
      <c r="A537" t="str">
        <f t="shared" si="36"/>
        <v>2017Domaine de l'AmandineCotes du Rhone Villages Seguret</v>
      </c>
      <c r="B537" s="8">
        <v>2017</v>
      </c>
      <c r="C537" s="9" t="s">
        <v>361</v>
      </c>
      <c r="D537" s="9" t="s">
        <v>362</v>
      </c>
      <c r="E537" s="37" t="s">
        <v>1197</v>
      </c>
      <c r="F537" s="37" t="s">
        <v>742</v>
      </c>
      <c r="G537" s="37" t="s">
        <v>759</v>
      </c>
      <c r="H537" s="37" t="s">
        <v>760</v>
      </c>
      <c r="I537" s="107">
        <v>1</v>
      </c>
      <c r="J537" s="37">
        <v>750</v>
      </c>
      <c r="K537" s="107" t="s">
        <v>626</v>
      </c>
      <c r="L537" s="10">
        <f>COUNTIF(Drank!A:A,Table1[[#This Row],[ID]])</f>
        <v>17</v>
      </c>
      <c r="M537" t="s">
        <v>202</v>
      </c>
      <c r="N537" t="s">
        <v>207</v>
      </c>
      <c r="O537">
        <v>1</v>
      </c>
      <c r="P537" s="37">
        <v>2018</v>
      </c>
      <c r="Q537">
        <v>2025</v>
      </c>
      <c r="R537" s="10">
        <f>IF(IFERROR(VLOOKUP(A537,Drank!A:S,15,FALSE),"")=0,"",IFERROR(VLOOKUP(A537,Drank!A:S,15,FALSE),""))</f>
        <v>2020</v>
      </c>
      <c r="S537" s="10">
        <f>IF(IFERROR(VLOOKUP(A537,Drank!A:S,16,FALSE),"")=0,"",IFERROR(VLOOKUP(A537,Drank!A:S,16,FALSE),""))</f>
        <v>2025</v>
      </c>
      <c r="T537" s="10"/>
      <c r="U537">
        <v>93</v>
      </c>
      <c r="V537" s="18">
        <f>IF(IFERROR(VLOOKUP(A537,Drank!A:T,19,FALSE),"")=0,"",IFERROR(VLOOKUP(A537,Drank!A:T,19,FALSE),""))</f>
        <v>92.470588235294116</v>
      </c>
      <c r="W537" s="1">
        <f>IF(IFERROR(VLOOKUP(A537,Drank!A:T,20,FALSE),"")=0,"",IFERROR(VLOOKUP(A537,Drank!A:T,20,FALSE),""))</f>
        <v>44030</v>
      </c>
      <c r="X537" s="10">
        <f>SUMIF(A:A,A537,I:I)</f>
        <v>20</v>
      </c>
      <c r="Y537" s="10">
        <f>IF(Table1[[#This Row],[Drank]]&gt;0,VLOOKUP(Table1[[#This Row],[ID]],Drank!A:P,16,FALSE),IF(Table1[[#This Row],[WALDD]]&gt;0,VLOOKUP(Table1[[#This Row],[ID]],Wine1!A:Q,17,FALSE),Table1[[#This Row],[EP]]))</f>
        <v>2025</v>
      </c>
      <c r="Z537" s="18">
        <f>IF(Table1[[#This Row],[My Rating]]="",IF(Table1[[#This Row],[WA Rating Clean]]="","",Table1[[#This Row],[WA Rating Clean]]),Table1[[#This Row],[My Rating]])</f>
        <v>92.470588235294116</v>
      </c>
      <c r="AA537" s="8">
        <v>2024</v>
      </c>
      <c r="AB537" s="128">
        <v>14.99</v>
      </c>
      <c r="AC537" s="2">
        <f t="shared" si="37"/>
        <v>14.99</v>
      </c>
      <c r="AD537" s="8">
        <v>2</v>
      </c>
      <c r="AE537" s="37">
        <f>IF(Table1[[#This Row],[P/750]]&lt;20,1,IF(Table1[[#This Row],[P/750]]&lt;50,2,3))</f>
        <v>1</v>
      </c>
      <c r="AF537" s="37">
        <f>IF(Table1[[#This Row],[P/750]]&lt;Expenses!$C$30,1,IF(Table1[[#This Row],[P/750]]&lt;Expenses!$C$31,2,IF(Table1[[#This Row],[P/750]]&lt;Expenses!$C$32,3,4)))</f>
        <v>1</v>
      </c>
      <c r="AH537" s="37" t="s">
        <v>384</v>
      </c>
      <c r="AI537" s="11">
        <f>Table1[[#This Row],[Price]]/Table1[[#This Row],[Size (ml)]]*750</f>
        <v>14.99</v>
      </c>
      <c r="AJ537" s="37">
        <v>93</v>
      </c>
      <c r="AK537" s="37">
        <f>COUNTIF(UniqueID!A:A,Table1[[#This Row],[ID]])</f>
        <v>1</v>
      </c>
      <c r="AL537" s="37" t="str">
        <f>VLOOKUP(Table1[[#This Row],[Cellar Location]],Location!A:F,6,FALSE)</f>
        <v>S</v>
      </c>
      <c r="AN537" s="1">
        <v>43806</v>
      </c>
      <c r="AO537" s="37" t="str">
        <f>TEXT(Table1[[#This Row],[Purchased]],"mmmm")</f>
        <v>December</v>
      </c>
      <c r="AP537" s="10" t="str">
        <f>TEXT(Table1[[#This Row],[Purchased]],"yyyy")</f>
        <v>2019</v>
      </c>
      <c r="AQ537" s="10"/>
    </row>
    <row r="538" spans="1:43" x14ac:dyDescent="0.25">
      <c r="A538" t="str">
        <f t="shared" si="36"/>
        <v>2015Domaine LafageBastide Miraflors Vieilles Vignes</v>
      </c>
      <c r="B538" s="37">
        <v>2015</v>
      </c>
      <c r="C538" s="37" t="s">
        <v>671</v>
      </c>
      <c r="D538" s="37" t="s">
        <v>672</v>
      </c>
      <c r="E538" s="67" t="s">
        <v>1172</v>
      </c>
      <c r="F538" s="37" t="s">
        <v>742</v>
      </c>
      <c r="G538" s="37" t="s">
        <v>766</v>
      </c>
      <c r="H538" s="37" t="s">
        <v>767</v>
      </c>
      <c r="I538" s="107">
        <v>1</v>
      </c>
      <c r="J538" s="37">
        <v>750</v>
      </c>
      <c r="K538" s="107" t="s">
        <v>716</v>
      </c>
      <c r="L538" s="10">
        <f>COUNTIF(Drank!A:A,Table1[[#This Row],[ID]])</f>
        <v>3</v>
      </c>
      <c r="M538" t="s">
        <v>202</v>
      </c>
      <c r="N538" t="s">
        <v>207</v>
      </c>
      <c r="O538">
        <v>1</v>
      </c>
      <c r="P538" s="10">
        <v>2017</v>
      </c>
      <c r="Q538">
        <v>2021</v>
      </c>
      <c r="R538" s="10">
        <f>IF(IFERROR(VLOOKUP(A538,Drank!A:S,15,FALSE),"")=0,"",IFERROR(VLOOKUP(A538,Drank!A:S,15,FALSE),""))</f>
        <v>2020</v>
      </c>
      <c r="S538" s="10">
        <f>IF(IFERROR(VLOOKUP(A538,Drank!A:S,16,FALSE),"")=0,"",IFERROR(VLOOKUP(A538,Drank!A:S,16,FALSE),""))</f>
        <v>2025</v>
      </c>
      <c r="T538" s="10"/>
      <c r="U538">
        <v>94</v>
      </c>
      <c r="V538" s="18">
        <f>IF(IFERROR(VLOOKUP(A538,Drank!A:T,19,FALSE),"")=0,"",IFERROR(VLOOKUP(A538,Drank!A:T,19,FALSE),""))</f>
        <v>91.333333333333329</v>
      </c>
      <c r="W538" s="1">
        <f>IF(IFERROR(VLOOKUP(A538,Drank!A:T,20,FALSE),"")=0,"",IFERROR(VLOOKUP(A538,Drank!A:T,20,FALSE),""))</f>
        <v>43966</v>
      </c>
      <c r="X538" s="10">
        <f>SUMIF(A:A,A538,I:I)</f>
        <v>8</v>
      </c>
      <c r="Y538" s="10">
        <f>IF(Table1[[#This Row],[Drank]]&gt;0,VLOOKUP(Table1[[#This Row],[ID]],Drank!A:P,16,FALSE),IF(Table1[[#This Row],[WALDD]]&gt;0,VLOOKUP(Table1[[#This Row],[ID]],Wine1!A:Q,17,FALSE),Table1[[#This Row],[EP]]))</f>
        <v>2025</v>
      </c>
      <c r="Z538" s="18">
        <f>IF(Table1[[#This Row],[My Rating]]="",IF(Table1[[#This Row],[WA Rating Clean]]="","",Table1[[#This Row],[WA Rating Clean]]),Table1[[#This Row],[My Rating]])</f>
        <v>91.333333333333329</v>
      </c>
      <c r="AA538" s="37">
        <v>2024</v>
      </c>
      <c r="AB538" s="128">
        <v>14.99</v>
      </c>
      <c r="AC538" s="2">
        <f t="shared" si="37"/>
        <v>14.99</v>
      </c>
      <c r="AD538" s="8">
        <v>2</v>
      </c>
      <c r="AE538" s="10">
        <f>IF(Table1[[#This Row],[P/750]]&lt;20,1,IF(Table1[[#This Row],[P/750]]&lt;50,2,3))</f>
        <v>1</v>
      </c>
      <c r="AF538" s="10">
        <f>IF(Table1[[#This Row],[P/750]]&lt;Expenses!$C$30,1,IF(Table1[[#This Row],[P/750]]&lt;Expenses!$C$31,2,IF(Table1[[#This Row],[P/750]]&lt;Expenses!$C$32,3,4)))</f>
        <v>1</v>
      </c>
      <c r="AH538" s="37" t="s">
        <v>674</v>
      </c>
      <c r="AI538" s="11">
        <f>Table1[[#This Row],[Price]]/Table1[[#This Row],[Size (ml)]]*750</f>
        <v>14.99</v>
      </c>
      <c r="AJ538">
        <v>94</v>
      </c>
      <c r="AK538" s="37">
        <f>COUNTIF(UniqueID!A:A,Table1[[#This Row],[ID]])</f>
        <v>1</v>
      </c>
      <c r="AL538" s="37" t="str">
        <f>VLOOKUP(Table1[[#This Row],[Cellar Location]],Location!A:F,6,FALSE)</f>
        <v>S</v>
      </c>
      <c r="AN538" s="37"/>
      <c r="AO538" s="37" t="str">
        <f>TEXT(Table1[[#This Row],[Purchased]],"mmmm")</f>
        <v>January</v>
      </c>
      <c r="AP538" s="10" t="str">
        <f>TEXT(Table1[[#This Row],[Purchased]],"yyyy")</f>
        <v>1900</v>
      </c>
      <c r="AQ538" s="10"/>
    </row>
    <row r="539" spans="1:43" s="37" customFormat="1" x14ac:dyDescent="0.25">
      <c r="A539" s="37" t="str">
        <f t="shared" si="36"/>
        <v>2005EscuderoArvum</v>
      </c>
      <c r="B539" s="37">
        <v>2005</v>
      </c>
      <c r="C539" s="37" t="s">
        <v>217</v>
      </c>
      <c r="D539" s="37" t="s">
        <v>218</v>
      </c>
      <c r="E539" s="64" t="s">
        <v>277</v>
      </c>
      <c r="F539" s="37" t="s">
        <v>729</v>
      </c>
      <c r="G539" s="37" t="s">
        <v>823</v>
      </c>
      <c r="I539" s="107">
        <v>1</v>
      </c>
      <c r="J539" s="37">
        <v>750</v>
      </c>
      <c r="K539" s="107" t="s">
        <v>653</v>
      </c>
      <c r="L539" s="37">
        <f>COUNTIF(Drank!A:A,Table1[[#This Row],[ID]])</f>
        <v>1</v>
      </c>
      <c r="M539" s="37" t="s">
        <v>202</v>
      </c>
      <c r="N539" s="37" t="s">
        <v>207</v>
      </c>
      <c r="O539" s="37">
        <v>1</v>
      </c>
      <c r="P539" s="37">
        <v>2014</v>
      </c>
      <c r="Q539" s="37">
        <v>2025</v>
      </c>
      <c r="R539" s="37">
        <f>IF(IFERROR(VLOOKUP(A539,Drank!A:S,15,FALSE),"")=0,"",IFERROR(VLOOKUP(A539,Drank!A:S,15,FALSE),""))</f>
        <v>2021</v>
      </c>
      <c r="S539" s="37">
        <f>IF(IFERROR(VLOOKUP(A539,Drank!A:S,16,FALSE),"")=0,"",IFERROR(VLOOKUP(A539,Drank!A:S,16,FALSE),""))</f>
        <v>2025</v>
      </c>
      <c r="U539" s="37" t="s">
        <v>74</v>
      </c>
      <c r="V539" s="18">
        <f>IF(IFERROR(VLOOKUP(A539,Drank!A:T,19,FALSE),"")=0,"",IFERROR(VLOOKUP(A539,Drank!A:T,19,FALSE),""))</f>
        <v>93</v>
      </c>
      <c r="W539" s="1">
        <f>IF(IFERROR(VLOOKUP(A539,Drank!A:T,20,FALSE),"")=0,"",IFERROR(VLOOKUP(A539,Drank!A:T,20,FALSE),""))</f>
        <v>43569</v>
      </c>
      <c r="X539" s="37">
        <f>SUMIF(A:A,A539,I:I)</f>
        <v>2</v>
      </c>
      <c r="Y539" s="37">
        <f>IF(Table1[[#This Row],[Drank]]&gt;0,VLOOKUP(Table1[[#This Row],[ID]],Drank!A:P,16,FALSE),IF(Table1[[#This Row],[WALDD]]&gt;0,VLOOKUP(Table1[[#This Row],[ID]],Wine1!A:Q,17,FALSE),Table1[[#This Row],[EP]]))</f>
        <v>2025</v>
      </c>
      <c r="Z539" s="18">
        <f>IF(Table1[[#This Row],[My Rating]]="",IF(Table1[[#This Row],[WA Rating Clean]]="","",Table1[[#This Row],[WA Rating Clean]]),Table1[[#This Row],[My Rating]])</f>
        <v>93</v>
      </c>
      <c r="AA539" s="37">
        <v>2024</v>
      </c>
      <c r="AB539" s="128">
        <v>27.99</v>
      </c>
      <c r="AC539" s="2">
        <f t="shared" si="37"/>
        <v>27.99</v>
      </c>
      <c r="AD539" s="8">
        <v>2</v>
      </c>
      <c r="AE539" s="37">
        <f>IF(Table1[[#This Row],[P/750]]&lt;20,1,IF(Table1[[#This Row],[P/750]]&lt;50,2,3))</f>
        <v>2</v>
      </c>
      <c r="AF539" s="37">
        <f>IF(Table1[[#This Row],[P/750]]&lt;Expenses!$C$30,1,IF(Table1[[#This Row],[P/750]]&lt;Expenses!$C$31,2,IF(Table1[[#This Row],[P/750]]&lt;Expenses!$C$32,3,4)))</f>
        <v>2</v>
      </c>
      <c r="AH539" s="37" t="s">
        <v>384</v>
      </c>
      <c r="AI539" s="11">
        <f>Table1[[#This Row],[Price]]/Table1[[#This Row],[Size (ml)]]*750</f>
        <v>27.99</v>
      </c>
      <c r="AJ539" s="37">
        <v>93</v>
      </c>
      <c r="AK539" s="37">
        <f>COUNTIF(UniqueID!A:A,Table1[[#This Row],[ID]])</f>
        <v>1</v>
      </c>
      <c r="AL539" s="37" t="str">
        <f>VLOOKUP(Table1[[#This Row],[Cellar Location]],Location!A:F,6,FALSE)</f>
        <v>S</v>
      </c>
      <c r="AO539" s="37" t="str">
        <f>TEXT(Table1[[#This Row],[Purchased]],"mmmm")</f>
        <v>January</v>
      </c>
      <c r="AP539" s="10" t="str">
        <f>TEXT(Table1[[#This Row],[Purchased]],"yyyy")</f>
        <v>1900</v>
      </c>
      <c r="AQ539" s="10"/>
    </row>
    <row r="540" spans="1:43" x14ac:dyDescent="0.25">
      <c r="A540" t="str">
        <f t="shared" si="36"/>
        <v>2010MasiAmarone della Valpolicella Classico Costasera</v>
      </c>
      <c r="B540" s="37">
        <v>2010</v>
      </c>
      <c r="C540" s="9" t="s">
        <v>37</v>
      </c>
      <c r="D540" s="9" t="s">
        <v>53</v>
      </c>
      <c r="E540" s="64" t="s">
        <v>313</v>
      </c>
      <c r="F540" s="37" t="s">
        <v>728</v>
      </c>
      <c r="G540" s="37" t="s">
        <v>799</v>
      </c>
      <c r="H540" s="37" t="s">
        <v>800</v>
      </c>
      <c r="I540" s="37">
        <v>1</v>
      </c>
      <c r="J540">
        <v>750</v>
      </c>
      <c r="K540" s="8" t="s">
        <v>11</v>
      </c>
      <c r="L540" s="37">
        <f>COUNTIF(Drank!A:A,Table1[[#This Row],[ID]])</f>
        <v>0</v>
      </c>
      <c r="M540" t="s">
        <v>202</v>
      </c>
      <c r="N540" t="s">
        <v>207</v>
      </c>
      <c r="O540">
        <v>1</v>
      </c>
      <c r="P540" s="37">
        <v>2015</v>
      </c>
      <c r="Q540">
        <v>2025</v>
      </c>
      <c r="R540" s="37" t="str">
        <f>IF(IFERROR(VLOOKUP(A540,Drank!A:S,15,FALSE),"")=0,"",IFERROR(VLOOKUP(A540,Drank!A:S,15,FALSE),""))</f>
        <v/>
      </c>
      <c r="S540" s="37" t="str">
        <f>IF(IFERROR(VLOOKUP(A540,Drank!A:S,16,FALSE),"")=0,"",IFERROR(VLOOKUP(A540,Drank!A:S,16,FALSE),""))</f>
        <v/>
      </c>
      <c r="T540" s="10"/>
      <c r="U540">
        <v>91</v>
      </c>
      <c r="V540" s="18" t="str">
        <f>IF(IFERROR(VLOOKUP(A540,Drank!A:T,19,FALSE),"")=0,"",IFERROR(VLOOKUP(A540,Drank!A:T,19,FALSE),""))</f>
        <v/>
      </c>
      <c r="W540" s="1" t="str">
        <f>IF(IFERROR(VLOOKUP(A540,Drank!A:T,20,FALSE),"")=0,"",IFERROR(VLOOKUP(A540,Drank!A:T,20,FALSE),""))</f>
        <v/>
      </c>
      <c r="X540" s="37">
        <f>SUMIF(A:A,A540,I:I)</f>
        <v>1</v>
      </c>
      <c r="Y540" s="37">
        <f>IF(Table1[[#This Row],[Drank]]&gt;0,VLOOKUP(Table1[[#This Row],[ID]],Drank!A:P,16,FALSE),IF(Table1[[#This Row],[WALDD]]&gt;0,VLOOKUP(Table1[[#This Row],[ID]],Wine1!A:Q,17,FALSE),Table1[[#This Row],[EP]]))</f>
        <v>2025</v>
      </c>
      <c r="Z540" s="18">
        <f>IF(Table1[[#This Row],[My Rating]]="",IF(Table1[[#This Row],[WA Rating Clean]]="","",Table1[[#This Row],[WA Rating Clean]]),Table1[[#This Row],[My Rating]])</f>
        <v>91</v>
      </c>
      <c r="AA540" s="37">
        <v>2024</v>
      </c>
      <c r="AB540" s="134">
        <v>53</v>
      </c>
      <c r="AC540" s="2">
        <f t="shared" si="37"/>
        <v>53</v>
      </c>
      <c r="AD540" s="8">
        <v>0</v>
      </c>
      <c r="AE540" s="37">
        <f>IF(Table1[[#This Row],[P/750]]&lt;20,1,IF(Table1[[#This Row],[P/750]]&lt;50,2,3))</f>
        <v>3</v>
      </c>
      <c r="AF540" s="37">
        <f>IF(Table1[[#This Row],[P/750]]&lt;Expenses!$C$30,1,IF(Table1[[#This Row],[P/750]]&lt;Expenses!$C$31,2,IF(Table1[[#This Row],[P/750]]&lt;Expenses!$C$32,3,4)))</f>
        <v>3</v>
      </c>
      <c r="AH540" t="s">
        <v>1142</v>
      </c>
      <c r="AI540" s="11">
        <f>Table1[[#This Row],[Price]]/Table1[[#This Row],[Size (ml)]]*750</f>
        <v>53</v>
      </c>
      <c r="AJ540">
        <v>91</v>
      </c>
      <c r="AK540" s="37">
        <f>COUNTIF(UniqueID!A:A,Table1[[#This Row],[ID]])</f>
        <v>1</v>
      </c>
      <c r="AL540" s="37" t="str">
        <f>VLOOKUP(Table1[[#This Row],[Cellar Location]],Location!A:F,6,FALSE)</f>
        <v>K</v>
      </c>
      <c r="AN540" s="37"/>
      <c r="AO540" s="37" t="str">
        <f>TEXT(Table1[[#This Row],[Purchased]],"mmmm")</f>
        <v>January</v>
      </c>
      <c r="AP540" s="10" t="str">
        <f>TEXT(Table1[[#This Row],[Purchased]],"yyyy")</f>
        <v>1900</v>
      </c>
      <c r="AQ540" s="10"/>
    </row>
    <row r="541" spans="1:43" x14ac:dyDescent="0.25">
      <c r="A541" t="str">
        <f t="shared" ref="A541:A604" si="38">CONCATENATE(B541,C541,D541)</f>
        <v>2004TalentiBrunello di Montalcino Pian di Conte</v>
      </c>
      <c r="B541" s="37">
        <v>2004</v>
      </c>
      <c r="C541" s="37" t="s">
        <v>410</v>
      </c>
      <c r="D541" s="37" t="s">
        <v>1122</v>
      </c>
      <c r="E541" s="64" t="s">
        <v>280</v>
      </c>
      <c r="F541" s="37" t="s">
        <v>728</v>
      </c>
      <c r="G541" s="37" t="s">
        <v>790</v>
      </c>
      <c r="H541" s="37" t="s">
        <v>19</v>
      </c>
      <c r="I541" s="107">
        <v>1</v>
      </c>
      <c r="J541">
        <v>750</v>
      </c>
      <c r="K541" s="107" t="s">
        <v>1150</v>
      </c>
      <c r="L541" s="10">
        <f>COUNTIF(Drank!A:A,Table1[[#This Row],[ID]])</f>
        <v>1</v>
      </c>
      <c r="M541" t="s">
        <v>202</v>
      </c>
      <c r="N541" t="s">
        <v>207</v>
      </c>
      <c r="O541">
        <v>1</v>
      </c>
      <c r="P541" s="10">
        <v>2012</v>
      </c>
      <c r="Q541">
        <v>2024</v>
      </c>
      <c r="R541" s="10">
        <f>IF(IFERROR(VLOOKUP(A541,Drank!A:S,15,FALSE),"")=0,"",IFERROR(VLOOKUP(A541,Drank!A:S,15,FALSE),""))</f>
        <v>2025</v>
      </c>
      <c r="S541" s="10">
        <f>IF(IFERROR(VLOOKUP(A541,Drank!A:S,16,FALSE),"")=0,"",IFERROR(VLOOKUP(A541,Drank!A:S,16,FALSE),""))</f>
        <v>2025</v>
      </c>
      <c r="T541" s="10"/>
      <c r="U541">
        <v>94</v>
      </c>
      <c r="V541" s="18">
        <f>IF(IFERROR(VLOOKUP(A541,Drank!A:T,19,FALSE),"")=0,"",IFERROR(VLOOKUP(A541,Drank!A:T,19,FALSE),""))</f>
        <v>95</v>
      </c>
      <c r="W541" s="1">
        <f>IF(IFERROR(VLOOKUP(A541,Drank!A:T,20,FALSE),"")=0,"",IFERROR(VLOOKUP(A541,Drank!A:T,20,FALSE),""))</f>
        <v>43940</v>
      </c>
      <c r="X541" s="10">
        <f>SUMIF(A:A,A541,I:I)</f>
        <v>1</v>
      </c>
      <c r="Y541" s="10">
        <f>IF(Table1[[#This Row],[Drank]]&gt;0,VLOOKUP(Table1[[#This Row],[ID]],Drank!A:P,16,FALSE),IF(Table1[[#This Row],[WALDD]]&gt;0,VLOOKUP(Table1[[#This Row],[ID]],Wine1!A:Q,17,FALSE),Table1[[#This Row],[EP]]))</f>
        <v>2025</v>
      </c>
      <c r="Z541" s="18">
        <f>IF(Table1[[#This Row],[My Rating]]="",IF(Table1[[#This Row],[WA Rating Clean]]="","",Table1[[#This Row],[WA Rating Clean]]),Table1[[#This Row],[My Rating]])</f>
        <v>95</v>
      </c>
      <c r="AA541" s="6">
        <v>2024</v>
      </c>
      <c r="AB541" s="128">
        <v>79.989999999999995</v>
      </c>
      <c r="AC541" s="2">
        <f t="shared" ref="AC541:AC604" si="39">AB541*I541</f>
        <v>79.989999999999995</v>
      </c>
      <c r="AD541" s="8">
        <v>2</v>
      </c>
      <c r="AE541" s="10">
        <f>IF(Table1[[#This Row],[P/750]]&lt;20,1,IF(Table1[[#This Row],[P/750]]&lt;50,2,3))</f>
        <v>3</v>
      </c>
      <c r="AF541" s="10">
        <f>IF(Table1[[#This Row],[P/750]]&lt;Expenses!$C$30,1,IF(Table1[[#This Row],[P/750]]&lt;Expenses!$C$31,2,IF(Table1[[#This Row],[P/750]]&lt;Expenses!$C$32,3,4)))</f>
        <v>4</v>
      </c>
      <c r="AH541" s="37" t="s">
        <v>415</v>
      </c>
      <c r="AI541" s="11">
        <f>Table1[[#This Row],[Price]]/Table1[[#This Row],[Size (ml)]]*750</f>
        <v>79.989999999999995</v>
      </c>
      <c r="AJ541">
        <v>94</v>
      </c>
      <c r="AK541" s="10">
        <f>COUNTIF(UniqueID!A:A,Table1[[#This Row],[ID]])</f>
        <v>1</v>
      </c>
      <c r="AL541" s="10" t="str">
        <f>VLOOKUP(Table1[[#This Row],[Cellar Location]],Location!A:F,6,FALSE)</f>
        <v>S</v>
      </c>
      <c r="AN541" s="1">
        <v>43832</v>
      </c>
      <c r="AO541" s="37" t="str">
        <f>TEXT(Table1[[#This Row],[Purchased]],"mmmm")</f>
        <v>January</v>
      </c>
      <c r="AP541" s="10" t="str">
        <f>TEXT(Table1[[#This Row],[Purchased]],"yyyy")</f>
        <v>2020</v>
      </c>
      <c r="AQ541" s="10"/>
    </row>
    <row r="542" spans="1:43" s="37" customFormat="1" x14ac:dyDescent="0.25">
      <c r="A542" s="37" t="str">
        <f t="shared" si="38"/>
        <v>2017SichelSichel</v>
      </c>
      <c r="B542" s="8">
        <v>2017</v>
      </c>
      <c r="C542" s="37" t="s">
        <v>409</v>
      </c>
      <c r="D542" s="37" t="s">
        <v>409</v>
      </c>
      <c r="E542" s="37" t="s">
        <v>1200</v>
      </c>
      <c r="F542" s="37" t="s">
        <v>742</v>
      </c>
      <c r="G542" s="37" t="s">
        <v>748</v>
      </c>
      <c r="H542" s="37" t="s">
        <v>260</v>
      </c>
      <c r="I542" s="107">
        <v>1</v>
      </c>
      <c r="J542" s="37">
        <v>375</v>
      </c>
      <c r="K542" s="107" t="s">
        <v>1504</v>
      </c>
      <c r="L542" s="37">
        <f>COUNTIF(Drank!A:A,Table1[[#This Row],[ID]])</f>
        <v>10</v>
      </c>
      <c r="M542" s="37" t="s">
        <v>201</v>
      </c>
      <c r="N542" s="37" t="s">
        <v>206</v>
      </c>
      <c r="O542" s="37">
        <v>1</v>
      </c>
      <c r="R542" s="10">
        <f>IF(IFERROR(VLOOKUP(A542,Drank!A:S,15,FALSE),"")=0,"",IFERROR(VLOOKUP(A542,Drank!A:S,15,FALSE),""))</f>
        <v>2020</v>
      </c>
      <c r="S542" s="10">
        <f>IF(IFERROR(VLOOKUP(A542,Drank!A:S,16,FALSE),"")=0,"",IFERROR(VLOOKUP(A542,Drank!A:S,16,FALSE),""))</f>
        <v>2025</v>
      </c>
      <c r="T542" s="10"/>
      <c r="V542" s="18">
        <f>IF(IFERROR(VLOOKUP(A542,Drank!A:T,19,FALSE),"")=0,"",IFERROR(VLOOKUP(A542,Drank!A:T,19,FALSE),""))</f>
        <v>89.7</v>
      </c>
      <c r="W542" s="1">
        <f>IF(IFERROR(VLOOKUP(A542,Drank!A:T,20,FALSE),"")=0,"",IFERROR(VLOOKUP(A542,Drank!A:T,20,FALSE),""))</f>
        <v>44002</v>
      </c>
      <c r="X542" s="10">
        <f>SUMIF(A:A,A542,I:I)</f>
        <v>20</v>
      </c>
      <c r="Y542" s="37">
        <f>IF(Table1[[#This Row],[Drank]]&gt;0,VLOOKUP(Table1[[#This Row],[ID]],Drank!A:P,16,FALSE),IF(Table1[[#This Row],[WALDD]]&gt;0,VLOOKUP(Table1[[#This Row],[ID]],Wine1!A:Q,17,FALSE),Table1[[#This Row],[EP]]))</f>
        <v>2025</v>
      </c>
      <c r="Z542" s="18">
        <f>IF(Table1[[#This Row],[My Rating]]="",IF(Table1[[#This Row],[WA Rating Clean]]="","",Table1[[#This Row],[WA Rating Clean]]),Table1[[#This Row],[My Rating]])</f>
        <v>89.7</v>
      </c>
      <c r="AA542" s="37">
        <v>2024</v>
      </c>
      <c r="AB542" s="128">
        <v>12</v>
      </c>
      <c r="AC542" s="2">
        <f t="shared" si="39"/>
        <v>12</v>
      </c>
      <c r="AD542" s="8">
        <v>2</v>
      </c>
      <c r="AE542" s="37">
        <f>IF(Table1[[#This Row],[P/750]]&lt;20,1,IF(Table1[[#This Row],[P/750]]&lt;50,2,3))</f>
        <v>2</v>
      </c>
      <c r="AF542" s="37">
        <f>IF(Table1[[#This Row],[P/750]]&lt;Expenses!$C$30,1,IF(Table1[[#This Row],[P/750]]&lt;Expenses!$C$31,2,IF(Table1[[#This Row],[P/750]]&lt;Expenses!$C$32,3,4)))</f>
        <v>2</v>
      </c>
      <c r="AH542" s="37" t="s">
        <v>385</v>
      </c>
      <c r="AI542" s="11">
        <f>Table1[[#This Row],[Price]]/Table1[[#This Row],[Size (ml)]]*750</f>
        <v>24</v>
      </c>
      <c r="AK542" s="37">
        <f>COUNTIF(UniqueID!A:A,Table1[[#This Row],[ID]])</f>
        <v>1</v>
      </c>
      <c r="AL542" s="37" t="str">
        <f>VLOOKUP(Table1[[#This Row],[Cellar Location]],Location!A:F,6,FALSE)</f>
        <v>S</v>
      </c>
      <c r="AN542" s="1">
        <v>43845</v>
      </c>
      <c r="AO542" s="37" t="str">
        <f>TEXT(Table1[[#This Row],[Purchased]],"mmmm")</f>
        <v>January</v>
      </c>
      <c r="AP542" s="10" t="str">
        <f>TEXT(Table1[[#This Row],[Purchased]],"yyyy")</f>
        <v>2020</v>
      </c>
      <c r="AQ542" s="10"/>
    </row>
    <row r="543" spans="1:43" s="37" customFormat="1" x14ac:dyDescent="0.25">
      <c r="A543" s="37" t="str">
        <f t="shared" si="38"/>
        <v>2017SichelSichel</v>
      </c>
      <c r="B543" s="8">
        <v>2017</v>
      </c>
      <c r="C543" s="37" t="s">
        <v>409</v>
      </c>
      <c r="D543" s="37" t="s">
        <v>409</v>
      </c>
      <c r="E543" s="37" t="s">
        <v>1200</v>
      </c>
      <c r="F543" s="37" t="s">
        <v>742</v>
      </c>
      <c r="G543" s="37" t="s">
        <v>748</v>
      </c>
      <c r="H543" s="37" t="s">
        <v>260</v>
      </c>
      <c r="I543" s="107">
        <v>1</v>
      </c>
      <c r="J543" s="37">
        <v>375</v>
      </c>
      <c r="K543" s="107" t="s">
        <v>1504</v>
      </c>
      <c r="L543" s="37">
        <f>COUNTIF(Drank!A:A,Table1[[#This Row],[ID]])</f>
        <v>10</v>
      </c>
      <c r="M543" s="37" t="s">
        <v>201</v>
      </c>
      <c r="N543" s="37" t="s">
        <v>206</v>
      </c>
      <c r="O543" s="37">
        <v>1</v>
      </c>
      <c r="R543" s="10">
        <f>IF(IFERROR(VLOOKUP(A543,Drank!A:S,15,FALSE),"")=0,"",IFERROR(VLOOKUP(A543,Drank!A:S,15,FALSE),""))</f>
        <v>2020</v>
      </c>
      <c r="S543" s="10">
        <f>IF(IFERROR(VLOOKUP(A543,Drank!A:S,16,FALSE),"")=0,"",IFERROR(VLOOKUP(A543,Drank!A:S,16,FALSE),""))</f>
        <v>2025</v>
      </c>
      <c r="T543" s="10"/>
      <c r="V543" s="18">
        <f>IF(IFERROR(VLOOKUP(A543,Drank!A:T,19,FALSE),"")=0,"",IFERROR(VLOOKUP(A543,Drank!A:T,19,FALSE),""))</f>
        <v>89.7</v>
      </c>
      <c r="W543" s="1">
        <f>IF(IFERROR(VLOOKUP(A543,Drank!A:T,20,FALSE),"")=0,"",IFERROR(VLOOKUP(A543,Drank!A:T,20,FALSE),""))</f>
        <v>44002</v>
      </c>
      <c r="X543" s="10">
        <f>SUMIF(A:A,A543,I:I)</f>
        <v>20</v>
      </c>
      <c r="Y543" s="37">
        <f>IF(Table1[[#This Row],[Drank]]&gt;0,VLOOKUP(Table1[[#This Row],[ID]],Drank!A:P,16,FALSE),IF(Table1[[#This Row],[WALDD]]&gt;0,VLOOKUP(Table1[[#This Row],[ID]],Wine1!A:Q,17,FALSE),Table1[[#This Row],[EP]]))</f>
        <v>2025</v>
      </c>
      <c r="Z543" s="18">
        <f>IF(Table1[[#This Row],[My Rating]]="",IF(Table1[[#This Row],[WA Rating Clean]]="","",Table1[[#This Row],[WA Rating Clean]]),Table1[[#This Row],[My Rating]])</f>
        <v>89.7</v>
      </c>
      <c r="AA543" s="37">
        <v>2024</v>
      </c>
      <c r="AB543" s="128">
        <v>12</v>
      </c>
      <c r="AC543" s="2">
        <f t="shared" si="39"/>
        <v>12</v>
      </c>
      <c r="AD543" s="8">
        <v>2</v>
      </c>
      <c r="AE543" s="37">
        <f>IF(Table1[[#This Row],[P/750]]&lt;20,1,IF(Table1[[#This Row],[P/750]]&lt;50,2,3))</f>
        <v>2</v>
      </c>
      <c r="AF543" s="37">
        <f>IF(Table1[[#This Row],[P/750]]&lt;Expenses!$C$30,1,IF(Table1[[#This Row],[P/750]]&lt;Expenses!$C$31,2,IF(Table1[[#This Row],[P/750]]&lt;Expenses!$C$32,3,4)))</f>
        <v>2</v>
      </c>
      <c r="AH543" s="37" t="s">
        <v>385</v>
      </c>
      <c r="AI543" s="11">
        <f>Table1[[#This Row],[Price]]/Table1[[#This Row],[Size (ml)]]*750</f>
        <v>24</v>
      </c>
      <c r="AK543" s="37">
        <f>COUNTIF(UniqueID!A:A,Table1[[#This Row],[ID]])</f>
        <v>1</v>
      </c>
      <c r="AL543" s="37" t="str">
        <f>VLOOKUP(Table1[[#This Row],[Cellar Location]],Location!A:F,6,FALSE)</f>
        <v>S</v>
      </c>
      <c r="AN543" s="1">
        <v>43845</v>
      </c>
      <c r="AO543" s="37" t="str">
        <f>TEXT(Table1[[#This Row],[Purchased]],"mmmm")</f>
        <v>January</v>
      </c>
      <c r="AP543" s="10" t="str">
        <f>TEXT(Table1[[#This Row],[Purchased]],"yyyy")</f>
        <v>2020</v>
      </c>
      <c r="AQ543" s="10"/>
    </row>
    <row r="544" spans="1:43" s="37" customFormat="1" x14ac:dyDescent="0.25">
      <c r="A544" s="37" t="str">
        <f t="shared" si="38"/>
        <v>2013PoesiaBodegas Poesia</v>
      </c>
      <c r="B544" s="37">
        <v>2013</v>
      </c>
      <c r="C544" s="8" t="s">
        <v>1552</v>
      </c>
      <c r="D544" s="37" t="s">
        <v>730</v>
      </c>
      <c r="E544" s="67" t="s">
        <v>1553</v>
      </c>
      <c r="F544" s="37" t="s">
        <v>731</v>
      </c>
      <c r="G544" s="37" t="s">
        <v>732</v>
      </c>
      <c r="H544" s="37" t="s">
        <v>849</v>
      </c>
      <c r="I544" s="37">
        <v>1</v>
      </c>
      <c r="J544" s="38">
        <v>750</v>
      </c>
      <c r="K544" s="38" t="s">
        <v>385</v>
      </c>
      <c r="L544" s="10">
        <f>COUNTIF(Drank!A:A,Table1[[#This Row],[ID]])</f>
        <v>0</v>
      </c>
      <c r="M544" s="37" t="s">
        <v>202</v>
      </c>
      <c r="N544" s="37" t="s">
        <v>207</v>
      </c>
      <c r="O544" s="37">
        <v>1</v>
      </c>
      <c r="P544" s="37">
        <v>2017</v>
      </c>
      <c r="Q544" s="37">
        <v>2026</v>
      </c>
      <c r="R544" s="10" t="str">
        <f>IF(IFERROR(VLOOKUP(A544,Drank!A:S,15,FALSE),"")=0,"",IFERROR(VLOOKUP(A544,Drank!A:S,15,FALSE),""))</f>
        <v/>
      </c>
      <c r="S544" s="10" t="str">
        <f>IF(IFERROR(VLOOKUP(A544,Drank!A:S,16,FALSE),"")=0,"",IFERROR(VLOOKUP(A544,Drank!A:S,16,FALSE),""))</f>
        <v/>
      </c>
      <c r="T544" s="10"/>
      <c r="U544" s="37">
        <v>94</v>
      </c>
      <c r="V544" s="18" t="str">
        <f>IF(IFERROR(VLOOKUP(A544,Drank!A:T,19,FALSE),"")=0,"",IFERROR(VLOOKUP(A544,Drank!A:T,19,FALSE),""))</f>
        <v/>
      </c>
      <c r="W544" s="1" t="str">
        <f>IF(IFERROR(VLOOKUP(A544,Drank!A:T,20,FALSE),"")=0,"",IFERROR(VLOOKUP(A544,Drank!A:T,20,FALSE),""))</f>
        <v/>
      </c>
      <c r="X544" s="10">
        <f>SUMIF(A:A,A544,I:I)</f>
        <v>4</v>
      </c>
      <c r="Y544" s="10">
        <f>IF(Table1[[#This Row],[Drank]]&gt;0,VLOOKUP(Table1[[#This Row],[ID]],Drank!A:P,16,FALSE),IF(Table1[[#This Row],[WALDD]]&gt;0,VLOOKUP(Table1[[#This Row],[ID]],Wine1!A:Q,17,FALSE),Table1[[#This Row],[EP]]))</f>
        <v>2026</v>
      </c>
      <c r="Z544" s="18">
        <f>IF(Table1[[#This Row],[My Rating]]="",IF(Table1[[#This Row],[WA Rating Clean]]="","",Table1[[#This Row],[WA Rating Clean]]),Table1[[#This Row],[My Rating]])</f>
        <v>94</v>
      </c>
      <c r="AA544" s="8">
        <v>2024</v>
      </c>
      <c r="AB544" s="128">
        <v>31.68</v>
      </c>
      <c r="AC544" s="2">
        <f t="shared" si="39"/>
        <v>31.68</v>
      </c>
      <c r="AD544" s="8">
        <v>1</v>
      </c>
      <c r="AE544" s="10">
        <f>IF(Table1[[#This Row],[P/750]]&lt;20,1,IF(Table1[[#This Row],[P/750]]&lt;50,2,3))</f>
        <v>2</v>
      </c>
      <c r="AF544" s="10">
        <f>IF(Table1[[#This Row],[P/750]]&lt;Expenses!$C$30,1,IF(Table1[[#This Row],[P/750]]&lt;Expenses!$C$31,2,IF(Table1[[#This Row],[P/750]]&lt;Expenses!$C$32,3,4)))</f>
        <v>3</v>
      </c>
      <c r="AH544" s="37" t="s">
        <v>385</v>
      </c>
      <c r="AI544" s="11">
        <f>Table1[[#This Row],[Price]]/Table1[[#This Row],[Size (ml)]]*750</f>
        <v>31.68</v>
      </c>
      <c r="AJ544" s="37">
        <v>94</v>
      </c>
      <c r="AK544" s="10">
        <f>COUNTIF(UniqueID!A:A,Table1[[#This Row],[ID]])</f>
        <v>0</v>
      </c>
      <c r="AL544" s="10" t="str">
        <f>VLOOKUP(Table1[[#This Row],[Cellar Location]],Location!A:F,6,FALSE)</f>
        <v>W</v>
      </c>
      <c r="AN544" s="1">
        <v>44043</v>
      </c>
      <c r="AO544" s="10" t="str">
        <f>TEXT(Table1[[#This Row],[Purchased]],"mmmm")</f>
        <v>July</v>
      </c>
      <c r="AP544" s="10" t="str">
        <f>TEXT(Table1[[#This Row],[Purchased]],"yyyy")</f>
        <v>2020</v>
      </c>
      <c r="AQ544" s="1">
        <v>44114</v>
      </c>
    </row>
    <row r="545" spans="1:43" s="37" customFormat="1" x14ac:dyDescent="0.25">
      <c r="A545" s="37" t="str">
        <f t="shared" si="38"/>
        <v>2006UccellieraBrunello di Montalcino</v>
      </c>
      <c r="B545" s="37">
        <v>2006</v>
      </c>
      <c r="C545" s="37" t="s">
        <v>1470</v>
      </c>
      <c r="D545" s="37" t="s">
        <v>19</v>
      </c>
      <c r="E545" s="9" t="s">
        <v>1250</v>
      </c>
      <c r="F545" s="37" t="s">
        <v>728</v>
      </c>
      <c r="G545" s="37" t="s">
        <v>790</v>
      </c>
      <c r="H545" s="37" t="s">
        <v>19</v>
      </c>
      <c r="I545" s="37">
        <v>1</v>
      </c>
      <c r="J545" s="38">
        <v>750</v>
      </c>
      <c r="K545" s="38" t="s">
        <v>415</v>
      </c>
      <c r="L545" s="10">
        <f>COUNTIF(Drank!A:A,Table1[[#This Row],[ID]])</f>
        <v>0</v>
      </c>
      <c r="M545" s="37" t="s">
        <v>202</v>
      </c>
      <c r="N545" s="37" t="s">
        <v>207</v>
      </c>
      <c r="O545" s="37">
        <v>1</v>
      </c>
      <c r="P545" s="10">
        <v>2014</v>
      </c>
      <c r="Q545" s="37">
        <v>2026</v>
      </c>
      <c r="R545" s="10" t="str">
        <f>IF(IFERROR(VLOOKUP(A545,Drank!A:S,15,FALSE),"")=0,"",IFERROR(VLOOKUP(A545,Drank!A:S,15,FALSE),""))</f>
        <v/>
      </c>
      <c r="S545" s="10" t="str">
        <f>IF(IFERROR(VLOOKUP(A545,Drank!A:S,16,FALSE),"")=0,"",IFERROR(VLOOKUP(A545,Drank!A:S,16,FALSE),""))</f>
        <v/>
      </c>
      <c r="T545" s="10"/>
      <c r="U545" s="37">
        <v>96</v>
      </c>
      <c r="V545" s="18" t="str">
        <f>IF(IFERROR(VLOOKUP(A545,Drank!A:T,19,FALSE),"")=0,"",IFERROR(VLOOKUP(A545,Drank!A:T,19,FALSE),""))</f>
        <v/>
      </c>
      <c r="W545" s="1" t="str">
        <f>IF(IFERROR(VLOOKUP(A545,Drank!A:T,20,FALSE),"")=0,"",IFERROR(VLOOKUP(A545,Drank!A:T,20,FALSE),""))</f>
        <v/>
      </c>
      <c r="X545" s="10">
        <f>SUMIF(A:A,A545,I:I)</f>
        <v>2</v>
      </c>
      <c r="Y545" s="10">
        <f>IF(Table1[[#This Row],[Drank]]&gt;0,VLOOKUP(Table1[[#This Row],[ID]],Drank!A:P,16,FALSE),IF(Table1[[#This Row],[WALDD]]&gt;0,VLOOKUP(Table1[[#This Row],[ID]],Wine1!A:Q,17,FALSE),Table1[[#This Row],[EP]]))</f>
        <v>2026</v>
      </c>
      <c r="Z545" s="18">
        <f>IF(Table1[[#This Row],[My Rating]]="",IF(Table1[[#This Row],[WA Rating Clean]]="","",Table1[[#This Row],[WA Rating Clean]]),Table1[[#This Row],[My Rating]])</f>
        <v>96</v>
      </c>
      <c r="AA545" s="37">
        <v>2024</v>
      </c>
      <c r="AB545" s="128">
        <v>80.989999999999995</v>
      </c>
      <c r="AC545" s="2">
        <f t="shared" si="39"/>
        <v>80.989999999999995</v>
      </c>
      <c r="AD545" s="8">
        <v>1</v>
      </c>
      <c r="AE545" s="10">
        <f>IF(Table1[[#This Row],[P/750]]&lt;20,1,IF(Table1[[#This Row],[P/750]]&lt;50,2,3))</f>
        <v>3</v>
      </c>
      <c r="AF545" s="10">
        <f>IF(Table1[[#This Row],[P/750]]&lt;Expenses!$C$30,1,IF(Table1[[#This Row],[P/750]]&lt;Expenses!$C$31,2,IF(Table1[[#This Row],[P/750]]&lt;Expenses!$C$32,3,4)))</f>
        <v>4</v>
      </c>
      <c r="AH545" s="37" t="s">
        <v>415</v>
      </c>
      <c r="AI545" s="11">
        <f>Table1[[#This Row],[Price]]/Table1[[#This Row],[Size (ml)]]*750</f>
        <v>80.989999999999995</v>
      </c>
      <c r="AJ545" s="37">
        <v>96</v>
      </c>
      <c r="AK545" s="10">
        <f>COUNTIF(UniqueID!A:A,Table1[[#This Row],[ID]])</f>
        <v>0</v>
      </c>
      <c r="AL545" s="10" t="str">
        <f>VLOOKUP(Table1[[#This Row],[Cellar Location]],Location!A:F,6,FALSE)</f>
        <v>W</v>
      </c>
      <c r="AN545" s="1">
        <v>44015</v>
      </c>
      <c r="AO545" s="10" t="str">
        <f>TEXT(Table1[[#This Row],[Purchased]],"mmmm")</f>
        <v>July</v>
      </c>
      <c r="AP545" s="10" t="str">
        <f>TEXT(Table1[[#This Row],[Purchased]],"yyyy")</f>
        <v>2020</v>
      </c>
      <c r="AQ545" s="1">
        <v>44114</v>
      </c>
    </row>
    <row r="546" spans="1:43" s="37" customFormat="1" x14ac:dyDescent="0.25">
      <c r="A546" s="37" t="str">
        <f t="shared" si="38"/>
        <v>2016Romain DuvernayCotes du Rhone Villages Domaine de Pentelines</v>
      </c>
      <c r="B546" s="8">
        <v>2016</v>
      </c>
      <c r="C546" s="37" t="s">
        <v>1428</v>
      </c>
      <c r="D546" s="19" t="s">
        <v>1429</v>
      </c>
      <c r="E546" s="69" t="s">
        <v>417</v>
      </c>
      <c r="F546" s="37" t="s">
        <v>742</v>
      </c>
      <c r="G546" s="37" t="s">
        <v>759</v>
      </c>
      <c r="H546" s="37" t="s">
        <v>760</v>
      </c>
      <c r="I546" s="107">
        <v>1</v>
      </c>
      <c r="J546" s="37">
        <v>750</v>
      </c>
      <c r="K546" s="108" t="s">
        <v>1505</v>
      </c>
      <c r="L546" s="10">
        <f>COUNTIF(Drank!A:A,Table1[[#This Row],[ID]])</f>
        <v>2</v>
      </c>
      <c r="M546" s="37" t="s">
        <v>202</v>
      </c>
      <c r="N546" s="37" t="s">
        <v>207</v>
      </c>
      <c r="O546" s="37">
        <v>1</v>
      </c>
      <c r="P546" s="37">
        <v>2017</v>
      </c>
      <c r="Q546" s="37">
        <v>2025</v>
      </c>
      <c r="R546" s="10">
        <f>IF(IFERROR(VLOOKUP(A546,Drank!A:S,15,FALSE),"")=0,"",IFERROR(VLOOKUP(A546,Drank!A:S,15,FALSE),""))</f>
        <v>2021</v>
      </c>
      <c r="S546" s="10">
        <f>IF(IFERROR(VLOOKUP(A546,Drank!A:S,16,FALSE),"")=0,"",IFERROR(VLOOKUP(A546,Drank!A:S,16,FALSE),""))</f>
        <v>2026</v>
      </c>
      <c r="T546" s="10"/>
      <c r="U546" s="37">
        <v>92</v>
      </c>
      <c r="V546" s="18">
        <f>IF(IFERROR(VLOOKUP(A546,Drank!A:T,19,FALSE),"")=0,"",IFERROR(VLOOKUP(A546,Drank!A:T,19,FALSE),""))</f>
        <v>90.5</v>
      </c>
      <c r="W546" s="1">
        <f>IF(IFERROR(VLOOKUP(A546,Drank!A:T,20,FALSE),"")=0,"",IFERROR(VLOOKUP(A546,Drank!A:T,20,FALSE),""))</f>
        <v>44015</v>
      </c>
      <c r="X546" s="10">
        <f>SUMIF(A:A,A546,I:I)</f>
        <v>10</v>
      </c>
      <c r="Y546" s="10">
        <f>IF(Table1[[#This Row],[Drank]]&gt;0,VLOOKUP(Table1[[#This Row],[ID]],Drank!A:P,16,FALSE),IF(Table1[[#This Row],[WALDD]]&gt;0,VLOOKUP(Table1[[#This Row],[ID]],Wine1!A:Q,17,FALSE),Table1[[#This Row],[EP]]))</f>
        <v>2026</v>
      </c>
      <c r="Z546" s="18">
        <f>IF(Table1[[#This Row],[My Rating]]="",IF(Table1[[#This Row],[WA Rating Clean]]="","",Table1[[#This Row],[WA Rating Clean]]),Table1[[#This Row],[My Rating]])</f>
        <v>90.5</v>
      </c>
      <c r="AA546" s="37">
        <v>2024</v>
      </c>
      <c r="AB546" s="128">
        <v>15.2</v>
      </c>
      <c r="AC546" s="2">
        <f t="shared" si="39"/>
        <v>15.2</v>
      </c>
      <c r="AD546" s="8">
        <v>2</v>
      </c>
      <c r="AE546" s="10">
        <f>IF(Table1[[#This Row],[P/750]]&lt;20,1,IF(Table1[[#This Row],[P/750]]&lt;50,2,3))</f>
        <v>1</v>
      </c>
      <c r="AF546" s="10">
        <f>IF(Table1[[#This Row],[P/750]]&lt;Expenses!$C$30,1,IF(Table1[[#This Row],[P/750]]&lt;Expenses!$C$31,2,IF(Table1[[#This Row],[P/750]]&lt;Expenses!$C$32,3,4)))</f>
        <v>1</v>
      </c>
      <c r="AH546" s="37" t="s">
        <v>384</v>
      </c>
      <c r="AI546" s="11">
        <f>Table1[[#This Row],[Price]]/Table1[[#This Row],[Size (ml)]]*750</f>
        <v>15.2</v>
      </c>
      <c r="AJ546" s="37">
        <v>92</v>
      </c>
      <c r="AK546" s="10">
        <f>COUNTIF(UniqueID!A:A,Table1[[#This Row],[ID]])</f>
        <v>0</v>
      </c>
      <c r="AL546" s="10" t="str">
        <f>VLOOKUP(Table1[[#This Row],[Cellar Location]],Location!A:F,6,FALSE)</f>
        <v>S</v>
      </c>
      <c r="AN546" s="1">
        <v>43992</v>
      </c>
      <c r="AO546" s="10" t="str">
        <f>TEXT(Table1[[#This Row],[Purchased]],"mmmm")</f>
        <v>June</v>
      </c>
      <c r="AP546" s="10" t="str">
        <f>TEXT(Table1[[#This Row],[Purchased]],"yyyy")</f>
        <v>2020</v>
      </c>
      <c r="AQ546" s="10"/>
    </row>
    <row r="547" spans="1:43" s="37" customFormat="1" x14ac:dyDescent="0.25">
      <c r="A547" s="37" t="str">
        <f t="shared" si="38"/>
        <v>2016Romain DuvernayCotes du Rhone Villages Domaine de Pentelines</v>
      </c>
      <c r="B547" s="8">
        <v>2016</v>
      </c>
      <c r="C547" s="37" t="s">
        <v>1428</v>
      </c>
      <c r="D547" s="19" t="s">
        <v>1429</v>
      </c>
      <c r="E547" s="69" t="s">
        <v>417</v>
      </c>
      <c r="F547" s="37" t="s">
        <v>742</v>
      </c>
      <c r="G547" s="37" t="s">
        <v>759</v>
      </c>
      <c r="H547" s="37" t="s">
        <v>760</v>
      </c>
      <c r="I547" s="107">
        <v>1</v>
      </c>
      <c r="J547" s="37">
        <v>750</v>
      </c>
      <c r="K547" s="108" t="s">
        <v>1505</v>
      </c>
      <c r="L547" s="10">
        <f>COUNTIF(Drank!A:A,Table1[[#This Row],[ID]])</f>
        <v>2</v>
      </c>
      <c r="M547" s="37" t="s">
        <v>202</v>
      </c>
      <c r="N547" s="37" t="s">
        <v>207</v>
      </c>
      <c r="O547" s="37">
        <v>1</v>
      </c>
      <c r="P547" s="37">
        <v>2017</v>
      </c>
      <c r="Q547" s="37">
        <v>2025</v>
      </c>
      <c r="R547" s="10">
        <f>IF(IFERROR(VLOOKUP(A547,Drank!A:S,15,FALSE),"")=0,"",IFERROR(VLOOKUP(A547,Drank!A:S,15,FALSE),""))</f>
        <v>2021</v>
      </c>
      <c r="S547" s="10">
        <f>IF(IFERROR(VLOOKUP(A547,Drank!A:S,16,FALSE),"")=0,"",IFERROR(VLOOKUP(A547,Drank!A:S,16,FALSE),""))</f>
        <v>2026</v>
      </c>
      <c r="T547" s="10"/>
      <c r="U547" s="37">
        <v>92</v>
      </c>
      <c r="V547" s="18">
        <f>IF(IFERROR(VLOOKUP(A547,Drank!A:T,19,FALSE),"")=0,"",IFERROR(VLOOKUP(A547,Drank!A:T,19,FALSE),""))</f>
        <v>90.5</v>
      </c>
      <c r="W547" s="1">
        <f>IF(IFERROR(VLOOKUP(A547,Drank!A:T,20,FALSE),"")=0,"",IFERROR(VLOOKUP(A547,Drank!A:T,20,FALSE),""))</f>
        <v>44015</v>
      </c>
      <c r="X547" s="10">
        <f>SUMIF(A:A,A547,I:I)</f>
        <v>10</v>
      </c>
      <c r="Y547" s="10">
        <f>IF(Table1[[#This Row],[Drank]]&gt;0,VLOOKUP(Table1[[#This Row],[ID]],Drank!A:P,16,FALSE),IF(Table1[[#This Row],[WALDD]]&gt;0,VLOOKUP(Table1[[#This Row],[ID]],Wine1!A:Q,17,FALSE),Table1[[#This Row],[EP]]))</f>
        <v>2026</v>
      </c>
      <c r="Z547" s="18">
        <f>IF(Table1[[#This Row],[My Rating]]="",IF(Table1[[#This Row],[WA Rating Clean]]="","",Table1[[#This Row],[WA Rating Clean]]),Table1[[#This Row],[My Rating]])</f>
        <v>90.5</v>
      </c>
      <c r="AA547" s="37">
        <v>2024</v>
      </c>
      <c r="AB547" s="128">
        <v>15.2</v>
      </c>
      <c r="AC547" s="2">
        <f t="shared" si="39"/>
        <v>15.2</v>
      </c>
      <c r="AD547" s="8">
        <v>2</v>
      </c>
      <c r="AE547" s="10">
        <f>IF(Table1[[#This Row],[P/750]]&lt;20,1,IF(Table1[[#This Row],[P/750]]&lt;50,2,3))</f>
        <v>1</v>
      </c>
      <c r="AF547" s="10">
        <f>IF(Table1[[#This Row],[P/750]]&lt;Expenses!$C$30,1,IF(Table1[[#This Row],[P/750]]&lt;Expenses!$C$31,2,IF(Table1[[#This Row],[P/750]]&lt;Expenses!$C$32,3,4)))</f>
        <v>1</v>
      </c>
      <c r="AH547" s="37" t="s">
        <v>384</v>
      </c>
      <c r="AI547" s="11">
        <f>Table1[[#This Row],[Price]]/Table1[[#This Row],[Size (ml)]]*750</f>
        <v>15.2</v>
      </c>
      <c r="AJ547" s="37">
        <v>92</v>
      </c>
      <c r="AK547" s="10">
        <f>COUNTIF(UniqueID!A:A,Table1[[#This Row],[ID]])</f>
        <v>0</v>
      </c>
      <c r="AL547" s="10" t="str">
        <f>VLOOKUP(Table1[[#This Row],[Cellar Location]],Location!A:F,6,FALSE)</f>
        <v>S</v>
      </c>
      <c r="AN547" s="1">
        <v>43992</v>
      </c>
      <c r="AO547" s="10" t="str">
        <f>TEXT(Table1[[#This Row],[Purchased]],"mmmm")</f>
        <v>June</v>
      </c>
      <c r="AP547" s="10" t="str">
        <f>TEXT(Table1[[#This Row],[Purchased]],"yyyy")</f>
        <v>2020</v>
      </c>
      <c r="AQ547" s="10"/>
    </row>
    <row r="548" spans="1:43" s="37" customFormat="1" x14ac:dyDescent="0.25">
      <c r="A548" s="37" t="str">
        <f t="shared" si="38"/>
        <v>2011MazzeiTenuta Belguardo</v>
      </c>
      <c r="B548" s="37">
        <v>2011</v>
      </c>
      <c r="C548" s="37" t="s">
        <v>1166</v>
      </c>
      <c r="D548" s="37" t="s">
        <v>1167</v>
      </c>
      <c r="E548" s="67" t="s">
        <v>1199</v>
      </c>
      <c r="F548" s="37" t="s">
        <v>728</v>
      </c>
      <c r="G548" s="37" t="s">
        <v>790</v>
      </c>
      <c r="H548" s="37" t="s">
        <v>793</v>
      </c>
      <c r="I548" s="107">
        <v>1</v>
      </c>
      <c r="J548" s="37">
        <v>750</v>
      </c>
      <c r="K548" s="107" t="s">
        <v>1150</v>
      </c>
      <c r="L548" s="10">
        <f>COUNTIF(Drank!A:A,Table1[[#This Row],[ID]])</f>
        <v>1</v>
      </c>
      <c r="M548" s="37" t="s">
        <v>202</v>
      </c>
      <c r="N548" s="37" t="s">
        <v>207</v>
      </c>
      <c r="O548" s="37">
        <v>1</v>
      </c>
      <c r="P548" s="10">
        <v>2017</v>
      </c>
      <c r="Q548" s="37">
        <v>2024</v>
      </c>
      <c r="R548" s="10">
        <f>IF(IFERROR(VLOOKUP(A548,Drank!A:S,15,FALSE),"")=0,"",IFERROR(VLOOKUP(A548,Drank!A:S,15,FALSE),""))</f>
        <v>2023</v>
      </c>
      <c r="S548" s="10">
        <f>IF(IFERROR(VLOOKUP(A548,Drank!A:S,16,FALSE),"")=0,"",IFERROR(VLOOKUP(A548,Drank!A:S,16,FALSE),""))</f>
        <v>2026</v>
      </c>
      <c r="T548" s="10"/>
      <c r="U548" s="37" t="s">
        <v>29</v>
      </c>
      <c r="V548" s="18">
        <f>IF(IFERROR(VLOOKUP(A548,Drank!A:T,19,FALSE),"")=0,"",IFERROR(VLOOKUP(A548,Drank!A:T,19,FALSE),""))</f>
        <v>91</v>
      </c>
      <c r="W548" s="1">
        <f>IF(IFERROR(VLOOKUP(A548,Drank!A:T,20,FALSE),"")=0,"",IFERROR(VLOOKUP(A548,Drank!A:T,20,FALSE),""))</f>
        <v>43870</v>
      </c>
      <c r="X548" s="10">
        <f>SUMIF(A:A,A548,I:I)</f>
        <v>3</v>
      </c>
      <c r="Y548" s="10">
        <f>IF(Table1[[#This Row],[Drank]]&gt;0,VLOOKUP(Table1[[#This Row],[ID]],Drank!A:P,16,FALSE),IF(Table1[[#This Row],[WALDD]]&gt;0,VLOOKUP(Table1[[#This Row],[ID]],Wine1!A:Q,17,FALSE),Table1[[#This Row],[EP]]))</f>
        <v>2026</v>
      </c>
      <c r="Z548" s="18">
        <f>IF(Table1[[#This Row],[My Rating]]="",IF(Table1[[#This Row],[WA Rating Clean]]="","",Table1[[#This Row],[WA Rating Clean]]),Table1[[#This Row],[My Rating]])</f>
        <v>91</v>
      </c>
      <c r="AA548" s="37">
        <v>2024</v>
      </c>
      <c r="AB548" s="128">
        <v>32.99</v>
      </c>
      <c r="AC548" s="2">
        <f t="shared" si="39"/>
        <v>32.99</v>
      </c>
      <c r="AD548" s="8">
        <v>2</v>
      </c>
      <c r="AE548" s="10">
        <f>IF(Table1[[#This Row],[P/750]]&lt;20,1,IF(Table1[[#This Row],[P/750]]&lt;50,2,3))</f>
        <v>2</v>
      </c>
      <c r="AF548" s="10">
        <f>IF(Table1[[#This Row],[P/750]]&lt;Expenses!$C$30,1,IF(Table1[[#This Row],[P/750]]&lt;Expenses!$C$31,2,IF(Table1[[#This Row],[P/750]]&lt;Expenses!$C$32,3,4)))</f>
        <v>3</v>
      </c>
      <c r="AH548" s="37" t="s">
        <v>384</v>
      </c>
      <c r="AI548" s="11">
        <f>Table1[[#This Row],[Price]]/Table1[[#This Row],[Size (ml)]]*750</f>
        <v>32.99</v>
      </c>
      <c r="AJ548" s="37">
        <v>93</v>
      </c>
      <c r="AK548" s="10">
        <f>COUNTIF(UniqueID!A:A,Table1[[#This Row],[ID]])</f>
        <v>1</v>
      </c>
      <c r="AL548" s="10" t="str">
        <f>VLOOKUP(Table1[[#This Row],[Cellar Location]],Location!A:F,6,FALSE)</f>
        <v>S</v>
      </c>
      <c r="AN548" s="1">
        <v>43853</v>
      </c>
      <c r="AO548" s="37" t="str">
        <f>TEXT(Table1[[#This Row],[Purchased]],"mmmm")</f>
        <v>January</v>
      </c>
      <c r="AP548" s="10" t="str">
        <f>TEXT(Table1[[#This Row],[Purchased]],"yyyy")</f>
        <v>2020</v>
      </c>
      <c r="AQ548" s="10"/>
    </row>
    <row r="549" spans="1:43" s="37" customFormat="1" x14ac:dyDescent="0.25">
      <c r="A549" s="37" t="str">
        <f t="shared" si="38"/>
        <v>2016Tenuta San GuidoLe Difese</v>
      </c>
      <c r="B549" s="37">
        <v>2016</v>
      </c>
      <c r="C549" s="37" t="s">
        <v>91</v>
      </c>
      <c r="D549" s="37" t="s">
        <v>396</v>
      </c>
      <c r="E549" s="64" t="s">
        <v>399</v>
      </c>
      <c r="F549" s="37" t="s">
        <v>728</v>
      </c>
      <c r="G549" s="37" t="s">
        <v>790</v>
      </c>
      <c r="H549" s="37" t="s">
        <v>796</v>
      </c>
      <c r="I549" s="107">
        <v>1</v>
      </c>
      <c r="J549" s="37">
        <v>750</v>
      </c>
      <c r="K549" s="107" t="s">
        <v>654</v>
      </c>
      <c r="L549" s="37">
        <f>COUNTIF(Drank!A:A,Table1[[#This Row],[ID]])</f>
        <v>3</v>
      </c>
      <c r="M549" s="37" t="s">
        <v>202</v>
      </c>
      <c r="N549" s="37" t="s">
        <v>207</v>
      </c>
      <c r="O549" s="37">
        <v>1</v>
      </c>
      <c r="P549" s="37">
        <v>2018</v>
      </c>
      <c r="Q549" s="37">
        <v>2022</v>
      </c>
      <c r="R549" s="10">
        <f>IF(IFERROR(VLOOKUP(A549,Drank!A:S,15,FALSE),"")=0,"",IFERROR(VLOOKUP(A549,Drank!A:S,15,FALSE),""))</f>
        <v>2022</v>
      </c>
      <c r="S549" s="10">
        <f>IF(IFERROR(VLOOKUP(A549,Drank!A:S,16,FALSE),"")=0,"",IFERROR(VLOOKUP(A549,Drank!A:S,16,FALSE),""))</f>
        <v>2026</v>
      </c>
      <c r="T549" s="10"/>
      <c r="U549" s="37">
        <v>90</v>
      </c>
      <c r="V549" s="18">
        <f>IF(IFERROR(VLOOKUP(A549,Drank!A:T,19,FALSE),"")=0,"",IFERROR(VLOOKUP(A549,Drank!A:T,19,FALSE),""))</f>
        <v>90.666666666666671</v>
      </c>
      <c r="W549" s="1">
        <f>IF(IFERROR(VLOOKUP(A549,Drank!A:T,20,FALSE),"")=0,"",IFERROR(VLOOKUP(A549,Drank!A:T,20,FALSE),""))</f>
        <v>43835</v>
      </c>
      <c r="X549" s="10">
        <f>SUMIF(A:A,A549,I:I)</f>
        <v>3</v>
      </c>
      <c r="Y549" s="37">
        <f>IF(Table1[[#This Row],[Drank]]&gt;0,VLOOKUP(Table1[[#This Row],[ID]],Drank!A:P,16,FALSE),IF(Table1[[#This Row],[WALDD]]&gt;0,VLOOKUP(Table1[[#This Row],[ID]],Wine1!A:Q,17,FALSE),Table1[[#This Row],[EP]]))</f>
        <v>2026</v>
      </c>
      <c r="Z549" s="18">
        <f>IF(Table1[[#This Row],[My Rating]]="",IF(Table1[[#This Row],[WA Rating Clean]]="","",Table1[[#This Row],[WA Rating Clean]]),Table1[[#This Row],[My Rating]])</f>
        <v>90.666666666666671</v>
      </c>
      <c r="AA549" s="37">
        <v>2024</v>
      </c>
      <c r="AB549" s="128">
        <v>29</v>
      </c>
      <c r="AC549" s="2">
        <f t="shared" si="39"/>
        <v>29</v>
      </c>
      <c r="AD549" s="8">
        <v>2</v>
      </c>
      <c r="AE549" s="37">
        <f>IF(Table1[[#This Row],[P/750]]&lt;20,1,IF(Table1[[#This Row],[P/750]]&lt;50,2,3))</f>
        <v>2</v>
      </c>
      <c r="AF549" s="37">
        <f>IF(Table1[[#This Row],[P/750]]&lt;Expenses!$C$30,1,IF(Table1[[#This Row],[P/750]]&lt;Expenses!$C$31,2,IF(Table1[[#This Row],[P/750]]&lt;Expenses!$C$32,3,4)))</f>
        <v>2</v>
      </c>
      <c r="AH549" s="37" t="s">
        <v>1128</v>
      </c>
      <c r="AI549" s="11">
        <f>Table1[[#This Row],[Price]]/Table1[[#This Row],[Size (ml)]]*750</f>
        <v>29</v>
      </c>
      <c r="AJ549" s="37">
        <v>90</v>
      </c>
      <c r="AK549" s="37">
        <f>COUNTIF(UniqueID!A:A,Table1[[#This Row],[ID]])</f>
        <v>1</v>
      </c>
      <c r="AL549" s="37" t="str">
        <f>VLOOKUP(Table1[[#This Row],[Cellar Location]],Location!A:F,6,FALSE)</f>
        <v>S</v>
      </c>
      <c r="AO549" s="37" t="str">
        <f>TEXT(Table1[[#This Row],[Purchased]],"mmmm")</f>
        <v>January</v>
      </c>
      <c r="AP549" s="10" t="str">
        <f>TEXT(Table1[[#This Row],[Purchased]],"yyyy")</f>
        <v>1900</v>
      </c>
      <c r="AQ549" s="10"/>
    </row>
    <row r="550" spans="1:43" s="37" customFormat="1" x14ac:dyDescent="0.25">
      <c r="A550" s="37" t="str">
        <f t="shared" si="38"/>
        <v>2009Hermanos Perez PascuasEl Pedrosal Reserva</v>
      </c>
      <c r="B550" s="37">
        <v>2009</v>
      </c>
      <c r="C550" s="9" t="s">
        <v>1543</v>
      </c>
      <c r="D550" s="9" t="s">
        <v>1544</v>
      </c>
      <c r="E550" s="69" t="s">
        <v>276</v>
      </c>
      <c r="F550" s="37" t="s">
        <v>729</v>
      </c>
      <c r="G550" s="37" t="s">
        <v>1718</v>
      </c>
      <c r="H550" s="37" t="s">
        <v>818</v>
      </c>
      <c r="I550" s="78">
        <v>1</v>
      </c>
      <c r="J550" s="37">
        <v>750</v>
      </c>
      <c r="K550" s="78" t="s">
        <v>1545</v>
      </c>
      <c r="L550" s="10">
        <f>COUNTIF(Drank!A:A,Table1[[#This Row],[ID]])</f>
        <v>2</v>
      </c>
      <c r="M550" s="37" t="s">
        <v>202</v>
      </c>
      <c r="N550" s="37" t="s">
        <v>207</v>
      </c>
      <c r="O550" s="37">
        <v>1</v>
      </c>
      <c r="P550" s="37">
        <v>2020</v>
      </c>
      <c r="Q550" s="37">
        <v>2029</v>
      </c>
      <c r="R550" s="10">
        <f>IF(IFERROR(VLOOKUP(A550,Drank!A:S,15,FALSE),"")=0,"",IFERROR(VLOOKUP(A550,Drank!A:S,15,FALSE),""))</f>
        <v>2020</v>
      </c>
      <c r="S550" s="10">
        <f>IF(IFERROR(VLOOKUP(A550,Drank!A:S,16,FALSE),"")=0,"",IFERROR(VLOOKUP(A550,Drank!A:S,16,FALSE),""))</f>
        <v>2027</v>
      </c>
      <c r="T550" s="10"/>
      <c r="U550" s="37">
        <v>95</v>
      </c>
      <c r="V550" s="18">
        <f>IF(IFERROR(VLOOKUP(A550,Drank!A:T,19,FALSE),"")=0,"",IFERROR(VLOOKUP(A550,Drank!A:T,19,FALSE),""))</f>
        <v>94.5</v>
      </c>
      <c r="W550" s="1">
        <f>IF(IFERROR(VLOOKUP(A550,Drank!A:T,20,FALSE),"")=0,"",IFERROR(VLOOKUP(A550,Drank!A:T,20,FALSE),""))</f>
        <v>44079</v>
      </c>
      <c r="X550" s="10">
        <f>SUMIF(A:A,A550,I:I)</f>
        <v>17</v>
      </c>
      <c r="Y550" s="10">
        <f>IF(Table1[[#This Row],[Drank]]&gt;0,VLOOKUP(Table1[[#This Row],[ID]],Drank!A:P,16,FALSE),IF(Table1[[#This Row],[WALDD]]&gt;0,VLOOKUP(Table1[[#This Row],[ID]],Wine1!A:Q,17,FALSE),Table1[[#This Row],[EP]]))</f>
        <v>2027</v>
      </c>
      <c r="Z550" s="18">
        <f>IF(Table1[[#This Row],[My Rating]]="",IF(Table1[[#This Row],[WA Rating Clean]]="","",Table1[[#This Row],[WA Rating Clean]]),Table1[[#This Row],[My Rating]])</f>
        <v>94.5</v>
      </c>
      <c r="AA550" s="37">
        <v>2024</v>
      </c>
      <c r="AB550" s="128">
        <v>29.61</v>
      </c>
      <c r="AC550" s="2">
        <f t="shared" si="39"/>
        <v>29.61</v>
      </c>
      <c r="AD550" s="8"/>
      <c r="AE550" s="10">
        <f>IF(Table1[[#This Row],[P/750]]&lt;20,1,IF(Table1[[#This Row],[P/750]]&lt;50,2,3))</f>
        <v>2</v>
      </c>
      <c r="AF550" s="10">
        <f>IF(Table1[[#This Row],[P/750]]&lt;Expenses!$C$30,1,IF(Table1[[#This Row],[P/750]]&lt;Expenses!$C$31,2,IF(Table1[[#This Row],[P/750]]&lt;Expenses!$C$32,3,4)))</f>
        <v>2</v>
      </c>
      <c r="AH550" s="37" t="s">
        <v>1545</v>
      </c>
      <c r="AI550" s="11">
        <f>Table1[[#This Row],[Price]]/Table1[[#This Row],[Size (ml)]]*750</f>
        <v>29.61</v>
      </c>
      <c r="AJ550" s="37">
        <v>95</v>
      </c>
      <c r="AK550" s="10">
        <f>COUNTIF(UniqueID!A:A,Table1[[#This Row],[ID]])</f>
        <v>0</v>
      </c>
      <c r="AL550" s="10" t="str">
        <f>VLOOKUP(Table1[[#This Row],[Cellar Location]],Location!A:F,6,FALSE)</f>
        <v>W</v>
      </c>
      <c r="AN550" s="1">
        <v>44065</v>
      </c>
      <c r="AO550" s="10" t="str">
        <f>TEXT(Table1[[#This Row],[Purchased]],"mmmm")</f>
        <v>August</v>
      </c>
      <c r="AP550" s="10" t="str">
        <f>TEXT(Table1[[#This Row],[Purchased]],"yyyy")</f>
        <v>2020</v>
      </c>
      <c r="AQ550" s="10"/>
    </row>
    <row r="551" spans="1:43" s="37" customFormat="1" x14ac:dyDescent="0.25">
      <c r="A551" s="37" t="str">
        <f t="shared" si="38"/>
        <v>2009Hermanos Perez PascuasEl Pedrosal Reserva</v>
      </c>
      <c r="B551" s="37">
        <v>2009</v>
      </c>
      <c r="C551" s="9" t="s">
        <v>1543</v>
      </c>
      <c r="D551" s="9" t="s">
        <v>1544</v>
      </c>
      <c r="E551" s="69" t="s">
        <v>276</v>
      </c>
      <c r="F551" s="37" t="s">
        <v>729</v>
      </c>
      <c r="G551" s="37" t="s">
        <v>1718</v>
      </c>
      <c r="H551" s="37" t="s">
        <v>818</v>
      </c>
      <c r="I551" s="78">
        <v>1</v>
      </c>
      <c r="J551" s="37">
        <v>750</v>
      </c>
      <c r="K551" s="78" t="s">
        <v>1545</v>
      </c>
      <c r="L551" s="10">
        <f>COUNTIF(Drank!A:A,Table1[[#This Row],[ID]])</f>
        <v>2</v>
      </c>
      <c r="M551" s="37" t="s">
        <v>202</v>
      </c>
      <c r="N551" s="37" t="s">
        <v>207</v>
      </c>
      <c r="O551" s="37">
        <v>1</v>
      </c>
      <c r="P551" s="37">
        <v>2020</v>
      </c>
      <c r="Q551" s="37">
        <v>2029</v>
      </c>
      <c r="R551" s="10">
        <f>IF(IFERROR(VLOOKUP(A551,Drank!A:S,15,FALSE),"")=0,"",IFERROR(VLOOKUP(A551,Drank!A:S,15,FALSE),""))</f>
        <v>2020</v>
      </c>
      <c r="S551" s="10">
        <f>IF(IFERROR(VLOOKUP(A551,Drank!A:S,16,FALSE),"")=0,"",IFERROR(VLOOKUP(A551,Drank!A:S,16,FALSE),""))</f>
        <v>2027</v>
      </c>
      <c r="T551" s="10"/>
      <c r="U551" s="37">
        <v>95</v>
      </c>
      <c r="V551" s="18">
        <f>IF(IFERROR(VLOOKUP(A551,Drank!A:T,19,FALSE),"")=0,"",IFERROR(VLOOKUP(A551,Drank!A:T,19,FALSE),""))</f>
        <v>94.5</v>
      </c>
      <c r="W551" s="1">
        <f>IF(IFERROR(VLOOKUP(A551,Drank!A:T,20,FALSE),"")=0,"",IFERROR(VLOOKUP(A551,Drank!A:T,20,FALSE),""))</f>
        <v>44079</v>
      </c>
      <c r="X551" s="10">
        <f>SUMIF(A:A,A551,I:I)</f>
        <v>17</v>
      </c>
      <c r="Y551" s="10">
        <f>IF(Table1[[#This Row],[Drank]]&gt;0,VLOOKUP(Table1[[#This Row],[ID]],Drank!A:P,16,FALSE),IF(Table1[[#This Row],[WALDD]]&gt;0,VLOOKUP(Table1[[#This Row],[ID]],Wine1!A:Q,17,FALSE),Table1[[#This Row],[EP]]))</f>
        <v>2027</v>
      </c>
      <c r="Z551" s="18">
        <f>IF(Table1[[#This Row],[My Rating]]="",IF(Table1[[#This Row],[WA Rating Clean]]="","",Table1[[#This Row],[WA Rating Clean]]),Table1[[#This Row],[My Rating]])</f>
        <v>94.5</v>
      </c>
      <c r="AA551" s="37">
        <v>2024</v>
      </c>
      <c r="AB551" s="128">
        <v>29.61</v>
      </c>
      <c r="AC551" s="2">
        <f t="shared" si="39"/>
        <v>29.61</v>
      </c>
      <c r="AD551" s="8"/>
      <c r="AE551" s="10">
        <f>IF(Table1[[#This Row],[P/750]]&lt;20,1,IF(Table1[[#This Row],[P/750]]&lt;50,2,3))</f>
        <v>2</v>
      </c>
      <c r="AF551" s="10">
        <f>IF(Table1[[#This Row],[P/750]]&lt;Expenses!$C$30,1,IF(Table1[[#This Row],[P/750]]&lt;Expenses!$C$31,2,IF(Table1[[#This Row],[P/750]]&lt;Expenses!$C$32,3,4)))</f>
        <v>2</v>
      </c>
      <c r="AH551" s="37" t="s">
        <v>1545</v>
      </c>
      <c r="AI551" s="11">
        <f>Table1[[#This Row],[Price]]/Table1[[#This Row],[Size (ml)]]*750</f>
        <v>29.61</v>
      </c>
      <c r="AJ551" s="37">
        <v>95</v>
      </c>
      <c r="AK551" s="10">
        <f>COUNTIF(UniqueID!A:A,Table1[[#This Row],[ID]])</f>
        <v>0</v>
      </c>
      <c r="AL551" s="10" t="str">
        <f>VLOOKUP(Table1[[#This Row],[Cellar Location]],Location!A:F,6,FALSE)</f>
        <v>W</v>
      </c>
      <c r="AN551" s="1">
        <v>44065</v>
      </c>
      <c r="AO551" s="10" t="str">
        <f>TEXT(Table1[[#This Row],[Purchased]],"mmmm")</f>
        <v>August</v>
      </c>
      <c r="AP551" s="10" t="str">
        <f>TEXT(Table1[[#This Row],[Purchased]],"yyyy")</f>
        <v>2020</v>
      </c>
      <c r="AQ551" s="10"/>
    </row>
    <row r="552" spans="1:43" s="37" customFormat="1" x14ac:dyDescent="0.25">
      <c r="A552" s="37" t="str">
        <f t="shared" si="38"/>
        <v>2016Domaine La Grangette Saint JosephGigondas la Grangette des Garrigues</v>
      </c>
      <c r="B552" s="37">
        <v>2016</v>
      </c>
      <c r="C552" s="37" t="s">
        <v>420</v>
      </c>
      <c r="D552" s="25" t="s">
        <v>421</v>
      </c>
      <c r="E552" s="69" t="s">
        <v>1225</v>
      </c>
      <c r="F552" s="37" t="s">
        <v>742</v>
      </c>
      <c r="G552" s="37" t="s">
        <v>759</v>
      </c>
      <c r="H552" s="37" t="s">
        <v>764</v>
      </c>
      <c r="I552" s="107">
        <v>1</v>
      </c>
      <c r="J552" s="37">
        <v>750</v>
      </c>
      <c r="K552" s="107" t="s">
        <v>647</v>
      </c>
      <c r="L552" s="37">
        <f>COUNTIF(Drank!A:A,Table1[[#This Row],[ID]])</f>
        <v>1</v>
      </c>
      <c r="M552" s="37" t="s">
        <v>202</v>
      </c>
      <c r="N552" s="37" t="s">
        <v>207</v>
      </c>
      <c r="O552" s="37">
        <v>1</v>
      </c>
      <c r="P552" s="37">
        <v>2018</v>
      </c>
      <c r="Q552" s="37">
        <v>2028</v>
      </c>
      <c r="R552" s="10">
        <f>IF(IFERROR(VLOOKUP(A552,Drank!A:S,15,FALSE),"")=0,"",IFERROR(VLOOKUP(A552,Drank!A:S,15,FALSE),""))</f>
        <v>2021</v>
      </c>
      <c r="S552" s="10">
        <f>IF(IFERROR(VLOOKUP(A552,Drank!A:S,16,FALSE),"")=0,"",IFERROR(VLOOKUP(A552,Drank!A:S,16,FALSE),""))</f>
        <v>2027</v>
      </c>
      <c r="T552" s="10"/>
      <c r="U552" s="37">
        <v>94</v>
      </c>
      <c r="V552" s="18">
        <f>IF(IFERROR(VLOOKUP(A552,Drank!A:T,19,FALSE),"")=0,"",IFERROR(VLOOKUP(A552,Drank!A:T,19,FALSE),""))</f>
        <v>92</v>
      </c>
      <c r="W552" s="1">
        <f>IF(IFERROR(VLOOKUP(A552,Drank!A:T,20,FALSE),"")=0,"",IFERROR(VLOOKUP(A552,Drank!A:T,20,FALSE),""))</f>
        <v>43834</v>
      </c>
      <c r="X552" s="10">
        <f>SUMIF(A:A,A552,I:I)</f>
        <v>11</v>
      </c>
      <c r="Y552" s="37">
        <f>IF(Table1[[#This Row],[Drank]]&gt;0,VLOOKUP(Table1[[#This Row],[ID]],Drank!A:P,16,FALSE),IF(Table1[[#This Row],[WALDD]]&gt;0,VLOOKUP(Table1[[#This Row],[ID]],Wine1!A:Q,17,FALSE),Table1[[#This Row],[EP]]))</f>
        <v>2027</v>
      </c>
      <c r="Z552" s="18">
        <f>IF(Table1[[#This Row],[My Rating]]="",IF(Table1[[#This Row],[WA Rating Clean]]="","",Table1[[#This Row],[WA Rating Clean]]),Table1[[#This Row],[My Rating]])</f>
        <v>92</v>
      </c>
      <c r="AA552" s="37">
        <v>2024</v>
      </c>
      <c r="AB552" s="128">
        <v>23</v>
      </c>
      <c r="AC552" s="2">
        <f t="shared" si="39"/>
        <v>23</v>
      </c>
      <c r="AD552" s="8">
        <v>2</v>
      </c>
      <c r="AE552" s="37">
        <f>IF(Table1[[#This Row],[P/750]]&lt;20,1,IF(Table1[[#This Row],[P/750]]&lt;50,2,3))</f>
        <v>2</v>
      </c>
      <c r="AF552" s="37">
        <f>IF(Table1[[#This Row],[P/750]]&lt;Expenses!$C$30,1,IF(Table1[[#This Row],[P/750]]&lt;Expenses!$C$31,2,IF(Table1[[#This Row],[P/750]]&lt;Expenses!$C$32,3,4)))</f>
        <v>2</v>
      </c>
      <c r="AH552" s="37" t="s">
        <v>384</v>
      </c>
      <c r="AI552" s="11">
        <f>Table1[[#This Row],[Price]]/Table1[[#This Row],[Size (ml)]]*750</f>
        <v>23</v>
      </c>
      <c r="AJ552" s="37">
        <v>94</v>
      </c>
      <c r="AK552" s="37">
        <f>COUNTIF(UniqueID!A:A,Table1[[#This Row],[ID]])</f>
        <v>1</v>
      </c>
      <c r="AL552" s="37" t="str">
        <f>VLOOKUP(Table1[[#This Row],[Cellar Location]],Location!A:F,6,FALSE)</f>
        <v>S</v>
      </c>
      <c r="AO552" s="37" t="str">
        <f>TEXT(Table1[[#This Row],[Purchased]],"mmmm")</f>
        <v>January</v>
      </c>
      <c r="AP552" s="10" t="str">
        <f>TEXT(Table1[[#This Row],[Purchased]],"yyyy")</f>
        <v>1900</v>
      </c>
      <c r="AQ552" s="10"/>
    </row>
    <row r="553" spans="1:43" s="37" customFormat="1" x14ac:dyDescent="0.25">
      <c r="A553" s="37" t="str">
        <f t="shared" si="38"/>
        <v>2016Domaine La Grangette Saint JosephGigondas la Grangette des Garrigues</v>
      </c>
      <c r="B553" s="37">
        <v>2016</v>
      </c>
      <c r="C553" s="37" t="s">
        <v>420</v>
      </c>
      <c r="D553" s="37" t="s">
        <v>421</v>
      </c>
      <c r="E553" s="69" t="s">
        <v>1225</v>
      </c>
      <c r="F553" s="37" t="s">
        <v>742</v>
      </c>
      <c r="G553" s="37" t="s">
        <v>759</v>
      </c>
      <c r="H553" s="37" t="s">
        <v>764</v>
      </c>
      <c r="I553" s="107">
        <v>1</v>
      </c>
      <c r="J553" s="37">
        <v>750</v>
      </c>
      <c r="K553" s="107" t="s">
        <v>594</v>
      </c>
      <c r="L553" s="37">
        <f>COUNTIF(Drank!A:A,Table1[[#This Row],[ID]])</f>
        <v>1</v>
      </c>
      <c r="M553" s="37" t="s">
        <v>202</v>
      </c>
      <c r="N553" s="37" t="s">
        <v>207</v>
      </c>
      <c r="O553" s="37">
        <v>1</v>
      </c>
      <c r="P553" s="37">
        <v>2018</v>
      </c>
      <c r="Q553" s="37">
        <v>2028</v>
      </c>
      <c r="R553" s="10">
        <f>IF(IFERROR(VLOOKUP(A553,Drank!A:S,15,FALSE),"")=0,"",IFERROR(VLOOKUP(A553,Drank!A:S,15,FALSE),""))</f>
        <v>2021</v>
      </c>
      <c r="S553" s="10">
        <f>IF(IFERROR(VLOOKUP(A553,Drank!A:S,16,FALSE),"")=0,"",IFERROR(VLOOKUP(A553,Drank!A:S,16,FALSE),""))</f>
        <v>2027</v>
      </c>
      <c r="T553" s="10"/>
      <c r="U553" s="37">
        <v>94</v>
      </c>
      <c r="V553" s="18">
        <f>IF(IFERROR(VLOOKUP(A553,Drank!A:T,19,FALSE),"")=0,"",IFERROR(VLOOKUP(A553,Drank!A:T,19,FALSE),""))</f>
        <v>92</v>
      </c>
      <c r="W553" s="1">
        <f>IF(IFERROR(VLOOKUP(A553,Drank!A:T,20,FALSE),"")=0,"",IFERROR(VLOOKUP(A553,Drank!A:T,20,FALSE),""))</f>
        <v>43834</v>
      </c>
      <c r="X553" s="10">
        <f>SUMIF(A:A,A553,I:I)</f>
        <v>11</v>
      </c>
      <c r="Y553" s="37">
        <f>IF(Table1[[#This Row],[Drank]]&gt;0,VLOOKUP(Table1[[#This Row],[ID]],Drank!A:P,16,FALSE),IF(Table1[[#This Row],[WALDD]]&gt;0,VLOOKUP(Table1[[#This Row],[ID]],Wine1!A:Q,17,FALSE),Table1[[#This Row],[EP]]))</f>
        <v>2027</v>
      </c>
      <c r="Z553" s="18">
        <f>IF(Table1[[#This Row],[My Rating]]="",IF(Table1[[#This Row],[WA Rating Clean]]="","",Table1[[#This Row],[WA Rating Clean]]),Table1[[#This Row],[My Rating]])</f>
        <v>92</v>
      </c>
      <c r="AA553" s="37">
        <v>2024</v>
      </c>
      <c r="AB553" s="128">
        <v>22</v>
      </c>
      <c r="AC553" s="2">
        <f t="shared" si="39"/>
        <v>22</v>
      </c>
      <c r="AD553" s="8">
        <v>2</v>
      </c>
      <c r="AE553" s="37">
        <f>IF(Table1[[#This Row],[P/750]]&lt;20,1,IF(Table1[[#This Row],[P/750]]&lt;50,2,3))</f>
        <v>2</v>
      </c>
      <c r="AF553" s="37">
        <f>IF(Table1[[#This Row],[P/750]]&lt;Expenses!$C$30,1,IF(Table1[[#This Row],[P/750]]&lt;Expenses!$C$31,2,IF(Table1[[#This Row],[P/750]]&lt;Expenses!$C$32,3,4)))</f>
        <v>2</v>
      </c>
      <c r="AH553" s="37" t="s">
        <v>384</v>
      </c>
      <c r="AI553" s="11">
        <f>Table1[[#This Row],[Price]]/Table1[[#This Row],[Size (ml)]]*750</f>
        <v>22</v>
      </c>
      <c r="AJ553" s="37">
        <v>94</v>
      </c>
      <c r="AK553" s="37">
        <f>COUNTIF(UniqueID!A:A,Table1[[#This Row],[ID]])</f>
        <v>1</v>
      </c>
      <c r="AL553" s="37" t="str">
        <f>VLOOKUP(Table1[[#This Row],[Cellar Location]],Location!A:F,6,FALSE)</f>
        <v>S</v>
      </c>
      <c r="AO553" s="37" t="str">
        <f>TEXT(Table1[[#This Row],[Purchased]],"mmmm")</f>
        <v>January</v>
      </c>
      <c r="AP553" s="10" t="str">
        <f>TEXT(Table1[[#This Row],[Purchased]],"yyyy")</f>
        <v>1900</v>
      </c>
      <c r="AQ553" s="10"/>
    </row>
    <row r="554" spans="1:43" x14ac:dyDescent="0.25">
      <c r="A554" t="str">
        <f t="shared" si="38"/>
        <v>2013Giuseppe CampagnolaAmarone della Valpolicella Classico Riserva Caterina Zardini</v>
      </c>
      <c r="B554" s="37">
        <v>2013</v>
      </c>
      <c r="C554" s="9" t="s">
        <v>311</v>
      </c>
      <c r="D554" s="35" t="s">
        <v>312</v>
      </c>
      <c r="E554" s="65" t="s">
        <v>313</v>
      </c>
      <c r="F554" s="37" t="s">
        <v>728</v>
      </c>
      <c r="G554" s="37" t="s">
        <v>799</v>
      </c>
      <c r="H554" s="37" t="s">
        <v>800</v>
      </c>
      <c r="I554" s="107">
        <v>1</v>
      </c>
      <c r="J554" s="37">
        <v>750</v>
      </c>
      <c r="K554" s="107" t="s">
        <v>655</v>
      </c>
      <c r="L554" s="37">
        <f>COUNTIF(Drank!A:A,Table1[[#This Row],[ID]])</f>
        <v>0</v>
      </c>
      <c r="M554" t="s">
        <v>202</v>
      </c>
      <c r="N554" t="s">
        <v>207</v>
      </c>
      <c r="O554">
        <v>1</v>
      </c>
      <c r="P554" s="37">
        <v>2019</v>
      </c>
      <c r="Q554">
        <v>2027</v>
      </c>
      <c r="R554" s="10" t="str">
        <f>IF(IFERROR(VLOOKUP(A554,Drank!A:S,15,FALSE),"")=0,"",IFERROR(VLOOKUP(A554,Drank!A:S,15,FALSE),""))</f>
        <v/>
      </c>
      <c r="S554" s="10" t="str">
        <f>IF(IFERROR(VLOOKUP(A554,Drank!A:S,16,FALSE),"")=0,"",IFERROR(VLOOKUP(A554,Drank!A:S,16,FALSE),""))</f>
        <v/>
      </c>
      <c r="T554" s="10"/>
      <c r="U554">
        <v>93</v>
      </c>
      <c r="V554" s="18" t="str">
        <f>IF(IFERROR(VLOOKUP(A554,Drank!A:T,19,FALSE),"")=0,"",IFERROR(VLOOKUP(A554,Drank!A:T,19,FALSE),""))</f>
        <v/>
      </c>
      <c r="W554" s="1" t="str">
        <f>IF(IFERROR(VLOOKUP(A554,Drank!A:T,20,FALSE),"")=0,"",IFERROR(VLOOKUP(A554,Drank!A:T,20,FALSE),""))</f>
        <v/>
      </c>
      <c r="X554" s="10">
        <f>SUMIF(A:A,A554,I:I)</f>
        <v>2</v>
      </c>
      <c r="Y554" s="37">
        <f>IF(Table1[[#This Row],[Drank]]&gt;0,VLOOKUP(Table1[[#This Row],[ID]],Drank!A:P,16,FALSE),IF(Table1[[#This Row],[WALDD]]&gt;0,VLOOKUP(Table1[[#This Row],[ID]],Wine1!A:Q,17,FALSE),Table1[[#This Row],[EP]]))</f>
        <v>2027</v>
      </c>
      <c r="Z554" s="18">
        <f>IF(Table1[[#This Row],[My Rating]]="",IF(Table1[[#This Row],[WA Rating Clean]]="","",Table1[[#This Row],[WA Rating Clean]]),Table1[[#This Row],[My Rating]])</f>
        <v>93</v>
      </c>
      <c r="AA554" s="37">
        <v>2024</v>
      </c>
      <c r="AB554" s="128">
        <v>39.979999999999997</v>
      </c>
      <c r="AC554" s="2">
        <f t="shared" si="39"/>
        <v>39.979999999999997</v>
      </c>
      <c r="AD554" s="8">
        <v>2</v>
      </c>
      <c r="AE554" s="37">
        <f>IF(Table1[[#This Row],[P/750]]&lt;20,1,IF(Table1[[#This Row],[P/750]]&lt;50,2,3))</f>
        <v>2</v>
      </c>
      <c r="AF554" s="37">
        <f>IF(Table1[[#This Row],[P/750]]&lt;Expenses!$C$30,1,IF(Table1[[#This Row],[P/750]]&lt;Expenses!$C$31,2,IF(Table1[[#This Row],[P/750]]&lt;Expenses!$C$32,3,4)))</f>
        <v>3</v>
      </c>
      <c r="AH554" s="37" t="s">
        <v>384</v>
      </c>
      <c r="AI554" s="11">
        <f>Table1[[#This Row],[Price]]/Table1[[#This Row],[Size (ml)]]*750</f>
        <v>39.979999999999997</v>
      </c>
      <c r="AJ554">
        <v>93</v>
      </c>
      <c r="AK554" s="37">
        <f>COUNTIF(UniqueID!A:A,Table1[[#This Row],[ID]])</f>
        <v>1</v>
      </c>
      <c r="AL554" s="37" t="str">
        <f>VLOOKUP(Table1[[#This Row],[Cellar Location]],Location!A:F,6,FALSE)</f>
        <v>S</v>
      </c>
      <c r="AN554" s="37"/>
      <c r="AO554" s="37" t="str">
        <f>TEXT(Table1[[#This Row],[Purchased]],"mmmm")</f>
        <v>January</v>
      </c>
      <c r="AP554" s="10" t="str">
        <f>TEXT(Table1[[#This Row],[Purchased]],"yyyy")</f>
        <v>1900</v>
      </c>
      <c r="AQ554" s="10"/>
    </row>
    <row r="555" spans="1:43" x14ac:dyDescent="0.25">
      <c r="A555" t="str">
        <f t="shared" si="38"/>
        <v>2012Lalande-BorieLalande-Borie</v>
      </c>
      <c r="B555" s="37">
        <v>2012</v>
      </c>
      <c r="C555" s="37" t="s">
        <v>62</v>
      </c>
      <c r="D555" s="25" t="s">
        <v>62</v>
      </c>
      <c r="E555" s="65" t="s">
        <v>282</v>
      </c>
      <c r="F555" s="9" t="s">
        <v>742</v>
      </c>
      <c r="G555" s="9" t="s">
        <v>748</v>
      </c>
      <c r="H555" s="9" t="s">
        <v>752</v>
      </c>
      <c r="I555" s="107">
        <v>1</v>
      </c>
      <c r="J555" s="37">
        <v>750</v>
      </c>
      <c r="K555" s="107" t="s">
        <v>656</v>
      </c>
      <c r="L555" s="37">
        <f>COUNTIF(Drank!A:A,Table1[[#This Row],[ID]])</f>
        <v>0</v>
      </c>
      <c r="M555" t="s">
        <v>202</v>
      </c>
      <c r="N555" t="s">
        <v>207</v>
      </c>
      <c r="O555">
        <v>1</v>
      </c>
      <c r="P555" s="37">
        <v>2017</v>
      </c>
      <c r="Q555">
        <v>2027</v>
      </c>
      <c r="R555" s="37" t="str">
        <f>IF(IFERROR(VLOOKUP(A555,Drank!A:S,15,FALSE),"")=0,"",IFERROR(VLOOKUP(A555,Drank!A:S,15,FALSE),""))</f>
        <v/>
      </c>
      <c r="S555" s="37" t="str">
        <f>IF(IFERROR(VLOOKUP(A555,Drank!A:S,16,FALSE),"")=0,"",IFERROR(VLOOKUP(A555,Drank!A:S,16,FALSE),""))</f>
        <v/>
      </c>
      <c r="T555" s="37"/>
      <c r="U555">
        <v>88</v>
      </c>
      <c r="V555" s="18" t="str">
        <f>IF(IFERROR(VLOOKUP(A555,Drank!A:T,19,FALSE),"")=0,"",IFERROR(VLOOKUP(A555,Drank!A:T,19,FALSE),""))</f>
        <v/>
      </c>
      <c r="W555" s="1" t="str">
        <f>IF(IFERROR(VLOOKUP(A555,Drank!A:T,20,FALSE),"")=0,"",IFERROR(VLOOKUP(A555,Drank!A:T,20,FALSE),""))</f>
        <v/>
      </c>
      <c r="X555" s="37">
        <f>SUMIF(A:A,A555,I:I)</f>
        <v>1</v>
      </c>
      <c r="Y555" s="37">
        <f>IF(Table1[[#This Row],[Drank]]&gt;0,VLOOKUP(Table1[[#This Row],[ID]],Drank!A:P,16,FALSE),IF(Table1[[#This Row],[WALDD]]&gt;0,VLOOKUP(Table1[[#This Row],[ID]],Wine1!A:Q,17,FALSE),Table1[[#This Row],[EP]]))</f>
        <v>2027</v>
      </c>
      <c r="Z555" s="18">
        <f>IF(Table1[[#This Row],[My Rating]]="",IF(Table1[[#This Row],[WA Rating Clean]]="","",Table1[[#This Row],[WA Rating Clean]]),Table1[[#This Row],[My Rating]])</f>
        <v>88</v>
      </c>
      <c r="AA555" s="37">
        <v>2024</v>
      </c>
      <c r="AB555" s="14">
        <v>31.99</v>
      </c>
      <c r="AC555" s="2">
        <f t="shared" si="39"/>
        <v>31.99</v>
      </c>
      <c r="AD555" s="8">
        <v>2</v>
      </c>
      <c r="AE555" s="37">
        <f>IF(Table1[[#This Row],[P/750]]&lt;20,1,IF(Table1[[#This Row],[P/750]]&lt;50,2,3))</f>
        <v>2</v>
      </c>
      <c r="AF555" s="37">
        <f>IF(Table1[[#This Row],[P/750]]&lt;Expenses!$C$30,1,IF(Table1[[#This Row],[P/750]]&lt;Expenses!$C$31,2,IF(Table1[[#This Row],[P/750]]&lt;Expenses!$C$32,3,4)))</f>
        <v>3</v>
      </c>
      <c r="AH555" s="37" t="s">
        <v>1131</v>
      </c>
      <c r="AI555" s="11">
        <f>Table1[[#This Row],[Price]]/Table1[[#This Row],[Size (ml)]]*750</f>
        <v>31.989999999999995</v>
      </c>
      <c r="AJ555">
        <v>88</v>
      </c>
      <c r="AK555" s="37">
        <f>COUNTIF(UniqueID!A:A,Table1[[#This Row],[ID]])</f>
        <v>1</v>
      </c>
      <c r="AL555" s="37" t="str">
        <f>VLOOKUP(Table1[[#This Row],[Cellar Location]],Location!A:F,6,FALSE)</f>
        <v>S</v>
      </c>
      <c r="AN555" s="37"/>
      <c r="AO555" s="37" t="str">
        <f>TEXT(Table1[[#This Row],[Purchased]],"mmmm")</f>
        <v>January</v>
      </c>
      <c r="AP555" s="10" t="str">
        <f>TEXT(Table1[[#This Row],[Purchased]],"yyyy")</f>
        <v>1900</v>
      </c>
      <c r="AQ555" s="10"/>
    </row>
    <row r="556" spans="1:43" x14ac:dyDescent="0.25">
      <c r="A556" t="str">
        <f t="shared" si="38"/>
        <v>2005MontevetranoMontevetrano</v>
      </c>
      <c r="B556" s="37">
        <v>2005</v>
      </c>
      <c r="C556" s="63" t="s">
        <v>1125</v>
      </c>
      <c r="D556" s="8" t="s">
        <v>1125</v>
      </c>
      <c r="E556" s="64" t="s">
        <v>1201</v>
      </c>
      <c r="F556" s="37" t="s">
        <v>728</v>
      </c>
      <c r="G556" s="37" t="s">
        <v>771</v>
      </c>
      <c r="H556" s="37" t="s">
        <v>1127</v>
      </c>
      <c r="I556" s="107">
        <v>1</v>
      </c>
      <c r="J556" s="37">
        <v>750</v>
      </c>
      <c r="K556" s="107" t="s">
        <v>1314</v>
      </c>
      <c r="L556" s="10">
        <f>COUNTIF(Drank!A:A,Table1[[#This Row],[ID]])</f>
        <v>0</v>
      </c>
      <c r="M556" t="s">
        <v>202</v>
      </c>
      <c r="N556" t="s">
        <v>207</v>
      </c>
      <c r="O556">
        <v>1</v>
      </c>
      <c r="P556" s="10">
        <v>2017</v>
      </c>
      <c r="Q556">
        <v>2027</v>
      </c>
      <c r="R556" s="10" t="str">
        <f>IF(IFERROR(VLOOKUP(A556,Drank!A:S,15,FALSE),"")=0,"",IFERROR(VLOOKUP(A556,Drank!A:S,15,FALSE),""))</f>
        <v/>
      </c>
      <c r="S556" s="10" t="str">
        <f>IF(IFERROR(VLOOKUP(A556,Drank!A:S,16,FALSE),"")=0,"",IFERROR(VLOOKUP(A556,Drank!A:S,16,FALSE),""))</f>
        <v/>
      </c>
      <c r="T556" s="10"/>
      <c r="U556">
        <v>92</v>
      </c>
      <c r="V556" s="18" t="str">
        <f>IF(IFERROR(VLOOKUP(A556,Drank!A:T,19,FALSE),"")=0,"",IFERROR(VLOOKUP(A556,Drank!A:T,19,FALSE),""))</f>
        <v/>
      </c>
      <c r="W556" s="1" t="str">
        <f>IF(IFERROR(VLOOKUP(A556,Drank!A:T,20,FALSE),"")=0,"",IFERROR(VLOOKUP(A556,Drank!A:T,20,FALSE),""))</f>
        <v/>
      </c>
      <c r="X556" s="10">
        <f>SUMIF(A:A,A556,I:I)</f>
        <v>2</v>
      </c>
      <c r="Y556" s="10">
        <f>IF(Table1[[#This Row],[Drank]]&gt;0,VLOOKUP(Table1[[#This Row],[ID]],Drank!A:P,16,FALSE),IF(Table1[[#This Row],[WALDD]]&gt;0,VLOOKUP(Table1[[#This Row],[ID]],Wine1!A:Q,17,FALSE),Table1[[#This Row],[EP]]))</f>
        <v>2027</v>
      </c>
      <c r="Z556" s="18">
        <f>IF(Table1[[#This Row],[My Rating]]="",IF(Table1[[#This Row],[WA Rating Clean]]="","",Table1[[#This Row],[WA Rating Clean]]),Table1[[#This Row],[My Rating]])</f>
        <v>92</v>
      </c>
      <c r="AA556" s="37">
        <v>2024</v>
      </c>
      <c r="AB556" s="128">
        <v>59.99</v>
      </c>
      <c r="AC556" s="2">
        <f t="shared" si="39"/>
        <v>59.99</v>
      </c>
      <c r="AD556" s="8">
        <v>2</v>
      </c>
      <c r="AE556" s="10">
        <f>IF(Table1[[#This Row],[P/750]]&lt;20,1,IF(Table1[[#This Row],[P/750]]&lt;50,2,3))</f>
        <v>3</v>
      </c>
      <c r="AF556" s="10">
        <f>IF(Table1[[#This Row],[P/750]]&lt;Expenses!$C$30,1,IF(Table1[[#This Row],[P/750]]&lt;Expenses!$C$31,2,IF(Table1[[#This Row],[P/750]]&lt;Expenses!$C$32,3,4)))</f>
        <v>3</v>
      </c>
      <c r="AH556" s="37" t="s">
        <v>415</v>
      </c>
      <c r="AI556" s="11">
        <f>Table1[[#This Row],[Price]]/Table1[[#This Row],[Size (ml)]]*750</f>
        <v>59.989999999999995</v>
      </c>
      <c r="AJ556">
        <v>92</v>
      </c>
      <c r="AK556" s="10">
        <f>COUNTIF(UniqueID!A:A,Table1[[#This Row],[ID]])</f>
        <v>1</v>
      </c>
      <c r="AL556" s="10" t="str">
        <f>VLOOKUP(Table1[[#This Row],[Cellar Location]],Location!A:F,6,FALSE)</f>
        <v>S</v>
      </c>
      <c r="AN556" s="1">
        <v>43832</v>
      </c>
      <c r="AO556" s="37" t="str">
        <f>TEXT(Table1[[#This Row],[Purchased]],"mmmm")</f>
        <v>January</v>
      </c>
      <c r="AP556" s="10" t="str">
        <f>TEXT(Table1[[#This Row],[Purchased]],"yyyy")</f>
        <v>2020</v>
      </c>
      <c r="AQ556" s="10"/>
    </row>
    <row r="557" spans="1:43" x14ac:dyDescent="0.25">
      <c r="A557" t="str">
        <f t="shared" si="38"/>
        <v>2007TalentiBrunello di Montalcino</v>
      </c>
      <c r="B557" s="37">
        <v>2007</v>
      </c>
      <c r="C557" s="9" t="s">
        <v>410</v>
      </c>
      <c r="D557" s="9" t="s">
        <v>19</v>
      </c>
      <c r="E557" s="64" t="s">
        <v>280</v>
      </c>
      <c r="F557" s="37" t="s">
        <v>728</v>
      </c>
      <c r="G557" s="37" t="s">
        <v>790</v>
      </c>
      <c r="H557" s="37" t="s">
        <v>19</v>
      </c>
      <c r="I557" s="107">
        <v>1</v>
      </c>
      <c r="J557" s="37">
        <v>750</v>
      </c>
      <c r="K557" s="107" t="s">
        <v>648</v>
      </c>
      <c r="L557" s="37">
        <f>COUNTIF(Drank!A:A,Table1[[#This Row],[ID]])</f>
        <v>1</v>
      </c>
      <c r="M557" t="s">
        <v>202</v>
      </c>
      <c r="N557" t="s">
        <v>207</v>
      </c>
      <c r="O557">
        <v>1</v>
      </c>
      <c r="P557" s="37">
        <v>2015</v>
      </c>
      <c r="Q557">
        <v>2027</v>
      </c>
      <c r="R557" s="10">
        <f>IF(IFERROR(VLOOKUP(A557,Drank!A:S,15,FALSE),"")=0,"",IFERROR(VLOOKUP(A557,Drank!A:S,15,FALSE),""))</f>
        <v>2024</v>
      </c>
      <c r="S557" s="10">
        <f>IF(IFERROR(VLOOKUP(A557,Drank!A:S,16,FALSE),"")=0,"",IFERROR(VLOOKUP(A557,Drank!A:S,16,FALSE),""))</f>
        <v>2027</v>
      </c>
      <c r="T557" s="10"/>
      <c r="U557">
        <v>94</v>
      </c>
      <c r="V557" s="18">
        <f>IF(IFERROR(VLOOKUP(A557,Drank!A:T,19,FALSE),"")=0,"",IFERROR(VLOOKUP(A557,Drank!A:T,19,FALSE),""))</f>
        <v>92</v>
      </c>
      <c r="W557" s="1">
        <f>IF(IFERROR(VLOOKUP(A557,Drank!A:T,20,FALSE),"")=0,"",IFERROR(VLOOKUP(A557,Drank!A:T,20,FALSE),""))</f>
        <v>43793</v>
      </c>
      <c r="X557" s="10">
        <f>SUMIF(A:A,A557,I:I)</f>
        <v>2</v>
      </c>
      <c r="Y557" s="37">
        <f>IF(Table1[[#This Row],[Drank]]&gt;0,VLOOKUP(Table1[[#This Row],[ID]],Drank!A:P,16,FALSE),IF(Table1[[#This Row],[WALDD]]&gt;0,VLOOKUP(Table1[[#This Row],[ID]],Wine1!A:Q,17,FALSE),Table1[[#This Row],[EP]]))</f>
        <v>2027</v>
      </c>
      <c r="Z557" s="18">
        <f>IF(Table1[[#This Row],[My Rating]]="",IF(Table1[[#This Row],[WA Rating Clean]]="","",Table1[[#This Row],[WA Rating Clean]]),Table1[[#This Row],[My Rating]])</f>
        <v>92</v>
      </c>
      <c r="AA557" s="6">
        <v>2024</v>
      </c>
      <c r="AB557" s="128">
        <v>50</v>
      </c>
      <c r="AC557" s="2">
        <f t="shared" si="39"/>
        <v>50</v>
      </c>
      <c r="AD557" s="8">
        <v>2</v>
      </c>
      <c r="AE557" s="37">
        <f>IF(Table1[[#This Row],[P/750]]&lt;20,1,IF(Table1[[#This Row],[P/750]]&lt;50,2,3))</f>
        <v>3</v>
      </c>
      <c r="AF557" s="37">
        <f>IF(Table1[[#This Row],[P/750]]&lt;Expenses!$C$30,1,IF(Table1[[#This Row],[P/750]]&lt;Expenses!$C$31,2,IF(Table1[[#This Row],[P/750]]&lt;Expenses!$C$32,3,4)))</f>
        <v>3</v>
      </c>
      <c r="AH557" s="37" t="s">
        <v>415</v>
      </c>
      <c r="AI557" s="11">
        <f>Table1[[#This Row],[Price]]/Table1[[#This Row],[Size (ml)]]*750</f>
        <v>50</v>
      </c>
      <c r="AJ557">
        <v>94</v>
      </c>
      <c r="AK557" s="37">
        <f>COUNTIF(UniqueID!A:A,Table1[[#This Row],[ID]])</f>
        <v>1</v>
      </c>
      <c r="AL557" s="37" t="str">
        <f>VLOOKUP(Table1[[#This Row],[Cellar Location]],Location!A:F,6,FALSE)</f>
        <v>S</v>
      </c>
      <c r="AN557" s="37"/>
      <c r="AO557" s="37" t="str">
        <f>TEXT(Table1[[#This Row],[Purchased]],"mmmm")</f>
        <v>January</v>
      </c>
      <c r="AP557" s="10" t="str">
        <f>TEXT(Table1[[#This Row],[Purchased]],"yyyy")</f>
        <v>1900</v>
      </c>
      <c r="AQ557" s="10"/>
    </row>
    <row r="558" spans="1:43" x14ac:dyDescent="0.25">
      <c r="A558" s="37" t="str">
        <f t="shared" si="38"/>
        <v>2017Vintage LongbottomHenry's Drive Shiraz</v>
      </c>
      <c r="B558" s="8">
        <v>2017</v>
      </c>
      <c r="C558" s="37" t="s">
        <v>1547</v>
      </c>
      <c r="D558" s="32" t="s">
        <v>1548</v>
      </c>
      <c r="E558" s="69" t="s">
        <v>1549</v>
      </c>
      <c r="F558" s="37" t="s">
        <v>736</v>
      </c>
      <c r="G558" s="37" t="s">
        <v>737</v>
      </c>
      <c r="I558" s="37">
        <v>1</v>
      </c>
      <c r="J558" s="38">
        <v>750</v>
      </c>
      <c r="K558" s="38" t="s">
        <v>384</v>
      </c>
      <c r="L558" s="10">
        <f>COUNTIF(Drank!A:A,Table1[[#This Row],[ID]])</f>
        <v>0</v>
      </c>
      <c r="M558" t="s">
        <v>202</v>
      </c>
      <c r="N558" t="s">
        <v>207</v>
      </c>
      <c r="O558">
        <v>1</v>
      </c>
      <c r="P558" s="37">
        <v>2019</v>
      </c>
      <c r="Q558">
        <v>2028</v>
      </c>
      <c r="R558" s="10" t="str">
        <f>IF(IFERROR(VLOOKUP(A558,Drank!A:S,15,FALSE),"")=0,"",IFERROR(VLOOKUP(A558,Drank!A:S,15,FALSE),""))</f>
        <v/>
      </c>
      <c r="S558" s="10" t="str">
        <f>IF(IFERROR(VLOOKUP(A558,Drank!A:S,16,FALSE),"")=0,"",IFERROR(VLOOKUP(A558,Drank!A:S,16,FALSE),""))</f>
        <v/>
      </c>
      <c r="T558" s="10"/>
      <c r="U558">
        <v>92</v>
      </c>
      <c r="V558" s="18" t="str">
        <f>IF(IFERROR(VLOOKUP(A558,Drank!A:T,19,FALSE),"")=0,"",IFERROR(VLOOKUP(A558,Drank!A:T,19,FALSE),""))</f>
        <v/>
      </c>
      <c r="W558" s="1" t="str">
        <f>IF(IFERROR(VLOOKUP(A558,Drank!A:T,20,FALSE),"")=0,"",IFERROR(VLOOKUP(A558,Drank!A:T,20,FALSE),""))</f>
        <v/>
      </c>
      <c r="X558" s="10">
        <f>SUMIF(A:A,A558,I:I)</f>
        <v>4</v>
      </c>
      <c r="Y558" s="10">
        <f>IF(Table1[[#This Row],[Drank]]&gt;0,VLOOKUP(Table1[[#This Row],[ID]],Drank!A:P,16,FALSE),IF(Table1[[#This Row],[WALDD]]&gt;0,VLOOKUP(Table1[[#This Row],[ID]],Wine1!A:Q,17,FALSE),Table1[[#This Row],[EP]]))</f>
        <v>2028</v>
      </c>
      <c r="Z558" s="18">
        <f>IF(Table1[[#This Row],[My Rating]]="",IF(Table1[[#This Row],[WA Rating Clean]]="","",Table1[[#This Row],[WA Rating Clean]]),Table1[[#This Row],[My Rating]])</f>
        <v>92</v>
      </c>
      <c r="AA558" s="37">
        <v>2024</v>
      </c>
      <c r="AB558" s="128">
        <v>21.72</v>
      </c>
      <c r="AC558" s="2">
        <f t="shared" si="39"/>
        <v>21.72</v>
      </c>
      <c r="AD558" s="8">
        <v>1</v>
      </c>
      <c r="AE558" s="10">
        <f>IF(Table1[[#This Row],[P/750]]&lt;20,1,IF(Table1[[#This Row],[P/750]]&lt;50,2,3))</f>
        <v>2</v>
      </c>
      <c r="AF558" s="10">
        <f>IF(Table1[[#This Row],[P/750]]&lt;Expenses!$C$30,1,IF(Table1[[#This Row],[P/750]]&lt;Expenses!$C$31,2,IF(Table1[[#This Row],[P/750]]&lt;Expenses!$C$32,3,4)))</f>
        <v>2</v>
      </c>
      <c r="AH558" s="37" t="s">
        <v>384</v>
      </c>
      <c r="AI558" s="11">
        <f>Table1[[#This Row],[Price]]/Table1[[#This Row],[Size (ml)]]*750</f>
        <v>21.72</v>
      </c>
      <c r="AJ558">
        <v>92</v>
      </c>
      <c r="AK558" s="10">
        <f>COUNTIF(UniqueID!A:A,Table1[[#This Row],[ID]])</f>
        <v>0</v>
      </c>
      <c r="AL558" s="10" t="str">
        <f>VLOOKUP(Table1[[#This Row],[Cellar Location]],Location!A:F,6,FALSE)</f>
        <v>W</v>
      </c>
      <c r="AN558" s="1">
        <v>44036</v>
      </c>
      <c r="AO558" s="10" t="str">
        <f>TEXT(Table1[[#This Row],[Purchased]],"mmmm")</f>
        <v>July</v>
      </c>
      <c r="AP558" s="10" t="str">
        <f>TEXT(Table1[[#This Row],[Purchased]],"yyyy")</f>
        <v>2020</v>
      </c>
      <c r="AQ558" s="1">
        <v>44138</v>
      </c>
    </row>
    <row r="559" spans="1:43" x14ac:dyDescent="0.25">
      <c r="A559" t="str">
        <f t="shared" si="38"/>
        <v>2008Tua RitaGiusto di Notri</v>
      </c>
      <c r="B559" s="37">
        <v>2008</v>
      </c>
      <c r="C559" s="37" t="s">
        <v>859</v>
      </c>
      <c r="D559" s="37" t="s">
        <v>860</v>
      </c>
      <c r="E559" s="67" t="s">
        <v>1563</v>
      </c>
      <c r="F559" s="37" t="s">
        <v>728</v>
      </c>
      <c r="G559" s="37" t="s">
        <v>790</v>
      </c>
      <c r="H559" s="37" t="s">
        <v>796</v>
      </c>
      <c r="I559" s="8">
        <v>1</v>
      </c>
      <c r="J559" s="38">
        <v>750</v>
      </c>
      <c r="K559" s="38" t="s">
        <v>1564</v>
      </c>
      <c r="L559" s="10">
        <f>COUNTIF(Drank!A:A,Table1[[#This Row],[ID]])</f>
        <v>0</v>
      </c>
      <c r="M559" t="s">
        <v>202</v>
      </c>
      <c r="N559" t="s">
        <v>207</v>
      </c>
      <c r="O559">
        <v>1</v>
      </c>
      <c r="P559" s="10">
        <v>2016</v>
      </c>
      <c r="Q559">
        <v>2028</v>
      </c>
      <c r="R559" s="10" t="str">
        <f>IF(IFERROR(VLOOKUP(A559,Drank!A:S,15,FALSE),"")=0,"",IFERROR(VLOOKUP(A559,Drank!A:S,15,FALSE),""))</f>
        <v/>
      </c>
      <c r="S559" s="10" t="str">
        <f>IF(IFERROR(VLOOKUP(A559,Drank!A:S,16,FALSE),"")=0,"",IFERROR(VLOOKUP(A559,Drank!A:S,16,FALSE),""))</f>
        <v/>
      </c>
      <c r="T559" s="10"/>
      <c r="U559">
        <v>94</v>
      </c>
      <c r="V559" s="18" t="str">
        <f>IF(IFERROR(VLOOKUP(A559,Drank!A:T,19,FALSE),"")=0,"",IFERROR(VLOOKUP(A559,Drank!A:T,19,FALSE),""))</f>
        <v/>
      </c>
      <c r="W559" s="1" t="str">
        <f>IF(IFERROR(VLOOKUP(A559,Drank!A:T,20,FALSE),"")=0,"",IFERROR(VLOOKUP(A559,Drank!A:T,20,FALSE),""))</f>
        <v/>
      </c>
      <c r="X559" s="10">
        <f>SUMIF(A:A,A559,I:I)</f>
        <v>12</v>
      </c>
      <c r="Y559" s="10">
        <f>IF(Table1[[#This Row],[Drank]]&gt;0,VLOOKUP(Table1[[#This Row],[ID]],Drank!A:P,16,FALSE),IF(Table1[[#This Row],[WALDD]]&gt;0,VLOOKUP(Table1[[#This Row],[ID]],Wine1!A:Q,17,FALSE),Table1[[#This Row],[EP]]))</f>
        <v>2028</v>
      </c>
      <c r="Z559" s="18">
        <f>IF(Table1[[#This Row],[My Rating]]="",IF(Table1[[#This Row],[WA Rating Clean]]="","",Table1[[#This Row],[WA Rating Clean]]),Table1[[#This Row],[My Rating]])</f>
        <v>94</v>
      </c>
      <c r="AA559" s="37">
        <v>2024</v>
      </c>
      <c r="AB559" s="128">
        <v>54.41</v>
      </c>
      <c r="AC559" s="2">
        <f t="shared" si="39"/>
        <v>54.41</v>
      </c>
      <c r="AD559" s="8">
        <v>1</v>
      </c>
      <c r="AE559" s="10">
        <f>IF(Table1[[#This Row],[P/750]]&lt;20,1,IF(Table1[[#This Row],[P/750]]&lt;50,2,3))</f>
        <v>3</v>
      </c>
      <c r="AF559" s="10">
        <f>IF(Table1[[#This Row],[P/750]]&lt;Expenses!$C$30,1,IF(Table1[[#This Row],[P/750]]&lt;Expenses!$C$31,2,IF(Table1[[#This Row],[P/750]]&lt;Expenses!$C$32,3,4)))</f>
        <v>3</v>
      </c>
      <c r="AH559" s="37" t="s">
        <v>1564</v>
      </c>
      <c r="AI559" s="11">
        <f>Table1[[#This Row],[Price]]/Table1[[#This Row],[Size (ml)]]*750</f>
        <v>54.41</v>
      </c>
      <c r="AJ559">
        <v>94</v>
      </c>
      <c r="AK559" s="10">
        <f>COUNTIF(UniqueID!A:A,Table1[[#This Row],[ID]])</f>
        <v>0</v>
      </c>
      <c r="AL559" s="10" t="str">
        <f>VLOOKUP(Table1[[#This Row],[Cellar Location]],Location!A:F,6,FALSE)</f>
        <v>W</v>
      </c>
      <c r="AN559" s="1">
        <v>44045</v>
      </c>
      <c r="AO559" s="10" t="str">
        <f>TEXT(Table1[[#This Row],[Purchased]],"mmmm")</f>
        <v>August</v>
      </c>
      <c r="AP559" s="10" t="str">
        <f>TEXT(Table1[[#This Row],[Purchased]],"yyyy")</f>
        <v>2020</v>
      </c>
      <c r="AQ559" s="1">
        <v>44094</v>
      </c>
    </row>
    <row r="560" spans="1:43" x14ac:dyDescent="0.25">
      <c r="A560" t="str">
        <f t="shared" si="38"/>
        <v>2008CaparzoBrunello di Montalcino</v>
      </c>
      <c r="B560" s="37">
        <v>2008</v>
      </c>
      <c r="C560" s="37" t="s">
        <v>28</v>
      </c>
      <c r="D560" s="37" t="s">
        <v>19</v>
      </c>
      <c r="E560" s="67" t="s">
        <v>1250</v>
      </c>
      <c r="F560" s="37" t="s">
        <v>728</v>
      </c>
      <c r="G560" s="37" t="s">
        <v>790</v>
      </c>
      <c r="H560" s="37" t="s">
        <v>19</v>
      </c>
      <c r="I560" s="37">
        <v>1</v>
      </c>
      <c r="J560" s="37">
        <v>750</v>
      </c>
      <c r="K560" s="8" t="s">
        <v>11</v>
      </c>
      <c r="L560" s="37">
        <f>COUNTIF(Drank!A:A,Table1[[#This Row],[ID]])</f>
        <v>0</v>
      </c>
      <c r="M560" t="s">
        <v>202</v>
      </c>
      <c r="N560" t="s">
        <v>207</v>
      </c>
      <c r="O560">
        <v>1</v>
      </c>
      <c r="P560" s="37">
        <v>2015</v>
      </c>
      <c r="Q560">
        <v>2028</v>
      </c>
      <c r="R560" s="37" t="str">
        <f>IF(IFERROR(VLOOKUP(A560,Drank!A:S,15,FALSE),"")=0,"",IFERROR(VLOOKUP(A560,Drank!A:S,15,FALSE),""))</f>
        <v/>
      </c>
      <c r="S560" s="37" t="str">
        <f>IF(IFERROR(VLOOKUP(A560,Drank!A:S,16,FALSE),"")=0,"",IFERROR(VLOOKUP(A560,Drank!A:S,16,FALSE),""))</f>
        <v/>
      </c>
      <c r="T560" s="37"/>
      <c r="U560" t="s">
        <v>29</v>
      </c>
      <c r="V560" s="18" t="str">
        <f>IF(IFERROR(VLOOKUP(A560,Drank!A:T,19,FALSE),"")=0,"",IFERROR(VLOOKUP(A560,Drank!A:T,19,FALSE),""))</f>
        <v/>
      </c>
      <c r="W560" s="1" t="str">
        <f>IF(IFERROR(VLOOKUP(A560,Drank!A:T,20,FALSE),"")=0,"",IFERROR(VLOOKUP(A560,Drank!A:T,20,FALSE),""))</f>
        <v/>
      </c>
      <c r="X560" s="37">
        <f>SUMIF(A:A,A560,I:I)</f>
        <v>1</v>
      </c>
      <c r="Y560" s="37">
        <f>IF(Table1[[#This Row],[Drank]]&gt;0,VLOOKUP(Table1[[#This Row],[ID]],Drank!A:P,16,FALSE),IF(Table1[[#This Row],[WALDD]]&gt;0,VLOOKUP(Table1[[#This Row],[ID]],Wine1!A:Q,17,FALSE),Table1[[#This Row],[EP]]))</f>
        <v>2028</v>
      </c>
      <c r="Z560" s="18">
        <f>IF(Table1[[#This Row],[My Rating]]="",IF(Table1[[#This Row],[WA Rating Clean]]="","",Table1[[#This Row],[WA Rating Clean]]),Table1[[#This Row],[My Rating]])</f>
        <v>92</v>
      </c>
      <c r="AA560" s="37">
        <v>2024</v>
      </c>
      <c r="AB560" s="134">
        <v>30</v>
      </c>
      <c r="AC560" s="2">
        <f t="shared" si="39"/>
        <v>30</v>
      </c>
      <c r="AD560" s="8">
        <v>0</v>
      </c>
      <c r="AE560" s="37">
        <f>IF(Table1[[#This Row],[P/750]]&lt;20,1,IF(Table1[[#This Row],[P/750]]&lt;50,2,3))</f>
        <v>2</v>
      </c>
      <c r="AF560" s="37">
        <f>IF(Table1[[#This Row],[P/750]]&lt;Expenses!$C$30,1,IF(Table1[[#This Row],[P/750]]&lt;Expenses!$C$31,2,IF(Table1[[#This Row],[P/750]]&lt;Expenses!$C$32,3,4)))</f>
        <v>3</v>
      </c>
      <c r="AH560" s="37" t="s">
        <v>1131</v>
      </c>
      <c r="AI560" s="11">
        <f>Table1[[#This Row],[Price]]/Table1[[#This Row],[Size (ml)]]*750</f>
        <v>30</v>
      </c>
      <c r="AJ560">
        <v>92</v>
      </c>
      <c r="AK560" s="37">
        <f>COUNTIF(UniqueID!A:A,Table1[[#This Row],[ID]])</f>
        <v>1</v>
      </c>
      <c r="AL560" s="37" t="str">
        <f>VLOOKUP(Table1[[#This Row],[Cellar Location]],Location!A:F,6,FALSE)</f>
        <v>K</v>
      </c>
      <c r="AN560" s="37"/>
      <c r="AO560" s="37" t="str">
        <f>TEXT(Table1[[#This Row],[Purchased]],"mmmm")</f>
        <v>January</v>
      </c>
      <c r="AP560" s="10" t="str">
        <f>TEXT(Table1[[#This Row],[Purchased]],"yyyy")</f>
        <v>1900</v>
      </c>
      <c r="AQ560" s="10"/>
    </row>
    <row r="561" spans="1:43" x14ac:dyDescent="0.25">
      <c r="A561" s="37" t="str">
        <f t="shared" si="38"/>
        <v>2016Chateau La Croix Des PinsGigondas Les Dessous des Dentelles</v>
      </c>
      <c r="B561" s="8">
        <v>2016</v>
      </c>
      <c r="C561" s="8" t="s">
        <v>1306</v>
      </c>
      <c r="D561" s="37" t="s">
        <v>1307</v>
      </c>
      <c r="E561" s="69" t="s">
        <v>1642</v>
      </c>
      <c r="F561" s="37" t="s">
        <v>742</v>
      </c>
      <c r="G561" s="37" t="s">
        <v>759</v>
      </c>
      <c r="H561" s="37" t="s">
        <v>764</v>
      </c>
      <c r="I561" s="107">
        <v>1</v>
      </c>
      <c r="J561" s="37">
        <v>750</v>
      </c>
      <c r="K561" s="107" t="s">
        <v>1314</v>
      </c>
      <c r="L561" s="10">
        <f>COUNTIF(Drank!A:A,Table1[[#This Row],[ID]])</f>
        <v>0</v>
      </c>
      <c r="M561" t="s">
        <v>202</v>
      </c>
      <c r="N561" t="s">
        <v>207</v>
      </c>
      <c r="O561">
        <v>1</v>
      </c>
      <c r="P561" s="37">
        <v>2018</v>
      </c>
      <c r="Q561">
        <v>2028</v>
      </c>
      <c r="R561" s="10" t="str">
        <f>IF(IFERROR(VLOOKUP(A561,Drank!A:S,15,FALSE),"")=0,"",IFERROR(VLOOKUP(A561,Drank!A:S,15,FALSE),""))</f>
        <v/>
      </c>
      <c r="S561" s="10" t="str">
        <f>IF(IFERROR(VLOOKUP(A561,Drank!A:S,16,FALSE),"")=0,"",IFERROR(VLOOKUP(A561,Drank!A:S,16,FALSE),""))</f>
        <v/>
      </c>
      <c r="T561" s="10"/>
      <c r="U561">
        <v>93</v>
      </c>
      <c r="V561" s="18" t="str">
        <f>IF(IFERROR(VLOOKUP(A561,Drank!A:T,19,FALSE),"")=0,"",IFERROR(VLOOKUP(A561,Drank!A:T,19,FALSE),""))</f>
        <v/>
      </c>
      <c r="W561" s="1" t="str">
        <f>IF(IFERROR(VLOOKUP(A561,Drank!A:T,20,FALSE),"")=0,"",IFERROR(VLOOKUP(A561,Drank!A:T,20,FALSE),""))</f>
        <v/>
      </c>
      <c r="X561" s="10">
        <f>SUMIF(A:A,A561,I:I)</f>
        <v>2</v>
      </c>
      <c r="Y561" s="10">
        <f>IF(Table1[[#This Row],[Drank]]&gt;0,VLOOKUP(Table1[[#This Row],[ID]],Drank!A:P,16,FALSE),IF(Table1[[#This Row],[WALDD]]&gt;0,VLOOKUP(Table1[[#This Row],[ID]],Wine1!A:Q,17,FALSE),Table1[[#This Row],[EP]]))</f>
        <v>2028</v>
      </c>
      <c r="Z561" s="18">
        <f>IF(Table1[[#This Row],[My Rating]]="",IF(Table1[[#This Row],[WA Rating Clean]]="","",Table1[[#This Row],[WA Rating Clean]]),Table1[[#This Row],[My Rating]])</f>
        <v>93</v>
      </c>
      <c r="AA561" s="8">
        <v>2024</v>
      </c>
      <c r="AB561" s="128">
        <v>21.72</v>
      </c>
      <c r="AC561" s="2">
        <f t="shared" si="39"/>
        <v>21.72</v>
      </c>
      <c r="AD561" s="8">
        <v>2</v>
      </c>
      <c r="AE561" s="10">
        <f>IF(Table1[[#This Row],[P/750]]&lt;20,1,IF(Table1[[#This Row],[P/750]]&lt;50,2,3))</f>
        <v>2</v>
      </c>
      <c r="AF561" s="10">
        <f>IF(Table1[[#This Row],[P/750]]&lt;Expenses!$C$30,1,IF(Table1[[#This Row],[P/750]]&lt;Expenses!$C$31,2,IF(Table1[[#This Row],[P/750]]&lt;Expenses!$C$32,3,4)))</f>
        <v>2</v>
      </c>
      <c r="AH561" s="37" t="s">
        <v>384</v>
      </c>
      <c r="AI561" s="11">
        <f>Table1[[#This Row],[Price]]/Table1[[#This Row],[Size (ml)]]*750</f>
        <v>21.72</v>
      </c>
      <c r="AJ561">
        <v>93</v>
      </c>
      <c r="AK561" s="10">
        <f>COUNTIF(UniqueID!A:A,Table1[[#This Row],[ID]])</f>
        <v>0</v>
      </c>
      <c r="AL561" s="10" t="str">
        <f>VLOOKUP(Table1[[#This Row],[Cellar Location]],Location!A:F,6,FALSE)</f>
        <v>S</v>
      </c>
      <c r="AN561" s="1">
        <v>43885</v>
      </c>
      <c r="AO561" s="10" t="str">
        <f>TEXT(Table1[[#This Row],[Purchased]],"mmmm")</f>
        <v>February</v>
      </c>
      <c r="AP561" s="10" t="str">
        <f>TEXT(Table1[[#This Row],[Purchased]],"yyyy")</f>
        <v>2020</v>
      </c>
      <c r="AQ561" s="10"/>
    </row>
    <row r="562" spans="1:43" x14ac:dyDescent="0.25">
      <c r="A562" s="37" t="str">
        <f t="shared" si="38"/>
        <v>2011Corte PavoneBrunello di Montalcino</v>
      </c>
      <c r="B562" s="37">
        <v>2011</v>
      </c>
      <c r="C562" s="19" t="s">
        <v>12</v>
      </c>
      <c r="D562" s="9" t="s">
        <v>19</v>
      </c>
      <c r="E562" s="65" t="s">
        <v>280</v>
      </c>
      <c r="F562" s="37" t="s">
        <v>728</v>
      </c>
      <c r="G562" s="37" t="s">
        <v>790</v>
      </c>
      <c r="H562" s="37" t="s">
        <v>19</v>
      </c>
      <c r="I562" s="37">
        <v>1</v>
      </c>
      <c r="J562">
        <v>750</v>
      </c>
      <c r="K562" s="8" t="s">
        <v>11</v>
      </c>
      <c r="L562" s="37">
        <f>COUNTIF(Drank!A:A,Table1[[#This Row],[ID]])</f>
        <v>1</v>
      </c>
      <c r="M562" t="s">
        <v>202</v>
      </c>
      <c r="N562" t="s">
        <v>207</v>
      </c>
      <c r="O562">
        <v>1</v>
      </c>
      <c r="P562" s="37">
        <v>2017</v>
      </c>
      <c r="Q562">
        <v>2030</v>
      </c>
      <c r="R562" s="37">
        <f>IF(IFERROR(VLOOKUP(A562,Drank!A:S,15,FALSE),"")=0,"",IFERROR(VLOOKUP(A562,Drank!A:S,15,FALSE),""))</f>
        <v>2023</v>
      </c>
      <c r="S562" s="37">
        <f>IF(IFERROR(VLOOKUP(A562,Drank!A:S,16,FALSE),"")=0,"",IFERROR(VLOOKUP(A562,Drank!A:S,16,FALSE),""))</f>
        <v>2028</v>
      </c>
      <c r="T562" s="37"/>
      <c r="U562">
        <v>92</v>
      </c>
      <c r="V562" s="18">
        <f>IF(IFERROR(VLOOKUP(A562,Drank!A:T,19,FALSE),"")=0,"",IFERROR(VLOOKUP(A562,Drank!A:T,19,FALSE),""))</f>
        <v>90</v>
      </c>
      <c r="W562" s="1">
        <f>IF(IFERROR(VLOOKUP(A562,Drank!A:T,20,FALSE),"")=0,"",IFERROR(VLOOKUP(A562,Drank!A:T,20,FALSE),""))</f>
        <v>43526</v>
      </c>
      <c r="X562" s="37">
        <f>SUMIF(A:A,A562,I:I)</f>
        <v>2</v>
      </c>
      <c r="Y562" s="37">
        <f>IF(Table1[[#This Row],[Drank]]&gt;0,VLOOKUP(Table1[[#This Row],[ID]],Drank!A:P,16,FALSE),IF(Table1[[#This Row],[WALDD]]&gt;0,VLOOKUP(Table1[[#This Row],[ID]],Wine1!A:Q,17,FALSE),Table1[[#This Row],[EP]]))</f>
        <v>2028</v>
      </c>
      <c r="Z562" s="18">
        <f>IF(Table1[[#This Row],[My Rating]]="",IF(Table1[[#This Row],[WA Rating Clean]]="","",Table1[[#This Row],[WA Rating Clean]]),Table1[[#This Row],[My Rating]])</f>
        <v>90</v>
      </c>
      <c r="AA562" s="8">
        <v>2024</v>
      </c>
      <c r="AB562" s="128">
        <v>32.99</v>
      </c>
      <c r="AC562" s="2">
        <f t="shared" si="39"/>
        <v>32.99</v>
      </c>
      <c r="AD562" s="8">
        <v>0</v>
      </c>
      <c r="AE562" s="37">
        <f>IF(Table1[[#This Row],[P/750]]&lt;20,1,IF(Table1[[#This Row],[P/750]]&lt;50,2,3))</f>
        <v>2</v>
      </c>
      <c r="AF562" s="37">
        <f>IF(Table1[[#This Row],[P/750]]&lt;Expenses!$C$30,1,IF(Table1[[#This Row],[P/750]]&lt;Expenses!$C$31,2,IF(Table1[[#This Row],[P/750]]&lt;Expenses!$C$32,3,4)))</f>
        <v>3</v>
      </c>
      <c r="AH562" s="37" t="s">
        <v>384</v>
      </c>
      <c r="AI562" s="11">
        <f>Table1[[#This Row],[Price]]/Table1[[#This Row],[Size (ml)]]*750</f>
        <v>32.99</v>
      </c>
      <c r="AJ562">
        <v>92</v>
      </c>
      <c r="AK562" s="37">
        <f>COUNTIF(UniqueID!A:A,Table1[[#This Row],[ID]])</f>
        <v>1</v>
      </c>
      <c r="AL562" s="37" t="str">
        <f>VLOOKUP(Table1[[#This Row],[Cellar Location]],Location!A:F,6,FALSE)</f>
        <v>K</v>
      </c>
      <c r="AN562" s="37"/>
      <c r="AO562" s="37" t="str">
        <f>TEXT(Table1[[#This Row],[Purchased]],"mmmm")</f>
        <v>January</v>
      </c>
      <c r="AP562" s="10" t="str">
        <f>TEXT(Table1[[#This Row],[Purchased]],"yyyy")</f>
        <v>1900</v>
      </c>
      <c r="AQ562" s="10"/>
    </row>
    <row r="563" spans="1:43" x14ac:dyDescent="0.25">
      <c r="A563" t="str">
        <f t="shared" si="38"/>
        <v>2015Giuseppe CampagnolaAmarone della Valpolicella Classico Vigneti Vallata di Marano</v>
      </c>
      <c r="B563" s="37">
        <v>2015</v>
      </c>
      <c r="C563" s="37" t="s">
        <v>311</v>
      </c>
      <c r="D563" s="37" t="s">
        <v>592</v>
      </c>
      <c r="E563" s="64" t="s">
        <v>313</v>
      </c>
      <c r="F563" s="37" t="s">
        <v>728</v>
      </c>
      <c r="G563" s="37" t="s">
        <v>799</v>
      </c>
      <c r="H563" s="37" t="s">
        <v>800</v>
      </c>
      <c r="I563" s="107">
        <v>1</v>
      </c>
      <c r="J563">
        <v>750</v>
      </c>
      <c r="K563" s="107" t="s">
        <v>594</v>
      </c>
      <c r="L563" s="10">
        <f>COUNTIF(Drank!A:A,Table1[[#This Row],[ID]])</f>
        <v>1</v>
      </c>
      <c r="M563" t="s">
        <v>202</v>
      </c>
      <c r="N563" t="s">
        <v>207</v>
      </c>
      <c r="O563">
        <v>1</v>
      </c>
      <c r="P563" s="10">
        <v>2019</v>
      </c>
      <c r="Q563">
        <v>2028</v>
      </c>
      <c r="R563" s="10">
        <f>IF(IFERROR(VLOOKUP(A563,Drank!A:S,15,FALSE),"")=0,"",IFERROR(VLOOKUP(A563,Drank!A:S,15,FALSE),""))</f>
        <v>2025</v>
      </c>
      <c r="S563" s="10">
        <f>IF(IFERROR(VLOOKUP(A563,Drank!A:S,16,FALSE),"")=0,"",IFERROR(VLOOKUP(A563,Drank!A:S,16,FALSE),""))</f>
        <v>2028</v>
      </c>
      <c r="T563" s="10"/>
      <c r="U563">
        <v>91</v>
      </c>
      <c r="V563" s="18">
        <f>IF(IFERROR(VLOOKUP(A563,Drank!A:T,19,FALSE),"")=0,"",IFERROR(VLOOKUP(A563,Drank!A:T,19,FALSE),""))</f>
        <v>92</v>
      </c>
      <c r="W563" s="1">
        <f>IF(IFERROR(VLOOKUP(A563,Drank!A:T,20,FALSE),"")=0,"",IFERROR(VLOOKUP(A563,Drank!A:T,20,FALSE),""))</f>
        <v>43890</v>
      </c>
      <c r="X563" s="10">
        <f>SUMIF(A:A,A563,I:I)</f>
        <v>8</v>
      </c>
      <c r="Y563" s="10">
        <f>IF(Table1[[#This Row],[Drank]]&gt;0,VLOOKUP(Table1[[#This Row],[ID]],Drank!A:P,16,FALSE),IF(Table1[[#This Row],[WALDD]]&gt;0,VLOOKUP(Table1[[#This Row],[ID]],Wine1!A:Q,17,FALSE),Table1[[#This Row],[EP]]))</f>
        <v>2028</v>
      </c>
      <c r="Z563" s="18">
        <f>IF(Table1[[#This Row],[My Rating]]="",IF(Table1[[#This Row],[WA Rating Clean]]="","",Table1[[#This Row],[WA Rating Clean]]),Table1[[#This Row],[My Rating]])</f>
        <v>92</v>
      </c>
      <c r="AA563" s="37">
        <v>2024</v>
      </c>
      <c r="AB563" s="128">
        <v>29.99</v>
      </c>
      <c r="AC563" s="2">
        <f t="shared" si="39"/>
        <v>29.99</v>
      </c>
      <c r="AD563" s="8">
        <v>2</v>
      </c>
      <c r="AE563" s="10">
        <f>IF(Table1[[#This Row],[P/750]]&lt;20,1,IF(Table1[[#This Row],[P/750]]&lt;50,2,3))</f>
        <v>2</v>
      </c>
      <c r="AF563" s="10">
        <f>IF(Table1[[#This Row],[P/750]]&lt;Expenses!$C$30,1,IF(Table1[[#This Row],[P/750]]&lt;Expenses!$C$31,2,IF(Table1[[#This Row],[P/750]]&lt;Expenses!$C$32,3,4)))</f>
        <v>3</v>
      </c>
      <c r="AH563" s="37" t="s">
        <v>384</v>
      </c>
      <c r="AI563" s="11">
        <f>Table1[[#This Row],[Price]]/Table1[[#This Row],[Size (ml)]]*750</f>
        <v>29.99</v>
      </c>
      <c r="AJ563">
        <v>91</v>
      </c>
      <c r="AK563" s="37">
        <f>COUNTIF(UniqueID!A:A,Table1[[#This Row],[ID]])</f>
        <v>1</v>
      </c>
      <c r="AL563" s="37" t="str">
        <f>VLOOKUP(Table1[[#This Row],[Cellar Location]],Location!A:F,6,FALSE)</f>
        <v>S</v>
      </c>
      <c r="AN563" s="37"/>
      <c r="AO563" s="37" t="str">
        <f>TEXT(Table1[[#This Row],[Purchased]],"mmmm")</f>
        <v>January</v>
      </c>
      <c r="AP563" s="10" t="str">
        <f>TEXT(Table1[[#This Row],[Purchased]],"yyyy")</f>
        <v>1900</v>
      </c>
      <c r="AQ563" s="10"/>
    </row>
    <row r="564" spans="1:43" x14ac:dyDescent="0.25">
      <c r="A564" t="str">
        <f t="shared" si="38"/>
        <v>2004ViÃ±edos y Bodegas PabloGran Viu Finca Santiaga</v>
      </c>
      <c r="B564" s="37">
        <v>2004</v>
      </c>
      <c r="C564" s="9" t="s">
        <v>322</v>
      </c>
      <c r="D564" s="35" t="s">
        <v>323</v>
      </c>
      <c r="E564" s="68" t="s">
        <v>1400</v>
      </c>
      <c r="F564" s="37" t="s">
        <v>729</v>
      </c>
      <c r="G564" s="37" t="s">
        <v>811</v>
      </c>
      <c r="H564" s="37" t="s">
        <v>813</v>
      </c>
      <c r="I564" s="107">
        <v>1</v>
      </c>
      <c r="J564">
        <v>750</v>
      </c>
      <c r="K564" s="107" t="s">
        <v>655</v>
      </c>
      <c r="L564" s="37">
        <f>COUNTIF(Drank!A:A,Table1[[#This Row],[ID]])</f>
        <v>2</v>
      </c>
      <c r="M564" t="s">
        <v>202</v>
      </c>
      <c r="N564" t="s">
        <v>207</v>
      </c>
      <c r="O564">
        <v>1</v>
      </c>
      <c r="P564" s="37">
        <v>2012</v>
      </c>
      <c r="Q564">
        <v>2035</v>
      </c>
      <c r="R564" s="10">
        <f>IF(IFERROR(VLOOKUP(A564,Drank!A:S,15,FALSE),"")=0,"",IFERROR(VLOOKUP(A564,Drank!A:S,15,FALSE),""))</f>
        <v>2020</v>
      </c>
      <c r="S564" s="10">
        <f>IF(IFERROR(VLOOKUP(A564,Drank!A:S,16,FALSE),"")=0,"",IFERROR(VLOOKUP(A564,Drank!A:S,16,FALSE),""))</f>
        <v>2028</v>
      </c>
      <c r="T564" s="10"/>
      <c r="U564">
        <v>94</v>
      </c>
      <c r="V564" s="18">
        <f>IF(IFERROR(VLOOKUP(A564,Drank!A:T,19,FALSE),"")=0,"",IFERROR(VLOOKUP(A564,Drank!A:T,19,FALSE),""))</f>
        <v>91</v>
      </c>
      <c r="W564" s="1">
        <f>IF(IFERROR(VLOOKUP(A564,Drank!A:T,20,FALSE),"")=0,"",IFERROR(VLOOKUP(A564,Drank!A:T,20,FALSE),""))</f>
        <v>43639</v>
      </c>
      <c r="X564" s="10">
        <f>SUMIF(A:A,A564,I:I)</f>
        <v>2</v>
      </c>
      <c r="Y564" s="37">
        <f>IF(Table1[[#This Row],[Drank]]&gt;0,VLOOKUP(Table1[[#This Row],[ID]],Drank!A:P,16,FALSE),IF(Table1[[#This Row],[WALDD]]&gt;0,VLOOKUP(Table1[[#This Row],[ID]],Wine1!A:Q,17,FALSE),Table1[[#This Row],[EP]]))</f>
        <v>2028</v>
      </c>
      <c r="Z564" s="18">
        <f>IF(Table1[[#This Row],[My Rating]]="",IF(Table1[[#This Row],[WA Rating Clean]]="","",Table1[[#This Row],[WA Rating Clean]]),Table1[[#This Row],[My Rating]])</f>
        <v>91</v>
      </c>
      <c r="AA564" s="37">
        <v>2024</v>
      </c>
      <c r="AB564" s="128">
        <v>29.98</v>
      </c>
      <c r="AC564" s="2">
        <f t="shared" si="39"/>
        <v>29.98</v>
      </c>
      <c r="AD564" s="8">
        <v>2</v>
      </c>
      <c r="AE564" s="15">
        <f>IF(Table1[[#This Row],[P/750]]&lt;20,1,IF(Table1[[#This Row],[P/750]]&lt;50,2,3))</f>
        <v>2</v>
      </c>
      <c r="AF564" s="15">
        <f>IF(Table1[[#This Row],[P/750]]&lt;Expenses!$C$30,1,IF(Table1[[#This Row],[P/750]]&lt;Expenses!$C$31,2,IF(Table1[[#This Row],[P/750]]&lt;Expenses!$C$32,3,4)))</f>
        <v>2</v>
      </c>
      <c r="AH564" s="37" t="s">
        <v>384</v>
      </c>
      <c r="AI564" s="11">
        <f>Table1[[#This Row],[Price]]/Table1[[#This Row],[Size (ml)]]*750</f>
        <v>29.98</v>
      </c>
      <c r="AJ564">
        <v>94</v>
      </c>
      <c r="AK564" s="37">
        <f>COUNTIF(UniqueID!A:A,Table1[[#This Row],[ID]])</f>
        <v>1</v>
      </c>
      <c r="AL564" s="37" t="str">
        <f>VLOOKUP(Table1[[#This Row],[Cellar Location]],Location!A:F,6,FALSE)</f>
        <v>S</v>
      </c>
      <c r="AN564" s="37"/>
      <c r="AO564" s="37" t="str">
        <f>TEXT(Table1[[#This Row],[Purchased]],"mmmm")</f>
        <v>January</v>
      </c>
      <c r="AP564" s="10" t="str">
        <f>TEXT(Table1[[#This Row],[Purchased]],"yyyy")</f>
        <v>1900</v>
      </c>
      <c r="AQ564" s="10"/>
    </row>
    <row r="565" spans="1:43" x14ac:dyDescent="0.25">
      <c r="A565" t="str">
        <f t="shared" si="38"/>
        <v>2016Yves CheronGigondas La Grand Comtadine Heritiers Cheron-Misset</v>
      </c>
      <c r="B565" s="37">
        <v>2016</v>
      </c>
      <c r="C565" s="37" t="s">
        <v>413</v>
      </c>
      <c r="D565" s="25" t="s">
        <v>414</v>
      </c>
      <c r="E565" s="67" t="s">
        <v>1249</v>
      </c>
      <c r="F565" s="37" t="s">
        <v>742</v>
      </c>
      <c r="G565" s="37" t="s">
        <v>759</v>
      </c>
      <c r="H565" s="37" t="s">
        <v>764</v>
      </c>
      <c r="I565" s="107">
        <v>1</v>
      </c>
      <c r="J565" s="9">
        <v>750</v>
      </c>
      <c r="K565" s="107" t="s">
        <v>645</v>
      </c>
      <c r="L565" s="37">
        <f>COUNTIF(Drank!A:A,Table1[[#This Row],[ID]])</f>
        <v>1</v>
      </c>
      <c r="M565" t="s">
        <v>202</v>
      </c>
      <c r="N565" t="s">
        <v>207</v>
      </c>
      <c r="O565">
        <v>1</v>
      </c>
      <c r="P565" s="37">
        <v>2018</v>
      </c>
      <c r="Q565">
        <v>2028</v>
      </c>
      <c r="R565" s="10">
        <f>IF(IFERROR(VLOOKUP(A565,Drank!A:S,15,FALSE),"")=0,"",IFERROR(VLOOKUP(A565,Drank!A:S,15,FALSE),""))</f>
        <v>2022</v>
      </c>
      <c r="S565" s="10">
        <f>IF(IFERROR(VLOOKUP(A565,Drank!A:S,16,FALSE),"")=0,"",IFERROR(VLOOKUP(A565,Drank!A:S,16,FALSE),""))</f>
        <v>2028</v>
      </c>
      <c r="T565" s="10"/>
      <c r="U565">
        <v>93</v>
      </c>
      <c r="V565" s="18">
        <f>IF(IFERROR(VLOOKUP(A565,Drank!A:T,19,FALSE),"")=0,"",IFERROR(VLOOKUP(A565,Drank!A:T,19,FALSE),""))</f>
        <v>92</v>
      </c>
      <c r="W565" s="1">
        <f>IF(IFERROR(VLOOKUP(A565,Drank!A:T,20,FALSE),"")=0,"",IFERROR(VLOOKUP(A565,Drank!A:T,20,FALSE),""))</f>
        <v>43897</v>
      </c>
      <c r="X565" s="10">
        <f>SUMIF(A:A,A565,I:I)</f>
        <v>5</v>
      </c>
      <c r="Y565" s="37">
        <f>IF(Table1[[#This Row],[Drank]]&gt;0,VLOOKUP(Table1[[#This Row],[ID]],Drank!A:P,16,FALSE),IF(Table1[[#This Row],[WALDD]]&gt;0,VLOOKUP(Table1[[#This Row],[ID]],Wine1!A:Q,17,FALSE),Table1[[#This Row],[EP]]))</f>
        <v>2028</v>
      </c>
      <c r="Z565" s="18">
        <f>IF(Table1[[#This Row],[My Rating]]="",IF(Table1[[#This Row],[WA Rating Clean]]="","",Table1[[#This Row],[WA Rating Clean]]),Table1[[#This Row],[My Rating]])</f>
        <v>92</v>
      </c>
      <c r="AA565" s="37">
        <v>2024</v>
      </c>
      <c r="AB565" s="128">
        <v>23</v>
      </c>
      <c r="AC565" s="2">
        <f t="shared" si="39"/>
        <v>23</v>
      </c>
      <c r="AD565" s="8">
        <v>2</v>
      </c>
      <c r="AE565" s="37">
        <f>IF(Table1[[#This Row],[P/750]]&lt;20,1,IF(Table1[[#This Row],[P/750]]&lt;50,2,3))</f>
        <v>2</v>
      </c>
      <c r="AF565" s="37">
        <f>IF(Table1[[#This Row],[P/750]]&lt;Expenses!$C$30,1,IF(Table1[[#This Row],[P/750]]&lt;Expenses!$C$31,2,IF(Table1[[#This Row],[P/750]]&lt;Expenses!$C$32,3,4)))</f>
        <v>2</v>
      </c>
      <c r="AH565" s="37" t="s">
        <v>384</v>
      </c>
      <c r="AI565" s="11">
        <f>Table1[[#This Row],[Price]]/Table1[[#This Row],[Size (ml)]]*750</f>
        <v>23</v>
      </c>
      <c r="AJ565">
        <v>93</v>
      </c>
      <c r="AK565" s="37">
        <f>COUNTIF(UniqueID!A:A,Table1[[#This Row],[ID]])</f>
        <v>1</v>
      </c>
      <c r="AL565" s="37" t="str">
        <f>VLOOKUP(Table1[[#This Row],[Cellar Location]],Location!A:F,6,FALSE)</f>
        <v>S</v>
      </c>
      <c r="AN565" s="37"/>
      <c r="AO565" s="37" t="str">
        <f>TEXT(Table1[[#This Row],[Purchased]],"mmmm")</f>
        <v>January</v>
      </c>
      <c r="AP565" s="10" t="str">
        <f>TEXT(Table1[[#This Row],[Purchased]],"yyyy")</f>
        <v>1900</v>
      </c>
      <c r="AQ565" s="10"/>
    </row>
    <row r="566" spans="1:43" x14ac:dyDescent="0.25">
      <c r="A566" t="str">
        <f t="shared" si="38"/>
        <v>2015PalaEssentija</v>
      </c>
      <c r="B566" s="8">
        <v>2015</v>
      </c>
      <c r="C566" s="8" t="s">
        <v>1825</v>
      </c>
      <c r="D566" s="19" t="s">
        <v>1827</v>
      </c>
      <c r="E566" s="63" t="s">
        <v>1824</v>
      </c>
      <c r="F566" s="37" t="s">
        <v>728</v>
      </c>
      <c r="G566" s="37" t="s">
        <v>787</v>
      </c>
      <c r="H566" s="37" t="s">
        <v>1826</v>
      </c>
      <c r="I566" s="37">
        <v>1</v>
      </c>
      <c r="J566" s="38">
        <v>750</v>
      </c>
      <c r="K566" s="38" t="s">
        <v>1572</v>
      </c>
      <c r="L566" s="10">
        <f>COUNTIF(Drank!A:A,Table1[[#This Row],[ID]])</f>
        <v>0</v>
      </c>
      <c r="M566" t="s">
        <v>202</v>
      </c>
      <c r="N566" t="s">
        <v>207</v>
      </c>
      <c r="O566">
        <v>0</v>
      </c>
      <c r="P566" s="10"/>
      <c r="R566" s="10" t="str">
        <f>IF(IFERROR(VLOOKUP(A566,Drank!A:S,15,FALSE),"")=0,"",IFERROR(VLOOKUP(A566,Drank!A:S,15,FALSE),""))</f>
        <v/>
      </c>
      <c r="S566" s="10" t="str">
        <f>IF(IFERROR(VLOOKUP(A566,Drank!A:S,16,FALSE),"")=0,"",IFERROR(VLOOKUP(A566,Drank!A:S,16,FALSE),""))</f>
        <v/>
      </c>
      <c r="T566" s="10">
        <v>2028</v>
      </c>
      <c r="V566" s="18" t="str">
        <f>IF(IFERROR(VLOOKUP(A566,Drank!A:T,19,FALSE),"")=0,"",IFERROR(VLOOKUP(A566,Drank!A:T,19,FALSE),""))</f>
        <v/>
      </c>
      <c r="W566" s="1" t="str">
        <f>IF(IFERROR(VLOOKUP(A566,Drank!A:T,20,FALSE),"")=0,"",IFERROR(VLOOKUP(A566,Drank!A:T,20,FALSE),""))</f>
        <v/>
      </c>
      <c r="X566" s="10">
        <f>SUMIF(A:A,A566,I:I)</f>
        <v>5</v>
      </c>
      <c r="Y566" s="10">
        <f>IF(Table1[[#This Row],[Drank]]&gt;0,VLOOKUP(Table1[[#This Row],[ID]],Drank!A:P,16,FALSE),IF(Table1[[#This Row],[WALDD]]&gt;0,VLOOKUP(Table1[[#This Row],[ID]],Wine1!A:Q,17,FALSE),Table1[[#This Row],[EP]]))</f>
        <v>2028</v>
      </c>
      <c r="Z566" s="18" t="str">
        <f>IF(Table1[[#This Row],[My Rating]]="",IF(Table1[[#This Row],[WA Rating Clean]]="","",Table1[[#This Row],[WA Rating Clean]]),Table1[[#This Row],[My Rating]])</f>
        <v/>
      </c>
      <c r="AA566" s="37">
        <v>2024</v>
      </c>
      <c r="AB566" s="128">
        <v>26.8</v>
      </c>
      <c r="AC566" s="2">
        <f t="shared" si="39"/>
        <v>26.8</v>
      </c>
      <c r="AD566" s="8"/>
      <c r="AE566" s="10">
        <f>IF(Table1[[#This Row],[P/750]]&lt;20,1,IF(Table1[[#This Row],[P/750]]&lt;50,2,3))</f>
        <v>2</v>
      </c>
      <c r="AF566" s="10">
        <f>IF(Table1[[#This Row],[P/750]]&lt;Expenses!$C$30,1,IF(Table1[[#This Row],[P/750]]&lt;Expenses!$C$31,2,IF(Table1[[#This Row],[P/750]]&lt;Expenses!$C$32,3,4)))</f>
        <v>2</v>
      </c>
      <c r="AH566" s="25" t="s">
        <v>1572</v>
      </c>
      <c r="AI566" s="11">
        <f>Table1[[#This Row],[Price]]/Table1[[#This Row],[Size (ml)]]*750</f>
        <v>26.8</v>
      </c>
      <c r="AK566" s="10">
        <f>COUNTIF(UniqueID!A:A,Table1[[#This Row],[ID]])</f>
        <v>0</v>
      </c>
      <c r="AL566" s="10" t="str">
        <f>VLOOKUP(Table1[[#This Row],[Cellar Location]],Location!A:F,6,FALSE)</f>
        <v>W</v>
      </c>
      <c r="AN566" s="1">
        <v>44068</v>
      </c>
      <c r="AO566" s="10" t="str">
        <f>TEXT(Table1[[#This Row],[Purchased]],"mmmm")</f>
        <v>August</v>
      </c>
      <c r="AP566" s="10" t="str">
        <f>TEXT(Table1[[#This Row],[Purchased]],"yyyy")</f>
        <v>2020</v>
      </c>
      <c r="AQ566" s="1">
        <v>44114</v>
      </c>
    </row>
    <row r="567" spans="1:43" x14ac:dyDescent="0.25">
      <c r="A567" t="str">
        <f t="shared" si="38"/>
        <v>2009AnticaCabernet Sauvignon</v>
      </c>
      <c r="B567" s="37">
        <v>2009</v>
      </c>
      <c r="C567" s="9" t="s">
        <v>31</v>
      </c>
      <c r="D567" s="9" t="s">
        <v>32</v>
      </c>
      <c r="E567" s="64" t="s">
        <v>32</v>
      </c>
      <c r="F567" s="37" t="s">
        <v>727</v>
      </c>
      <c r="G567" s="37" t="s">
        <v>806</v>
      </c>
      <c r="H567" s="37" t="s">
        <v>832</v>
      </c>
      <c r="I567" s="37">
        <v>1</v>
      </c>
      <c r="J567" s="37">
        <v>750</v>
      </c>
      <c r="K567" s="8" t="s">
        <v>8</v>
      </c>
      <c r="L567" s="37">
        <f>COUNTIF(Drank!A:A,Table1[[#This Row],[ID]])</f>
        <v>0</v>
      </c>
      <c r="M567" t="s">
        <v>202</v>
      </c>
      <c r="N567" t="s">
        <v>207</v>
      </c>
      <c r="O567">
        <v>1</v>
      </c>
      <c r="P567" s="37">
        <v>2019</v>
      </c>
      <c r="Q567">
        <v>2029</v>
      </c>
      <c r="R567" s="37" t="str">
        <f>IF(IFERROR(VLOOKUP(A567,Drank!A:S,15,FALSE),"")=0,"",IFERROR(VLOOKUP(A567,Drank!A:S,15,FALSE),""))</f>
        <v/>
      </c>
      <c r="S567" s="37" t="str">
        <f>IF(IFERROR(VLOOKUP(A567,Drank!A:S,16,FALSE),"")=0,"",IFERROR(VLOOKUP(A567,Drank!A:S,16,FALSE),""))</f>
        <v/>
      </c>
      <c r="T567" s="37"/>
      <c r="U567">
        <v>92</v>
      </c>
      <c r="V567" s="18" t="str">
        <f>IF(IFERROR(VLOOKUP(A567,Drank!A:T,19,FALSE),"")=0,"",IFERROR(VLOOKUP(A567,Drank!A:T,19,FALSE),""))</f>
        <v/>
      </c>
      <c r="W567" s="1" t="str">
        <f>IF(IFERROR(VLOOKUP(A567,Drank!A:T,20,FALSE),"")=0,"",IFERROR(VLOOKUP(A567,Drank!A:T,20,FALSE),""))</f>
        <v/>
      </c>
      <c r="X567" s="37">
        <f>SUMIF(A:A,A567,I:I)</f>
        <v>1</v>
      </c>
      <c r="Y567" s="37">
        <f>IF(Table1[[#This Row],[Drank]]&gt;0,VLOOKUP(Table1[[#This Row],[ID]],Drank!A:P,16,FALSE),IF(Table1[[#This Row],[WALDD]]&gt;0,VLOOKUP(Table1[[#This Row],[ID]],Wine1!A:Q,17,FALSE),Table1[[#This Row],[EP]]))</f>
        <v>2029</v>
      </c>
      <c r="Z567" s="18">
        <f>IF(Table1[[#This Row],[My Rating]]="",IF(Table1[[#This Row],[WA Rating Clean]]="","",Table1[[#This Row],[WA Rating Clean]]),Table1[[#This Row],[My Rating]])</f>
        <v>92</v>
      </c>
      <c r="AA567" s="37">
        <v>2024</v>
      </c>
      <c r="AB567" s="134">
        <v>52</v>
      </c>
      <c r="AC567" s="2">
        <f t="shared" si="39"/>
        <v>52</v>
      </c>
      <c r="AD567" s="8">
        <v>0</v>
      </c>
      <c r="AE567" s="37">
        <f>IF(Table1[[#This Row],[P/750]]&lt;20,1,IF(Table1[[#This Row],[P/750]]&lt;50,2,3))</f>
        <v>3</v>
      </c>
      <c r="AF567" s="37">
        <f>IF(Table1[[#This Row],[P/750]]&lt;Expenses!$C$30,1,IF(Table1[[#This Row],[P/750]]&lt;Expenses!$C$31,2,IF(Table1[[#This Row],[P/750]]&lt;Expenses!$C$32,3,4)))</f>
        <v>3</v>
      </c>
      <c r="AH567" s="37" t="s">
        <v>1131</v>
      </c>
      <c r="AI567" s="11">
        <f>Table1[[#This Row],[Price]]/Table1[[#This Row],[Size (ml)]]*750</f>
        <v>52</v>
      </c>
      <c r="AJ567">
        <v>92</v>
      </c>
      <c r="AK567" s="37">
        <f>COUNTIF(UniqueID!A:A,Table1[[#This Row],[ID]])</f>
        <v>1</v>
      </c>
      <c r="AL567" s="37" t="str">
        <f>VLOOKUP(Table1[[#This Row],[Cellar Location]],Location!A:F,6,FALSE)</f>
        <v>K</v>
      </c>
      <c r="AN567" s="37"/>
      <c r="AO567" s="37" t="str">
        <f>TEXT(Table1[[#This Row],[Purchased]],"mmmm")</f>
        <v>January</v>
      </c>
      <c r="AP567" s="10" t="str">
        <f>TEXT(Table1[[#This Row],[Purchased]],"yyyy")</f>
        <v>1900</v>
      </c>
      <c r="AQ567" s="10"/>
    </row>
    <row r="568" spans="1:43" x14ac:dyDescent="0.25">
      <c r="A568" t="str">
        <f t="shared" si="38"/>
        <v>2016ChauvinChauvin</v>
      </c>
      <c r="B568" s="37">
        <v>2016</v>
      </c>
      <c r="C568" s="37" t="s">
        <v>587</v>
      </c>
      <c r="D568" s="37" t="s">
        <v>587</v>
      </c>
      <c r="E568" s="64" t="s">
        <v>282</v>
      </c>
      <c r="F568" s="37" t="s">
        <v>742</v>
      </c>
      <c r="G568" s="37" t="s">
        <v>748</v>
      </c>
      <c r="H568" s="37" t="s">
        <v>751</v>
      </c>
      <c r="I568" s="107">
        <v>1</v>
      </c>
      <c r="J568" s="37">
        <v>750</v>
      </c>
      <c r="K568" s="107" t="s">
        <v>642</v>
      </c>
      <c r="L568" s="37">
        <f>COUNTIF(Drank!A:A,Table1[[#This Row],[ID]])</f>
        <v>0</v>
      </c>
      <c r="M568" t="s">
        <v>202</v>
      </c>
      <c r="N568" t="s">
        <v>207</v>
      </c>
      <c r="O568">
        <v>1</v>
      </c>
      <c r="P568" s="10">
        <v>2020</v>
      </c>
      <c r="Q568">
        <v>2029</v>
      </c>
      <c r="R568" s="10" t="str">
        <f>IF(IFERROR(VLOOKUP(A568,Drank!A:S,15,FALSE),"")=0,"",IFERROR(VLOOKUP(A568,Drank!A:S,15,FALSE),""))</f>
        <v/>
      </c>
      <c r="S568" s="10" t="str">
        <f>IF(IFERROR(VLOOKUP(A568,Drank!A:S,16,FALSE),"")=0,"",IFERROR(VLOOKUP(A568,Drank!A:S,16,FALSE),""))</f>
        <v/>
      </c>
      <c r="T568" s="10"/>
      <c r="U568">
        <v>92</v>
      </c>
      <c r="V568" s="18" t="str">
        <f>IF(IFERROR(VLOOKUP(A568,Drank!A:T,19,FALSE),"")=0,"",IFERROR(VLOOKUP(A568,Drank!A:T,19,FALSE),""))</f>
        <v/>
      </c>
      <c r="W568" s="1" t="str">
        <f>IF(IFERROR(VLOOKUP(A568,Drank!A:T,20,FALSE),"")=0,"",IFERROR(VLOOKUP(A568,Drank!A:T,20,FALSE),""))</f>
        <v/>
      </c>
      <c r="X568" s="10">
        <f>SUMIF(A:A,A568,I:I)</f>
        <v>2</v>
      </c>
      <c r="Y568" s="10">
        <f>IF(Table1[[#This Row],[Drank]]&gt;0,VLOOKUP(Table1[[#This Row],[ID]],Drank!A:P,16,FALSE),IF(Table1[[#This Row],[WALDD]]&gt;0,VLOOKUP(Table1[[#This Row],[ID]],Wine1!A:Q,17,FALSE),Table1[[#This Row],[EP]]))</f>
        <v>2029</v>
      </c>
      <c r="Z568" s="18">
        <f>IF(Table1[[#This Row],[My Rating]]="",IF(Table1[[#This Row],[WA Rating Clean]]="","",Table1[[#This Row],[WA Rating Clean]]),Table1[[#This Row],[My Rating]])</f>
        <v>92</v>
      </c>
      <c r="AA568" s="37">
        <v>2024</v>
      </c>
      <c r="AB568" s="128">
        <v>43.99</v>
      </c>
      <c r="AC568" s="2">
        <f t="shared" si="39"/>
        <v>43.99</v>
      </c>
      <c r="AD568" s="8">
        <v>2</v>
      </c>
      <c r="AE568" s="10">
        <f>IF(Table1[[#This Row],[P/750]]&lt;20,1,IF(Table1[[#This Row],[P/750]]&lt;50,2,3))</f>
        <v>2</v>
      </c>
      <c r="AF568" s="10">
        <f>IF(Table1[[#This Row],[P/750]]&lt;Expenses!$C$30,1,IF(Table1[[#This Row],[P/750]]&lt;Expenses!$C$31,2,IF(Table1[[#This Row],[P/750]]&lt;Expenses!$C$32,3,4)))</f>
        <v>3</v>
      </c>
      <c r="AH568" s="37" t="s">
        <v>1130</v>
      </c>
      <c r="AI568" s="11">
        <f>Table1[[#This Row],[Price]]/Table1[[#This Row],[Size (ml)]]*750</f>
        <v>43.99</v>
      </c>
      <c r="AJ568">
        <v>92</v>
      </c>
      <c r="AK568" s="37">
        <f>COUNTIF(UniqueID!A:A,Table1[[#This Row],[ID]])</f>
        <v>1</v>
      </c>
      <c r="AL568" s="37" t="str">
        <f>VLOOKUP(Table1[[#This Row],[Cellar Location]],Location!A:F,6,FALSE)</f>
        <v>S</v>
      </c>
      <c r="AN568" s="37"/>
      <c r="AO568" s="37" t="str">
        <f>TEXT(Table1[[#This Row],[Purchased]],"mmmm")</f>
        <v>January</v>
      </c>
      <c r="AP568" s="10" t="str">
        <f>TEXT(Table1[[#This Row],[Purchased]],"yyyy")</f>
        <v>1900</v>
      </c>
      <c r="AQ568" s="10"/>
    </row>
    <row r="569" spans="1:43" x14ac:dyDescent="0.25">
      <c r="A569" t="str">
        <f t="shared" si="38"/>
        <v>2015Christian MoreauChablis Grand Cru Blanchot</v>
      </c>
      <c r="B569" s="37">
        <v>2015</v>
      </c>
      <c r="C569" s="9" t="s">
        <v>127</v>
      </c>
      <c r="D569" s="9" t="s">
        <v>128</v>
      </c>
      <c r="E569" s="65" t="s">
        <v>259</v>
      </c>
      <c r="F569" s="9" t="s">
        <v>742</v>
      </c>
      <c r="G569" s="9" t="s">
        <v>754</v>
      </c>
      <c r="H569" s="9" t="s">
        <v>755</v>
      </c>
      <c r="I569" s="107">
        <v>1</v>
      </c>
      <c r="J569">
        <v>750</v>
      </c>
      <c r="K569" s="108" t="s">
        <v>657</v>
      </c>
      <c r="L569" s="37">
        <f>COUNTIF(Drank!A:A,Table1[[#This Row],[ID]])</f>
        <v>0</v>
      </c>
      <c r="M569" t="s">
        <v>201</v>
      </c>
      <c r="N569" t="s">
        <v>207</v>
      </c>
      <c r="O569">
        <v>1</v>
      </c>
      <c r="P569" s="37">
        <v>2019</v>
      </c>
      <c r="Q569">
        <v>2029</v>
      </c>
      <c r="R569" s="37" t="str">
        <f>IF(IFERROR(VLOOKUP(A569,Drank!A:S,15,FALSE),"")=0,"",IFERROR(VLOOKUP(A569,Drank!A:S,15,FALSE),""))</f>
        <v/>
      </c>
      <c r="S569" s="37" t="str">
        <f>IF(IFERROR(VLOOKUP(A569,Drank!A:S,16,FALSE),"")=0,"",IFERROR(VLOOKUP(A569,Drank!A:S,16,FALSE),""))</f>
        <v/>
      </c>
      <c r="T569" s="37"/>
      <c r="U569">
        <v>89</v>
      </c>
      <c r="V569" s="18" t="str">
        <f>IF(IFERROR(VLOOKUP(A569,Drank!A:T,19,FALSE),"")=0,"",IFERROR(VLOOKUP(A569,Drank!A:T,19,FALSE),""))</f>
        <v/>
      </c>
      <c r="W569" s="1" t="str">
        <f>IF(IFERROR(VLOOKUP(A569,Drank!A:T,20,FALSE),"")=0,"",IFERROR(VLOOKUP(A569,Drank!A:T,20,FALSE),""))</f>
        <v/>
      </c>
      <c r="X569" s="37">
        <f>SUMIF(A:A,A569,I:I)</f>
        <v>1</v>
      </c>
      <c r="Y569" s="37">
        <f>IF(Table1[[#This Row],[Drank]]&gt;0,VLOOKUP(Table1[[#This Row],[ID]],Drank!A:P,16,FALSE),IF(Table1[[#This Row],[WALDD]]&gt;0,VLOOKUP(Table1[[#This Row],[ID]],Wine1!A:Q,17,FALSE),Table1[[#This Row],[EP]]))</f>
        <v>2029</v>
      </c>
      <c r="Z569" s="18">
        <f>IF(Table1[[#This Row],[My Rating]]="",IF(Table1[[#This Row],[WA Rating Clean]]="","",Table1[[#This Row],[WA Rating Clean]]),Table1[[#This Row],[My Rating]])</f>
        <v>89</v>
      </c>
      <c r="AA569" s="6">
        <v>2024</v>
      </c>
      <c r="AB569" s="134">
        <v>65</v>
      </c>
      <c r="AC569" s="2">
        <f t="shared" si="39"/>
        <v>65</v>
      </c>
      <c r="AD569" s="8">
        <v>2</v>
      </c>
      <c r="AE569" s="37">
        <f>IF(Table1[[#This Row],[P/750]]&lt;20,1,IF(Table1[[#This Row],[P/750]]&lt;50,2,3))</f>
        <v>3</v>
      </c>
      <c r="AF569" s="37">
        <f>IF(Table1[[#This Row],[P/750]]&lt;Expenses!$C$30,1,IF(Table1[[#This Row],[P/750]]&lt;Expenses!$C$31,2,IF(Table1[[#This Row],[P/750]]&lt;Expenses!$C$32,3,4)))</f>
        <v>4</v>
      </c>
      <c r="AH569" t="s">
        <v>1131</v>
      </c>
      <c r="AI569" s="11">
        <f>Table1[[#This Row],[Price]]/Table1[[#This Row],[Size (ml)]]*750</f>
        <v>65</v>
      </c>
      <c r="AJ569">
        <v>89</v>
      </c>
      <c r="AK569" s="37">
        <f>COUNTIF(UniqueID!A:A,Table1[[#This Row],[ID]])</f>
        <v>1</v>
      </c>
      <c r="AL569" s="37" t="str">
        <f>VLOOKUP(Table1[[#This Row],[Cellar Location]],Location!A:F,6,FALSE)</f>
        <v>S</v>
      </c>
      <c r="AN569" s="37"/>
      <c r="AO569" s="37" t="str">
        <f>TEXT(Table1[[#This Row],[Purchased]],"mmmm")</f>
        <v>January</v>
      </c>
      <c r="AP569" s="10" t="str">
        <f>TEXT(Table1[[#This Row],[Purchased]],"yyyy")</f>
        <v>1900</v>
      </c>
      <c r="AQ569" s="10"/>
    </row>
    <row r="570" spans="1:43" s="37" customFormat="1" x14ac:dyDescent="0.25">
      <c r="A570" s="37" t="str">
        <f t="shared" si="38"/>
        <v>2017Richard RottiersMoulin-Ã -Vent Foudres</v>
      </c>
      <c r="B570" s="37">
        <v>2017</v>
      </c>
      <c r="C570" s="25" t="s">
        <v>445</v>
      </c>
      <c r="D570" s="37" t="s">
        <v>446</v>
      </c>
      <c r="E570" s="66" t="s">
        <v>336</v>
      </c>
      <c r="F570" s="37" t="s">
        <v>742</v>
      </c>
      <c r="G570" s="37" t="s">
        <v>745</v>
      </c>
      <c r="H570" s="37" t="s">
        <v>746</v>
      </c>
      <c r="I570" s="107">
        <v>1</v>
      </c>
      <c r="J570" s="37">
        <v>750</v>
      </c>
      <c r="K570" s="108" t="s">
        <v>591</v>
      </c>
      <c r="L570" s="10">
        <f>COUNTIF(Drank!A:A,Table1[[#This Row],[ID]])</f>
        <v>2</v>
      </c>
      <c r="M570" s="37" t="s">
        <v>202</v>
      </c>
      <c r="N570" s="37" t="s">
        <v>207</v>
      </c>
      <c r="O570" s="37">
        <v>1</v>
      </c>
      <c r="P570" s="10">
        <v>2019</v>
      </c>
      <c r="Q570" s="37">
        <v>2029</v>
      </c>
      <c r="R570" s="10">
        <f>IF(IFERROR(VLOOKUP(A570,Drank!A:S,15,FALSE),"")=0,"",IFERROR(VLOOKUP(A570,Drank!A:S,15,FALSE),""))</f>
        <v>2021</v>
      </c>
      <c r="S570" s="10">
        <f>IF(IFERROR(VLOOKUP(A570,Drank!A:S,16,FALSE),"")=0,"",IFERROR(VLOOKUP(A570,Drank!A:S,16,FALSE),""))</f>
        <v>2029</v>
      </c>
      <c r="T570" s="10"/>
      <c r="U570" s="37">
        <v>92</v>
      </c>
      <c r="V570" s="18">
        <f>IF(IFERROR(VLOOKUP(A570,Drank!A:T,19,FALSE),"")=0,"",IFERROR(VLOOKUP(A570,Drank!A:T,19,FALSE),""))</f>
        <v>90</v>
      </c>
      <c r="W570" s="1">
        <f>IF(IFERROR(VLOOKUP(A570,Drank!A:T,20,FALSE),"")=0,"",IFERROR(VLOOKUP(A570,Drank!A:T,20,FALSE),""))</f>
        <v>43835</v>
      </c>
      <c r="X570" s="10">
        <f>SUMIF(A:A,A570,I:I)</f>
        <v>10</v>
      </c>
      <c r="Y570" s="10">
        <f>IF(Table1[[#This Row],[Drank]]&gt;0,VLOOKUP(Table1[[#This Row],[ID]],Drank!A:P,16,FALSE),IF(Table1[[#This Row],[WALDD]]&gt;0,VLOOKUP(Table1[[#This Row],[ID]],Wine1!A:Q,17,FALSE),Table1[[#This Row],[EP]]))</f>
        <v>2029</v>
      </c>
      <c r="Z570" s="18">
        <f>IF(Table1[[#This Row],[My Rating]]="",IF(Table1[[#This Row],[WA Rating Clean]]="","",Table1[[#This Row],[WA Rating Clean]]),Table1[[#This Row],[My Rating]])</f>
        <v>90</v>
      </c>
      <c r="AA570" s="37">
        <v>2024</v>
      </c>
      <c r="AB570" s="128">
        <v>14.99</v>
      </c>
      <c r="AC570" s="2">
        <f t="shared" si="39"/>
        <v>14.99</v>
      </c>
      <c r="AD570" s="8">
        <v>2</v>
      </c>
      <c r="AE570" s="10">
        <f>IF(Table1[[#This Row],[P/750]]&lt;20,1,IF(Table1[[#This Row],[P/750]]&lt;50,2,3))</f>
        <v>1</v>
      </c>
      <c r="AF570" s="10">
        <f>IF(Table1[[#This Row],[P/750]]&lt;Expenses!$C$30,1,IF(Table1[[#This Row],[P/750]]&lt;Expenses!$C$31,2,IF(Table1[[#This Row],[P/750]]&lt;Expenses!$C$32,3,4)))</f>
        <v>1</v>
      </c>
      <c r="AH570" s="37" t="s">
        <v>384</v>
      </c>
      <c r="AI570" s="11">
        <f>Table1[[#This Row],[Price]]/Table1[[#This Row],[Size (ml)]]*750</f>
        <v>14.99</v>
      </c>
      <c r="AJ570" s="37">
        <v>92</v>
      </c>
      <c r="AK570" s="37">
        <f>COUNTIF(UniqueID!A:A,Table1[[#This Row],[ID]])</f>
        <v>1</v>
      </c>
      <c r="AL570" s="37" t="str">
        <f>VLOOKUP(Table1[[#This Row],[Cellar Location]],Location!A:F,6,FALSE)</f>
        <v>S</v>
      </c>
      <c r="AO570" s="37" t="str">
        <f>TEXT(Table1[[#This Row],[Purchased]],"mmmm")</f>
        <v>January</v>
      </c>
      <c r="AP570" s="10" t="str">
        <f>TEXT(Table1[[#This Row],[Purchased]],"yyyy")</f>
        <v>1900</v>
      </c>
      <c r="AQ570" s="10"/>
    </row>
    <row r="571" spans="1:43" s="37" customFormat="1" x14ac:dyDescent="0.25">
      <c r="A571" s="37" t="str">
        <f t="shared" si="38"/>
        <v>2017Altos Las HormigasMalbec Appellation Gualtallary</v>
      </c>
      <c r="B571" s="37">
        <v>2017</v>
      </c>
      <c r="C571" s="37" t="s">
        <v>232</v>
      </c>
      <c r="D571" s="9" t="s">
        <v>233</v>
      </c>
      <c r="E571" s="67" t="s">
        <v>1207</v>
      </c>
      <c r="F571" s="37" t="s">
        <v>731</v>
      </c>
      <c r="G571" s="37" t="s">
        <v>732</v>
      </c>
      <c r="H571" s="37" t="s">
        <v>1190</v>
      </c>
      <c r="I571" s="8">
        <v>1</v>
      </c>
      <c r="J571" s="107">
        <v>750</v>
      </c>
      <c r="K571" s="8" t="s">
        <v>1846</v>
      </c>
      <c r="L571" s="10">
        <f>COUNTIF(Drank!A:A,Table1[[#This Row],[ID]])</f>
        <v>1</v>
      </c>
      <c r="M571" s="37" t="s">
        <v>202</v>
      </c>
      <c r="N571" s="37" t="s">
        <v>207</v>
      </c>
      <c r="O571" s="37">
        <v>1</v>
      </c>
      <c r="P571" s="10">
        <v>2019</v>
      </c>
      <c r="Q571" s="37">
        <v>2030</v>
      </c>
      <c r="R571" s="10">
        <f>IF(IFERROR(VLOOKUP(A571,Drank!A:S,15,FALSE),"")=0,"",IFERROR(VLOOKUP(A571,Drank!A:S,15,FALSE),""))</f>
        <v>2022</v>
      </c>
      <c r="S571" s="10">
        <f>IF(IFERROR(VLOOKUP(A571,Drank!A:S,16,FALSE),"")=0,"",IFERROR(VLOOKUP(A571,Drank!A:S,16,FALSE),""))</f>
        <v>2030</v>
      </c>
      <c r="T571" s="10"/>
      <c r="U571" s="37" t="s">
        <v>1180</v>
      </c>
      <c r="V571" s="18">
        <f>IF(IFERROR(VLOOKUP(A571,Drank!A:T,19,FALSE),"")=0,"",IFERROR(VLOOKUP(A571,Drank!A:T,19,FALSE),""))</f>
        <v>94</v>
      </c>
      <c r="W571" s="1">
        <f>IF(IFERROR(VLOOKUP(A571,Drank!A:T,20,FALSE),"")=0,"",IFERROR(VLOOKUP(A571,Drank!A:T,20,FALSE),""))</f>
        <v>43953</v>
      </c>
      <c r="X571" s="10">
        <f>SUMIF(A:A,A571,I:I)</f>
        <v>38</v>
      </c>
      <c r="Y571" s="10">
        <f>IF(Table1[[#This Row],[Drank]]&gt;0,VLOOKUP(Table1[[#This Row],[ID]],Drank!A:P,16,FALSE),IF(Table1[[#This Row],[WALDD]]&gt;0,VLOOKUP(Table1[[#This Row],[ID]],Wine1!A:Q,17,FALSE),Table1[[#This Row],[EP]]))</f>
        <v>2030</v>
      </c>
      <c r="Z571" s="18">
        <f>IF(Table1[[#This Row],[My Rating]]="",IF(Table1[[#This Row],[WA Rating Clean]]="","",Table1[[#This Row],[WA Rating Clean]]),Table1[[#This Row],[My Rating]])</f>
        <v>94</v>
      </c>
      <c r="AA571" s="37">
        <v>2024</v>
      </c>
      <c r="AB571" s="128">
        <v>35.85</v>
      </c>
      <c r="AC571" s="2">
        <f t="shared" si="39"/>
        <v>35.85</v>
      </c>
      <c r="AD571" s="8">
        <v>1</v>
      </c>
      <c r="AE571" s="10">
        <f>IF(Table1[[#This Row],[P/750]]&lt;20,1,IF(Table1[[#This Row],[P/750]]&lt;50,2,3))</f>
        <v>2</v>
      </c>
      <c r="AF571" s="10">
        <f>IF(Table1[[#This Row],[P/750]]&lt;Expenses!$C$30,1,IF(Table1[[#This Row],[P/750]]&lt;Expenses!$C$31,2,IF(Table1[[#This Row],[P/750]]&lt;Expenses!$C$32,3,4)))</f>
        <v>3</v>
      </c>
      <c r="AH571" s="37" t="s">
        <v>1128</v>
      </c>
      <c r="AI571" s="11">
        <f>Table1[[#This Row],[Price]]/Table1[[#This Row],[Size (ml)]]*750</f>
        <v>35.85</v>
      </c>
      <c r="AJ571" s="37">
        <v>96</v>
      </c>
      <c r="AK571" s="10">
        <f>COUNTIF(UniqueID!A:A,Table1[[#This Row],[ID]])</f>
        <v>1</v>
      </c>
      <c r="AL571" s="10" t="str">
        <f>VLOOKUP(Table1[[#This Row],[Cellar Location]],Location!A:F,6,FALSE)</f>
        <v>S</v>
      </c>
      <c r="AN571" s="1">
        <v>44070</v>
      </c>
      <c r="AO571" s="10" t="str">
        <f>TEXT(Table1[[#This Row],[Purchased]],"mmmm")</f>
        <v>August</v>
      </c>
      <c r="AP571" s="10" t="str">
        <f>TEXT(Table1[[#This Row],[Purchased]],"yyyy")</f>
        <v>2020</v>
      </c>
      <c r="AQ571" s="1"/>
    </row>
    <row r="572" spans="1:43" s="37" customFormat="1" x14ac:dyDescent="0.25">
      <c r="A572" s="37" t="str">
        <f t="shared" si="38"/>
        <v>2017Altos Las HormigasMalbec Appellation Gualtallary</v>
      </c>
      <c r="B572" s="37">
        <v>2017</v>
      </c>
      <c r="C572" s="37" t="s">
        <v>232</v>
      </c>
      <c r="D572" s="9" t="s">
        <v>233</v>
      </c>
      <c r="E572" s="67" t="s">
        <v>1207</v>
      </c>
      <c r="F572" s="37" t="s">
        <v>731</v>
      </c>
      <c r="G572" s="37" t="s">
        <v>732</v>
      </c>
      <c r="H572" s="37" t="s">
        <v>1190</v>
      </c>
      <c r="I572" s="8">
        <v>1</v>
      </c>
      <c r="J572" s="107">
        <v>750</v>
      </c>
      <c r="K572" s="8" t="s">
        <v>1846</v>
      </c>
      <c r="L572" s="10">
        <f>COUNTIF(Drank!A:A,Table1[[#This Row],[ID]])</f>
        <v>1</v>
      </c>
      <c r="M572" s="37" t="s">
        <v>202</v>
      </c>
      <c r="N572" s="37" t="s">
        <v>207</v>
      </c>
      <c r="O572" s="37">
        <v>1</v>
      </c>
      <c r="P572" s="10">
        <v>2019</v>
      </c>
      <c r="Q572" s="37">
        <v>2030</v>
      </c>
      <c r="R572" s="10">
        <f>IF(IFERROR(VLOOKUP(A572,Drank!A:S,15,FALSE),"")=0,"",IFERROR(VLOOKUP(A572,Drank!A:S,15,FALSE),""))</f>
        <v>2022</v>
      </c>
      <c r="S572" s="10">
        <f>IF(IFERROR(VLOOKUP(A572,Drank!A:S,16,FALSE),"")=0,"",IFERROR(VLOOKUP(A572,Drank!A:S,16,FALSE),""))</f>
        <v>2030</v>
      </c>
      <c r="T572" s="10"/>
      <c r="U572" s="37" t="s">
        <v>1180</v>
      </c>
      <c r="V572" s="18">
        <f>IF(IFERROR(VLOOKUP(A572,Drank!A:T,19,FALSE),"")=0,"",IFERROR(VLOOKUP(A572,Drank!A:T,19,FALSE),""))</f>
        <v>94</v>
      </c>
      <c r="W572" s="1">
        <f>IF(IFERROR(VLOOKUP(A572,Drank!A:T,20,FALSE),"")=0,"",IFERROR(VLOOKUP(A572,Drank!A:T,20,FALSE),""))</f>
        <v>43953</v>
      </c>
      <c r="X572" s="10">
        <f>SUMIF(A:A,A572,I:I)</f>
        <v>38</v>
      </c>
      <c r="Y572" s="10">
        <f>IF(Table1[[#This Row],[Drank]]&gt;0,VLOOKUP(Table1[[#This Row],[ID]],Drank!A:P,16,FALSE),IF(Table1[[#This Row],[WALDD]]&gt;0,VLOOKUP(Table1[[#This Row],[ID]],Wine1!A:Q,17,FALSE),Table1[[#This Row],[EP]]))</f>
        <v>2030</v>
      </c>
      <c r="Z572" s="18">
        <f>IF(Table1[[#This Row],[My Rating]]="",IF(Table1[[#This Row],[WA Rating Clean]]="","",Table1[[#This Row],[WA Rating Clean]]),Table1[[#This Row],[My Rating]])</f>
        <v>94</v>
      </c>
      <c r="AA572" s="37">
        <v>2024</v>
      </c>
      <c r="AB572" s="128">
        <v>35.85</v>
      </c>
      <c r="AC572" s="2">
        <f t="shared" si="39"/>
        <v>35.85</v>
      </c>
      <c r="AD572" s="8">
        <v>1</v>
      </c>
      <c r="AE572" s="10">
        <f>IF(Table1[[#This Row],[P/750]]&lt;20,1,IF(Table1[[#This Row],[P/750]]&lt;50,2,3))</f>
        <v>2</v>
      </c>
      <c r="AF572" s="10">
        <f>IF(Table1[[#This Row],[P/750]]&lt;Expenses!$C$30,1,IF(Table1[[#This Row],[P/750]]&lt;Expenses!$C$31,2,IF(Table1[[#This Row],[P/750]]&lt;Expenses!$C$32,3,4)))</f>
        <v>3</v>
      </c>
      <c r="AH572" s="37" t="s">
        <v>1128</v>
      </c>
      <c r="AI572" s="11">
        <f>Table1[[#This Row],[Price]]/Table1[[#This Row],[Size (ml)]]*750</f>
        <v>35.85</v>
      </c>
      <c r="AJ572" s="37">
        <v>96</v>
      </c>
      <c r="AK572" s="10">
        <f>COUNTIF(UniqueID!A:A,Table1[[#This Row],[ID]])</f>
        <v>1</v>
      </c>
      <c r="AL572" s="10" t="str">
        <f>VLOOKUP(Table1[[#This Row],[Cellar Location]],Location!A:F,6,FALSE)</f>
        <v>S</v>
      </c>
      <c r="AN572" s="1">
        <v>44070</v>
      </c>
      <c r="AO572" s="10" t="str">
        <f>TEXT(Table1[[#This Row],[Purchased]],"mmmm")</f>
        <v>August</v>
      </c>
      <c r="AP572" s="10" t="str">
        <f>TEXT(Table1[[#This Row],[Purchased]],"yyyy")</f>
        <v>2020</v>
      </c>
      <c r="AQ572" s="1"/>
    </row>
    <row r="573" spans="1:43" s="37" customFormat="1" x14ac:dyDescent="0.25">
      <c r="A573" s="37" t="str">
        <f t="shared" si="38"/>
        <v>2017Altos Las HormigasMalbec Appellation Gualtallary</v>
      </c>
      <c r="B573" s="37">
        <v>2017</v>
      </c>
      <c r="C573" s="37" t="s">
        <v>232</v>
      </c>
      <c r="D573" s="9" t="s">
        <v>233</v>
      </c>
      <c r="E573" s="67" t="s">
        <v>1207</v>
      </c>
      <c r="F573" s="37" t="s">
        <v>731</v>
      </c>
      <c r="G573" s="37" t="s">
        <v>732</v>
      </c>
      <c r="H573" s="37" t="s">
        <v>1190</v>
      </c>
      <c r="I573" s="8">
        <v>1</v>
      </c>
      <c r="J573" s="107">
        <v>750</v>
      </c>
      <c r="K573" s="8" t="s">
        <v>1846</v>
      </c>
      <c r="L573" s="10">
        <f>COUNTIF(Drank!A:A,Table1[[#This Row],[ID]])</f>
        <v>1</v>
      </c>
      <c r="M573" s="37" t="s">
        <v>202</v>
      </c>
      <c r="N573" s="37" t="s">
        <v>207</v>
      </c>
      <c r="O573" s="37">
        <v>1</v>
      </c>
      <c r="P573" s="10">
        <v>2019</v>
      </c>
      <c r="Q573" s="37">
        <v>2030</v>
      </c>
      <c r="R573" s="10">
        <f>IF(IFERROR(VLOOKUP(A573,Drank!A:S,15,FALSE),"")=0,"",IFERROR(VLOOKUP(A573,Drank!A:S,15,FALSE),""))</f>
        <v>2022</v>
      </c>
      <c r="S573" s="10">
        <f>IF(IFERROR(VLOOKUP(A573,Drank!A:S,16,FALSE),"")=0,"",IFERROR(VLOOKUP(A573,Drank!A:S,16,FALSE),""))</f>
        <v>2030</v>
      </c>
      <c r="T573" s="10"/>
      <c r="U573" s="37" t="s">
        <v>1180</v>
      </c>
      <c r="V573" s="18">
        <f>IF(IFERROR(VLOOKUP(A573,Drank!A:T,19,FALSE),"")=0,"",IFERROR(VLOOKUP(A573,Drank!A:T,19,FALSE),""))</f>
        <v>94</v>
      </c>
      <c r="W573" s="1">
        <f>IF(IFERROR(VLOOKUP(A573,Drank!A:T,20,FALSE),"")=0,"",IFERROR(VLOOKUP(A573,Drank!A:T,20,FALSE),""))</f>
        <v>43953</v>
      </c>
      <c r="X573" s="10">
        <f>SUMIF(A:A,A573,I:I)</f>
        <v>38</v>
      </c>
      <c r="Y573" s="10">
        <f>IF(Table1[[#This Row],[Drank]]&gt;0,VLOOKUP(Table1[[#This Row],[ID]],Drank!A:P,16,FALSE),IF(Table1[[#This Row],[WALDD]]&gt;0,VLOOKUP(Table1[[#This Row],[ID]],Wine1!A:Q,17,FALSE),Table1[[#This Row],[EP]]))</f>
        <v>2030</v>
      </c>
      <c r="Z573" s="18">
        <f>IF(Table1[[#This Row],[My Rating]]="",IF(Table1[[#This Row],[WA Rating Clean]]="","",Table1[[#This Row],[WA Rating Clean]]),Table1[[#This Row],[My Rating]])</f>
        <v>94</v>
      </c>
      <c r="AA573" s="37">
        <v>2024</v>
      </c>
      <c r="AB573" s="128">
        <v>35.85</v>
      </c>
      <c r="AC573" s="2">
        <f t="shared" si="39"/>
        <v>35.85</v>
      </c>
      <c r="AD573" s="8">
        <v>1</v>
      </c>
      <c r="AE573" s="10">
        <f>IF(Table1[[#This Row],[P/750]]&lt;20,1,IF(Table1[[#This Row],[P/750]]&lt;50,2,3))</f>
        <v>2</v>
      </c>
      <c r="AF573" s="10">
        <f>IF(Table1[[#This Row],[P/750]]&lt;Expenses!$C$30,1,IF(Table1[[#This Row],[P/750]]&lt;Expenses!$C$31,2,IF(Table1[[#This Row],[P/750]]&lt;Expenses!$C$32,3,4)))</f>
        <v>3</v>
      </c>
      <c r="AH573" s="37" t="s">
        <v>1128</v>
      </c>
      <c r="AI573" s="11">
        <f>Table1[[#This Row],[Price]]/Table1[[#This Row],[Size (ml)]]*750</f>
        <v>35.85</v>
      </c>
      <c r="AJ573" s="37">
        <v>96</v>
      </c>
      <c r="AK573" s="10">
        <f>COUNTIF(UniqueID!A:A,Table1[[#This Row],[ID]])</f>
        <v>1</v>
      </c>
      <c r="AL573" s="10" t="str">
        <f>VLOOKUP(Table1[[#This Row],[Cellar Location]],Location!A:F,6,FALSE)</f>
        <v>S</v>
      </c>
      <c r="AN573" s="1">
        <v>44070</v>
      </c>
      <c r="AO573" s="10" t="str">
        <f>TEXT(Table1[[#This Row],[Purchased]],"mmmm")</f>
        <v>August</v>
      </c>
      <c r="AP573" s="10" t="str">
        <f>TEXT(Table1[[#This Row],[Purchased]],"yyyy")</f>
        <v>2020</v>
      </c>
      <c r="AQ573" s="1"/>
    </row>
    <row r="574" spans="1:43" s="37" customFormat="1" x14ac:dyDescent="0.25">
      <c r="A574" s="37" t="str">
        <f t="shared" si="38"/>
        <v>2016Tenuta di NozzoleChianti Classico Riserva Nozzole</v>
      </c>
      <c r="B574" s="37">
        <v>2016</v>
      </c>
      <c r="C574" s="37" t="s">
        <v>100</v>
      </c>
      <c r="D574" s="37" t="s">
        <v>101</v>
      </c>
      <c r="E574" s="64" t="s">
        <v>399</v>
      </c>
      <c r="F574" s="37" t="s">
        <v>728</v>
      </c>
      <c r="G574" s="37" t="s">
        <v>790</v>
      </c>
      <c r="H574" s="37" t="s">
        <v>792</v>
      </c>
      <c r="I574" s="107">
        <v>1</v>
      </c>
      <c r="J574" s="37">
        <v>750</v>
      </c>
      <c r="K574" s="107" t="s">
        <v>1408</v>
      </c>
      <c r="L574" s="37">
        <f>COUNTIF(Drank!A:A,Table1[[#This Row],[ID]])</f>
        <v>3</v>
      </c>
      <c r="M574" s="37" t="s">
        <v>202</v>
      </c>
      <c r="N574" s="37" t="s">
        <v>207</v>
      </c>
      <c r="O574" s="37">
        <v>1</v>
      </c>
      <c r="P574" s="37">
        <v>2019</v>
      </c>
      <c r="Q574" s="37">
        <v>2027</v>
      </c>
      <c r="R574" s="10">
        <f>IF(IFERROR(VLOOKUP(A574,Drank!A:S,15,FALSE),"")=0,"",IFERROR(VLOOKUP(A574,Drank!A:S,15,FALSE),""))</f>
        <v>2024</v>
      </c>
      <c r="S574" s="10">
        <f>IF(IFERROR(VLOOKUP(A574,Drank!A:S,16,FALSE),"")=0,"",IFERROR(VLOOKUP(A574,Drank!A:S,16,FALSE),""))</f>
        <v>2030</v>
      </c>
      <c r="T574" s="10"/>
      <c r="U574" s="37">
        <v>92</v>
      </c>
      <c r="V574" s="18">
        <f>IF(IFERROR(VLOOKUP(A574,Drank!A:T,19,FALSE),"")=0,"",IFERROR(VLOOKUP(A574,Drank!A:T,19,FALSE),""))</f>
        <v>91.333333333333329</v>
      </c>
      <c r="W574" s="1">
        <f>IF(IFERROR(VLOOKUP(A574,Drank!A:T,20,FALSE),"")=0,"",IFERROR(VLOOKUP(A574,Drank!A:T,20,FALSE),""))</f>
        <v>44058</v>
      </c>
      <c r="X574" s="10">
        <f>SUMIF(A:A,A574,I:I)</f>
        <v>6</v>
      </c>
      <c r="Y574" s="37">
        <f>IF(Table1[[#This Row],[Drank]]&gt;0,VLOOKUP(Table1[[#This Row],[ID]],Drank!A:P,16,FALSE),IF(Table1[[#This Row],[WALDD]]&gt;0,VLOOKUP(Table1[[#This Row],[ID]],Wine1!A:Q,17,FALSE),Table1[[#This Row],[EP]]))</f>
        <v>2030</v>
      </c>
      <c r="Z574" s="18">
        <f>IF(Table1[[#This Row],[My Rating]]="",IF(Table1[[#This Row],[WA Rating Clean]]="","",Table1[[#This Row],[WA Rating Clean]]),Table1[[#This Row],[My Rating]])</f>
        <v>91.333333333333329</v>
      </c>
      <c r="AA574" s="8">
        <v>2024</v>
      </c>
      <c r="AB574" s="128">
        <v>21.51</v>
      </c>
      <c r="AC574" s="2">
        <f t="shared" si="39"/>
        <v>21.51</v>
      </c>
      <c r="AD574" s="8">
        <v>2</v>
      </c>
      <c r="AE574" s="37">
        <f>IF(Table1[[#This Row],[P/750]]&lt;20,1,IF(Table1[[#This Row],[P/750]]&lt;50,2,3))</f>
        <v>2</v>
      </c>
      <c r="AF574" s="37">
        <f>IF(Table1[[#This Row],[P/750]]&lt;Expenses!$C$30,1,IF(Table1[[#This Row],[P/750]]&lt;Expenses!$C$31,2,IF(Table1[[#This Row],[P/750]]&lt;Expenses!$C$32,3,4)))</f>
        <v>2</v>
      </c>
      <c r="AH574" s="25" t="s">
        <v>1128</v>
      </c>
      <c r="AI574" s="11">
        <f>Table1[[#This Row],[Price]]/Table1[[#This Row],[Size (ml)]]*750</f>
        <v>21.51</v>
      </c>
      <c r="AJ574" s="37">
        <v>92</v>
      </c>
      <c r="AK574" s="37">
        <f>COUNTIF(UniqueID!A:A,Table1[[#This Row],[ID]])</f>
        <v>1</v>
      </c>
      <c r="AL574" s="37" t="str">
        <f>VLOOKUP(Table1[[#This Row],[Cellar Location]],Location!A:F,6,FALSE)</f>
        <v>S</v>
      </c>
      <c r="AN574" s="1">
        <v>43966</v>
      </c>
      <c r="AO574" s="37" t="str">
        <f>TEXT(Table1[[#This Row],[Purchased]],"mmmm")</f>
        <v>May</v>
      </c>
      <c r="AP574" s="10" t="str">
        <f>TEXT(Table1[[#This Row],[Purchased]],"yyyy")</f>
        <v>2020</v>
      </c>
      <c r="AQ574" s="10"/>
    </row>
    <row r="575" spans="1:43" s="37" customFormat="1" x14ac:dyDescent="0.25">
      <c r="A575" s="37" t="str">
        <f t="shared" si="38"/>
        <v>1998Raymond-LafonRaymond-Lafon</v>
      </c>
      <c r="B575" s="8">
        <v>1998</v>
      </c>
      <c r="C575" s="37" t="s">
        <v>197</v>
      </c>
      <c r="D575" s="37" t="s">
        <v>197</v>
      </c>
      <c r="E575" s="69" t="s">
        <v>1215</v>
      </c>
      <c r="F575" s="37" t="s">
        <v>742</v>
      </c>
      <c r="G575" s="37" t="s">
        <v>748</v>
      </c>
      <c r="H575" s="37" t="s">
        <v>260</v>
      </c>
      <c r="I575" s="107">
        <v>1</v>
      </c>
      <c r="J575" s="37">
        <v>375</v>
      </c>
      <c r="K575" s="107" t="s">
        <v>628</v>
      </c>
      <c r="L575" s="37">
        <f>COUNTIF(Drank!A:A,Table1[[#This Row],[ID]])</f>
        <v>3</v>
      </c>
      <c r="M575" s="37" t="s">
        <v>201</v>
      </c>
      <c r="N575" s="37" t="s">
        <v>206</v>
      </c>
      <c r="O575" s="37">
        <v>1</v>
      </c>
      <c r="P575" s="37">
        <v>2018</v>
      </c>
      <c r="Q575" s="37">
        <v>2025</v>
      </c>
      <c r="R575" s="10" t="str">
        <f>IF(IFERROR(VLOOKUP(A575,Drank!A:S,15,FALSE),"")=0,"",IFERROR(VLOOKUP(A575,Drank!A:S,15,FALSE),""))</f>
        <v/>
      </c>
      <c r="S575" s="10">
        <f>IF(IFERROR(VLOOKUP(A575,Drank!A:S,16,FALSE),"")=0,"",IFERROR(VLOOKUP(A575,Drank!A:S,16,FALSE),""))</f>
        <v>2030</v>
      </c>
      <c r="T575" s="10"/>
      <c r="U575" s="37">
        <v>93</v>
      </c>
      <c r="V575" s="18">
        <f>IF(IFERROR(VLOOKUP(A575,Drank!A:T,19,FALSE),"")=0,"",IFERROR(VLOOKUP(A575,Drank!A:T,19,FALSE),""))</f>
        <v>92.666666666666671</v>
      </c>
      <c r="W575" s="1">
        <f>IF(IFERROR(VLOOKUP(A575,Drank!A:T,20,FALSE),"")=0,"",IFERROR(VLOOKUP(A575,Drank!A:T,20,FALSE),""))</f>
        <v>44002</v>
      </c>
      <c r="X575" s="10">
        <f>SUMIF(A:A,A575,I:I)</f>
        <v>7</v>
      </c>
      <c r="Y575" s="37">
        <f>IF(Table1[[#This Row],[Drank]]&gt;0,VLOOKUP(Table1[[#This Row],[ID]],Drank!A:P,16,FALSE),IF(Table1[[#This Row],[WALDD]]&gt;0,VLOOKUP(Table1[[#This Row],[ID]],Wine1!A:Q,17,FALSE),Table1[[#This Row],[EP]]))</f>
        <v>2030</v>
      </c>
      <c r="Z575" s="18">
        <f>IF(Table1[[#This Row],[My Rating]]="",IF(Table1[[#This Row],[WA Rating Clean]]="","",Table1[[#This Row],[WA Rating Clean]]),Table1[[#This Row],[My Rating]])</f>
        <v>92.666666666666671</v>
      </c>
      <c r="AA575" s="37">
        <v>2024</v>
      </c>
      <c r="AB575" s="128">
        <v>16.989999999999998</v>
      </c>
      <c r="AC575" s="2">
        <f t="shared" si="39"/>
        <v>16.989999999999998</v>
      </c>
      <c r="AD575" s="8">
        <v>2</v>
      </c>
      <c r="AE575" s="37">
        <f>IF(Table1[[#This Row],[P/750]]&lt;20,1,IF(Table1[[#This Row],[P/750]]&lt;50,2,3))</f>
        <v>2</v>
      </c>
      <c r="AF575" s="37">
        <f>IF(Table1[[#This Row],[P/750]]&lt;Expenses!$C$30,1,IF(Table1[[#This Row],[P/750]]&lt;Expenses!$C$31,2,IF(Table1[[#This Row],[P/750]]&lt;Expenses!$C$32,3,4)))</f>
        <v>3</v>
      </c>
      <c r="AH575" s="37" t="s">
        <v>385</v>
      </c>
      <c r="AI575" s="11">
        <f>Table1[[#This Row],[Price]]/Table1[[#This Row],[Size (ml)]]*750</f>
        <v>33.979999999999997</v>
      </c>
      <c r="AJ575" s="37">
        <v>93</v>
      </c>
      <c r="AK575" s="37">
        <f>COUNTIF(UniqueID!A:A,Table1[[#This Row],[ID]])</f>
        <v>1</v>
      </c>
      <c r="AL575" s="37" t="str">
        <f>VLOOKUP(Table1[[#This Row],[Cellar Location]],Location!A:F,6,FALSE)</f>
        <v>S</v>
      </c>
      <c r="AO575" s="37" t="str">
        <f>TEXT(Table1[[#This Row],[Purchased]],"mmmm")</f>
        <v>January</v>
      </c>
      <c r="AP575" s="10" t="str">
        <f>TEXT(Table1[[#This Row],[Purchased]],"yyyy")</f>
        <v>1900</v>
      </c>
      <c r="AQ575" s="10"/>
    </row>
    <row r="576" spans="1:43" x14ac:dyDescent="0.25">
      <c r="A576" t="str">
        <f t="shared" si="38"/>
        <v>2010Chateau Sigalas RabaudLieutenant de Sigalas</v>
      </c>
      <c r="B576" s="37">
        <v>2010</v>
      </c>
      <c r="C576" s="37" t="s">
        <v>1337</v>
      </c>
      <c r="D576" s="37" t="s">
        <v>1338</v>
      </c>
      <c r="E576" s="67" t="s">
        <v>1339</v>
      </c>
      <c r="F576" s="67" t="s">
        <v>742</v>
      </c>
      <c r="G576" s="37" t="s">
        <v>748</v>
      </c>
      <c r="H576" s="37" t="s">
        <v>260</v>
      </c>
      <c r="I576" s="107">
        <v>1</v>
      </c>
      <c r="J576">
        <v>375</v>
      </c>
      <c r="K576" s="107" t="s">
        <v>1504</v>
      </c>
      <c r="L576" s="10">
        <f>COUNTIF(Drank!A:A,Table1[[#This Row],[ID]])</f>
        <v>1</v>
      </c>
      <c r="M576" t="s">
        <v>201</v>
      </c>
      <c r="N576" t="s">
        <v>206</v>
      </c>
      <c r="O576">
        <v>0</v>
      </c>
      <c r="P576" s="10"/>
      <c r="R576" s="10">
        <f>IF(IFERROR(VLOOKUP(A576,Drank!A:S,15,FALSE),"")=0,"",IFERROR(VLOOKUP(A576,Drank!A:S,15,FALSE),""))</f>
        <v>2021</v>
      </c>
      <c r="S576" s="10">
        <f>IF(IFERROR(VLOOKUP(A576,Drank!A:S,16,FALSE),"")=0,"",IFERROR(VLOOKUP(A576,Drank!A:S,16,FALSE),""))</f>
        <v>2030</v>
      </c>
      <c r="T576" s="10">
        <v>2028</v>
      </c>
      <c r="V576" s="18">
        <f>IF(IFERROR(VLOOKUP(A576,Drank!A:T,19,FALSE),"")=0,"",IFERROR(VLOOKUP(A576,Drank!A:T,19,FALSE),""))</f>
        <v>88</v>
      </c>
      <c r="W576" s="1" t="str">
        <f>IF(IFERROR(VLOOKUP(A576,Drank!A:T,20,FALSE),"")=0,"",IFERROR(VLOOKUP(A576,Drank!A:T,20,FALSE),""))</f>
        <v/>
      </c>
      <c r="X576" s="10">
        <f>SUMIF(A:A,A576,I:I)</f>
        <v>9</v>
      </c>
      <c r="Y576" s="10">
        <f>IF(Table1[[#This Row],[Drank]]&gt;0,VLOOKUP(Table1[[#This Row],[ID]],Drank!A:P,16,FALSE),IF(Table1[[#This Row],[WALDD]]&gt;0,VLOOKUP(Table1[[#This Row],[ID]],Wine1!A:Q,17,FALSE),Table1[[#This Row],[EP]]))</f>
        <v>2030</v>
      </c>
      <c r="Z576" s="18">
        <f>IF(Table1[[#This Row],[My Rating]]="",IF(Table1[[#This Row],[WA Rating Clean]]="","",Table1[[#This Row],[WA Rating Clean]]),Table1[[#This Row],[My Rating]])</f>
        <v>88</v>
      </c>
      <c r="AA576" s="8">
        <v>2024</v>
      </c>
      <c r="AB576" s="128">
        <v>13.11</v>
      </c>
      <c r="AC576" s="2">
        <f t="shared" si="39"/>
        <v>13.11</v>
      </c>
      <c r="AD576" s="8">
        <v>2</v>
      </c>
      <c r="AE576" s="10">
        <f>IF(Table1[[#This Row],[P/750]]&lt;20,1,IF(Table1[[#This Row],[P/750]]&lt;50,2,3))</f>
        <v>2</v>
      </c>
      <c r="AF576" s="10">
        <f>IF(Table1[[#This Row],[P/750]]&lt;Expenses!$C$30,1,IF(Table1[[#This Row],[P/750]]&lt;Expenses!$C$31,2,IF(Table1[[#This Row],[P/750]]&lt;Expenses!$C$32,3,4)))</f>
        <v>2</v>
      </c>
      <c r="AH576" s="37" t="s">
        <v>385</v>
      </c>
      <c r="AI576" s="11">
        <f>Table1[[#This Row],[Price]]/Table1[[#This Row],[Size (ml)]]*750</f>
        <v>26.22</v>
      </c>
      <c r="AK576" s="10">
        <f>COUNTIF(UniqueID!A:A,Table1[[#This Row],[ID]])</f>
        <v>0</v>
      </c>
      <c r="AL576" s="10" t="str">
        <f>VLOOKUP(Table1[[#This Row],[Cellar Location]],Location!A:F,6,FALSE)</f>
        <v>S</v>
      </c>
      <c r="AN576" s="1">
        <v>43923</v>
      </c>
      <c r="AO576" s="10" t="str">
        <f>TEXT(Table1[[#This Row],[Purchased]],"mmmm")</f>
        <v>April</v>
      </c>
      <c r="AP576" s="10" t="str">
        <f>TEXT(Table1[[#This Row],[Purchased]],"yyyy")</f>
        <v>2020</v>
      </c>
      <c r="AQ576" s="10"/>
    </row>
    <row r="577" spans="1:43" x14ac:dyDescent="0.25">
      <c r="A577" t="str">
        <f t="shared" si="38"/>
        <v>2013CortonesiBrunello di Montalcino La Mannella</v>
      </c>
      <c r="B577" s="37">
        <v>2013</v>
      </c>
      <c r="C577" s="37" t="s">
        <v>72</v>
      </c>
      <c r="D577" s="25" t="s">
        <v>73</v>
      </c>
      <c r="E577" s="67" t="s">
        <v>1250</v>
      </c>
      <c r="F577" s="37" t="s">
        <v>728</v>
      </c>
      <c r="G577" s="37" t="s">
        <v>790</v>
      </c>
      <c r="H577" s="37" t="s">
        <v>19</v>
      </c>
      <c r="I577" s="107">
        <v>1</v>
      </c>
      <c r="J577" s="37">
        <v>750</v>
      </c>
      <c r="K577" s="107" t="s">
        <v>645</v>
      </c>
      <c r="L577" s="37">
        <f>COUNTIF(Drank!A:A,Table1[[#This Row],[ID]])</f>
        <v>1</v>
      </c>
      <c r="M577" t="s">
        <v>202</v>
      </c>
      <c r="N577" t="s">
        <v>207</v>
      </c>
      <c r="O577">
        <v>1</v>
      </c>
      <c r="P577" s="37">
        <v>2020</v>
      </c>
      <c r="Q577">
        <v>2033</v>
      </c>
      <c r="R577" s="37">
        <f>IF(IFERROR(VLOOKUP(A577,Drank!A:S,15,FALSE),"")=0,"",IFERROR(VLOOKUP(A577,Drank!A:S,15,FALSE),""))</f>
        <v>2024</v>
      </c>
      <c r="S577" s="37">
        <f>IF(IFERROR(VLOOKUP(A577,Drank!A:S,16,FALSE),"")=0,"",IFERROR(VLOOKUP(A577,Drank!A:S,16,FALSE),""))</f>
        <v>2030</v>
      </c>
      <c r="T577" s="37"/>
      <c r="U577" t="s">
        <v>74</v>
      </c>
      <c r="V577" s="18">
        <f>IF(IFERROR(VLOOKUP(A577,Drank!A:T,19,FALSE),"")=0,"",IFERROR(VLOOKUP(A577,Drank!A:T,19,FALSE),""))</f>
        <v>93</v>
      </c>
      <c r="W577" s="1">
        <f>IF(IFERROR(VLOOKUP(A577,Drank!A:T,20,FALSE),"")=0,"",IFERROR(VLOOKUP(A577,Drank!A:T,20,FALSE),""))</f>
        <v>43924</v>
      </c>
      <c r="X577" s="37">
        <f>SUMIF(A:A,A577,I:I)</f>
        <v>5</v>
      </c>
      <c r="Y577" s="37">
        <f>IF(Table1[[#This Row],[Drank]]&gt;0,VLOOKUP(Table1[[#This Row],[ID]],Drank!A:P,16,FALSE),IF(Table1[[#This Row],[WALDD]]&gt;0,VLOOKUP(Table1[[#This Row],[ID]],Wine1!A:Q,17,FALSE),Table1[[#This Row],[EP]]))</f>
        <v>2030</v>
      </c>
      <c r="Z577" s="18">
        <f>IF(Table1[[#This Row],[My Rating]]="",IF(Table1[[#This Row],[WA Rating Clean]]="","",Table1[[#This Row],[WA Rating Clean]]),Table1[[#This Row],[My Rating]])</f>
        <v>93</v>
      </c>
      <c r="AA577" s="37">
        <v>2024</v>
      </c>
      <c r="AB577" s="128">
        <v>33.99</v>
      </c>
      <c r="AC577" s="2">
        <f t="shared" si="39"/>
        <v>33.99</v>
      </c>
      <c r="AD577" s="8">
        <v>2</v>
      </c>
      <c r="AE577" s="37">
        <f>IF(Table1[[#This Row],[P/750]]&lt;20,1,IF(Table1[[#This Row],[P/750]]&lt;50,2,3))</f>
        <v>2</v>
      </c>
      <c r="AF577" s="37">
        <f>IF(Table1[[#This Row],[P/750]]&lt;Expenses!$C$30,1,IF(Table1[[#This Row],[P/750]]&lt;Expenses!$C$31,2,IF(Table1[[#This Row],[P/750]]&lt;Expenses!$C$32,3,4)))</f>
        <v>3</v>
      </c>
      <c r="AH577" s="37" t="s">
        <v>1131</v>
      </c>
      <c r="AI577" s="11">
        <f>Table1[[#This Row],[Price]]/Table1[[#This Row],[Size (ml)]]*750</f>
        <v>33.99</v>
      </c>
      <c r="AJ577">
        <v>93</v>
      </c>
      <c r="AK577" s="37">
        <f>COUNTIF(UniqueID!A:A,Table1[[#This Row],[ID]])</f>
        <v>1</v>
      </c>
      <c r="AL577" s="37" t="str">
        <f>VLOOKUP(Table1[[#This Row],[Cellar Location]],Location!A:F,6,FALSE)</f>
        <v>S</v>
      </c>
      <c r="AN577" s="37"/>
      <c r="AO577" s="37" t="str">
        <f>TEXT(Table1[[#This Row],[Purchased]],"mmmm")</f>
        <v>January</v>
      </c>
      <c r="AP577" s="10" t="str">
        <f>TEXT(Table1[[#This Row],[Purchased]],"yyyy")</f>
        <v>1900</v>
      </c>
      <c r="AQ577" s="10"/>
    </row>
    <row r="578" spans="1:43" x14ac:dyDescent="0.25">
      <c r="A578" t="str">
        <f t="shared" si="38"/>
        <v>2017Domaine du Grand MontmirailGigondas le Coteau de Mon Reve</v>
      </c>
      <c r="B578" s="37">
        <v>2017</v>
      </c>
      <c r="C578" s="37" t="s">
        <v>1387</v>
      </c>
      <c r="D578" s="37" t="s">
        <v>1388</v>
      </c>
      <c r="E578" s="67" t="s">
        <v>1360</v>
      </c>
      <c r="F578" s="37" t="s">
        <v>742</v>
      </c>
      <c r="G578" s="37" t="s">
        <v>759</v>
      </c>
      <c r="H578" s="37" t="s">
        <v>764</v>
      </c>
      <c r="I578" s="107">
        <v>1</v>
      </c>
      <c r="J578">
        <v>750</v>
      </c>
      <c r="K578" s="107" t="s">
        <v>661</v>
      </c>
      <c r="L578" s="10">
        <f>COUNTIF(Drank!A:A,Table1[[#This Row],[ID]])</f>
        <v>2</v>
      </c>
      <c r="M578" t="s">
        <v>202</v>
      </c>
      <c r="N578" t="s">
        <v>207</v>
      </c>
      <c r="O578">
        <v>1</v>
      </c>
      <c r="P578" s="10">
        <v>2020</v>
      </c>
      <c r="Q578">
        <v>2030</v>
      </c>
      <c r="R578" s="10">
        <f>IF(IFERROR(VLOOKUP(A578,Drank!A:S,15,FALSE),"")=0,"",IFERROR(VLOOKUP(A578,Drank!A:S,15,FALSE),""))</f>
        <v>2022</v>
      </c>
      <c r="S578" s="10">
        <f>IF(IFERROR(VLOOKUP(A578,Drank!A:S,16,FALSE),"")=0,"",IFERROR(VLOOKUP(A578,Drank!A:S,16,FALSE),""))</f>
        <v>2030</v>
      </c>
      <c r="T578" s="10"/>
      <c r="U578">
        <v>96</v>
      </c>
      <c r="V578" s="18">
        <f>IF(IFERROR(VLOOKUP(A578,Drank!A:T,19,FALSE),"")=0,"",IFERROR(VLOOKUP(A578,Drank!A:T,19,FALSE),""))</f>
        <v>93</v>
      </c>
      <c r="W578" s="1">
        <f>IF(IFERROR(VLOOKUP(A578,Drank!A:T,20,FALSE),"")=0,"",IFERROR(VLOOKUP(A578,Drank!A:T,20,FALSE),""))</f>
        <v>43976</v>
      </c>
      <c r="X578" s="10">
        <f>SUMIF(A:A,A578,I:I)</f>
        <v>10</v>
      </c>
      <c r="Y578" s="10">
        <f>IF(Table1[[#This Row],[Drank]]&gt;0,VLOOKUP(Table1[[#This Row],[ID]],Drank!A:P,16,FALSE),IF(Table1[[#This Row],[WALDD]]&gt;0,VLOOKUP(Table1[[#This Row],[ID]],Wine1!A:Q,17,FALSE),Table1[[#This Row],[EP]]))</f>
        <v>2030</v>
      </c>
      <c r="Z578" s="18">
        <f>IF(Table1[[#This Row],[My Rating]]="",IF(Table1[[#This Row],[WA Rating Clean]]="","",Table1[[#This Row],[WA Rating Clean]]),Table1[[#This Row],[My Rating]])</f>
        <v>93</v>
      </c>
      <c r="AA578" s="37">
        <v>2024</v>
      </c>
      <c r="AB578" s="128">
        <v>24.97</v>
      </c>
      <c r="AC578" s="2">
        <f t="shared" si="39"/>
        <v>24.97</v>
      </c>
      <c r="AD578" s="8">
        <v>2</v>
      </c>
      <c r="AE578" s="10">
        <f>IF(Table1[[#This Row],[P/750]]&lt;20,1,IF(Table1[[#This Row],[P/750]]&lt;50,2,3))</f>
        <v>2</v>
      </c>
      <c r="AF578" s="10">
        <f>IF(Table1[[#This Row],[P/750]]&lt;Expenses!$C$30,1,IF(Table1[[#This Row],[P/750]]&lt;Expenses!$C$31,2,IF(Table1[[#This Row],[P/750]]&lt;Expenses!$C$32,3,4)))</f>
        <v>2</v>
      </c>
      <c r="AH578" s="37" t="s">
        <v>384</v>
      </c>
      <c r="AI578" s="11">
        <f>Table1[[#This Row],[Price]]/Table1[[#This Row],[Size (ml)]]*750</f>
        <v>24.970000000000002</v>
      </c>
      <c r="AJ578">
        <v>96</v>
      </c>
      <c r="AK578" s="10">
        <f>COUNTIF(UniqueID!A:A,Table1[[#This Row],[ID]])</f>
        <v>0</v>
      </c>
      <c r="AL578" s="10" t="str">
        <f>VLOOKUP(Table1[[#This Row],[Cellar Location]],Location!A:F,6,FALSE)</f>
        <v>S</v>
      </c>
      <c r="AN578" s="1">
        <v>43948</v>
      </c>
      <c r="AO578" s="10" t="str">
        <f>TEXT(Table1[[#This Row],[Purchased]],"mmmm")</f>
        <v>April</v>
      </c>
      <c r="AP578" s="10" t="str">
        <f>TEXT(Table1[[#This Row],[Purchased]],"yyyy")</f>
        <v>2020</v>
      </c>
      <c r="AQ578" s="10"/>
    </row>
    <row r="579" spans="1:43" s="37" customFormat="1" x14ac:dyDescent="0.25">
      <c r="A579" s="37" t="str">
        <f t="shared" si="38"/>
        <v>2016Domaine Saint DamienGigondas les Souteyrades</v>
      </c>
      <c r="B579" s="37">
        <v>2016</v>
      </c>
      <c r="C579" s="9" t="s">
        <v>394</v>
      </c>
      <c r="D579" s="30" t="s">
        <v>395</v>
      </c>
      <c r="E579" s="68" t="s">
        <v>1255</v>
      </c>
      <c r="F579" s="37" t="s">
        <v>742</v>
      </c>
      <c r="G579" s="37" t="s">
        <v>759</v>
      </c>
      <c r="H579" s="37" t="s">
        <v>764</v>
      </c>
      <c r="I579" s="107">
        <v>1</v>
      </c>
      <c r="J579" s="37">
        <v>750</v>
      </c>
      <c r="K579" s="107" t="s">
        <v>646</v>
      </c>
      <c r="L579" s="37">
        <f>COUNTIF(Drank!A:A,Table1[[#This Row],[ID]])</f>
        <v>0</v>
      </c>
      <c r="M579" s="37" t="s">
        <v>202</v>
      </c>
      <c r="N579" s="37" t="s">
        <v>207</v>
      </c>
      <c r="O579" s="37">
        <v>1</v>
      </c>
      <c r="P579" s="37">
        <v>2020</v>
      </c>
      <c r="Q579" s="37">
        <v>2030</v>
      </c>
      <c r="R579" s="10" t="str">
        <f>IF(IFERROR(VLOOKUP(A579,Drank!A:S,15,FALSE),"")=0,"",IFERROR(VLOOKUP(A579,Drank!A:S,15,FALSE),""))</f>
        <v/>
      </c>
      <c r="S579" s="10" t="str">
        <f>IF(IFERROR(VLOOKUP(A579,Drank!A:S,16,FALSE),"")=0,"",IFERROR(VLOOKUP(A579,Drank!A:S,16,FALSE),""))</f>
        <v/>
      </c>
      <c r="T579" s="10"/>
      <c r="U579" s="37">
        <v>95</v>
      </c>
      <c r="V579" s="18" t="str">
        <f>IF(IFERROR(VLOOKUP(A579,Drank!A:T,19,FALSE),"")=0,"",IFERROR(VLOOKUP(A579,Drank!A:T,19,FALSE),""))</f>
        <v/>
      </c>
      <c r="W579" s="1" t="str">
        <f>IF(IFERROR(VLOOKUP(A579,Drank!A:T,20,FALSE),"")=0,"",IFERROR(VLOOKUP(A579,Drank!A:T,20,FALSE),""))</f>
        <v/>
      </c>
      <c r="X579" s="10">
        <f>SUMIF(A:A,A579,I:I)</f>
        <v>4</v>
      </c>
      <c r="Y579" s="37">
        <f>IF(Table1[[#This Row],[Drank]]&gt;0,VLOOKUP(Table1[[#This Row],[ID]],Drank!A:P,16,FALSE),IF(Table1[[#This Row],[WALDD]]&gt;0,VLOOKUP(Table1[[#This Row],[ID]],Wine1!A:Q,17,FALSE),Table1[[#This Row],[EP]]))</f>
        <v>2030</v>
      </c>
      <c r="Z579" s="18">
        <f>IF(Table1[[#This Row],[My Rating]]="",IF(Table1[[#This Row],[WA Rating Clean]]="","",Table1[[#This Row],[WA Rating Clean]]),Table1[[#This Row],[My Rating]])</f>
        <v>95</v>
      </c>
      <c r="AA579" s="6">
        <v>2024</v>
      </c>
      <c r="AB579" s="128">
        <v>28</v>
      </c>
      <c r="AC579" s="2">
        <f t="shared" si="39"/>
        <v>28</v>
      </c>
      <c r="AD579" s="8">
        <v>2</v>
      </c>
      <c r="AE579" s="37">
        <f>IF(Table1[[#This Row],[P/750]]&lt;20,1,IF(Table1[[#This Row],[P/750]]&lt;50,2,3))</f>
        <v>2</v>
      </c>
      <c r="AF579" s="37">
        <f>IF(Table1[[#This Row],[P/750]]&lt;Expenses!$C$30,1,IF(Table1[[#This Row],[P/750]]&lt;Expenses!$C$31,2,IF(Table1[[#This Row],[P/750]]&lt;Expenses!$C$32,3,4)))</f>
        <v>2</v>
      </c>
      <c r="AH579" s="37" t="s">
        <v>385</v>
      </c>
      <c r="AI579" s="11">
        <f>Table1[[#This Row],[Price]]/Table1[[#This Row],[Size (ml)]]*750</f>
        <v>28.000000000000004</v>
      </c>
      <c r="AJ579" s="37">
        <v>95</v>
      </c>
      <c r="AK579" s="37">
        <f>COUNTIF(UniqueID!A:A,Table1[[#This Row],[ID]])</f>
        <v>1</v>
      </c>
      <c r="AL579" s="37" t="str">
        <f>VLOOKUP(Table1[[#This Row],[Cellar Location]],Location!A:F,6,FALSE)</f>
        <v>S</v>
      </c>
      <c r="AO579" s="37" t="str">
        <f>TEXT(Table1[[#This Row],[Purchased]],"mmmm")</f>
        <v>January</v>
      </c>
      <c r="AP579" s="10" t="str">
        <f>TEXT(Table1[[#This Row],[Purchased]],"yyyy")</f>
        <v>1900</v>
      </c>
      <c r="AQ579" s="10"/>
    </row>
    <row r="580" spans="1:43" s="37" customFormat="1" x14ac:dyDescent="0.25">
      <c r="A580" s="37" t="str">
        <f t="shared" si="38"/>
        <v>2012La FortunaBrunello di Montalcino Riserva</v>
      </c>
      <c r="B580" s="37">
        <v>2012</v>
      </c>
      <c r="C580" s="37" t="s">
        <v>65</v>
      </c>
      <c r="D580" s="37" t="s">
        <v>13</v>
      </c>
      <c r="E580" s="65" t="s">
        <v>280</v>
      </c>
      <c r="F580" s="37" t="s">
        <v>728</v>
      </c>
      <c r="G580" s="37" t="s">
        <v>790</v>
      </c>
      <c r="H580" s="37" t="s">
        <v>19</v>
      </c>
      <c r="I580" s="37">
        <v>1</v>
      </c>
      <c r="J580" s="107">
        <v>750</v>
      </c>
      <c r="K580" s="8" t="s">
        <v>1832</v>
      </c>
      <c r="L580" s="37">
        <f>COUNTIF(Drank!A:A,Table1[[#This Row],[ID]])</f>
        <v>0</v>
      </c>
      <c r="M580" s="37" t="s">
        <v>202</v>
      </c>
      <c r="N580" s="37" t="s">
        <v>207</v>
      </c>
      <c r="O580" s="37">
        <v>0</v>
      </c>
      <c r="R580" s="37" t="str">
        <f>IF(IFERROR(VLOOKUP(A580,Drank!A:S,15,FALSE),"")=0,"",IFERROR(VLOOKUP(A580,Drank!A:S,15,FALSE),""))</f>
        <v/>
      </c>
      <c r="S580" s="37" t="str">
        <f>IF(IFERROR(VLOOKUP(A580,Drank!A:S,16,FALSE),"")=0,"",IFERROR(VLOOKUP(A580,Drank!A:S,16,FALSE),""))</f>
        <v/>
      </c>
      <c r="T580" s="37">
        <v>2030</v>
      </c>
      <c r="V580" s="18" t="str">
        <f>IF(IFERROR(VLOOKUP(A580,Drank!A:T,19,FALSE),"")=0,"",IFERROR(VLOOKUP(A580,Drank!A:T,19,FALSE),""))</f>
        <v/>
      </c>
      <c r="W580" s="1" t="str">
        <f>IF(IFERROR(VLOOKUP(A580,Drank!A:T,20,FALSE),"")=0,"",IFERROR(VLOOKUP(A580,Drank!A:T,20,FALSE),""))</f>
        <v/>
      </c>
      <c r="X580" s="37">
        <f>SUMIF(A:A,A580,I:I)</f>
        <v>2</v>
      </c>
      <c r="Y580" s="37">
        <f>IF(Table1[[#This Row],[Drank]]&gt;0,VLOOKUP(Table1[[#This Row],[ID]],Drank!A:P,16,FALSE),IF(Table1[[#This Row],[WALDD]]&gt;0,VLOOKUP(Table1[[#This Row],[ID]],Wine1!A:Q,17,FALSE),Table1[[#This Row],[EP]]))</f>
        <v>2030</v>
      </c>
      <c r="Z580" s="18" t="str">
        <f>IF(Table1[[#This Row],[My Rating]]="",IF(Table1[[#This Row],[WA Rating Clean]]="","",Table1[[#This Row],[WA Rating Clean]]),Table1[[#This Row],[My Rating]])</f>
        <v/>
      </c>
      <c r="AA580" s="37">
        <v>2024</v>
      </c>
      <c r="AB580" s="14">
        <v>73.78</v>
      </c>
      <c r="AC580" s="2">
        <f t="shared" si="39"/>
        <v>73.78</v>
      </c>
      <c r="AD580" s="8">
        <v>0</v>
      </c>
      <c r="AE580" s="37">
        <f>IF(Table1[[#This Row],[P/750]]&lt;20,1,IF(Table1[[#This Row],[P/750]]&lt;50,2,3))</f>
        <v>3</v>
      </c>
      <c r="AF580" s="37">
        <f>IF(Table1[[#This Row],[P/750]]&lt;Expenses!$C$30,1,IF(Table1[[#This Row],[P/750]]&lt;Expenses!$C$31,2,IF(Table1[[#This Row],[P/750]]&lt;Expenses!$C$32,3,4)))</f>
        <v>4</v>
      </c>
      <c r="AH580" s="37" t="s">
        <v>385</v>
      </c>
      <c r="AI580" s="11">
        <f>Table1[[#This Row],[Price]]/Table1[[#This Row],[Size (ml)]]*750</f>
        <v>73.78</v>
      </c>
      <c r="AK580" s="37">
        <f>COUNTIF(UniqueID!A:A,Table1[[#This Row],[ID]])</f>
        <v>1</v>
      </c>
      <c r="AL580" s="37" t="str">
        <f>VLOOKUP(Table1[[#This Row],[Cellar Location]],Location!A:F,6,FALSE)</f>
        <v>S</v>
      </c>
      <c r="AO580" s="37" t="str">
        <f>TEXT(Table1[[#This Row],[Purchased]],"mmmm")</f>
        <v>January</v>
      </c>
      <c r="AP580" s="10" t="str">
        <f>TEXT(Table1[[#This Row],[Purchased]],"yyyy")</f>
        <v>1900</v>
      </c>
      <c r="AQ580" s="10"/>
    </row>
    <row r="581" spans="1:43" s="37" customFormat="1" x14ac:dyDescent="0.25">
      <c r="A581" s="37" t="str">
        <f t="shared" si="38"/>
        <v>2007López de HerediaViña Tondonia Reserva</v>
      </c>
      <c r="B581" s="37">
        <v>2007</v>
      </c>
      <c r="C581" s="37" t="s">
        <v>1263</v>
      </c>
      <c r="D581" s="37" t="s">
        <v>1264</v>
      </c>
      <c r="E581" s="67" t="s">
        <v>1265</v>
      </c>
      <c r="F581" s="37" t="s">
        <v>729</v>
      </c>
      <c r="G581" s="37" t="s">
        <v>823</v>
      </c>
      <c r="I581" s="107">
        <v>1</v>
      </c>
      <c r="J581" s="37">
        <v>750</v>
      </c>
      <c r="K581" s="107" t="s">
        <v>927</v>
      </c>
      <c r="L581" s="10">
        <f>COUNTIF(Drank!A:A,Table1[[#This Row],[ID]])</f>
        <v>0</v>
      </c>
      <c r="M581" s="37" t="s">
        <v>202</v>
      </c>
      <c r="N581" s="37" t="s">
        <v>207</v>
      </c>
      <c r="O581" s="37">
        <v>1</v>
      </c>
      <c r="P581" s="10">
        <v>2019</v>
      </c>
      <c r="Q581" s="37">
        <v>2030</v>
      </c>
      <c r="R581" s="10" t="str">
        <f>IF(IFERROR(VLOOKUP(A581,Drank!A:S,15,FALSE),"")=0,"",IFERROR(VLOOKUP(A581,Drank!A:S,15,FALSE),""))</f>
        <v/>
      </c>
      <c r="S581" s="10" t="str">
        <f>IF(IFERROR(VLOOKUP(A581,Drank!A:S,16,FALSE),"")=0,"",IFERROR(VLOOKUP(A581,Drank!A:S,16,FALSE),""))</f>
        <v/>
      </c>
      <c r="T581" s="10"/>
      <c r="U581" s="37">
        <v>96</v>
      </c>
      <c r="V581" s="18" t="str">
        <f>IF(IFERROR(VLOOKUP(A581,Drank!A:T,19,FALSE),"")=0,"",IFERROR(VLOOKUP(A581,Drank!A:T,19,FALSE),""))</f>
        <v/>
      </c>
      <c r="W581" s="1" t="str">
        <f>IF(IFERROR(VLOOKUP(A581,Drank!A:T,20,FALSE),"")=0,"",IFERROR(VLOOKUP(A581,Drank!A:T,20,FALSE),""))</f>
        <v/>
      </c>
      <c r="X581" s="10">
        <f>SUMIF(A:A,A581,I:I)</f>
        <v>4</v>
      </c>
      <c r="Y581" s="10">
        <f>IF(Table1[[#This Row],[Drank]]&gt;0,VLOOKUP(Table1[[#This Row],[ID]],Drank!A:P,16,FALSE),IF(Table1[[#This Row],[WALDD]]&gt;0,VLOOKUP(Table1[[#This Row],[ID]],Wine1!A:Q,17,FALSE),Table1[[#This Row],[EP]]))</f>
        <v>2030</v>
      </c>
      <c r="Z581" s="18">
        <f>IF(Table1[[#This Row],[My Rating]]="",IF(Table1[[#This Row],[WA Rating Clean]]="","",Table1[[#This Row],[WA Rating Clean]]),Table1[[#This Row],[My Rating]])</f>
        <v>96</v>
      </c>
      <c r="AA581" s="37">
        <v>2024</v>
      </c>
      <c r="AB581" s="128">
        <v>43.99</v>
      </c>
      <c r="AC581" s="2">
        <f t="shared" si="39"/>
        <v>43.99</v>
      </c>
      <c r="AD581" s="8">
        <v>2</v>
      </c>
      <c r="AE581" s="10">
        <f>IF(Table1[[#This Row],[P/750]]&lt;20,1,IF(Table1[[#This Row],[P/750]]&lt;50,2,3))</f>
        <v>2</v>
      </c>
      <c r="AF581" s="10">
        <f>IF(Table1[[#This Row],[P/750]]&lt;Expenses!$C$30,1,IF(Table1[[#This Row],[P/750]]&lt;Expenses!$C$31,2,IF(Table1[[#This Row],[P/750]]&lt;Expenses!$C$32,3,4)))</f>
        <v>3</v>
      </c>
      <c r="AH581" s="37" t="s">
        <v>1139</v>
      </c>
      <c r="AI581" s="11">
        <f>Table1[[#This Row],[Price]]/Table1[[#This Row],[Size (ml)]]*750</f>
        <v>43.99</v>
      </c>
      <c r="AJ581" s="37">
        <v>96</v>
      </c>
      <c r="AK581" s="10">
        <f>COUNTIF(UniqueID!A:A,Table1[[#This Row],[ID]])</f>
        <v>1</v>
      </c>
      <c r="AL581" s="37" t="str">
        <f>VLOOKUP(Table1[[#This Row],[Cellar Location]],Location!A:F,6,FALSE)</f>
        <v>S</v>
      </c>
      <c r="AO581" s="37" t="str">
        <f>TEXT(Table1[[#This Row],[Purchased]],"mmmm")</f>
        <v>January</v>
      </c>
      <c r="AP581" s="10" t="str">
        <f>TEXT(Table1[[#This Row],[Purchased]],"yyyy")</f>
        <v>1900</v>
      </c>
      <c r="AQ581" s="10"/>
    </row>
    <row r="582" spans="1:43" s="37" customFormat="1" x14ac:dyDescent="0.25">
      <c r="A582" s="37" t="str">
        <f t="shared" si="38"/>
        <v>2016Quinta do ValladoTouriga Nacional</v>
      </c>
      <c r="B582" s="8">
        <v>2016</v>
      </c>
      <c r="C582" s="30" t="s">
        <v>210</v>
      </c>
      <c r="D582" s="9" t="s">
        <v>211</v>
      </c>
      <c r="E582" s="68" t="s">
        <v>1221</v>
      </c>
      <c r="F582" s="9" t="s">
        <v>804</v>
      </c>
      <c r="G582" s="9" t="s">
        <v>805</v>
      </c>
      <c r="H582" s="9"/>
      <c r="I582" s="107">
        <v>1</v>
      </c>
      <c r="J582" s="37">
        <v>750</v>
      </c>
      <c r="K582" s="108" t="s">
        <v>591</v>
      </c>
      <c r="L582" s="37">
        <f>COUNTIF(Drank!A:A,Table1[[#This Row],[ID]])</f>
        <v>4</v>
      </c>
      <c r="M582" s="37" t="s">
        <v>202</v>
      </c>
      <c r="N582" s="37" t="s">
        <v>207</v>
      </c>
      <c r="O582" s="37">
        <v>1</v>
      </c>
      <c r="P582" s="37">
        <v>2020</v>
      </c>
      <c r="Q582" s="37">
        <v>2032</v>
      </c>
      <c r="R582" s="37">
        <f>IF(IFERROR(VLOOKUP(A582,Drank!A:S,15,FALSE),"")=0,"",IFERROR(VLOOKUP(A582,Drank!A:S,15,FALSE),""))</f>
        <v>2021</v>
      </c>
      <c r="S582" s="37">
        <f>IF(IFERROR(VLOOKUP(A582,Drank!A:S,16,FALSE),"")=0,"",IFERROR(VLOOKUP(A582,Drank!A:S,16,FALSE),""))</f>
        <v>2030</v>
      </c>
      <c r="U582" s="37">
        <v>93</v>
      </c>
      <c r="V582" s="18">
        <f>IF(IFERROR(VLOOKUP(A582,Drank!A:T,19,FALSE),"")=0,"",IFERROR(VLOOKUP(A582,Drank!A:T,19,FALSE),""))</f>
        <v>92</v>
      </c>
      <c r="W582" s="1">
        <f>IF(IFERROR(VLOOKUP(A582,Drank!A:T,20,FALSE),"")=0,"",IFERROR(VLOOKUP(A582,Drank!A:T,20,FALSE),""))</f>
        <v>43847</v>
      </c>
      <c r="X582" s="37">
        <f>SUMIF(A:A,A582,I:I)</f>
        <v>7</v>
      </c>
      <c r="Y582" s="37">
        <f>IF(Table1[[#This Row],[Drank]]&gt;0,VLOOKUP(Table1[[#This Row],[ID]],Drank!A:P,16,FALSE),IF(Table1[[#This Row],[WALDD]]&gt;0,VLOOKUP(Table1[[#This Row],[ID]],Wine1!A:Q,17,FALSE),Table1[[#This Row],[EP]]))</f>
        <v>2030</v>
      </c>
      <c r="Z582" s="18">
        <f>IF(Table1[[#This Row],[My Rating]]="",IF(Table1[[#This Row],[WA Rating Clean]]="","",Table1[[#This Row],[WA Rating Clean]]),Table1[[#This Row],[My Rating]])</f>
        <v>92</v>
      </c>
      <c r="AA582" s="37">
        <v>2024</v>
      </c>
      <c r="AB582" s="128">
        <v>24.99</v>
      </c>
      <c r="AC582" s="2">
        <f t="shared" si="39"/>
        <v>24.99</v>
      </c>
      <c r="AD582" s="8">
        <v>2</v>
      </c>
      <c r="AE582" s="37">
        <f>IF(Table1[[#This Row],[P/750]]&lt;20,1,IF(Table1[[#This Row],[P/750]]&lt;50,2,3))</f>
        <v>2</v>
      </c>
      <c r="AF582" s="37">
        <f>IF(Table1[[#This Row],[P/750]]&lt;Expenses!$C$30,1,IF(Table1[[#This Row],[P/750]]&lt;Expenses!$C$31,2,IF(Table1[[#This Row],[P/750]]&lt;Expenses!$C$32,3,4)))</f>
        <v>2</v>
      </c>
      <c r="AH582" s="37" t="s">
        <v>384</v>
      </c>
      <c r="AI582" s="11">
        <f>Table1[[#This Row],[Price]]/Table1[[#This Row],[Size (ml)]]*750</f>
        <v>24.989999999999995</v>
      </c>
      <c r="AJ582" s="37">
        <v>93</v>
      </c>
      <c r="AK582" s="37">
        <f>COUNTIF(UniqueID!A:A,Table1[[#This Row],[ID]])</f>
        <v>1</v>
      </c>
      <c r="AL582" s="37" t="str">
        <f>VLOOKUP(Table1[[#This Row],[Cellar Location]],Location!A:F,6,FALSE)</f>
        <v>S</v>
      </c>
      <c r="AO582" s="37" t="str">
        <f>TEXT(Table1[[#This Row],[Purchased]],"mmmm")</f>
        <v>January</v>
      </c>
      <c r="AP582" s="10" t="str">
        <f>TEXT(Table1[[#This Row],[Purchased]],"yyyy")</f>
        <v>1900</v>
      </c>
      <c r="AQ582" s="10"/>
    </row>
    <row r="583" spans="1:43" s="37" customFormat="1" x14ac:dyDescent="0.25">
      <c r="A583" s="37" t="str">
        <f t="shared" si="38"/>
        <v>2012San RusticoAmarone della Valpolicella Classico</v>
      </c>
      <c r="B583" s="37">
        <v>2012</v>
      </c>
      <c r="C583" s="37" t="s">
        <v>444</v>
      </c>
      <c r="D583" s="37" t="s">
        <v>26</v>
      </c>
      <c r="E583" s="69" t="s">
        <v>1252</v>
      </c>
      <c r="F583" s="37" t="s">
        <v>728</v>
      </c>
      <c r="G583" s="37" t="s">
        <v>799</v>
      </c>
      <c r="H583" s="37" t="s">
        <v>800</v>
      </c>
      <c r="I583" s="107">
        <v>1</v>
      </c>
      <c r="J583" s="37">
        <v>750</v>
      </c>
      <c r="K583" s="107" t="s">
        <v>642</v>
      </c>
      <c r="L583" s="10">
        <f>COUNTIF(Drank!A:A,Table1[[#This Row],[ID]])</f>
        <v>1</v>
      </c>
      <c r="M583" s="37" t="s">
        <v>202</v>
      </c>
      <c r="N583" s="37" t="s">
        <v>207</v>
      </c>
      <c r="O583" s="37">
        <v>1</v>
      </c>
      <c r="P583" s="10">
        <v>2019</v>
      </c>
      <c r="Q583" s="37">
        <v>2027</v>
      </c>
      <c r="R583" s="10">
        <f>IF(IFERROR(VLOOKUP(A583,Drank!A:S,15,FALSE),"")=0,"",IFERROR(VLOOKUP(A583,Drank!A:S,15,FALSE),""))</f>
        <v>2022</v>
      </c>
      <c r="S583" s="10">
        <f>IF(IFERROR(VLOOKUP(A583,Drank!A:S,16,FALSE),"")=0,"",IFERROR(VLOOKUP(A583,Drank!A:S,16,FALSE),""))</f>
        <v>2030</v>
      </c>
      <c r="T583" s="10"/>
      <c r="U583" s="37">
        <v>91</v>
      </c>
      <c r="V583" s="18">
        <f>IF(IFERROR(VLOOKUP(A583,Drank!A:T,19,FALSE),"")=0,"",IFERROR(VLOOKUP(A583,Drank!A:T,19,FALSE),""))</f>
        <v>91</v>
      </c>
      <c r="W583" s="1">
        <f>IF(IFERROR(VLOOKUP(A583,Drank!A:T,20,FALSE),"")=0,"",IFERROR(VLOOKUP(A583,Drank!A:T,20,FALSE),""))</f>
        <v>43834</v>
      </c>
      <c r="X583" s="10">
        <f>SUMIF(A:A,A583,I:I)</f>
        <v>5</v>
      </c>
      <c r="Y583" s="10">
        <f>IF(Table1[[#This Row],[Drank]]&gt;0,VLOOKUP(Table1[[#This Row],[ID]],Drank!A:P,16,FALSE),IF(Table1[[#This Row],[WALDD]]&gt;0,VLOOKUP(Table1[[#This Row],[ID]],Wine1!A:Q,17,FALSE),Table1[[#This Row],[EP]]))</f>
        <v>2030</v>
      </c>
      <c r="Z583" s="18">
        <f>IF(Table1[[#This Row],[My Rating]]="",IF(Table1[[#This Row],[WA Rating Clean]]="","",Table1[[#This Row],[WA Rating Clean]]),Table1[[#This Row],[My Rating]])</f>
        <v>91</v>
      </c>
      <c r="AA583" s="37">
        <v>2024</v>
      </c>
      <c r="AB583" s="128">
        <v>24.99</v>
      </c>
      <c r="AC583" s="2">
        <f t="shared" si="39"/>
        <v>24.99</v>
      </c>
      <c r="AD583" s="8">
        <v>2</v>
      </c>
      <c r="AE583" s="10">
        <f>IF(Table1[[#This Row],[P/750]]&lt;20,1,IF(Table1[[#This Row],[P/750]]&lt;50,2,3))</f>
        <v>2</v>
      </c>
      <c r="AF583" s="10">
        <f>IF(Table1[[#This Row],[P/750]]&lt;Expenses!$C$30,1,IF(Table1[[#This Row],[P/750]]&lt;Expenses!$C$31,2,IF(Table1[[#This Row],[P/750]]&lt;Expenses!$C$32,3,4)))</f>
        <v>2</v>
      </c>
      <c r="AH583" s="37" t="s">
        <v>384</v>
      </c>
      <c r="AI583" s="11">
        <f>Table1[[#This Row],[Price]]/Table1[[#This Row],[Size (ml)]]*750</f>
        <v>24.989999999999995</v>
      </c>
      <c r="AJ583" s="37">
        <v>91</v>
      </c>
      <c r="AK583" s="37">
        <f>COUNTIF(UniqueID!A:A,Table1[[#This Row],[ID]])</f>
        <v>1</v>
      </c>
      <c r="AL583" s="37" t="str">
        <f>VLOOKUP(Table1[[#This Row],[Cellar Location]],Location!A:F,6,FALSE)</f>
        <v>S</v>
      </c>
      <c r="AO583" s="37" t="str">
        <f>TEXT(Table1[[#This Row],[Purchased]],"mmmm")</f>
        <v>January</v>
      </c>
      <c r="AP583" s="10" t="str">
        <f>TEXT(Table1[[#This Row],[Purchased]],"yyyy")</f>
        <v>1900</v>
      </c>
      <c r="AQ583" s="10"/>
    </row>
    <row r="584" spans="1:43" s="37" customFormat="1" x14ac:dyDescent="0.25">
      <c r="A584" s="37" t="str">
        <f t="shared" si="38"/>
        <v>2014Telmo RodriguezPegaso Barrancos de Pizarra</v>
      </c>
      <c r="B584" s="37">
        <v>2014</v>
      </c>
      <c r="C584" s="37" t="s">
        <v>816</v>
      </c>
      <c r="D584" s="25" t="s">
        <v>432</v>
      </c>
      <c r="E584" s="67" t="s">
        <v>1248</v>
      </c>
      <c r="F584" s="37" t="s">
        <v>729</v>
      </c>
      <c r="G584" s="37" t="s">
        <v>1718</v>
      </c>
      <c r="H584" s="37" t="s">
        <v>817</v>
      </c>
      <c r="I584" s="107">
        <v>1</v>
      </c>
      <c r="J584" s="37">
        <v>750</v>
      </c>
      <c r="K584" s="107" t="s">
        <v>649</v>
      </c>
      <c r="L584" s="10">
        <f>COUNTIF(Drank!A:A,Table1[[#This Row],[ID]])</f>
        <v>0</v>
      </c>
      <c r="M584" s="37" t="s">
        <v>202</v>
      </c>
      <c r="N584" s="37" t="s">
        <v>207</v>
      </c>
      <c r="O584" s="37">
        <v>1</v>
      </c>
      <c r="P584" s="37">
        <v>2017</v>
      </c>
      <c r="Q584" s="37">
        <v>2030</v>
      </c>
      <c r="R584" s="10" t="str">
        <f>IF(IFERROR(VLOOKUP(A584,Drank!A:S,15,FALSE),"")=0,"",IFERROR(VLOOKUP(A584,Drank!A:S,15,FALSE),""))</f>
        <v/>
      </c>
      <c r="S584" s="10" t="str">
        <f>IF(IFERROR(VLOOKUP(A584,Drank!A:S,16,FALSE),"")=0,"",IFERROR(VLOOKUP(A584,Drank!A:S,16,FALSE),""))</f>
        <v/>
      </c>
      <c r="T584" s="10"/>
      <c r="U584" s="37">
        <v>95</v>
      </c>
      <c r="V584" s="18" t="str">
        <f>IF(IFERROR(VLOOKUP(A584,Drank!A:T,19,FALSE),"")=0,"",IFERROR(VLOOKUP(A584,Drank!A:T,19,FALSE),""))</f>
        <v/>
      </c>
      <c r="W584" s="1" t="str">
        <f>IF(IFERROR(VLOOKUP(A584,Drank!A:T,20,FALSE),"")=0,"",IFERROR(VLOOKUP(A584,Drank!A:T,20,FALSE),""))</f>
        <v/>
      </c>
      <c r="X584" s="10">
        <f>SUMIF(A:A,A584,I:I)</f>
        <v>6</v>
      </c>
      <c r="Y584" s="10">
        <f>IF(Table1[[#This Row],[Drank]]&gt;0,VLOOKUP(Table1[[#This Row],[ID]],Drank!A:P,16,FALSE),IF(Table1[[#This Row],[WALDD]]&gt;0,VLOOKUP(Table1[[#This Row],[ID]],Wine1!A:Q,17,FALSE),Table1[[#This Row],[EP]]))</f>
        <v>2030</v>
      </c>
      <c r="Z584" s="18">
        <f>IF(Table1[[#This Row],[My Rating]]="",IF(Table1[[#This Row],[WA Rating Clean]]="","",Table1[[#This Row],[WA Rating Clean]]),Table1[[#This Row],[My Rating]])</f>
        <v>95</v>
      </c>
      <c r="AA584" s="37">
        <v>2024</v>
      </c>
      <c r="AB584" s="128">
        <v>25</v>
      </c>
      <c r="AC584" s="2">
        <f t="shared" si="39"/>
        <v>25</v>
      </c>
      <c r="AD584" s="8">
        <v>2</v>
      </c>
      <c r="AE584" s="37">
        <f>IF(Table1[[#This Row],[P/750]]&lt;20,1,IF(Table1[[#This Row],[P/750]]&lt;50,2,3))</f>
        <v>2</v>
      </c>
      <c r="AF584" s="37">
        <f>IF(Table1[[#This Row],[P/750]]&lt;Expenses!$C$30,1,IF(Table1[[#This Row],[P/750]]&lt;Expenses!$C$31,2,IF(Table1[[#This Row],[P/750]]&lt;Expenses!$C$32,3,4)))</f>
        <v>2</v>
      </c>
      <c r="AH584" s="37" t="s">
        <v>385</v>
      </c>
      <c r="AI584" s="11">
        <f>Table1[[#This Row],[Price]]/Table1[[#This Row],[Size (ml)]]*750</f>
        <v>25</v>
      </c>
      <c r="AJ584" s="37">
        <v>95</v>
      </c>
      <c r="AK584" s="37">
        <f>COUNTIF(UniqueID!A:A,Table1[[#This Row],[ID]])</f>
        <v>1</v>
      </c>
      <c r="AL584" s="37" t="str">
        <f>VLOOKUP(Table1[[#This Row],[Cellar Location]],Location!A:F,6,FALSE)</f>
        <v>S</v>
      </c>
      <c r="AO584" s="37" t="str">
        <f>TEXT(Table1[[#This Row],[Purchased]],"mmmm")</f>
        <v>January</v>
      </c>
      <c r="AP584" s="10" t="str">
        <f>TEXT(Table1[[#This Row],[Purchased]],"yyyy")</f>
        <v>1900</v>
      </c>
      <c r="AQ584" s="10"/>
    </row>
    <row r="585" spans="1:43" s="37" customFormat="1" x14ac:dyDescent="0.25">
      <c r="A585" s="37" t="str">
        <f t="shared" si="38"/>
        <v>2015Tenuta di NozzoleChianti Classico Riserva Nozzole</v>
      </c>
      <c r="B585" s="37">
        <v>2015</v>
      </c>
      <c r="C585" s="37" t="s">
        <v>100</v>
      </c>
      <c r="D585" s="37" t="s">
        <v>101</v>
      </c>
      <c r="E585" s="69" t="s">
        <v>399</v>
      </c>
      <c r="F585" s="37" t="s">
        <v>728</v>
      </c>
      <c r="G585" s="37" t="s">
        <v>790</v>
      </c>
      <c r="H585" s="37" t="s">
        <v>792</v>
      </c>
      <c r="I585" s="107">
        <v>1</v>
      </c>
      <c r="J585" s="37">
        <v>750</v>
      </c>
      <c r="K585" s="107" t="s">
        <v>590</v>
      </c>
      <c r="L585" s="37">
        <f>COUNTIF(Drank!A:A,Table1[[#This Row],[ID]])</f>
        <v>6</v>
      </c>
      <c r="M585" s="37" t="s">
        <v>202</v>
      </c>
      <c r="N585" s="37" t="s">
        <v>207</v>
      </c>
      <c r="O585" s="37">
        <v>1</v>
      </c>
      <c r="P585" s="37">
        <v>2018</v>
      </c>
      <c r="Q585" s="37">
        <v>2028</v>
      </c>
      <c r="R585" s="10">
        <f>IF(IFERROR(VLOOKUP(A585,Drank!A:S,15,FALSE),"")=0,"",IFERROR(VLOOKUP(A585,Drank!A:S,15,FALSE),""))</f>
        <v>2020</v>
      </c>
      <c r="S585" s="10">
        <f>IF(IFERROR(VLOOKUP(A585,Drank!A:S,16,FALSE),"")=0,"",IFERROR(VLOOKUP(A585,Drank!A:S,16,FALSE),""))</f>
        <v>2030</v>
      </c>
      <c r="T585" s="10"/>
      <c r="U585" s="37">
        <v>92</v>
      </c>
      <c r="V585" s="18">
        <f>IF(IFERROR(VLOOKUP(A585,Drank!A:T,19,FALSE),"")=0,"",IFERROR(VLOOKUP(A585,Drank!A:T,19,FALSE),""))</f>
        <v>91</v>
      </c>
      <c r="W585" s="1">
        <f>IF(IFERROR(VLOOKUP(A585,Drank!A:T,20,FALSE),"")=0,"",IFERROR(VLOOKUP(A585,Drank!A:T,20,FALSE),""))</f>
        <v>43779</v>
      </c>
      <c r="X585" s="10">
        <f>SUMIF(A:A,A585,I:I)</f>
        <v>4</v>
      </c>
      <c r="Y585" s="37">
        <f>IF(Table1[[#This Row],[Drank]]&gt;0,VLOOKUP(Table1[[#This Row],[ID]],Drank!A:P,16,FALSE),IF(Table1[[#This Row],[WALDD]]&gt;0,VLOOKUP(Table1[[#This Row],[ID]],Wine1!A:Q,17,FALSE),Table1[[#This Row],[EP]]))</f>
        <v>2030</v>
      </c>
      <c r="Z585" s="18">
        <f>IF(Table1[[#This Row],[My Rating]]="",IF(Table1[[#This Row],[WA Rating Clean]]="","",Table1[[#This Row],[WA Rating Clean]]),Table1[[#This Row],[My Rating]])</f>
        <v>91</v>
      </c>
      <c r="AA585" s="8">
        <v>2024</v>
      </c>
      <c r="AB585" s="128">
        <v>19.79</v>
      </c>
      <c r="AC585" s="2">
        <f t="shared" si="39"/>
        <v>19.79</v>
      </c>
      <c r="AD585" s="8">
        <v>2</v>
      </c>
      <c r="AE585" s="37">
        <f>IF(Table1[[#This Row],[P/750]]&lt;20,1,IF(Table1[[#This Row],[P/750]]&lt;50,2,3))</f>
        <v>1</v>
      </c>
      <c r="AF585" s="37">
        <f>IF(Table1[[#This Row],[P/750]]&lt;Expenses!$C$30,1,IF(Table1[[#This Row],[P/750]]&lt;Expenses!$C$31,2,IF(Table1[[#This Row],[P/750]]&lt;Expenses!$C$32,3,4)))</f>
        <v>2</v>
      </c>
      <c r="AH585" s="25" t="s">
        <v>1128</v>
      </c>
      <c r="AI585" s="11">
        <f>Table1[[#This Row],[Price]]/Table1[[#This Row],[Size (ml)]]*750</f>
        <v>19.79</v>
      </c>
      <c r="AJ585" s="37">
        <v>92</v>
      </c>
      <c r="AK585" s="37">
        <f>COUNTIF(UniqueID!A:A,Table1[[#This Row],[ID]])</f>
        <v>1</v>
      </c>
      <c r="AL585" s="37" t="str">
        <f>VLOOKUP(Table1[[#This Row],[Cellar Location]],Location!A:F,6,FALSE)</f>
        <v>S</v>
      </c>
      <c r="AO585" s="37" t="str">
        <f>TEXT(Table1[[#This Row],[Purchased]],"mmmm")</f>
        <v>January</v>
      </c>
      <c r="AP585" s="10" t="str">
        <f>TEXT(Table1[[#This Row],[Purchased]],"yyyy")</f>
        <v>1900</v>
      </c>
      <c r="AQ585" s="10"/>
    </row>
    <row r="586" spans="1:43" x14ac:dyDescent="0.25">
      <c r="A586" t="str">
        <f t="shared" si="38"/>
        <v>2016Tour Saint-MichelChateauneuf du Pape Cuvee du Lion</v>
      </c>
      <c r="B586" s="37">
        <v>2016</v>
      </c>
      <c r="C586" s="37" t="s">
        <v>712</v>
      </c>
      <c r="D586" s="37" t="s">
        <v>1359</v>
      </c>
      <c r="E586" s="67" t="s">
        <v>1360</v>
      </c>
      <c r="F586" s="37" t="s">
        <v>742</v>
      </c>
      <c r="G586" s="37" t="s">
        <v>759</v>
      </c>
      <c r="H586" s="37" t="s">
        <v>762</v>
      </c>
      <c r="I586" s="107">
        <v>1</v>
      </c>
      <c r="J586" s="9">
        <v>750</v>
      </c>
      <c r="K586" s="107" t="s">
        <v>661</v>
      </c>
      <c r="L586" s="10">
        <f>COUNTIF(Drank!A:A,Table1[[#This Row],[ID]])</f>
        <v>1</v>
      </c>
      <c r="M586" t="s">
        <v>202</v>
      </c>
      <c r="N586" t="s">
        <v>207</v>
      </c>
      <c r="O586">
        <v>1</v>
      </c>
      <c r="P586" s="10">
        <v>2018</v>
      </c>
      <c r="Q586">
        <v>2030</v>
      </c>
      <c r="R586" s="10">
        <f>IF(IFERROR(VLOOKUP(A586,Drank!A:S,15,FALSE),"")=0,"",IFERROR(VLOOKUP(A586,Drank!A:S,15,FALSE),""))</f>
        <v>2024</v>
      </c>
      <c r="S586" s="10">
        <f>IF(IFERROR(VLOOKUP(A586,Drank!A:S,16,FALSE),"")=0,"",IFERROR(VLOOKUP(A586,Drank!A:S,16,FALSE),""))</f>
        <v>2030</v>
      </c>
      <c r="T586" s="10"/>
      <c r="U586">
        <v>94</v>
      </c>
      <c r="V586" s="18">
        <f>IF(IFERROR(VLOOKUP(A586,Drank!A:T,19,FALSE),"")=0,"",IFERROR(VLOOKUP(A586,Drank!A:T,19,FALSE),""))</f>
        <v>92</v>
      </c>
      <c r="W586" s="1">
        <f>IF(IFERROR(VLOOKUP(A586,Drank!A:T,20,FALSE),"")=0,"",IFERROR(VLOOKUP(A586,Drank!A:T,20,FALSE),""))</f>
        <v>44056</v>
      </c>
      <c r="X586" s="10">
        <f>SUMIF(A:A,A586,I:I)</f>
        <v>5</v>
      </c>
      <c r="Y586" s="10">
        <f>IF(Table1[[#This Row],[Drank]]&gt;0,VLOOKUP(Table1[[#This Row],[ID]],Drank!A:P,16,FALSE),IF(Table1[[#This Row],[WALDD]]&gt;0,VLOOKUP(Table1[[#This Row],[ID]],Wine1!A:Q,17,FALSE),Table1[[#This Row],[EP]]))</f>
        <v>2030</v>
      </c>
      <c r="Z586" s="18">
        <f>IF(Table1[[#This Row],[My Rating]]="",IF(Table1[[#This Row],[WA Rating Clean]]="","",Table1[[#This Row],[WA Rating Clean]]),Table1[[#This Row],[My Rating]])</f>
        <v>92</v>
      </c>
      <c r="AA586" s="37">
        <v>2024</v>
      </c>
      <c r="AB586" s="128">
        <v>32.58</v>
      </c>
      <c r="AC586" s="2">
        <f t="shared" si="39"/>
        <v>32.58</v>
      </c>
      <c r="AD586" s="8">
        <v>2</v>
      </c>
      <c r="AE586" s="10">
        <f>IF(Table1[[#This Row],[P/750]]&lt;20,1,IF(Table1[[#This Row],[P/750]]&lt;50,2,3))</f>
        <v>2</v>
      </c>
      <c r="AF586" s="10">
        <f>IF(Table1[[#This Row],[P/750]]&lt;Expenses!$C$30,1,IF(Table1[[#This Row],[P/750]]&lt;Expenses!$C$31,2,IF(Table1[[#This Row],[P/750]]&lt;Expenses!$C$32,3,4)))</f>
        <v>3</v>
      </c>
      <c r="AH586" s="37" t="s">
        <v>384</v>
      </c>
      <c r="AI586" s="11">
        <f>Table1[[#This Row],[Price]]/Table1[[#This Row],[Size (ml)]]*750</f>
        <v>32.58</v>
      </c>
      <c r="AJ586">
        <v>94</v>
      </c>
      <c r="AK586" s="10">
        <f>COUNTIF(UniqueID!A:A,Table1[[#This Row],[ID]])</f>
        <v>0</v>
      </c>
      <c r="AL586" s="10" t="str">
        <f>VLOOKUP(Table1[[#This Row],[Cellar Location]],Location!A:F,6,FALSE)</f>
        <v>S</v>
      </c>
      <c r="AN586" s="1">
        <v>43934</v>
      </c>
      <c r="AO586" s="10" t="str">
        <f>TEXT(Table1[[#This Row],[Purchased]],"mmmm")</f>
        <v>April</v>
      </c>
      <c r="AP586" s="10" t="str">
        <f>TEXT(Table1[[#This Row],[Purchased]],"yyyy")</f>
        <v>2020</v>
      </c>
      <c r="AQ586" s="10"/>
    </row>
    <row r="587" spans="1:43" s="37" customFormat="1" x14ac:dyDescent="0.25">
      <c r="A587" s="37" t="str">
        <f t="shared" si="38"/>
        <v>2015Xavier VignonCotes du Rhone Villages Arcane XIX Le Soleil</v>
      </c>
      <c r="B587" s="37">
        <v>2015</v>
      </c>
      <c r="C587" s="19" t="s">
        <v>405</v>
      </c>
      <c r="D587" s="25" t="s">
        <v>1856</v>
      </c>
      <c r="E587" s="68" t="s">
        <v>1222</v>
      </c>
      <c r="F587" s="37" t="s">
        <v>742</v>
      </c>
      <c r="G587" s="37" t="s">
        <v>759</v>
      </c>
      <c r="H587" s="37" t="s">
        <v>760</v>
      </c>
      <c r="I587" s="107">
        <v>1</v>
      </c>
      <c r="J587" s="37">
        <v>750</v>
      </c>
      <c r="K587" s="107" t="s">
        <v>647</v>
      </c>
      <c r="L587" s="37">
        <f>COUNTIF(Drank!A:A,Table1[[#This Row],[ID]])</f>
        <v>2</v>
      </c>
      <c r="M587" s="37" t="s">
        <v>202</v>
      </c>
      <c r="N587" s="37" t="s">
        <v>207</v>
      </c>
      <c r="O587" s="37">
        <v>1</v>
      </c>
      <c r="P587" s="37">
        <v>2017</v>
      </c>
      <c r="Q587" s="37">
        <v>2027</v>
      </c>
      <c r="R587" s="10">
        <f>IF(IFERROR(VLOOKUP(A587,Drank!A:S,15,FALSE),"")=0,"",IFERROR(VLOOKUP(A587,Drank!A:S,15,FALSE),""))</f>
        <v>2021</v>
      </c>
      <c r="S587" s="10">
        <f>IF(IFERROR(VLOOKUP(A587,Drank!A:S,16,FALSE),"")=0,"",IFERROR(VLOOKUP(A587,Drank!A:S,16,FALSE),""))</f>
        <v>2025</v>
      </c>
      <c r="T587" s="10"/>
      <c r="U587" s="37">
        <v>94</v>
      </c>
      <c r="V587" s="18">
        <f>IF(IFERROR(VLOOKUP(A587,Drank!A:T,19,FALSE),"")=0,"",IFERROR(VLOOKUP(A587,Drank!A:T,19,FALSE),""))</f>
        <v>93</v>
      </c>
      <c r="W587" s="1">
        <f>IF(IFERROR(VLOOKUP(A587,Drank!A:T,20,FALSE),"")=0,"",IFERROR(VLOOKUP(A587,Drank!A:T,20,FALSE),""))</f>
        <v>44071</v>
      </c>
      <c r="X587" s="10">
        <f>SUMIF(A:A,A587,I:I)</f>
        <v>6</v>
      </c>
      <c r="Y587" s="37">
        <f>IF(Table1[[#This Row],[Drank]]&gt;0,VLOOKUP(Table1[[#This Row],[ID]],Drank!A:P,16,FALSE),IF(Table1[[#This Row],[WALDD]]&gt;0,VLOOKUP(Table1[[#This Row],[ID]],Wine1!A:Q,17,FALSE),Table1[[#This Row],[EP]]))</f>
        <v>2025</v>
      </c>
      <c r="Z587" s="18">
        <f>IF(Table1[[#This Row],[My Rating]]="",IF(Table1[[#This Row],[WA Rating Clean]]="","",Table1[[#This Row],[WA Rating Clean]]),Table1[[#This Row],[My Rating]])</f>
        <v>93</v>
      </c>
      <c r="AA587" s="37">
        <v>2024</v>
      </c>
      <c r="AB587" s="128">
        <v>20</v>
      </c>
      <c r="AC587" s="2">
        <f t="shared" si="39"/>
        <v>20</v>
      </c>
      <c r="AD587" s="8">
        <v>2</v>
      </c>
      <c r="AE587" s="37">
        <f>IF(Table1[[#This Row],[P/750]]&lt;20,1,IF(Table1[[#This Row],[P/750]]&lt;50,2,3))</f>
        <v>2</v>
      </c>
      <c r="AF587" s="37">
        <f>IF(Table1[[#This Row],[P/750]]&lt;Expenses!$C$30,1,IF(Table1[[#This Row],[P/750]]&lt;Expenses!$C$31,2,IF(Table1[[#This Row],[P/750]]&lt;Expenses!$C$32,3,4)))</f>
        <v>2</v>
      </c>
      <c r="AH587" s="37" t="s">
        <v>385</v>
      </c>
      <c r="AI587" s="11">
        <f>Table1[[#This Row],[Price]]/Table1[[#This Row],[Size (ml)]]*750</f>
        <v>20</v>
      </c>
      <c r="AJ587" s="37">
        <v>94</v>
      </c>
      <c r="AK587" s="37">
        <f>COUNTIF(UniqueID!A:A,Table1[[#This Row],[ID]])</f>
        <v>0</v>
      </c>
      <c r="AL587" s="37" t="str">
        <f>VLOOKUP(Table1[[#This Row],[Cellar Location]],Location!A:F,6,FALSE)</f>
        <v>S</v>
      </c>
      <c r="AO587" s="37" t="str">
        <f>TEXT(Table1[[#This Row],[Purchased]],"mmmm")</f>
        <v>January</v>
      </c>
      <c r="AP587" s="10" t="str">
        <f>TEXT(Table1[[#This Row],[Purchased]],"yyyy")</f>
        <v>1900</v>
      </c>
      <c r="AQ587" s="10"/>
    </row>
    <row r="588" spans="1:43" s="37" customFormat="1" x14ac:dyDescent="0.25">
      <c r="A588" s="37" t="str">
        <f t="shared" si="38"/>
        <v>2018Sante ArcangeliPinot Noir Integrato</v>
      </c>
      <c r="B588" s="37">
        <v>2018</v>
      </c>
      <c r="C588" s="8" t="s">
        <v>1347</v>
      </c>
      <c r="D588" s="37" t="s">
        <v>1348</v>
      </c>
      <c r="E588" s="64" t="s">
        <v>263</v>
      </c>
      <c r="F588" s="37" t="s">
        <v>727</v>
      </c>
      <c r="G588" s="37" t="s">
        <v>806</v>
      </c>
      <c r="H588" s="37" t="s">
        <v>1349</v>
      </c>
      <c r="I588" s="107">
        <v>1</v>
      </c>
      <c r="J588" s="37">
        <v>750</v>
      </c>
      <c r="K588" s="107" t="s">
        <v>1406</v>
      </c>
      <c r="L588" s="10">
        <f>COUNTIF(Drank!A:A,Table1[[#This Row],[ID]])</f>
        <v>1</v>
      </c>
      <c r="M588" s="37" t="s">
        <v>202</v>
      </c>
      <c r="N588" s="37" t="s">
        <v>207</v>
      </c>
      <c r="O588" s="37">
        <v>1</v>
      </c>
      <c r="P588" s="37">
        <v>2020</v>
      </c>
      <c r="Q588" s="37">
        <v>2030</v>
      </c>
      <c r="R588" s="10">
        <f>IF(IFERROR(VLOOKUP(A588,Drank!A:S,15,FALSE),"")=0,"",IFERROR(VLOOKUP(A588,Drank!A:S,15,FALSE),""))</f>
        <v>2024</v>
      </c>
      <c r="S588" s="10">
        <f>IF(IFERROR(VLOOKUP(A588,Drank!A:S,16,FALSE),"")=0,"",IFERROR(VLOOKUP(A588,Drank!A:S,16,FALSE),""))</f>
        <v>2030</v>
      </c>
      <c r="T588" s="10"/>
      <c r="U588" s="37">
        <v>94</v>
      </c>
      <c r="V588" s="18">
        <f>IF(IFERROR(VLOOKUP(A588,Drank!A:T,19,FALSE),"")=0,"",IFERROR(VLOOKUP(A588,Drank!A:T,19,FALSE),""))</f>
        <v>92</v>
      </c>
      <c r="W588" s="1">
        <f>IF(IFERROR(VLOOKUP(A588,Drank!A:T,20,FALSE),"")=0,"",IFERROR(VLOOKUP(A588,Drank!A:T,20,FALSE),""))</f>
        <v>44008</v>
      </c>
      <c r="X588" s="10">
        <f>SUMIF(A:A,A588,I:I)</f>
        <v>3</v>
      </c>
      <c r="Y588" s="10">
        <f>IF(Table1[[#This Row],[Drank]]&gt;0,VLOOKUP(Table1[[#This Row],[ID]],Drank!A:P,16,FALSE),IF(Table1[[#This Row],[WALDD]]&gt;0,VLOOKUP(Table1[[#This Row],[ID]],Wine1!A:Q,17,FALSE),Table1[[#This Row],[EP]]))</f>
        <v>2030</v>
      </c>
      <c r="Z588" s="18">
        <f>IF(Table1[[#This Row],[My Rating]]="",IF(Table1[[#This Row],[WA Rating Clean]]="","",Table1[[#This Row],[WA Rating Clean]]),Table1[[#This Row],[My Rating]])</f>
        <v>92</v>
      </c>
      <c r="AA588" s="37">
        <v>2024</v>
      </c>
      <c r="AB588" s="128">
        <v>27.31</v>
      </c>
      <c r="AC588" s="2">
        <f t="shared" si="39"/>
        <v>27.31</v>
      </c>
      <c r="AD588" s="8">
        <v>2</v>
      </c>
      <c r="AE588" s="10">
        <f>IF(Table1[[#This Row],[P/750]]&lt;20,1,IF(Table1[[#This Row],[P/750]]&lt;50,2,3))</f>
        <v>2</v>
      </c>
      <c r="AF588" s="10">
        <f>IF(Table1[[#This Row],[P/750]]&lt;Expenses!$C$30,1,IF(Table1[[#This Row],[P/750]]&lt;Expenses!$C$31,2,IF(Table1[[#This Row],[P/750]]&lt;Expenses!$C$32,3,4)))</f>
        <v>2</v>
      </c>
      <c r="AH588" s="37" t="s">
        <v>385</v>
      </c>
      <c r="AI588" s="11">
        <f>Table1[[#This Row],[Price]]/Table1[[#This Row],[Size (ml)]]*750</f>
        <v>27.31</v>
      </c>
      <c r="AJ588" s="37">
        <v>94</v>
      </c>
      <c r="AK588" s="10">
        <f>COUNTIF(UniqueID!A:A,Table1[[#This Row],[ID]])</f>
        <v>0</v>
      </c>
      <c r="AL588" s="10" t="str">
        <f>VLOOKUP(Table1[[#This Row],[Cellar Location]],Location!A:F,6,FALSE)</f>
        <v>S</v>
      </c>
      <c r="AN588" s="1">
        <v>43924</v>
      </c>
      <c r="AO588" s="10" t="str">
        <f>TEXT(Table1[[#This Row],[Purchased]],"mmmm")</f>
        <v>April</v>
      </c>
      <c r="AP588" s="10" t="str">
        <f>TEXT(Table1[[#This Row],[Purchased]],"yyyy")</f>
        <v>2020</v>
      </c>
      <c r="AQ588" s="10"/>
    </row>
    <row r="589" spans="1:43" s="37" customFormat="1" x14ac:dyDescent="0.25">
      <c r="A589" s="37" t="str">
        <f t="shared" si="38"/>
        <v>2016Anderson's Conn ValleyCabernet Sauvignon</v>
      </c>
      <c r="B589" s="37">
        <v>2016</v>
      </c>
      <c r="C589" s="37" t="s">
        <v>252</v>
      </c>
      <c r="D589" s="25" t="s">
        <v>32</v>
      </c>
      <c r="E589" s="68" t="s">
        <v>1269</v>
      </c>
      <c r="F589" s="9" t="s">
        <v>727</v>
      </c>
      <c r="G589" s="9" t="s">
        <v>806</v>
      </c>
      <c r="H589" s="9" t="s">
        <v>832</v>
      </c>
      <c r="I589" s="107">
        <v>1</v>
      </c>
      <c r="J589" s="37">
        <v>750</v>
      </c>
      <c r="K589" s="107" t="s">
        <v>926</v>
      </c>
      <c r="L589" s="37">
        <f>COUNTIF(Drank!A:A,Table1[[#This Row],[ID]])</f>
        <v>1</v>
      </c>
      <c r="M589" s="37" t="s">
        <v>202</v>
      </c>
      <c r="N589" s="37" t="s">
        <v>207</v>
      </c>
      <c r="O589" s="37">
        <v>1</v>
      </c>
      <c r="P589" s="37">
        <v>2019</v>
      </c>
      <c r="Q589" s="37">
        <v>2033</v>
      </c>
      <c r="R589" s="37">
        <f>IF(IFERROR(VLOOKUP(A589,Drank!A:S,15,FALSE),"")=0,"",IFERROR(VLOOKUP(A589,Drank!A:S,15,FALSE),""))</f>
        <v>2024</v>
      </c>
      <c r="S589" s="37">
        <f>IF(IFERROR(VLOOKUP(A589,Drank!A:S,16,FALSE),"")=0,"",IFERROR(VLOOKUP(A589,Drank!A:S,16,FALSE),""))</f>
        <v>2031</v>
      </c>
      <c r="U589" s="37">
        <v>93</v>
      </c>
      <c r="V589" s="18">
        <f>IF(IFERROR(VLOOKUP(A589,Drank!A:T,19,FALSE),"")=0,"",IFERROR(VLOOKUP(A589,Drank!A:T,19,FALSE),""))</f>
        <v>93</v>
      </c>
      <c r="W589" s="1">
        <f>IF(IFERROR(VLOOKUP(A589,Drank!A:T,20,FALSE),"")=0,"",IFERROR(VLOOKUP(A589,Drank!A:T,20,FALSE),""))</f>
        <v>43582</v>
      </c>
      <c r="X589" s="37">
        <f>SUMIF(A:A,A589,I:I)</f>
        <v>3</v>
      </c>
      <c r="Y589" s="37">
        <f>IF(Table1[[#This Row],[Drank]]&gt;0,VLOOKUP(Table1[[#This Row],[ID]],Drank!A:P,16,FALSE),IF(Table1[[#This Row],[WALDD]]&gt;0,VLOOKUP(Table1[[#This Row],[ID]],Wine1!A:Q,17,FALSE),Table1[[#This Row],[EP]]))</f>
        <v>2031</v>
      </c>
      <c r="Z589" s="18">
        <f>IF(Table1[[#This Row],[My Rating]]="",IF(Table1[[#This Row],[WA Rating Clean]]="","",Table1[[#This Row],[WA Rating Clean]]),Table1[[#This Row],[My Rating]])</f>
        <v>93</v>
      </c>
      <c r="AA589" s="8">
        <v>2024</v>
      </c>
      <c r="AB589" s="128">
        <v>33</v>
      </c>
      <c r="AC589" s="2">
        <f t="shared" si="39"/>
        <v>33</v>
      </c>
      <c r="AD589" s="8">
        <v>2</v>
      </c>
      <c r="AE589" s="37">
        <f>IF(Table1[[#This Row],[P/750]]&lt;20,1,IF(Table1[[#This Row],[P/750]]&lt;50,2,3))</f>
        <v>2</v>
      </c>
      <c r="AF589" s="37">
        <f>IF(Table1[[#This Row],[P/750]]&lt;Expenses!$C$30,1,IF(Table1[[#This Row],[P/750]]&lt;Expenses!$C$31,2,IF(Table1[[#This Row],[P/750]]&lt;Expenses!$C$32,3,4)))</f>
        <v>3</v>
      </c>
      <c r="AH589" s="37" t="s">
        <v>385</v>
      </c>
      <c r="AI589" s="11">
        <f>Table1[[#This Row],[Price]]/Table1[[#This Row],[Size (ml)]]*750</f>
        <v>33</v>
      </c>
      <c r="AJ589" s="37">
        <v>93</v>
      </c>
      <c r="AK589" s="37">
        <f>COUNTIF(UniqueID!A:A,Table1[[#This Row],[ID]])</f>
        <v>1</v>
      </c>
      <c r="AL589" s="37" t="str">
        <f>VLOOKUP(Table1[[#This Row],[Cellar Location]],Location!A:F,6,FALSE)</f>
        <v>S</v>
      </c>
      <c r="AO589" s="37" t="str">
        <f>TEXT(Table1[[#This Row],[Purchased]],"mmmm")</f>
        <v>January</v>
      </c>
      <c r="AP589" s="10" t="str">
        <f>TEXT(Table1[[#This Row],[Purchased]],"yyyy")</f>
        <v>1900</v>
      </c>
      <c r="AQ589" s="10"/>
    </row>
    <row r="590" spans="1:43" s="37" customFormat="1" x14ac:dyDescent="0.25">
      <c r="A590" s="37" t="str">
        <f t="shared" si="38"/>
        <v>2016Foley JohnsonCabernet Sauvignon Estate</v>
      </c>
      <c r="B590" s="37">
        <v>2016</v>
      </c>
      <c r="C590" s="25" t="s">
        <v>194</v>
      </c>
      <c r="D590" s="37" t="s">
        <v>195</v>
      </c>
      <c r="E590" s="65" t="s">
        <v>32</v>
      </c>
      <c r="F590" s="9" t="s">
        <v>727</v>
      </c>
      <c r="G590" s="9" t="s">
        <v>806</v>
      </c>
      <c r="H590" s="9" t="s">
        <v>832</v>
      </c>
      <c r="I590" s="107">
        <v>1</v>
      </c>
      <c r="J590" s="37">
        <v>750</v>
      </c>
      <c r="K590" s="107" t="s">
        <v>650</v>
      </c>
      <c r="L590" s="37">
        <f>COUNTIF(Drank!A:A,Table1[[#This Row],[ID]])</f>
        <v>1</v>
      </c>
      <c r="M590" s="37" t="s">
        <v>202</v>
      </c>
      <c r="N590" s="37" t="s">
        <v>207</v>
      </c>
      <c r="O590" s="37">
        <v>1</v>
      </c>
      <c r="P590" s="37">
        <v>2019</v>
      </c>
      <c r="Q590" s="37">
        <v>2032</v>
      </c>
      <c r="R590" s="37">
        <f>IF(IFERROR(VLOOKUP(A590,Drank!A:S,15,FALSE),"")=0,"",IFERROR(VLOOKUP(A590,Drank!A:S,15,FALSE),""))</f>
        <v>2022</v>
      </c>
      <c r="S590" s="37">
        <f>IF(IFERROR(VLOOKUP(A590,Drank!A:S,16,FALSE),"")=0,"",IFERROR(VLOOKUP(A590,Drank!A:S,16,FALSE),""))</f>
        <v>2032</v>
      </c>
      <c r="U590" s="37">
        <v>92</v>
      </c>
      <c r="V590" s="18">
        <f>IF(IFERROR(VLOOKUP(A590,Drank!A:T,19,FALSE),"")=0,"",IFERROR(VLOOKUP(A590,Drank!A:T,19,FALSE),""))</f>
        <v>90</v>
      </c>
      <c r="W590" s="1">
        <f>IF(IFERROR(VLOOKUP(A590,Drank!A:T,20,FALSE),"")=0,"",IFERROR(VLOOKUP(A590,Drank!A:T,20,FALSE),""))</f>
        <v>43527</v>
      </c>
      <c r="X590" s="37">
        <f>SUMIF(A:A,A590,I:I)</f>
        <v>3</v>
      </c>
      <c r="Y590" s="37">
        <f>IF(Table1[[#This Row],[Drank]]&gt;0,VLOOKUP(Table1[[#This Row],[ID]],Drank!A:P,16,FALSE),IF(Table1[[#This Row],[WALDD]]&gt;0,VLOOKUP(Table1[[#This Row],[ID]],Wine1!A:Q,17,FALSE),Table1[[#This Row],[EP]]))</f>
        <v>2032</v>
      </c>
      <c r="Z590" s="18">
        <f>IF(Table1[[#This Row],[My Rating]]="",IF(Table1[[#This Row],[WA Rating Clean]]="","",Table1[[#This Row],[WA Rating Clean]]),Table1[[#This Row],[My Rating]])</f>
        <v>90</v>
      </c>
      <c r="AA590" s="8">
        <v>2024</v>
      </c>
      <c r="AB590" s="14">
        <v>30.3</v>
      </c>
      <c r="AC590" s="2">
        <f t="shared" si="39"/>
        <v>30.3</v>
      </c>
      <c r="AD590" s="8">
        <v>2</v>
      </c>
      <c r="AE590" s="37">
        <f>IF(Table1[[#This Row],[P/750]]&lt;20,1,IF(Table1[[#This Row],[P/750]]&lt;50,2,3))</f>
        <v>2</v>
      </c>
      <c r="AF590" s="37">
        <f>IF(Table1[[#This Row],[P/750]]&lt;Expenses!$C$30,1,IF(Table1[[#This Row],[P/750]]&lt;Expenses!$C$31,2,IF(Table1[[#This Row],[P/750]]&lt;Expenses!$C$32,3,4)))</f>
        <v>3</v>
      </c>
      <c r="AH590" s="37" t="s">
        <v>385</v>
      </c>
      <c r="AI590" s="11">
        <f>Table1[[#This Row],[Price]]/Table1[[#This Row],[Size (ml)]]*750</f>
        <v>30.299999999999997</v>
      </c>
      <c r="AJ590" s="37">
        <v>92</v>
      </c>
      <c r="AK590" s="37">
        <f>COUNTIF(UniqueID!A:A,Table1[[#This Row],[ID]])</f>
        <v>1</v>
      </c>
      <c r="AL590" s="37" t="str">
        <f>VLOOKUP(Table1[[#This Row],[Cellar Location]],Location!A:F,6,FALSE)</f>
        <v>S</v>
      </c>
      <c r="AO590" s="37" t="str">
        <f>TEXT(Table1[[#This Row],[Purchased]],"mmmm")</f>
        <v>January</v>
      </c>
      <c r="AP590" s="10" t="str">
        <f>TEXT(Table1[[#This Row],[Purchased]],"yyyy")</f>
        <v>1900</v>
      </c>
      <c r="AQ590" s="10"/>
    </row>
    <row r="591" spans="1:43" s="37" customFormat="1" x14ac:dyDescent="0.25">
      <c r="A591" s="37" t="str">
        <f t="shared" si="38"/>
        <v>2013FelsinaFontalloro</v>
      </c>
      <c r="B591" s="37">
        <v>2013</v>
      </c>
      <c r="C591" s="8" t="s">
        <v>795</v>
      </c>
      <c r="D591" s="25" t="s">
        <v>387</v>
      </c>
      <c r="E591" s="64" t="s">
        <v>280</v>
      </c>
      <c r="F591" s="37" t="s">
        <v>728</v>
      </c>
      <c r="G591" s="37" t="s">
        <v>790</v>
      </c>
      <c r="H591" s="37" t="s">
        <v>794</v>
      </c>
      <c r="I591" s="107">
        <v>1</v>
      </c>
      <c r="J591" s="37">
        <v>750</v>
      </c>
      <c r="K591" s="107" t="s">
        <v>656</v>
      </c>
      <c r="L591" s="37">
        <f>COUNTIF(Drank!A:A,Table1[[#This Row],[ID]])</f>
        <v>0</v>
      </c>
      <c r="M591" s="37" t="s">
        <v>202</v>
      </c>
      <c r="N591" s="37" t="s">
        <v>207</v>
      </c>
      <c r="O591" s="37">
        <v>1</v>
      </c>
      <c r="P591" s="37">
        <v>2018</v>
      </c>
      <c r="Q591" s="37">
        <v>2035</v>
      </c>
      <c r="R591" s="10" t="str">
        <f>IF(IFERROR(VLOOKUP(A591,Drank!A:S,15,FALSE),"")=0,"",IFERROR(VLOOKUP(A591,Drank!A:S,15,FALSE),""))</f>
        <v/>
      </c>
      <c r="S591" s="10" t="str">
        <f>IF(IFERROR(VLOOKUP(A591,Drank!A:S,16,FALSE),"")=0,"",IFERROR(VLOOKUP(A591,Drank!A:S,16,FALSE),""))</f>
        <v/>
      </c>
      <c r="T591" s="10"/>
      <c r="U591" s="37">
        <v>96</v>
      </c>
      <c r="V591" s="18" t="str">
        <f>IF(IFERROR(VLOOKUP(A591,Drank!A:T,19,FALSE),"")=0,"",IFERROR(VLOOKUP(A591,Drank!A:T,19,FALSE),""))</f>
        <v/>
      </c>
      <c r="W591" s="1" t="str">
        <f>IF(IFERROR(VLOOKUP(A591,Drank!A:T,20,FALSE),"")=0,"",IFERROR(VLOOKUP(A591,Drank!A:T,20,FALSE),""))</f>
        <v/>
      </c>
      <c r="X591" s="10">
        <f>SUMIF(A:A,A591,I:I)</f>
        <v>3</v>
      </c>
      <c r="Y591" s="37">
        <f>IF(Table1[[#This Row],[Drank]]&gt;0,VLOOKUP(Table1[[#This Row],[ID]],Drank!A:P,16,FALSE),IF(Table1[[#This Row],[WALDD]]&gt;0,VLOOKUP(Table1[[#This Row],[ID]],Wine1!A:Q,17,FALSE),Table1[[#This Row],[EP]]))</f>
        <v>2035</v>
      </c>
      <c r="Z591" s="18">
        <f>IF(Table1[[#This Row],[My Rating]]="",IF(Table1[[#This Row],[WA Rating Clean]]="","",Table1[[#This Row],[WA Rating Clean]]),Table1[[#This Row],[My Rating]])</f>
        <v>96</v>
      </c>
      <c r="AA591" s="6">
        <v>2024</v>
      </c>
      <c r="AB591" s="128">
        <v>45</v>
      </c>
      <c r="AC591" s="2">
        <f t="shared" si="39"/>
        <v>45</v>
      </c>
      <c r="AD591" s="8">
        <v>2</v>
      </c>
      <c r="AE591" s="37">
        <f>IF(Table1[[#This Row],[P/750]]&lt;20,1,IF(Table1[[#This Row],[P/750]]&lt;50,2,3))</f>
        <v>2</v>
      </c>
      <c r="AF591" s="37">
        <f>IF(Table1[[#This Row],[P/750]]&lt;Expenses!$C$30,1,IF(Table1[[#This Row],[P/750]]&lt;Expenses!$C$31,2,IF(Table1[[#This Row],[P/750]]&lt;Expenses!$C$32,3,4)))</f>
        <v>3</v>
      </c>
      <c r="AH591" s="37" t="s">
        <v>385</v>
      </c>
      <c r="AI591" s="11">
        <f>Table1[[#This Row],[Price]]/Table1[[#This Row],[Size (ml)]]*750</f>
        <v>45</v>
      </c>
      <c r="AJ591" s="37">
        <v>96</v>
      </c>
      <c r="AK591" s="37">
        <f>COUNTIF(UniqueID!A:A,Table1[[#This Row],[ID]])</f>
        <v>1</v>
      </c>
      <c r="AL591" s="37" t="str">
        <f>VLOOKUP(Table1[[#This Row],[Cellar Location]],Location!A:F,6,FALSE)</f>
        <v>S</v>
      </c>
      <c r="AO591" s="37" t="str">
        <f>TEXT(Table1[[#This Row],[Purchased]],"mmmm")</f>
        <v>January</v>
      </c>
      <c r="AP591" s="10" t="str">
        <f>TEXT(Table1[[#This Row],[Purchased]],"yyyy")</f>
        <v>1900</v>
      </c>
      <c r="AQ591" s="10"/>
    </row>
    <row r="592" spans="1:43" s="37" customFormat="1" x14ac:dyDescent="0.25">
      <c r="A592" s="37" t="str">
        <f t="shared" si="38"/>
        <v>2016Kay BrothersShiraz Block 6</v>
      </c>
      <c r="B592" s="37">
        <v>2016</v>
      </c>
      <c r="C592" s="8" t="s">
        <v>392</v>
      </c>
      <c r="D592" s="37" t="s">
        <v>393</v>
      </c>
      <c r="E592" s="64" t="s">
        <v>400</v>
      </c>
      <c r="F592" s="37" t="s">
        <v>736</v>
      </c>
      <c r="G592" s="37" t="s">
        <v>737</v>
      </c>
      <c r="H592" s="37" t="s">
        <v>738</v>
      </c>
      <c r="I592" s="107">
        <v>1</v>
      </c>
      <c r="J592" s="37">
        <v>750</v>
      </c>
      <c r="K592" s="107" t="s">
        <v>650</v>
      </c>
      <c r="L592" s="37">
        <f>COUNTIF(Drank!A:A,Table1[[#This Row],[ID]])</f>
        <v>0</v>
      </c>
      <c r="M592" s="37" t="s">
        <v>202</v>
      </c>
      <c r="N592" s="37" t="s">
        <v>207</v>
      </c>
      <c r="O592" s="37">
        <v>1</v>
      </c>
      <c r="P592" s="37">
        <v>2020</v>
      </c>
      <c r="Q592" s="37">
        <v>2035</v>
      </c>
      <c r="R592" s="10" t="str">
        <f>IF(IFERROR(VLOOKUP(A592,Drank!A:S,15,FALSE),"")=0,"",IFERROR(VLOOKUP(A592,Drank!A:S,15,FALSE),""))</f>
        <v/>
      </c>
      <c r="S592" s="10" t="str">
        <f>IF(IFERROR(VLOOKUP(A592,Drank!A:S,16,FALSE),"")=0,"",IFERROR(VLOOKUP(A592,Drank!A:S,16,FALSE),""))</f>
        <v/>
      </c>
      <c r="T592" s="10"/>
      <c r="U592" s="37">
        <v>96</v>
      </c>
      <c r="V592" s="18" t="str">
        <f>IF(IFERROR(VLOOKUP(A592,Drank!A:T,19,FALSE),"")=0,"",IFERROR(VLOOKUP(A592,Drank!A:T,19,FALSE),""))</f>
        <v/>
      </c>
      <c r="W592" s="1" t="str">
        <f>IF(IFERROR(VLOOKUP(A592,Drank!A:T,20,FALSE),"")=0,"",IFERROR(VLOOKUP(A592,Drank!A:T,20,FALSE),""))</f>
        <v/>
      </c>
      <c r="X592" s="10">
        <f>SUMIF(A:A,A592,I:I)</f>
        <v>3</v>
      </c>
      <c r="Y592" s="37">
        <f>IF(Table1[[#This Row],[Drank]]&gt;0,VLOOKUP(Table1[[#This Row],[ID]],Drank!A:P,16,FALSE),IF(Table1[[#This Row],[WALDD]]&gt;0,VLOOKUP(Table1[[#This Row],[ID]],Wine1!A:Q,17,FALSE),Table1[[#This Row],[EP]]))</f>
        <v>2035</v>
      </c>
      <c r="Z592" s="18">
        <f>IF(Table1[[#This Row],[My Rating]]="",IF(Table1[[#This Row],[WA Rating Clean]]="","",Table1[[#This Row],[WA Rating Clean]]),Table1[[#This Row],[My Rating]])</f>
        <v>96</v>
      </c>
      <c r="AA592" s="6">
        <v>2024</v>
      </c>
      <c r="AB592" s="128">
        <v>59</v>
      </c>
      <c r="AC592" s="2">
        <f t="shared" si="39"/>
        <v>59</v>
      </c>
      <c r="AD592" s="8">
        <v>2</v>
      </c>
      <c r="AE592" s="37">
        <f>IF(Table1[[#This Row],[P/750]]&lt;20,1,IF(Table1[[#This Row],[P/750]]&lt;50,2,3))</f>
        <v>3</v>
      </c>
      <c r="AF592" s="37">
        <f>IF(Table1[[#This Row],[P/750]]&lt;Expenses!$C$30,1,IF(Table1[[#This Row],[P/750]]&lt;Expenses!$C$31,2,IF(Table1[[#This Row],[P/750]]&lt;Expenses!$C$32,3,4)))</f>
        <v>3</v>
      </c>
      <c r="AH592" s="37" t="s">
        <v>384</v>
      </c>
      <c r="AI592" s="11">
        <f>Table1[[#This Row],[Price]]/Table1[[#This Row],[Size (ml)]]*750</f>
        <v>59</v>
      </c>
      <c r="AJ592" s="37">
        <v>96</v>
      </c>
      <c r="AK592" s="37">
        <f>COUNTIF(UniqueID!A:A,Table1[[#This Row],[ID]])</f>
        <v>1</v>
      </c>
      <c r="AL592" s="37" t="str">
        <f>VLOOKUP(Table1[[#This Row],[Cellar Location]],Location!A:F,6,FALSE)</f>
        <v>S</v>
      </c>
      <c r="AO592" s="37" t="str">
        <f>TEXT(Table1[[#This Row],[Purchased]],"mmmm")</f>
        <v>January</v>
      </c>
      <c r="AP592" s="10" t="str">
        <f>TEXT(Table1[[#This Row],[Purchased]],"yyyy")</f>
        <v>1900</v>
      </c>
      <c r="AQ592" s="10"/>
    </row>
    <row r="593" spans="1:43" x14ac:dyDescent="0.25">
      <c r="A593" t="str">
        <f t="shared" si="38"/>
        <v>2015OdderoBarolo</v>
      </c>
      <c r="B593" s="37">
        <v>2015</v>
      </c>
      <c r="C593" s="37" t="s">
        <v>1173</v>
      </c>
      <c r="D593" s="37" t="s">
        <v>268</v>
      </c>
      <c r="E593" s="37" t="s">
        <v>1206</v>
      </c>
      <c r="F593" s="37" t="s">
        <v>728</v>
      </c>
      <c r="G593" s="37" t="s">
        <v>778</v>
      </c>
      <c r="H593" s="37" t="s">
        <v>268</v>
      </c>
      <c r="I593" s="107">
        <v>1</v>
      </c>
      <c r="J593">
        <v>375</v>
      </c>
      <c r="K593" s="107" t="s">
        <v>1234</v>
      </c>
      <c r="L593" s="10">
        <f>COUNTIF(Drank!A:A,Table1[[#This Row],[ID]])</f>
        <v>2</v>
      </c>
      <c r="M593" t="s">
        <v>202</v>
      </c>
      <c r="N593" t="s">
        <v>207</v>
      </c>
      <c r="O593">
        <v>1</v>
      </c>
      <c r="P593" s="37">
        <v>2020</v>
      </c>
      <c r="Q593">
        <v>2035</v>
      </c>
      <c r="R593" s="10">
        <f>IF(IFERROR(VLOOKUP(A593,Drank!A:S,15,FALSE),"")=0,"",IFERROR(VLOOKUP(A593,Drank!A:S,15,FALSE),""))</f>
        <v>2022</v>
      </c>
      <c r="S593" s="10">
        <f>IF(IFERROR(VLOOKUP(A593,Drank!A:S,16,FALSE),"")=0,"",IFERROR(VLOOKUP(A593,Drank!A:S,16,FALSE),""))</f>
        <v>2035</v>
      </c>
      <c r="T593" s="10"/>
      <c r="U593" t="s">
        <v>74</v>
      </c>
      <c r="V593" s="18">
        <f>IF(IFERROR(VLOOKUP(A593,Drank!A:T,19,FALSE),"")=0,"",IFERROR(VLOOKUP(A593,Drank!A:T,19,FALSE),""))</f>
        <v>93</v>
      </c>
      <c r="W593" s="1">
        <f>IF(IFERROR(VLOOKUP(A593,Drank!A:T,20,FALSE),"")=0,"",IFERROR(VLOOKUP(A593,Drank!A:T,20,FALSE),""))</f>
        <v>43905</v>
      </c>
      <c r="X593" s="10">
        <f>SUMIF(A:A,A593,I:I)</f>
        <v>22</v>
      </c>
      <c r="Y593" s="10">
        <f>IF(Table1[[#This Row],[Drank]]&gt;0,VLOOKUP(Table1[[#This Row],[ID]],Drank!A:P,16,FALSE),IF(Table1[[#This Row],[WALDD]]&gt;0,VLOOKUP(Table1[[#This Row],[ID]],Wine1!A:Q,17,FALSE),Table1[[#This Row],[EP]]))</f>
        <v>2035</v>
      </c>
      <c r="Z593" s="18">
        <f>IF(Table1[[#This Row],[My Rating]]="",IF(Table1[[#This Row],[WA Rating Clean]]="","",Table1[[#This Row],[WA Rating Clean]]),Table1[[#This Row],[My Rating]])</f>
        <v>93</v>
      </c>
      <c r="AA593" s="8">
        <v>2024</v>
      </c>
      <c r="AB593" s="128">
        <v>26.48</v>
      </c>
      <c r="AC593" s="2">
        <f t="shared" si="39"/>
        <v>26.48</v>
      </c>
      <c r="AD593" s="8">
        <v>2</v>
      </c>
      <c r="AE593" s="10">
        <f>IF(Table1[[#This Row],[P/750]]&lt;20,1,IF(Table1[[#This Row],[P/750]]&lt;50,2,3))</f>
        <v>3</v>
      </c>
      <c r="AF593" s="10">
        <f>IF(Table1[[#This Row],[P/750]]&lt;Expenses!$C$30,1,IF(Table1[[#This Row],[P/750]]&lt;Expenses!$C$31,2,IF(Table1[[#This Row],[P/750]]&lt;Expenses!$C$32,3,4)))</f>
        <v>3</v>
      </c>
      <c r="AH593" s="37" t="s">
        <v>1175</v>
      </c>
      <c r="AI593" s="11">
        <f>Table1[[#This Row],[Price]]/Table1[[#This Row],[Size (ml)]]*750</f>
        <v>52.96</v>
      </c>
      <c r="AJ593">
        <v>93</v>
      </c>
      <c r="AK593" s="10">
        <f>COUNTIF(UniqueID!A:A,Table1[[#This Row],[ID]])</f>
        <v>1</v>
      </c>
      <c r="AL593" s="10" t="str">
        <f>VLOOKUP(Table1[[#This Row],[Cellar Location]],Location!A:F,6,FALSE)</f>
        <v>S</v>
      </c>
      <c r="AN593" s="1">
        <v>43858</v>
      </c>
      <c r="AO593" s="37" t="str">
        <f>TEXT(Table1[[#This Row],[Purchased]],"mmmm")</f>
        <v>January</v>
      </c>
      <c r="AP593" s="10" t="str">
        <f>TEXT(Table1[[#This Row],[Purchased]],"yyyy")</f>
        <v>2020</v>
      </c>
      <c r="AQ593" s="10"/>
    </row>
    <row r="594" spans="1:43" x14ac:dyDescent="0.25">
      <c r="A594" t="str">
        <f t="shared" si="38"/>
        <v>2015OdderoBarolo</v>
      </c>
      <c r="B594" s="37">
        <v>2015</v>
      </c>
      <c r="C594" s="37" t="s">
        <v>1173</v>
      </c>
      <c r="D594" s="37" t="s">
        <v>268</v>
      </c>
      <c r="E594" s="37" t="s">
        <v>1206</v>
      </c>
      <c r="F594" s="37" t="s">
        <v>728</v>
      </c>
      <c r="G594" s="37" t="s">
        <v>778</v>
      </c>
      <c r="H594" s="37" t="s">
        <v>268</v>
      </c>
      <c r="I594" s="107">
        <v>1</v>
      </c>
      <c r="J594">
        <v>750</v>
      </c>
      <c r="K594" s="107" t="s">
        <v>1235</v>
      </c>
      <c r="L594" s="10">
        <f>COUNTIF(Drank!A:A,Table1[[#This Row],[ID]])</f>
        <v>2</v>
      </c>
      <c r="M594" t="s">
        <v>202</v>
      </c>
      <c r="N594" t="s">
        <v>207</v>
      </c>
      <c r="O594">
        <v>1</v>
      </c>
      <c r="P594" s="37">
        <v>2020</v>
      </c>
      <c r="Q594">
        <v>2035</v>
      </c>
      <c r="R594" s="10">
        <f>IF(IFERROR(VLOOKUP(A594,Drank!A:S,15,FALSE),"")=0,"",IFERROR(VLOOKUP(A594,Drank!A:S,15,FALSE),""))</f>
        <v>2022</v>
      </c>
      <c r="S594" s="10">
        <f>IF(IFERROR(VLOOKUP(A594,Drank!A:S,16,FALSE),"")=0,"",IFERROR(VLOOKUP(A594,Drank!A:S,16,FALSE),""))</f>
        <v>2035</v>
      </c>
      <c r="T594" s="10"/>
      <c r="U594" t="s">
        <v>74</v>
      </c>
      <c r="V594" s="18">
        <f>IF(IFERROR(VLOOKUP(A594,Drank!A:T,19,FALSE),"")=0,"",IFERROR(VLOOKUP(A594,Drank!A:T,19,FALSE),""))</f>
        <v>93</v>
      </c>
      <c r="W594" s="1">
        <f>IF(IFERROR(VLOOKUP(A594,Drank!A:T,20,FALSE),"")=0,"",IFERROR(VLOOKUP(A594,Drank!A:T,20,FALSE),""))</f>
        <v>43905</v>
      </c>
      <c r="X594" s="10">
        <f>SUMIF(A:A,A594,I:I)</f>
        <v>22</v>
      </c>
      <c r="Y594" s="10">
        <f>IF(Table1[[#This Row],[Drank]]&gt;0,VLOOKUP(Table1[[#This Row],[ID]],Drank!A:P,16,FALSE),IF(Table1[[#This Row],[WALDD]]&gt;0,VLOOKUP(Table1[[#This Row],[ID]],Wine1!A:Q,17,FALSE),Table1[[#This Row],[EP]]))</f>
        <v>2035</v>
      </c>
      <c r="Z594" s="18">
        <f>IF(Table1[[#This Row],[My Rating]]="",IF(Table1[[#This Row],[WA Rating Clean]]="","",Table1[[#This Row],[WA Rating Clean]]),Table1[[#This Row],[My Rating]])</f>
        <v>93</v>
      </c>
      <c r="AA594" s="8">
        <v>2024</v>
      </c>
      <c r="AB594" s="128">
        <v>40.229999999999997</v>
      </c>
      <c r="AC594" s="2">
        <f t="shared" si="39"/>
        <v>40.229999999999997</v>
      </c>
      <c r="AD594" s="8">
        <v>2</v>
      </c>
      <c r="AE594" s="10">
        <f>IF(Table1[[#This Row],[P/750]]&lt;20,1,IF(Table1[[#This Row],[P/750]]&lt;50,2,3))</f>
        <v>2</v>
      </c>
      <c r="AF594" s="10">
        <f>IF(Table1[[#This Row],[P/750]]&lt;Expenses!$C$30,1,IF(Table1[[#This Row],[P/750]]&lt;Expenses!$C$31,2,IF(Table1[[#This Row],[P/750]]&lt;Expenses!$C$32,3,4)))</f>
        <v>3</v>
      </c>
      <c r="AH594" s="37" t="s">
        <v>1174</v>
      </c>
      <c r="AI594" s="11">
        <f>Table1[[#This Row],[Price]]/Table1[[#This Row],[Size (ml)]]*750</f>
        <v>40.229999999999997</v>
      </c>
      <c r="AJ594">
        <v>93</v>
      </c>
      <c r="AK594" s="10">
        <f>COUNTIF(UniqueID!A:A,Table1[[#This Row],[ID]])</f>
        <v>1</v>
      </c>
      <c r="AL594" s="10" t="str">
        <f>VLOOKUP(Table1[[#This Row],[Cellar Location]],Location!A:F,6,FALSE)</f>
        <v>S</v>
      </c>
      <c r="AN594" s="1">
        <v>43858</v>
      </c>
      <c r="AO594" s="37" t="str">
        <f>TEXT(Table1[[#This Row],[Purchased]],"mmmm")</f>
        <v>January</v>
      </c>
      <c r="AP594" s="10" t="str">
        <f>TEXT(Table1[[#This Row],[Purchased]],"yyyy")</f>
        <v>2020</v>
      </c>
      <c r="AQ594" s="10"/>
    </row>
    <row r="595" spans="1:43" x14ac:dyDescent="0.25">
      <c r="A595" t="str">
        <f t="shared" si="38"/>
        <v>2016Produttori del BarbarescoBarbaresco</v>
      </c>
      <c r="B595" s="37">
        <v>2016</v>
      </c>
      <c r="C595" s="37" t="s">
        <v>248</v>
      </c>
      <c r="D595" s="37" t="s">
        <v>249</v>
      </c>
      <c r="E595" s="67" t="s">
        <v>1206</v>
      </c>
      <c r="F595" s="37" t="s">
        <v>728</v>
      </c>
      <c r="G595" s="37" t="s">
        <v>778</v>
      </c>
      <c r="H595" s="37" t="s">
        <v>249</v>
      </c>
      <c r="I595" s="107">
        <v>1</v>
      </c>
      <c r="J595">
        <v>750</v>
      </c>
      <c r="K595" s="107" t="s">
        <v>1408</v>
      </c>
      <c r="L595" s="37">
        <f>COUNTIF(Drank!A:A,Table1[[#This Row],[ID]])</f>
        <v>2</v>
      </c>
      <c r="M595" t="s">
        <v>202</v>
      </c>
      <c r="N595" t="s">
        <v>207</v>
      </c>
      <c r="O595">
        <v>1</v>
      </c>
      <c r="P595" s="37">
        <v>2022</v>
      </c>
      <c r="Q595">
        <v>2040</v>
      </c>
      <c r="R595" s="10">
        <f>IF(IFERROR(VLOOKUP(A595,Drank!A:S,15,FALSE),"")=0,"",IFERROR(VLOOKUP(A595,Drank!A:S,15,FALSE),""))</f>
        <v>2021</v>
      </c>
      <c r="S595" s="10">
        <f>IF(IFERROR(VLOOKUP(A595,Drank!A:S,16,FALSE),"")=0,"",IFERROR(VLOOKUP(A595,Drank!A:S,16,FALSE),""))</f>
        <v>2032</v>
      </c>
      <c r="T595" s="10"/>
      <c r="U595">
        <v>95</v>
      </c>
      <c r="V595" s="18">
        <f>IF(IFERROR(VLOOKUP(A595,Drank!A:T,19,FALSE),"")=0,"",IFERROR(VLOOKUP(A595,Drank!A:T,19,FALSE),""))</f>
        <v>95.5</v>
      </c>
      <c r="W595" s="1">
        <f>IF(IFERROR(VLOOKUP(A595,Drank!A:T,20,FALSE),"")=0,"",IFERROR(VLOOKUP(A595,Drank!A:T,20,FALSE),""))</f>
        <v>44079</v>
      </c>
      <c r="X595" s="10">
        <f>SUMIF(A:A,A595,I:I)</f>
        <v>41</v>
      </c>
      <c r="Y595" s="37">
        <f>IF(Table1[[#This Row],[Drank]]&gt;0,VLOOKUP(Table1[[#This Row],[ID]],Drank!A:P,16,FALSE),IF(Table1[[#This Row],[WALDD]]&gt;0,VLOOKUP(Table1[[#This Row],[ID]],Wine1!A:Q,17,FALSE),Table1[[#This Row],[EP]]))</f>
        <v>2032</v>
      </c>
      <c r="Z595" s="18">
        <f>IF(Table1[[#This Row],[My Rating]]="",IF(Table1[[#This Row],[WA Rating Clean]]="","",Table1[[#This Row],[WA Rating Clean]]),Table1[[#This Row],[My Rating]])</f>
        <v>95.5</v>
      </c>
      <c r="AA595" s="8">
        <v>2024</v>
      </c>
      <c r="AB595" s="128">
        <v>46.94</v>
      </c>
      <c r="AC595" s="2">
        <f t="shared" si="39"/>
        <v>46.94</v>
      </c>
      <c r="AD595" s="8">
        <v>2</v>
      </c>
      <c r="AE595" s="37">
        <f>IF(Table1[[#This Row],[P/750]]&lt;20,1,IF(Table1[[#This Row],[P/750]]&lt;50,2,3))</f>
        <v>2</v>
      </c>
      <c r="AF595" s="37">
        <f>IF(Table1[[#This Row],[P/750]]&lt;Expenses!$C$30,1,IF(Table1[[#This Row],[P/750]]&lt;Expenses!$C$31,2,IF(Table1[[#This Row],[P/750]]&lt;Expenses!$C$32,3,4)))</f>
        <v>3</v>
      </c>
      <c r="AH595" t="s">
        <v>1128</v>
      </c>
      <c r="AI595" s="11">
        <f>Table1[[#This Row],[Price]]/Table1[[#This Row],[Size (ml)]]*750</f>
        <v>46.94</v>
      </c>
      <c r="AJ595">
        <v>95</v>
      </c>
      <c r="AK595" s="37">
        <f>COUNTIF(UniqueID!A:A,Table1[[#This Row],[ID]])</f>
        <v>1</v>
      </c>
      <c r="AL595" s="37" t="str">
        <f>VLOOKUP(Table1[[#This Row],[Cellar Location]],Location!A:F,6,FALSE)</f>
        <v>S</v>
      </c>
      <c r="AN595" s="1">
        <v>43966</v>
      </c>
      <c r="AO595" s="37" t="str">
        <f>TEXT(Table1[[#This Row],[Purchased]],"mmmm")</f>
        <v>May</v>
      </c>
      <c r="AP595" s="10" t="str">
        <f>TEXT(Table1[[#This Row],[Purchased]],"yyyy")</f>
        <v>2020</v>
      </c>
      <c r="AQ595" s="10"/>
    </row>
    <row r="596" spans="1:43" s="37" customFormat="1" x14ac:dyDescent="0.25">
      <c r="A596" s="37" t="str">
        <f t="shared" si="38"/>
        <v>2016Mauro MolinoBarolo</v>
      </c>
      <c r="B596" s="37">
        <v>2016</v>
      </c>
      <c r="C596" s="37" t="s">
        <v>1695</v>
      </c>
      <c r="D596" s="37" t="s">
        <v>268</v>
      </c>
      <c r="E596" s="67" t="s">
        <v>1206</v>
      </c>
      <c r="F596" s="37" t="s">
        <v>728</v>
      </c>
      <c r="G596" s="37" t="s">
        <v>778</v>
      </c>
      <c r="H596" s="37" t="s">
        <v>268</v>
      </c>
      <c r="I596" s="8">
        <v>1</v>
      </c>
      <c r="J596" s="38">
        <v>750</v>
      </c>
      <c r="K596" s="38" t="s">
        <v>1687</v>
      </c>
      <c r="L596" s="10">
        <f>COUNTIF(Drank!A:A,Table1[[#This Row],[ID]])</f>
        <v>0</v>
      </c>
      <c r="M596" s="37" t="s">
        <v>202</v>
      </c>
      <c r="N596" s="37" t="s">
        <v>207</v>
      </c>
      <c r="O596" s="37">
        <v>1</v>
      </c>
      <c r="P596" s="37">
        <v>2023</v>
      </c>
      <c r="Q596" s="37">
        <v>2040</v>
      </c>
      <c r="R596" s="10" t="str">
        <f>IF(IFERROR(VLOOKUP(A596,Drank!A:S,15,FALSE),"")=0,"",IFERROR(VLOOKUP(A596,Drank!A:S,15,FALSE),""))</f>
        <v/>
      </c>
      <c r="S596" s="10" t="str">
        <f>IF(IFERROR(VLOOKUP(A596,Drank!A:S,16,FALSE),"")=0,"",IFERROR(VLOOKUP(A596,Drank!A:S,16,FALSE),""))</f>
        <v/>
      </c>
      <c r="T596" s="10"/>
      <c r="U596" s="37" t="s">
        <v>74</v>
      </c>
      <c r="V596" s="18" t="str">
        <f>IF(IFERROR(VLOOKUP(A596,Drank!A:T,19,FALSE),"")=0,"",IFERROR(VLOOKUP(A596,Drank!A:T,19,FALSE),""))</f>
        <v/>
      </c>
      <c r="W596" s="1" t="str">
        <f>IF(IFERROR(VLOOKUP(A596,Drank!A:T,20,FALSE),"")=0,"",IFERROR(VLOOKUP(A596,Drank!A:T,20,FALSE),""))</f>
        <v/>
      </c>
      <c r="X596" s="10">
        <f>SUMIF(A:A,A596,I:I)</f>
        <v>4</v>
      </c>
      <c r="Y596" s="10">
        <f>IF(Table1[[#This Row],[Drank]]&gt;0,VLOOKUP(Table1[[#This Row],[ID]],Drank!A:P,16,FALSE),IF(Table1[[#This Row],[WALDD]]&gt;0,VLOOKUP(Table1[[#This Row],[ID]],Wine1!A:Q,17,FALSE),Table1[[#This Row],[EP]]))</f>
        <v>2040</v>
      </c>
      <c r="Z596" s="18">
        <f>IF(Table1[[#This Row],[My Rating]]="",IF(Table1[[#This Row],[WA Rating Clean]]="","",Table1[[#This Row],[WA Rating Clean]]),Table1[[#This Row],[My Rating]])</f>
        <v>93</v>
      </c>
      <c r="AA596" s="8">
        <v>2024</v>
      </c>
      <c r="AB596" s="128">
        <v>34.24</v>
      </c>
      <c r="AC596" s="2">
        <f t="shared" si="39"/>
        <v>34.24</v>
      </c>
      <c r="AD596" s="8">
        <v>1</v>
      </c>
      <c r="AE596" s="10">
        <f>IF(Table1[[#This Row],[P/750]]&lt;20,1,IF(Table1[[#This Row],[P/750]]&lt;50,2,3))</f>
        <v>2</v>
      </c>
      <c r="AF596" s="10">
        <f>IF(Table1[[#This Row],[P/750]]&lt;Expenses!$C$30,1,IF(Table1[[#This Row],[P/750]]&lt;Expenses!$C$31,2,IF(Table1[[#This Row],[P/750]]&lt;Expenses!$C$32,3,4)))</f>
        <v>3</v>
      </c>
      <c r="AH596" s="37" t="s">
        <v>1189</v>
      </c>
      <c r="AI596" s="11">
        <f>Table1[[#This Row],[Price]]/Table1[[#This Row],[Size (ml)]]*750</f>
        <v>34.24</v>
      </c>
      <c r="AJ596" s="37">
        <v>93</v>
      </c>
      <c r="AK596" s="10">
        <f>COUNTIF(UniqueID!A:A,Table1[[#This Row],[ID]])</f>
        <v>0</v>
      </c>
      <c r="AL596" s="10" t="str">
        <f>VLOOKUP(Table1[[#This Row],[Cellar Location]],Location!A:F,6,FALSE)</f>
        <v>W</v>
      </c>
      <c r="AN596" s="1">
        <v>44061</v>
      </c>
      <c r="AO596" s="10" t="str">
        <f>TEXT(Table1[[#This Row],[Purchased]],"mmmm")</f>
        <v>August</v>
      </c>
      <c r="AP596" s="10" t="str">
        <f>TEXT(Table1[[#This Row],[Purchased]],"yyyy")</f>
        <v>2020</v>
      </c>
      <c r="AQ596" s="1">
        <v>44137</v>
      </c>
    </row>
    <row r="597" spans="1:43" s="37" customFormat="1" x14ac:dyDescent="0.25">
      <c r="A597" s="37" t="str">
        <f t="shared" si="38"/>
        <v>1994WarreVintage Port</v>
      </c>
      <c r="B597" s="8">
        <v>1994</v>
      </c>
      <c r="C597" s="8" t="s">
        <v>1617</v>
      </c>
      <c r="D597" s="37" t="s">
        <v>244</v>
      </c>
      <c r="E597" s="69" t="s">
        <v>274</v>
      </c>
      <c r="F597" s="37" t="s">
        <v>804</v>
      </c>
      <c r="G597" s="37" t="s">
        <v>805</v>
      </c>
      <c r="H597" s="37" t="s">
        <v>1138</v>
      </c>
      <c r="I597" s="37">
        <v>1</v>
      </c>
      <c r="J597" s="107">
        <v>750</v>
      </c>
      <c r="K597" s="8" t="s">
        <v>1542</v>
      </c>
      <c r="L597" s="10">
        <f>COUNTIF(Drank!A:A,Table1[[#This Row],[ID]])</f>
        <v>0</v>
      </c>
      <c r="M597" s="37" t="s">
        <v>202</v>
      </c>
      <c r="N597" s="37" t="s">
        <v>206</v>
      </c>
      <c r="O597" s="37">
        <v>1</v>
      </c>
      <c r="P597" s="37">
        <v>2008</v>
      </c>
      <c r="Q597" s="37">
        <v>2040</v>
      </c>
      <c r="R597" s="10" t="str">
        <f>IF(IFERROR(VLOOKUP(A597,Drank!A:S,15,FALSE),"")=0,"",IFERROR(VLOOKUP(A597,Drank!A:S,15,FALSE),""))</f>
        <v/>
      </c>
      <c r="S597" s="10" t="str">
        <f>IF(IFERROR(VLOOKUP(A597,Drank!A:S,16,FALSE),"")=0,"",IFERROR(VLOOKUP(A597,Drank!A:S,16,FALSE),""))</f>
        <v/>
      </c>
      <c r="T597" s="10"/>
      <c r="U597" s="37">
        <v>94</v>
      </c>
      <c r="V597" s="18" t="str">
        <f>IF(IFERROR(VLOOKUP(A597,Drank!A:T,19,FALSE),"")=0,"",IFERROR(VLOOKUP(A597,Drank!A:T,19,FALSE),""))</f>
        <v/>
      </c>
      <c r="W597" s="1" t="str">
        <f>IF(IFERROR(VLOOKUP(A597,Drank!A:T,20,FALSE),"")=0,"",IFERROR(VLOOKUP(A597,Drank!A:T,20,FALSE),""))</f>
        <v/>
      </c>
      <c r="X597" s="10">
        <f>SUMIF(A:A,A597,I:I)</f>
        <v>1</v>
      </c>
      <c r="Y597" s="10">
        <f>IF(Table1[[#This Row],[Drank]]&gt;0,VLOOKUP(Table1[[#This Row],[ID]],Drank!A:P,16,FALSE),IF(Table1[[#This Row],[WALDD]]&gt;0,VLOOKUP(Table1[[#This Row],[ID]],Wine1!A:Q,17,FALSE),Table1[[#This Row],[EP]]))</f>
        <v>2040</v>
      </c>
      <c r="Z597" s="18">
        <f>IF(Table1[[#This Row],[My Rating]]="",IF(Table1[[#This Row],[WA Rating Clean]]="","",Table1[[#This Row],[WA Rating Clean]]),Table1[[#This Row],[My Rating]])</f>
        <v>94</v>
      </c>
      <c r="AA597" s="8">
        <v>2024</v>
      </c>
      <c r="AB597" s="128"/>
      <c r="AC597" s="2">
        <f t="shared" si="39"/>
        <v>0</v>
      </c>
      <c r="AD597" s="8">
        <v>0</v>
      </c>
      <c r="AE597" s="10">
        <f>IF(Table1[[#This Row],[P/750]]&lt;20,1,IF(Table1[[#This Row],[P/750]]&lt;50,2,3))</f>
        <v>1</v>
      </c>
      <c r="AF597" s="10">
        <f>IF(Table1[[#This Row],[P/750]]&lt;Expenses!$C$30,1,IF(Table1[[#This Row],[P/750]]&lt;Expenses!$C$31,2,IF(Table1[[#This Row],[P/750]]&lt;Expenses!$C$32,3,4)))</f>
        <v>1</v>
      </c>
      <c r="AH597" s="37" t="s">
        <v>1618</v>
      </c>
      <c r="AI597" s="11">
        <f>Table1[[#This Row],[Price]]/Table1[[#This Row],[Size (ml)]]*750</f>
        <v>0</v>
      </c>
      <c r="AJ597" s="37">
        <v>94</v>
      </c>
      <c r="AK597" s="10">
        <f>COUNTIF(UniqueID!A:A,Table1[[#This Row],[ID]])</f>
        <v>0</v>
      </c>
      <c r="AL597" s="10" t="str">
        <f>VLOOKUP(Table1[[#This Row],[Cellar Location]],Location!A:F,6,FALSE)</f>
        <v>S</v>
      </c>
      <c r="AN597" s="1">
        <v>44046</v>
      </c>
      <c r="AO597" s="10" t="str">
        <f>TEXT(Table1[[#This Row],[Purchased]],"mmmm")</f>
        <v>August</v>
      </c>
      <c r="AP597" s="10" t="str">
        <f>TEXT(Table1[[#This Row],[Purchased]],"yyyy")</f>
        <v>2020</v>
      </c>
      <c r="AQ597" s="10"/>
    </row>
    <row r="598" spans="1:43" s="37" customFormat="1" x14ac:dyDescent="0.25">
      <c r="A598" s="37" t="str">
        <f t="shared" si="38"/>
        <v>2014Anderson's Conn ValleyCabernet Sauvignon Reserve</v>
      </c>
      <c r="B598" s="37">
        <v>2014</v>
      </c>
      <c r="C598" s="37" t="s">
        <v>252</v>
      </c>
      <c r="D598" s="37" t="s">
        <v>430</v>
      </c>
      <c r="E598" s="69" t="s">
        <v>1259</v>
      </c>
      <c r="F598" s="37" t="s">
        <v>727</v>
      </c>
      <c r="G598" s="37" t="s">
        <v>806</v>
      </c>
      <c r="H598" s="37" t="s">
        <v>832</v>
      </c>
      <c r="I598" s="107">
        <v>1</v>
      </c>
      <c r="J598" s="37">
        <v>750</v>
      </c>
      <c r="K598" s="107" t="s">
        <v>650</v>
      </c>
      <c r="L598" s="37">
        <f>COUNTIF(Drank!A:A,Table1[[#This Row],[ID]])</f>
        <v>0</v>
      </c>
      <c r="M598" s="37" t="s">
        <v>202</v>
      </c>
      <c r="N598" s="37" t="s">
        <v>207</v>
      </c>
      <c r="O598" s="37">
        <v>1</v>
      </c>
      <c r="P598" s="37">
        <v>2016</v>
      </c>
      <c r="Q598" s="37">
        <v>2046</v>
      </c>
      <c r="R598" s="10" t="str">
        <f>IF(IFERROR(VLOOKUP(A598,Drank!A:S,15,FALSE),"")=0,"",IFERROR(VLOOKUP(A598,Drank!A:S,15,FALSE),""))</f>
        <v/>
      </c>
      <c r="S598" s="10" t="str">
        <f>IF(IFERROR(VLOOKUP(A598,Drank!A:S,16,FALSE),"")=0,"",IFERROR(VLOOKUP(A598,Drank!A:S,16,FALSE),""))</f>
        <v/>
      </c>
      <c r="T598" s="10"/>
      <c r="U598" s="37">
        <v>95</v>
      </c>
      <c r="V598" s="18" t="str">
        <f>IF(IFERROR(VLOOKUP(A598,Drank!A:T,19,FALSE),"")=0,"",IFERROR(VLOOKUP(A598,Drank!A:T,19,FALSE),""))</f>
        <v/>
      </c>
      <c r="W598" s="1" t="str">
        <f>IF(IFERROR(VLOOKUP(A598,Drank!A:T,20,FALSE),"")=0,"",IFERROR(VLOOKUP(A598,Drank!A:T,20,FALSE),""))</f>
        <v/>
      </c>
      <c r="X598" s="10">
        <f>SUMIF(A:A,A598,I:I)</f>
        <v>4</v>
      </c>
      <c r="Y598" s="37">
        <f>IF(Table1[[#This Row],[Drank]]&gt;0,VLOOKUP(Table1[[#This Row],[ID]],Drank!A:P,16,FALSE),IF(Table1[[#This Row],[WALDD]]&gt;0,VLOOKUP(Table1[[#This Row],[ID]],Wine1!A:Q,17,FALSE),Table1[[#This Row],[EP]]))</f>
        <v>2046</v>
      </c>
      <c r="Z598" s="18">
        <f>IF(Table1[[#This Row],[My Rating]]="",IF(Table1[[#This Row],[WA Rating Clean]]="","",Table1[[#This Row],[WA Rating Clean]]),Table1[[#This Row],[My Rating]])</f>
        <v>95</v>
      </c>
      <c r="AA598" s="37">
        <v>2024</v>
      </c>
      <c r="AB598" s="128">
        <v>60</v>
      </c>
      <c r="AC598" s="2">
        <f t="shared" si="39"/>
        <v>60</v>
      </c>
      <c r="AD598" s="8">
        <v>2</v>
      </c>
      <c r="AE598" s="37">
        <f>IF(Table1[[#This Row],[P/750]]&lt;20,1,IF(Table1[[#This Row],[P/750]]&lt;50,2,3))</f>
        <v>3</v>
      </c>
      <c r="AF598" s="37">
        <f>IF(Table1[[#This Row],[P/750]]&lt;Expenses!$C$30,1,IF(Table1[[#This Row],[P/750]]&lt;Expenses!$C$31,2,IF(Table1[[#This Row],[P/750]]&lt;Expenses!$C$32,3,4)))</f>
        <v>3</v>
      </c>
      <c r="AH598" s="37" t="s">
        <v>384</v>
      </c>
      <c r="AI598" s="11">
        <f>Table1[[#This Row],[Price]]/Table1[[#This Row],[Size (ml)]]*750</f>
        <v>60</v>
      </c>
      <c r="AJ598" s="37">
        <v>95</v>
      </c>
      <c r="AK598" s="37">
        <f>COUNTIF(UniqueID!A:A,Table1[[#This Row],[ID]])</f>
        <v>1</v>
      </c>
      <c r="AL598" s="37" t="str">
        <f>VLOOKUP(Table1[[#This Row],[Cellar Location]],Location!A:F,6,FALSE)</f>
        <v>S</v>
      </c>
      <c r="AO598" s="37" t="str">
        <f>TEXT(Table1[[#This Row],[Purchased]],"mmmm")</f>
        <v>January</v>
      </c>
      <c r="AP598" s="10" t="str">
        <f>TEXT(Table1[[#This Row],[Purchased]],"yyyy")</f>
        <v>1900</v>
      </c>
      <c r="AQ598" s="10"/>
    </row>
    <row r="599" spans="1:43" s="37" customFormat="1" x14ac:dyDescent="0.25">
      <c r="A599" s="37" t="str">
        <f t="shared" si="38"/>
        <v>2016Lafaurie-PeyragueyLafaurie-Peyraguey</v>
      </c>
      <c r="B599" s="37">
        <v>2016</v>
      </c>
      <c r="C599" s="37" t="s">
        <v>125</v>
      </c>
      <c r="D599" s="37" t="s">
        <v>125</v>
      </c>
      <c r="E599" s="67" t="s">
        <v>1205</v>
      </c>
      <c r="F599" s="37" t="s">
        <v>742</v>
      </c>
      <c r="G599" s="37" t="s">
        <v>748</v>
      </c>
      <c r="H599" s="37" t="s">
        <v>260</v>
      </c>
      <c r="I599" s="107">
        <v>1</v>
      </c>
      <c r="J599" s="37">
        <v>375</v>
      </c>
      <c r="K599" s="107" t="s">
        <v>628</v>
      </c>
      <c r="L599" s="37">
        <f>COUNTIF(Drank!A:A,Table1[[#This Row],[ID]])</f>
        <v>0</v>
      </c>
      <c r="M599" s="37" t="s">
        <v>201</v>
      </c>
      <c r="N599" s="37" t="s">
        <v>206</v>
      </c>
      <c r="O599" s="37">
        <v>1</v>
      </c>
      <c r="P599" s="10">
        <v>2021</v>
      </c>
      <c r="Q599" s="37">
        <v>2060</v>
      </c>
      <c r="R599" s="10" t="str">
        <f>IF(IFERROR(VLOOKUP(A599,Drank!A:S,15,FALSE),"")=0,"",IFERROR(VLOOKUP(A599,Drank!A:S,15,FALSE),""))</f>
        <v/>
      </c>
      <c r="S599" s="10" t="str">
        <f>IF(IFERROR(VLOOKUP(A599,Drank!A:S,16,FALSE),"")=0,"",IFERROR(VLOOKUP(A599,Drank!A:S,16,FALSE),""))</f>
        <v/>
      </c>
      <c r="T599" s="10"/>
      <c r="U599" s="37" t="s">
        <v>441</v>
      </c>
      <c r="V599" s="18" t="str">
        <f>IF(IFERROR(VLOOKUP(A599,Drank!A:T,19,FALSE),"")=0,"",IFERROR(VLOOKUP(A599,Drank!A:T,19,FALSE),""))</f>
        <v/>
      </c>
      <c r="W599" s="1" t="str">
        <f>IF(IFERROR(VLOOKUP(A599,Drank!A:T,20,FALSE),"")=0,"",IFERROR(VLOOKUP(A599,Drank!A:T,20,FALSE),""))</f>
        <v/>
      </c>
      <c r="X599" s="10">
        <f>SUMIF(A:A,A599,I:I)</f>
        <v>12</v>
      </c>
      <c r="Y599" s="10">
        <f>IF(Table1[[#This Row],[Drank]]&gt;0,VLOOKUP(Table1[[#This Row],[ID]],Drank!A:P,16,FALSE),IF(Table1[[#This Row],[WALDD]]&gt;0,VLOOKUP(Table1[[#This Row],[ID]],Wine1!A:Q,17,FALSE),Table1[[#This Row],[EP]]))</f>
        <v>2060</v>
      </c>
      <c r="Z599" s="18">
        <f>IF(Table1[[#This Row],[My Rating]]="",IF(Table1[[#This Row],[WA Rating Clean]]="","",Table1[[#This Row],[WA Rating Clean]]),Table1[[#This Row],[My Rating]])</f>
        <v>95</v>
      </c>
      <c r="AA599" s="37">
        <v>2024</v>
      </c>
      <c r="AB599" s="128">
        <v>16</v>
      </c>
      <c r="AC599" s="2">
        <f t="shared" si="39"/>
        <v>16</v>
      </c>
      <c r="AD599" s="8">
        <v>2</v>
      </c>
      <c r="AE599" s="37">
        <f>IF(Table1[[#This Row],[P/750]]&lt;20,1,IF(Table1[[#This Row],[P/750]]&lt;50,2,3))</f>
        <v>2</v>
      </c>
      <c r="AF599" s="37">
        <f>IF(Table1[[#This Row],[P/750]]&lt;Expenses!$C$30,1,IF(Table1[[#This Row],[P/750]]&lt;Expenses!$C$31,2,IF(Table1[[#This Row],[P/750]]&lt;Expenses!$C$32,3,4)))</f>
        <v>3</v>
      </c>
      <c r="AH599" s="37" t="s">
        <v>385</v>
      </c>
      <c r="AI599" s="11">
        <f>Table1[[#This Row],[Price]]/Table1[[#This Row],[Size (ml)]]*750</f>
        <v>32</v>
      </c>
      <c r="AJ599" s="37">
        <v>95</v>
      </c>
      <c r="AK599" s="37">
        <f>COUNTIF(UniqueID!A:A,Table1[[#This Row],[ID]])</f>
        <v>1</v>
      </c>
      <c r="AL599" s="37" t="str">
        <f>VLOOKUP(Table1[[#This Row],[Cellar Location]],Location!A:F,6,FALSE)</f>
        <v>S</v>
      </c>
      <c r="AO599" s="37" t="str">
        <f>TEXT(Table1[[#This Row],[Purchased]],"mmmm")</f>
        <v>January</v>
      </c>
      <c r="AP599" s="10" t="str">
        <f>TEXT(Table1[[#This Row],[Purchased]],"yyyy")</f>
        <v>1900</v>
      </c>
      <c r="AQ599" s="10"/>
    </row>
    <row r="600" spans="1:43" s="37" customFormat="1" x14ac:dyDescent="0.25">
      <c r="A600" s="37" t="str">
        <f t="shared" si="38"/>
        <v>2016Doisy-VedrinesPetit-Vedrines</v>
      </c>
      <c r="B600" s="37">
        <v>2016</v>
      </c>
      <c r="C600" s="37" t="s">
        <v>843</v>
      </c>
      <c r="D600" s="37" t="s">
        <v>1686</v>
      </c>
      <c r="E600" s="69" t="s">
        <v>1688</v>
      </c>
      <c r="F600" s="37" t="s">
        <v>742</v>
      </c>
      <c r="G600" s="37" t="s">
        <v>748</v>
      </c>
      <c r="H600" s="37" t="s">
        <v>260</v>
      </c>
      <c r="I600" s="8">
        <v>1</v>
      </c>
      <c r="J600" s="38">
        <v>375</v>
      </c>
      <c r="K600" s="38" t="s">
        <v>1687</v>
      </c>
      <c r="L600" s="10">
        <f>COUNTIF(Drank!A:A,Table1[[#This Row],[ID]])</f>
        <v>0</v>
      </c>
      <c r="M600" s="37" t="s">
        <v>201</v>
      </c>
      <c r="N600" s="37" t="s">
        <v>206</v>
      </c>
      <c r="O600" s="37">
        <v>0</v>
      </c>
      <c r="R600" s="10" t="str">
        <f>IF(IFERROR(VLOOKUP(A600,Drank!A:S,15,FALSE),"")=0,"",IFERROR(VLOOKUP(A600,Drank!A:S,15,FALSE),""))</f>
        <v/>
      </c>
      <c r="S600" s="10" t="str">
        <f>IF(IFERROR(VLOOKUP(A600,Drank!A:S,16,FALSE),"")=0,"",IFERROR(VLOOKUP(A600,Drank!A:S,16,FALSE),""))</f>
        <v/>
      </c>
      <c r="T600" s="10"/>
      <c r="V600" s="18" t="str">
        <f>IF(IFERROR(VLOOKUP(A600,Drank!A:T,19,FALSE),"")=0,"",IFERROR(VLOOKUP(A600,Drank!A:T,19,FALSE),""))</f>
        <v/>
      </c>
      <c r="W600" s="1" t="str">
        <f>IF(IFERROR(VLOOKUP(A600,Drank!A:T,20,FALSE),"")=0,"",IFERROR(VLOOKUP(A600,Drank!A:T,20,FALSE),""))</f>
        <v/>
      </c>
      <c r="X600" s="10">
        <f>SUMIF(A:A,A600,I:I)</f>
        <v>24</v>
      </c>
      <c r="Y600" s="10">
        <f>IF(Table1[[#This Row],[Drank]]&gt;0,VLOOKUP(Table1[[#This Row],[ID]],Drank!A:P,16,FALSE),IF(Table1[[#This Row],[WALDD]]&gt;0,VLOOKUP(Table1[[#This Row],[ID]],Wine1!A:Q,17,FALSE),Table1[[#This Row],[EP]]))</f>
        <v>0</v>
      </c>
      <c r="Z600" s="18" t="str">
        <f>IF(Table1[[#This Row],[My Rating]]="",IF(Table1[[#This Row],[WA Rating Clean]]="","",Table1[[#This Row],[WA Rating Clean]]),Table1[[#This Row],[My Rating]])</f>
        <v/>
      </c>
      <c r="AA600" s="8">
        <v>2025</v>
      </c>
      <c r="AB600" s="128">
        <v>16.399999999999999</v>
      </c>
      <c r="AC600" s="2">
        <f t="shared" si="39"/>
        <v>16.399999999999999</v>
      </c>
      <c r="AD600" s="8">
        <v>1</v>
      </c>
      <c r="AE600" s="10">
        <f>IF(Table1[[#This Row],[P/750]]&lt;20,1,IF(Table1[[#This Row],[P/750]]&lt;50,2,3))</f>
        <v>2</v>
      </c>
      <c r="AF600" s="10">
        <f>IF(Table1[[#This Row],[P/750]]&lt;Expenses!$C$30,1,IF(Table1[[#This Row],[P/750]]&lt;Expenses!$C$31,2,IF(Table1[[#This Row],[P/750]]&lt;Expenses!$C$32,3,4)))</f>
        <v>3</v>
      </c>
      <c r="AH600" s="37" t="s">
        <v>1189</v>
      </c>
      <c r="AI600" s="11">
        <f>Table1[[#This Row],[Price]]/Table1[[#This Row],[Size (ml)]]*750</f>
        <v>32.799999999999997</v>
      </c>
      <c r="AK600" s="10">
        <f>COUNTIF(UniqueID!A:A,Table1[[#This Row],[ID]])</f>
        <v>0</v>
      </c>
      <c r="AL600" s="10" t="str">
        <f>VLOOKUP(Table1[[#This Row],[Cellar Location]],Location!A:F,6,FALSE)</f>
        <v>W</v>
      </c>
      <c r="AN600" s="1">
        <v>44061</v>
      </c>
      <c r="AO600" s="10" t="str">
        <f>TEXT(Table1[[#This Row],[Purchased]],"mmmm")</f>
        <v>August</v>
      </c>
      <c r="AP600" s="10" t="str">
        <f>TEXT(Table1[[#This Row],[Purchased]],"yyyy")</f>
        <v>2020</v>
      </c>
      <c r="AQ600" s="1">
        <v>44137</v>
      </c>
    </row>
    <row r="601" spans="1:43" s="37" customFormat="1" x14ac:dyDescent="0.25">
      <c r="A601" s="37" t="str">
        <f t="shared" si="38"/>
        <v>2016Doisy-VedrinesPetit-Vedrines</v>
      </c>
      <c r="B601" s="37">
        <v>2016</v>
      </c>
      <c r="C601" s="37" t="s">
        <v>843</v>
      </c>
      <c r="D601" s="37" t="s">
        <v>1686</v>
      </c>
      <c r="E601" s="69" t="s">
        <v>1688</v>
      </c>
      <c r="F601" s="37" t="s">
        <v>742</v>
      </c>
      <c r="G601" s="37" t="s">
        <v>748</v>
      </c>
      <c r="H601" s="37" t="s">
        <v>260</v>
      </c>
      <c r="I601" s="8">
        <v>1</v>
      </c>
      <c r="J601" s="38">
        <v>375</v>
      </c>
      <c r="K601" s="38" t="s">
        <v>1687</v>
      </c>
      <c r="L601" s="10">
        <f>COUNTIF(Drank!A:A,Table1[[#This Row],[ID]])</f>
        <v>0</v>
      </c>
      <c r="M601" s="37" t="s">
        <v>201</v>
      </c>
      <c r="N601" s="37" t="s">
        <v>206</v>
      </c>
      <c r="O601" s="37">
        <v>0</v>
      </c>
      <c r="R601" s="10" t="str">
        <f>IF(IFERROR(VLOOKUP(A601,Drank!A:S,15,FALSE),"")=0,"",IFERROR(VLOOKUP(A601,Drank!A:S,15,FALSE),""))</f>
        <v/>
      </c>
      <c r="S601" s="10" t="str">
        <f>IF(IFERROR(VLOOKUP(A601,Drank!A:S,16,FALSE),"")=0,"",IFERROR(VLOOKUP(A601,Drank!A:S,16,FALSE),""))</f>
        <v/>
      </c>
      <c r="T601" s="10"/>
      <c r="V601" s="18" t="str">
        <f>IF(IFERROR(VLOOKUP(A601,Drank!A:T,19,FALSE),"")=0,"",IFERROR(VLOOKUP(A601,Drank!A:T,19,FALSE),""))</f>
        <v/>
      </c>
      <c r="W601" s="1" t="str">
        <f>IF(IFERROR(VLOOKUP(A601,Drank!A:T,20,FALSE),"")=0,"",IFERROR(VLOOKUP(A601,Drank!A:T,20,FALSE),""))</f>
        <v/>
      </c>
      <c r="X601" s="10">
        <f>SUMIF(A:A,A601,I:I)</f>
        <v>24</v>
      </c>
      <c r="Y601" s="10">
        <f>IF(Table1[[#This Row],[Drank]]&gt;0,VLOOKUP(Table1[[#This Row],[ID]],Drank!A:P,16,FALSE),IF(Table1[[#This Row],[WALDD]]&gt;0,VLOOKUP(Table1[[#This Row],[ID]],Wine1!A:Q,17,FALSE),Table1[[#This Row],[EP]]))</f>
        <v>0</v>
      </c>
      <c r="Z601" s="18" t="str">
        <f>IF(Table1[[#This Row],[My Rating]]="",IF(Table1[[#This Row],[WA Rating Clean]]="","",Table1[[#This Row],[WA Rating Clean]]),Table1[[#This Row],[My Rating]])</f>
        <v/>
      </c>
      <c r="AA601" s="8">
        <v>2025</v>
      </c>
      <c r="AB601" s="128">
        <v>16.399999999999999</v>
      </c>
      <c r="AC601" s="2">
        <f t="shared" si="39"/>
        <v>16.399999999999999</v>
      </c>
      <c r="AD601" s="8">
        <v>1</v>
      </c>
      <c r="AE601" s="10">
        <f>IF(Table1[[#This Row],[P/750]]&lt;20,1,IF(Table1[[#This Row],[P/750]]&lt;50,2,3))</f>
        <v>2</v>
      </c>
      <c r="AF601" s="10">
        <f>IF(Table1[[#This Row],[P/750]]&lt;Expenses!$C$30,1,IF(Table1[[#This Row],[P/750]]&lt;Expenses!$C$31,2,IF(Table1[[#This Row],[P/750]]&lt;Expenses!$C$32,3,4)))</f>
        <v>3</v>
      </c>
      <c r="AH601" s="37" t="s">
        <v>1189</v>
      </c>
      <c r="AI601" s="11">
        <f>Table1[[#This Row],[Price]]/Table1[[#This Row],[Size (ml)]]*750</f>
        <v>32.799999999999997</v>
      </c>
      <c r="AK601" s="10">
        <f>COUNTIF(UniqueID!A:A,Table1[[#This Row],[ID]])</f>
        <v>0</v>
      </c>
      <c r="AL601" s="10" t="str">
        <f>VLOOKUP(Table1[[#This Row],[Cellar Location]],Location!A:F,6,FALSE)</f>
        <v>W</v>
      </c>
      <c r="AN601" s="1">
        <v>44061</v>
      </c>
      <c r="AO601" s="10" t="str">
        <f>TEXT(Table1[[#This Row],[Purchased]],"mmmm")</f>
        <v>August</v>
      </c>
      <c r="AP601" s="10" t="str">
        <f>TEXT(Table1[[#This Row],[Purchased]],"yyyy")</f>
        <v>2020</v>
      </c>
      <c r="AQ601" s="1">
        <v>44137</v>
      </c>
    </row>
    <row r="602" spans="1:43" x14ac:dyDescent="0.25">
      <c r="A602" t="str">
        <f t="shared" si="38"/>
        <v>2015AllegriniPalazzo della Torre</v>
      </c>
      <c r="B602" s="37">
        <v>2015</v>
      </c>
      <c r="C602" s="9" t="s">
        <v>111</v>
      </c>
      <c r="D602" s="9" t="s">
        <v>112</v>
      </c>
      <c r="E602" s="67" t="s">
        <v>1258</v>
      </c>
      <c r="F602" s="37" t="s">
        <v>728</v>
      </c>
      <c r="G602" s="37" t="s">
        <v>799</v>
      </c>
      <c r="H602" s="37" t="s">
        <v>800</v>
      </c>
      <c r="I602" s="107">
        <v>1</v>
      </c>
      <c r="J602">
        <v>750</v>
      </c>
      <c r="K602" s="107" t="s">
        <v>1408</v>
      </c>
      <c r="L602" s="37">
        <f>COUNTIF(Drank!A:A,Table1[[#This Row],[ID]])</f>
        <v>11</v>
      </c>
      <c r="M602" t="s">
        <v>202</v>
      </c>
      <c r="N602" t="s">
        <v>207</v>
      </c>
      <c r="O602">
        <v>1</v>
      </c>
      <c r="P602" s="37">
        <v>2019</v>
      </c>
      <c r="Q602">
        <v>2025</v>
      </c>
      <c r="R602" s="10">
        <f>IF(IFERROR(VLOOKUP(A602,Drank!A:S,15,FALSE),"")=0,"",IFERROR(VLOOKUP(A602,Drank!A:S,15,FALSE),""))</f>
        <v>2020</v>
      </c>
      <c r="S602" s="10">
        <f>IF(IFERROR(VLOOKUP(A602,Drank!A:S,16,FALSE),"")=0,"",IFERROR(VLOOKUP(A602,Drank!A:S,16,FALSE),""))</f>
        <v>2023</v>
      </c>
      <c r="T602" s="10"/>
      <c r="U602" t="s">
        <v>1404</v>
      </c>
      <c r="V602" s="18">
        <f>IF(IFERROR(VLOOKUP(A602,Drank!A:T,19,FALSE),"")=0,"",IFERROR(VLOOKUP(A602,Drank!A:T,19,FALSE),""))</f>
        <v>90.909090909090907</v>
      </c>
      <c r="W602" s="1">
        <f>IF(IFERROR(VLOOKUP(A602,Drank!A:T,20,FALSE),"")=0,"",IFERROR(VLOOKUP(A602,Drank!A:T,20,FALSE),""))</f>
        <v>44051</v>
      </c>
      <c r="X602" s="10">
        <f>SUMIF(A:A,A602,I:I)</f>
        <v>6</v>
      </c>
      <c r="Y602" s="37">
        <f>IF(Table1[[#This Row],[Drank]]&gt;0,VLOOKUP(Table1[[#This Row],[ID]],Drank!A:P,16,FALSE),IF(Table1[[#This Row],[WALDD]]&gt;0,VLOOKUP(Table1[[#This Row],[ID]],Wine1!A:Q,17,FALSE),Table1[[#This Row],[EP]]))</f>
        <v>2023</v>
      </c>
      <c r="Z602" s="18">
        <f>IF(Table1[[#This Row],[My Rating]]="",IF(Table1[[#This Row],[WA Rating Clean]]="","",Table1[[#This Row],[WA Rating Clean]]),Table1[[#This Row],[My Rating]])</f>
        <v>90.909090909090907</v>
      </c>
      <c r="AA602" s="37">
        <v>2025</v>
      </c>
      <c r="AB602" s="128">
        <v>19.55</v>
      </c>
      <c r="AC602" s="2">
        <f t="shared" si="39"/>
        <v>19.55</v>
      </c>
      <c r="AD602" s="8">
        <v>2</v>
      </c>
      <c r="AE602" s="37">
        <f>IF(Table1[[#This Row],[P/750]]&lt;20,1,IF(Table1[[#This Row],[P/750]]&lt;50,2,3))</f>
        <v>1</v>
      </c>
      <c r="AF602" s="37">
        <f>IF(Table1[[#This Row],[P/750]]&lt;Expenses!$C$30,1,IF(Table1[[#This Row],[P/750]]&lt;Expenses!$C$31,2,IF(Table1[[#This Row],[P/750]]&lt;Expenses!$C$32,3,4)))</f>
        <v>2</v>
      </c>
      <c r="AH602" s="25" t="s">
        <v>1128</v>
      </c>
      <c r="AI602" s="11">
        <f>Table1[[#This Row],[Price]]/Table1[[#This Row],[Size (ml)]]*750</f>
        <v>19.55</v>
      </c>
      <c r="AJ602">
        <v>90</v>
      </c>
      <c r="AK602" s="37">
        <f>COUNTIF(UniqueID!A:A,Table1[[#This Row],[ID]])</f>
        <v>1</v>
      </c>
      <c r="AL602" s="37" t="str">
        <f>VLOOKUP(Table1[[#This Row],[Cellar Location]],Location!A:F,6,FALSE)</f>
        <v>S</v>
      </c>
      <c r="AN602" s="1">
        <v>43966</v>
      </c>
      <c r="AO602" t="str">
        <f>TEXT(Table1[[#This Row],[Purchased]],"mmmm")</f>
        <v>May</v>
      </c>
      <c r="AP602" s="10" t="str">
        <f>TEXT(Table1[[#This Row],[Purchased]],"yyyy")</f>
        <v>2020</v>
      </c>
      <c r="AQ602" s="10"/>
    </row>
    <row r="603" spans="1:43" x14ac:dyDescent="0.25">
      <c r="A603" t="str">
        <f t="shared" si="38"/>
        <v>2005EscuderoVidau</v>
      </c>
      <c r="B603" s="37">
        <v>2005</v>
      </c>
      <c r="C603" s="37" t="s">
        <v>217</v>
      </c>
      <c r="D603" s="37" t="s">
        <v>1658</v>
      </c>
      <c r="E603" s="67" t="s">
        <v>1659</v>
      </c>
      <c r="F603" s="37" t="s">
        <v>729</v>
      </c>
      <c r="G603" s="37" t="s">
        <v>823</v>
      </c>
      <c r="I603" s="8">
        <v>1</v>
      </c>
      <c r="J603" s="38">
        <v>750</v>
      </c>
      <c r="K603" s="38" t="s">
        <v>384</v>
      </c>
      <c r="L603" s="10">
        <f>COUNTIF(Drank!A:A,Table1[[#This Row],[ID]])</f>
        <v>1</v>
      </c>
      <c r="M603" t="s">
        <v>202</v>
      </c>
      <c r="N603" t="s">
        <v>207</v>
      </c>
      <c r="O603">
        <v>1</v>
      </c>
      <c r="P603" s="10">
        <v>2010</v>
      </c>
      <c r="Q603">
        <v>2020</v>
      </c>
      <c r="R603" s="10" t="str">
        <f>IF(IFERROR(VLOOKUP(A603,Drank!A:S,15,FALSE),"")=0,"",IFERROR(VLOOKUP(A603,Drank!A:S,15,FALSE),""))</f>
        <v/>
      </c>
      <c r="S603" s="10">
        <f>IF(IFERROR(VLOOKUP(A603,Drank!A:S,16,FALSE),"")=0,"",IFERROR(VLOOKUP(A603,Drank!A:S,16,FALSE),""))</f>
        <v>2025</v>
      </c>
      <c r="T603" s="10"/>
      <c r="U603" t="s">
        <v>1404</v>
      </c>
      <c r="V603" s="18">
        <f>IF(IFERROR(VLOOKUP(A603,Drank!A:T,19,FALSE),"")=0,"",IFERROR(VLOOKUP(A603,Drank!A:T,19,FALSE),""))</f>
        <v>92</v>
      </c>
      <c r="W603" s="1">
        <f>IF(IFERROR(VLOOKUP(A603,Drank!A:T,20,FALSE),"")=0,"",IFERROR(VLOOKUP(A603,Drank!A:T,20,FALSE),""))</f>
        <v>44062</v>
      </c>
      <c r="X603" s="10">
        <f>SUMIF(A:A,A603,I:I)</f>
        <v>11</v>
      </c>
      <c r="Y603" s="10">
        <f>IF(Table1[[#This Row],[Drank]]&gt;0,VLOOKUP(Table1[[#This Row],[ID]],Drank!A:P,16,FALSE),IF(Table1[[#This Row],[WALDD]]&gt;0,VLOOKUP(Table1[[#This Row],[ID]],Wine1!A:Q,17,FALSE),Table1[[#This Row],[EP]]))</f>
        <v>2025</v>
      </c>
      <c r="Z603" s="18">
        <f>IF(Table1[[#This Row],[My Rating]]="",IF(Table1[[#This Row],[WA Rating Clean]]="","",Table1[[#This Row],[WA Rating Clean]]),Table1[[#This Row],[My Rating]])</f>
        <v>92</v>
      </c>
      <c r="AA603" s="37">
        <v>2025</v>
      </c>
      <c r="AB603" s="128">
        <v>21.71</v>
      </c>
      <c r="AC603" s="2">
        <f t="shared" si="39"/>
        <v>21.71</v>
      </c>
      <c r="AD603" s="8">
        <v>1</v>
      </c>
      <c r="AE603" s="10">
        <f>IF(Table1[[#This Row],[P/750]]&lt;20,1,IF(Table1[[#This Row],[P/750]]&lt;50,2,3))</f>
        <v>2</v>
      </c>
      <c r="AF603" s="10">
        <f>IF(Table1[[#This Row],[P/750]]&lt;Expenses!$C$30,1,IF(Table1[[#This Row],[P/750]]&lt;Expenses!$C$31,2,IF(Table1[[#This Row],[P/750]]&lt;Expenses!$C$32,3,4)))</f>
        <v>2</v>
      </c>
      <c r="AH603" s="37" t="s">
        <v>384</v>
      </c>
      <c r="AI603" s="11">
        <f>Table1[[#This Row],[Price]]/Table1[[#This Row],[Size (ml)]]*750</f>
        <v>21.71</v>
      </c>
      <c r="AJ603">
        <v>90</v>
      </c>
      <c r="AK603" s="10">
        <f>COUNTIF(UniqueID!A:A,Table1[[#This Row],[ID]])</f>
        <v>0</v>
      </c>
      <c r="AL603" s="10" t="str">
        <f>VLOOKUP(Table1[[#This Row],[Cellar Location]],Location!A:F,6,FALSE)</f>
        <v>W</v>
      </c>
      <c r="AN603" s="1">
        <v>44063</v>
      </c>
      <c r="AO603" s="10" t="str">
        <f>TEXT(Table1[[#This Row],[Purchased]],"mmmm")</f>
        <v>August</v>
      </c>
      <c r="AP603" s="10" t="str">
        <f>TEXT(Table1[[#This Row],[Purchased]],"yyyy")</f>
        <v>2020</v>
      </c>
      <c r="AQ603" s="1">
        <v>44131</v>
      </c>
    </row>
    <row r="604" spans="1:43" x14ac:dyDescent="0.25">
      <c r="A604" s="37" t="str">
        <f t="shared" si="38"/>
        <v>2014Los Frailes1771</v>
      </c>
      <c r="B604" s="37">
        <v>2014</v>
      </c>
      <c r="C604" s="9" t="s">
        <v>242</v>
      </c>
      <c r="D604" s="59">
        <v>1771</v>
      </c>
      <c r="E604" s="67" t="s">
        <v>1223</v>
      </c>
      <c r="F604" s="37" t="s">
        <v>729</v>
      </c>
      <c r="G604" s="37" t="s">
        <v>826</v>
      </c>
      <c r="I604" s="107">
        <v>1</v>
      </c>
      <c r="J604" s="37">
        <v>750</v>
      </c>
      <c r="K604" s="107" t="s">
        <v>647</v>
      </c>
      <c r="L604" s="37">
        <f>COUNTIF(Drank!A:A,Table1[[#This Row],[ID]])</f>
        <v>5</v>
      </c>
      <c r="M604" t="s">
        <v>202</v>
      </c>
      <c r="N604" t="s">
        <v>207</v>
      </c>
      <c r="O604">
        <v>1</v>
      </c>
      <c r="P604" s="37">
        <v>2018</v>
      </c>
      <c r="Q604">
        <v>2023</v>
      </c>
      <c r="R604" s="37">
        <f>IF(IFERROR(VLOOKUP(A604,Drank!A:S,15,FALSE),"")=0,"",IFERROR(VLOOKUP(A604,Drank!A:S,15,FALSE),""))</f>
        <v>2021</v>
      </c>
      <c r="S604" s="37">
        <f>IF(IFERROR(VLOOKUP(A604,Drank!A:S,16,FALSE),"")=0,"",IFERROR(VLOOKUP(A604,Drank!A:S,16,FALSE),""))</f>
        <v>2025</v>
      </c>
      <c r="T604" s="37"/>
      <c r="U604">
        <v>93</v>
      </c>
      <c r="V604" s="18">
        <f>IF(IFERROR(VLOOKUP(A604,Drank!A:T,19,FALSE),"")=0,"",IFERROR(VLOOKUP(A604,Drank!A:T,19,FALSE),""))</f>
        <v>92.4</v>
      </c>
      <c r="W604" s="1">
        <f>IF(IFERROR(VLOOKUP(A604,Drank!A:T,20,FALSE),"")=0,"",IFERROR(VLOOKUP(A604,Drank!A:T,20,FALSE),""))</f>
        <v>44052</v>
      </c>
      <c r="X604" s="37">
        <f>SUMIF(A:A,A604,I:I)</f>
        <v>9</v>
      </c>
      <c r="Y604" s="37">
        <f>IF(Table1[[#This Row],[Drank]]&gt;0,VLOOKUP(Table1[[#This Row],[ID]],Drank!A:P,16,FALSE),IF(Table1[[#This Row],[WALDD]]&gt;0,VLOOKUP(Table1[[#This Row],[ID]],Wine1!A:Q,17,FALSE),Table1[[#This Row],[EP]]))</f>
        <v>2025</v>
      </c>
      <c r="Z604" s="18">
        <f>IF(Table1[[#This Row],[My Rating]]="",IF(Table1[[#This Row],[WA Rating Clean]]="","",Table1[[#This Row],[WA Rating Clean]]),Table1[[#This Row],[My Rating]])</f>
        <v>92.4</v>
      </c>
      <c r="AA604" s="37">
        <v>2025</v>
      </c>
      <c r="AB604" s="128">
        <v>19.5</v>
      </c>
      <c r="AC604" s="2">
        <f t="shared" si="39"/>
        <v>19.5</v>
      </c>
      <c r="AD604" s="8">
        <v>2</v>
      </c>
      <c r="AE604" s="37">
        <f>IF(Table1[[#This Row],[P/750]]&lt;20,1,IF(Table1[[#This Row],[P/750]]&lt;50,2,3))</f>
        <v>1</v>
      </c>
      <c r="AF604" s="37">
        <f>IF(Table1[[#This Row],[P/750]]&lt;Expenses!$C$30,1,IF(Table1[[#This Row],[P/750]]&lt;Expenses!$C$31,2,IF(Table1[[#This Row],[P/750]]&lt;Expenses!$C$32,3,4)))</f>
        <v>2</v>
      </c>
      <c r="AH604" s="37" t="s">
        <v>385</v>
      </c>
      <c r="AI604" s="11">
        <f>Table1[[#This Row],[Price]]/Table1[[#This Row],[Size (ml)]]*750</f>
        <v>19.5</v>
      </c>
      <c r="AJ604">
        <v>93</v>
      </c>
      <c r="AK604" s="37">
        <f>COUNTIF(UniqueID!A:A,Table1[[#This Row],[ID]])</f>
        <v>1</v>
      </c>
      <c r="AL604" s="37" t="str">
        <f>VLOOKUP(Table1[[#This Row],[Cellar Location]],Location!A:F,6,FALSE)</f>
        <v>S</v>
      </c>
      <c r="AN604" s="37"/>
      <c r="AO604" s="37" t="str">
        <f>TEXT(Table1[[#This Row],[Purchased]],"mmmm")</f>
        <v>January</v>
      </c>
      <c r="AP604" s="10" t="str">
        <f>TEXT(Table1[[#This Row],[Purchased]],"yyyy")</f>
        <v>1900</v>
      </c>
      <c r="AQ604" s="10"/>
    </row>
    <row r="605" spans="1:43" x14ac:dyDescent="0.25">
      <c r="A605" s="37" t="str">
        <f t="shared" ref="A605:A668" si="40">CONCATENATE(B605,C605,D605)</f>
        <v>2016Domaine de la Combe DieuRasteau</v>
      </c>
      <c r="B605" s="8">
        <v>2016</v>
      </c>
      <c r="C605" s="37" t="s">
        <v>407</v>
      </c>
      <c r="D605" s="25" t="s">
        <v>408</v>
      </c>
      <c r="E605" s="66" t="s">
        <v>417</v>
      </c>
      <c r="F605" s="9" t="s">
        <v>742</v>
      </c>
      <c r="G605" s="9" t="s">
        <v>759</v>
      </c>
      <c r="H605" s="9" t="s">
        <v>765</v>
      </c>
      <c r="I605" s="107">
        <v>1</v>
      </c>
      <c r="J605" s="37">
        <v>750</v>
      </c>
      <c r="K605" s="107" t="s">
        <v>649</v>
      </c>
      <c r="L605" s="37">
        <f>COUNTIF(Drank!A:A,Table1[[#This Row],[ID]])</f>
        <v>5</v>
      </c>
      <c r="M605" t="s">
        <v>202</v>
      </c>
      <c r="N605" t="s">
        <v>207</v>
      </c>
      <c r="O605">
        <v>1</v>
      </c>
      <c r="P605" s="37">
        <v>2018</v>
      </c>
      <c r="Q605">
        <v>2023</v>
      </c>
      <c r="R605" s="10">
        <f>IF(IFERROR(VLOOKUP(A605,Drank!A:S,15,FALSE),"")=0,"",IFERROR(VLOOKUP(A605,Drank!A:S,15,FALSE),""))</f>
        <v>2021</v>
      </c>
      <c r="S605" s="10">
        <f>IF(IFERROR(VLOOKUP(A605,Drank!A:S,16,FALSE),"")=0,"",IFERROR(VLOOKUP(A605,Drank!A:S,16,FALSE),""))</f>
        <v>2025</v>
      </c>
      <c r="T605" s="10"/>
      <c r="U605">
        <v>92</v>
      </c>
      <c r="V605" s="18">
        <f>IF(IFERROR(VLOOKUP(A605,Drank!A:T,19,FALSE),"")=0,"",IFERROR(VLOOKUP(A605,Drank!A:T,19,FALSE),""))</f>
        <v>92.2</v>
      </c>
      <c r="W605" s="1">
        <f>IF(IFERROR(VLOOKUP(A605,Drank!A:T,20,FALSE),"")=0,"",IFERROR(VLOOKUP(A605,Drank!A:T,20,FALSE),""))</f>
        <v>44002</v>
      </c>
      <c r="X605" s="10">
        <f>SUMIF(A:A,A605,I:I)</f>
        <v>15</v>
      </c>
      <c r="Y605" s="37">
        <f>IF(Table1[[#This Row],[Drank]]&gt;0,VLOOKUP(Table1[[#This Row],[ID]],Drank!A:P,16,FALSE),IF(Table1[[#This Row],[WALDD]]&gt;0,VLOOKUP(Table1[[#This Row],[ID]],Wine1!A:Q,17,FALSE),Table1[[#This Row],[EP]]))</f>
        <v>2025</v>
      </c>
      <c r="Z605" s="18">
        <f>IF(Table1[[#This Row],[My Rating]]="",IF(Table1[[#This Row],[WA Rating Clean]]="","",Table1[[#This Row],[WA Rating Clean]]),Table1[[#This Row],[My Rating]])</f>
        <v>92.2</v>
      </c>
      <c r="AA605" s="37">
        <v>2025</v>
      </c>
      <c r="AB605" s="128">
        <v>13.99</v>
      </c>
      <c r="AC605" s="2">
        <f t="shared" ref="AC605:AC668" si="41">AB605*I605</f>
        <v>13.99</v>
      </c>
      <c r="AD605" s="8">
        <v>2</v>
      </c>
      <c r="AE605" s="37">
        <f>IF(Table1[[#This Row],[P/750]]&lt;20,1,IF(Table1[[#This Row],[P/750]]&lt;50,2,3))</f>
        <v>1</v>
      </c>
      <c r="AF605" s="37">
        <f>IF(Table1[[#This Row],[P/750]]&lt;Expenses!$C$30,1,IF(Table1[[#This Row],[P/750]]&lt;Expenses!$C$31,2,IF(Table1[[#This Row],[P/750]]&lt;Expenses!$C$32,3,4)))</f>
        <v>1</v>
      </c>
      <c r="AH605" s="37" t="s">
        <v>384</v>
      </c>
      <c r="AI605" s="11">
        <f>Table1[[#This Row],[Price]]/Table1[[#This Row],[Size (ml)]]*750</f>
        <v>13.99</v>
      </c>
      <c r="AJ605">
        <v>92</v>
      </c>
      <c r="AK605" s="37">
        <f>COUNTIF(UniqueID!A:A,Table1[[#This Row],[ID]])</f>
        <v>1</v>
      </c>
      <c r="AL605" s="37" t="str">
        <f>VLOOKUP(Table1[[#This Row],[Cellar Location]],Location!A:F,6,FALSE)</f>
        <v>S</v>
      </c>
      <c r="AN605" s="37"/>
      <c r="AO605" s="37" t="str">
        <f>TEXT(Table1[[#This Row],[Purchased]],"mmmm")</f>
        <v>January</v>
      </c>
      <c r="AP605" s="10" t="str">
        <f>TEXT(Table1[[#This Row],[Purchased]],"yyyy")</f>
        <v>1900</v>
      </c>
      <c r="AQ605" s="10"/>
    </row>
    <row r="606" spans="1:43" x14ac:dyDescent="0.25">
      <c r="A606" t="str">
        <f t="shared" si="40"/>
        <v>2018Cave Les Vignerons de Tavel &amp; LiracLirac Domaine de l'Eyrolle</v>
      </c>
      <c r="B606" s="8">
        <v>2018</v>
      </c>
      <c r="C606" s="37" t="s">
        <v>1424</v>
      </c>
      <c r="D606" s="19" t="s">
        <v>1425</v>
      </c>
      <c r="E606" s="69" t="s">
        <v>286</v>
      </c>
      <c r="F606" s="37" t="s">
        <v>742</v>
      </c>
      <c r="G606" s="37" t="s">
        <v>759</v>
      </c>
      <c r="H606" s="37" t="s">
        <v>1426</v>
      </c>
      <c r="I606" s="107">
        <v>1</v>
      </c>
      <c r="J606">
        <v>750</v>
      </c>
      <c r="K606" s="108" t="s">
        <v>1505</v>
      </c>
      <c r="L606" s="10">
        <f>COUNTIF(Drank!A:A,Table1[[#This Row],[ID]])</f>
        <v>2</v>
      </c>
      <c r="M606" t="s">
        <v>202</v>
      </c>
      <c r="N606" t="s">
        <v>207</v>
      </c>
      <c r="O606">
        <v>1</v>
      </c>
      <c r="P606" s="37">
        <v>2019</v>
      </c>
      <c r="Q606">
        <v>2025</v>
      </c>
      <c r="R606" s="10">
        <f>IF(IFERROR(VLOOKUP(A606,Drank!A:S,15,FALSE),"")=0,"",IFERROR(VLOOKUP(A606,Drank!A:S,15,FALSE),""))</f>
        <v>2020</v>
      </c>
      <c r="S606" s="10">
        <f>IF(IFERROR(VLOOKUP(A606,Drank!A:S,16,FALSE),"")=0,"",IFERROR(VLOOKUP(A606,Drank!A:S,16,FALSE),""))</f>
        <v>2025</v>
      </c>
      <c r="T606" s="10"/>
      <c r="U606">
        <v>92</v>
      </c>
      <c r="V606" s="18">
        <f>IF(IFERROR(VLOOKUP(A606,Drank!A:T,19,FALSE),"")=0,"",IFERROR(VLOOKUP(A606,Drank!A:T,19,FALSE),""))</f>
        <v>91.5</v>
      </c>
      <c r="W606" s="1">
        <f>IF(IFERROR(VLOOKUP(A606,Drank!A:T,20,FALSE),"")=0,"",IFERROR(VLOOKUP(A606,Drank!A:T,20,FALSE),""))</f>
        <v>44009</v>
      </c>
      <c r="X606" s="10">
        <f>SUMIF(A:A,A606,I:I)</f>
        <v>10</v>
      </c>
      <c r="Y606" s="10">
        <f>IF(Table1[[#This Row],[Drank]]&gt;0,VLOOKUP(Table1[[#This Row],[ID]],Drank!A:P,16,FALSE),IF(Table1[[#This Row],[WALDD]]&gt;0,VLOOKUP(Table1[[#This Row],[ID]],Wine1!A:Q,17,FALSE),Table1[[#This Row],[EP]]))</f>
        <v>2025</v>
      </c>
      <c r="Z606" s="18">
        <f>IF(Table1[[#This Row],[My Rating]]="",IF(Table1[[#This Row],[WA Rating Clean]]="","",Table1[[#This Row],[WA Rating Clean]]),Table1[[#This Row],[My Rating]])</f>
        <v>91.5</v>
      </c>
      <c r="AA606" s="37">
        <v>2025</v>
      </c>
      <c r="AB606" s="128">
        <v>14.11</v>
      </c>
      <c r="AC606" s="2">
        <f t="shared" si="41"/>
        <v>14.11</v>
      </c>
      <c r="AD606" s="8">
        <v>2</v>
      </c>
      <c r="AE606" s="10">
        <f>IF(Table1[[#This Row],[P/750]]&lt;20,1,IF(Table1[[#This Row],[P/750]]&lt;50,2,3))</f>
        <v>1</v>
      </c>
      <c r="AF606" s="10">
        <f>IF(Table1[[#This Row],[P/750]]&lt;Expenses!$C$30,1,IF(Table1[[#This Row],[P/750]]&lt;Expenses!$C$31,2,IF(Table1[[#This Row],[P/750]]&lt;Expenses!$C$32,3,4)))</f>
        <v>1</v>
      </c>
      <c r="AH606" t="s">
        <v>384</v>
      </c>
      <c r="AI606" s="11">
        <f>Table1[[#This Row],[Price]]/Table1[[#This Row],[Size (ml)]]*750</f>
        <v>14.109999999999998</v>
      </c>
      <c r="AJ606">
        <v>92</v>
      </c>
      <c r="AK606" s="10">
        <f>COUNTIF(UniqueID!A:A,Table1[[#This Row],[ID]])</f>
        <v>0</v>
      </c>
      <c r="AL606" s="10" t="str">
        <f>VLOOKUP(Table1[[#This Row],[Cellar Location]],Location!A:F,6,FALSE)</f>
        <v>S</v>
      </c>
      <c r="AN606" s="1">
        <v>43986</v>
      </c>
      <c r="AO606" s="10" t="str">
        <f>TEXT(Table1[[#This Row],[Purchased]],"mmmm")</f>
        <v>June</v>
      </c>
      <c r="AP606" s="10" t="str">
        <f>TEXT(Table1[[#This Row],[Purchased]],"yyyy")</f>
        <v>2020</v>
      </c>
      <c r="AQ606" s="10"/>
    </row>
    <row r="607" spans="1:43" x14ac:dyDescent="0.25">
      <c r="A607" t="str">
        <f t="shared" si="40"/>
        <v>2018Cave Les Vignerons de Tavel &amp; LiracLirac Domaine de l'Eyrolle</v>
      </c>
      <c r="B607" s="8">
        <v>2018</v>
      </c>
      <c r="C607" s="37" t="s">
        <v>1424</v>
      </c>
      <c r="D607" s="19" t="s">
        <v>1425</v>
      </c>
      <c r="E607" s="69" t="s">
        <v>286</v>
      </c>
      <c r="F607" s="37" t="s">
        <v>742</v>
      </c>
      <c r="G607" s="37" t="s">
        <v>759</v>
      </c>
      <c r="H607" s="37" t="s">
        <v>1426</v>
      </c>
      <c r="I607" s="107">
        <v>1</v>
      </c>
      <c r="J607" s="37">
        <v>750</v>
      </c>
      <c r="K607" s="107" t="s">
        <v>1195</v>
      </c>
      <c r="L607" s="10">
        <f>COUNTIF(Drank!A:A,Table1[[#This Row],[ID]])</f>
        <v>2</v>
      </c>
      <c r="M607" t="s">
        <v>202</v>
      </c>
      <c r="N607" t="s">
        <v>207</v>
      </c>
      <c r="O607">
        <v>1</v>
      </c>
      <c r="P607" s="37">
        <v>2019</v>
      </c>
      <c r="Q607">
        <v>2025</v>
      </c>
      <c r="R607" s="10">
        <f>IF(IFERROR(VLOOKUP(A607,Drank!A:S,15,FALSE),"")=0,"",IFERROR(VLOOKUP(A607,Drank!A:S,15,FALSE),""))</f>
        <v>2020</v>
      </c>
      <c r="S607" s="10">
        <f>IF(IFERROR(VLOOKUP(A607,Drank!A:S,16,FALSE),"")=0,"",IFERROR(VLOOKUP(A607,Drank!A:S,16,FALSE),""))</f>
        <v>2025</v>
      </c>
      <c r="T607" s="10"/>
      <c r="U607">
        <v>92</v>
      </c>
      <c r="V607" s="18">
        <f>IF(IFERROR(VLOOKUP(A607,Drank!A:T,19,FALSE),"")=0,"",IFERROR(VLOOKUP(A607,Drank!A:T,19,FALSE),""))</f>
        <v>91.5</v>
      </c>
      <c r="W607" s="1">
        <f>IF(IFERROR(VLOOKUP(A607,Drank!A:T,20,FALSE),"")=0,"",IFERROR(VLOOKUP(A607,Drank!A:T,20,FALSE),""))</f>
        <v>44009</v>
      </c>
      <c r="X607" s="10">
        <f>SUMIF(A:A,A607,I:I)</f>
        <v>10</v>
      </c>
      <c r="Y607" s="10">
        <f>IF(Table1[[#This Row],[Drank]]&gt;0,VLOOKUP(Table1[[#This Row],[ID]],Drank!A:P,16,FALSE),IF(Table1[[#This Row],[WALDD]]&gt;0,VLOOKUP(Table1[[#This Row],[ID]],Wine1!A:Q,17,FALSE),Table1[[#This Row],[EP]]))</f>
        <v>2025</v>
      </c>
      <c r="Z607" s="18">
        <f>IF(Table1[[#This Row],[My Rating]]="",IF(Table1[[#This Row],[WA Rating Clean]]="","",Table1[[#This Row],[WA Rating Clean]]),Table1[[#This Row],[My Rating]])</f>
        <v>91.5</v>
      </c>
      <c r="AA607" s="37">
        <v>2025</v>
      </c>
      <c r="AB607" s="128">
        <v>14.11</v>
      </c>
      <c r="AC607" s="2">
        <f t="shared" si="41"/>
        <v>14.11</v>
      </c>
      <c r="AD607" s="8">
        <v>2</v>
      </c>
      <c r="AE607" s="10">
        <f>IF(Table1[[#This Row],[P/750]]&lt;20,1,IF(Table1[[#This Row],[P/750]]&lt;50,2,3))</f>
        <v>1</v>
      </c>
      <c r="AF607" s="10">
        <f>IF(Table1[[#This Row],[P/750]]&lt;Expenses!$C$30,1,IF(Table1[[#This Row],[P/750]]&lt;Expenses!$C$31,2,IF(Table1[[#This Row],[P/750]]&lt;Expenses!$C$32,3,4)))</f>
        <v>1</v>
      </c>
      <c r="AH607" s="37" t="s">
        <v>384</v>
      </c>
      <c r="AI607" s="11">
        <f>Table1[[#This Row],[Price]]/Table1[[#This Row],[Size (ml)]]*750</f>
        <v>14.109999999999998</v>
      </c>
      <c r="AJ607">
        <v>92</v>
      </c>
      <c r="AK607" s="10">
        <f>COUNTIF(UniqueID!A:A,Table1[[#This Row],[ID]])</f>
        <v>0</v>
      </c>
      <c r="AL607" s="10" t="str">
        <f>VLOOKUP(Table1[[#This Row],[Cellar Location]],Location!A:F,6,FALSE)</f>
        <v>S</v>
      </c>
      <c r="AN607" s="1">
        <v>43986</v>
      </c>
      <c r="AO607" s="10" t="str">
        <f>TEXT(Table1[[#This Row],[Purchased]],"mmmm")</f>
        <v>June</v>
      </c>
      <c r="AP607" s="10" t="str">
        <f>TEXT(Table1[[#This Row],[Purchased]],"yyyy")</f>
        <v>2020</v>
      </c>
      <c r="AQ607" s="10"/>
    </row>
    <row r="608" spans="1:43" x14ac:dyDescent="0.25">
      <c r="A608" t="str">
        <f t="shared" si="40"/>
        <v>2015Buty WineryRediviva of The Stones</v>
      </c>
      <c r="B608" s="37">
        <v>2015</v>
      </c>
      <c r="C608" s="37" t="s">
        <v>388</v>
      </c>
      <c r="D608" s="25" t="s">
        <v>389</v>
      </c>
      <c r="E608" s="67" t="s">
        <v>1270</v>
      </c>
      <c r="F608" s="37" t="s">
        <v>727</v>
      </c>
      <c r="G608" s="37" t="s">
        <v>833</v>
      </c>
      <c r="H608" s="37" t="s">
        <v>835</v>
      </c>
      <c r="I608" s="107">
        <v>1</v>
      </c>
      <c r="J608">
        <v>750</v>
      </c>
      <c r="K608" s="107" t="s">
        <v>645</v>
      </c>
      <c r="L608" s="37">
        <f>COUNTIF(Drank!A:A,Table1[[#This Row],[ID]])</f>
        <v>1</v>
      </c>
      <c r="M608" t="s">
        <v>202</v>
      </c>
      <c r="N608" t="s">
        <v>207</v>
      </c>
      <c r="O608">
        <v>1</v>
      </c>
      <c r="P608" s="37">
        <v>2018</v>
      </c>
      <c r="Q608">
        <v>2026</v>
      </c>
      <c r="R608" s="10">
        <f>IF(IFERROR(VLOOKUP(A608,Drank!A:S,15,FALSE),"")=0,"",IFERROR(VLOOKUP(A608,Drank!A:S,15,FALSE),""))</f>
        <v>2021</v>
      </c>
      <c r="S608" s="10">
        <f>IF(IFERROR(VLOOKUP(A608,Drank!A:S,16,FALSE),"")=0,"",IFERROR(VLOOKUP(A608,Drank!A:S,16,FALSE),""))</f>
        <v>2025</v>
      </c>
      <c r="T608" s="10"/>
      <c r="U608">
        <v>93</v>
      </c>
      <c r="V608" s="18">
        <f>IF(IFERROR(VLOOKUP(A608,Drank!A:T,19,FALSE),"")=0,"",IFERROR(VLOOKUP(A608,Drank!A:T,19,FALSE),""))</f>
        <v>92</v>
      </c>
      <c r="W608" s="1">
        <f>IF(IFERROR(VLOOKUP(A608,Drank!A:T,20,FALSE),"")=0,"",IFERROR(VLOOKUP(A608,Drank!A:T,20,FALSE),""))</f>
        <v>43777</v>
      </c>
      <c r="X608" s="10">
        <f>SUMIF(A:A,A608,I:I)</f>
        <v>3</v>
      </c>
      <c r="Y608" s="37">
        <f>IF(Table1[[#This Row],[Drank]]&gt;0,VLOOKUP(Table1[[#This Row],[ID]],Drank!A:P,16,FALSE),IF(Table1[[#This Row],[WALDD]]&gt;0,VLOOKUP(Table1[[#This Row],[ID]],Wine1!A:Q,17,FALSE),Table1[[#This Row],[EP]]))</f>
        <v>2025</v>
      </c>
      <c r="Z608" s="18">
        <f>IF(Table1[[#This Row],[My Rating]]="",IF(Table1[[#This Row],[WA Rating Clean]]="","",Table1[[#This Row],[WA Rating Clean]]),Table1[[#This Row],[My Rating]])</f>
        <v>92</v>
      </c>
      <c r="AA608" s="37">
        <v>2025</v>
      </c>
      <c r="AB608" s="128">
        <v>22.99</v>
      </c>
      <c r="AC608" s="2">
        <f t="shared" si="41"/>
        <v>22.99</v>
      </c>
      <c r="AD608" s="8">
        <v>2</v>
      </c>
      <c r="AE608" s="37">
        <f>IF(Table1[[#This Row],[P/750]]&lt;20,1,IF(Table1[[#This Row],[P/750]]&lt;50,2,3))</f>
        <v>2</v>
      </c>
      <c r="AF608" s="37">
        <f>IF(Table1[[#This Row],[P/750]]&lt;Expenses!$C$30,1,IF(Table1[[#This Row],[P/750]]&lt;Expenses!$C$31,2,IF(Table1[[#This Row],[P/750]]&lt;Expenses!$C$32,3,4)))</f>
        <v>2</v>
      </c>
      <c r="AH608" s="37" t="s">
        <v>384</v>
      </c>
      <c r="AI608" s="11">
        <f>Table1[[#This Row],[Price]]/Table1[[#This Row],[Size (ml)]]*750</f>
        <v>22.99</v>
      </c>
      <c r="AJ608">
        <v>93</v>
      </c>
      <c r="AK608" s="37">
        <f>COUNTIF(UniqueID!A:A,Table1[[#This Row],[ID]])</f>
        <v>1</v>
      </c>
      <c r="AL608" s="37" t="str">
        <f>VLOOKUP(Table1[[#This Row],[Cellar Location]],Location!A:F,6,FALSE)</f>
        <v>S</v>
      </c>
      <c r="AN608" s="37"/>
      <c r="AO608" t="str">
        <f>TEXT(Table1[[#This Row],[Purchased]],"mmmm")</f>
        <v>January</v>
      </c>
      <c r="AP608" s="10" t="str">
        <f>TEXT(Table1[[#This Row],[Purchased]],"yyyy")</f>
        <v>1900</v>
      </c>
      <c r="AQ608" s="10"/>
    </row>
    <row r="609" spans="1:43" x14ac:dyDescent="0.25">
      <c r="A609" t="str">
        <f t="shared" si="40"/>
        <v>2010Cosimo TaurinoNegroamaro Notarpanaro</v>
      </c>
      <c r="B609" s="8">
        <v>2010</v>
      </c>
      <c r="C609" s="37" t="s">
        <v>56</v>
      </c>
      <c r="D609" s="37" t="s">
        <v>1310</v>
      </c>
      <c r="E609" s="67" t="s">
        <v>1311</v>
      </c>
      <c r="F609" s="37" t="s">
        <v>728</v>
      </c>
      <c r="G609" s="37" t="s">
        <v>785</v>
      </c>
      <c r="H609" s="37" t="s">
        <v>786</v>
      </c>
      <c r="I609" s="107">
        <v>1</v>
      </c>
      <c r="J609">
        <v>750</v>
      </c>
      <c r="K609" s="107" t="s">
        <v>1408</v>
      </c>
      <c r="L609" s="10">
        <f>COUNTIF(Drank!A:A,Table1[[#This Row],[ID]])</f>
        <v>2</v>
      </c>
      <c r="M609" t="s">
        <v>202</v>
      </c>
      <c r="N609" t="s">
        <v>207</v>
      </c>
      <c r="O609">
        <v>1</v>
      </c>
      <c r="P609" s="37"/>
      <c r="R609" s="10">
        <f>IF(IFERROR(VLOOKUP(A609,Drank!A:S,15,FALSE),"")=0,"",IFERROR(VLOOKUP(A609,Drank!A:S,15,FALSE),""))</f>
        <v>2020</v>
      </c>
      <c r="S609" s="10">
        <f>IF(IFERROR(VLOOKUP(A609,Drank!A:S,16,FALSE),"")=0,"",IFERROR(VLOOKUP(A609,Drank!A:S,16,FALSE),""))</f>
        <v>2025</v>
      </c>
      <c r="T609" s="10"/>
      <c r="V609" s="18">
        <f>IF(IFERROR(VLOOKUP(A609,Drank!A:T,19,FALSE),"")=0,"",IFERROR(VLOOKUP(A609,Drank!A:T,19,FALSE),""))</f>
        <v>90</v>
      </c>
      <c r="W609" s="1">
        <f>IF(IFERROR(VLOOKUP(A609,Drank!A:T,20,FALSE),"")=0,"",IFERROR(VLOOKUP(A609,Drank!A:T,20,FALSE),""))</f>
        <v>43974</v>
      </c>
      <c r="X609" s="10">
        <f>SUMIF(A:A,A609,I:I)</f>
        <v>3</v>
      </c>
      <c r="Y609" s="10">
        <f>IF(Table1[[#This Row],[Drank]]&gt;0,VLOOKUP(Table1[[#This Row],[ID]],Drank!A:P,16,FALSE),IF(Table1[[#This Row],[WALDD]]&gt;0,VLOOKUP(Table1[[#This Row],[ID]],Wine1!A:Q,17,FALSE),Table1[[#This Row],[EP]]))</f>
        <v>2025</v>
      </c>
      <c r="Z609" s="18">
        <f>IF(Table1[[#This Row],[My Rating]]="",IF(Table1[[#This Row],[WA Rating Clean]]="","",Table1[[#This Row],[WA Rating Clean]]),Table1[[#This Row],[My Rating]])</f>
        <v>90</v>
      </c>
      <c r="AA609" s="37">
        <v>2025</v>
      </c>
      <c r="AB609" s="128">
        <v>16.62</v>
      </c>
      <c r="AC609" s="2">
        <f t="shared" si="41"/>
        <v>16.62</v>
      </c>
      <c r="AD609" s="8">
        <v>2</v>
      </c>
      <c r="AE609" s="10">
        <f>IF(Table1[[#This Row],[P/750]]&lt;20,1,IF(Table1[[#This Row],[P/750]]&lt;50,2,3))</f>
        <v>1</v>
      </c>
      <c r="AF609" s="10">
        <f>IF(Table1[[#This Row],[P/750]]&lt;Expenses!$C$30,1,IF(Table1[[#This Row],[P/750]]&lt;Expenses!$C$31,2,IF(Table1[[#This Row],[P/750]]&lt;Expenses!$C$32,3,4)))</f>
        <v>1</v>
      </c>
      <c r="AH609" t="s">
        <v>1128</v>
      </c>
      <c r="AI609" s="11">
        <f>Table1[[#This Row],[Price]]/Table1[[#This Row],[Size (ml)]]*750</f>
        <v>16.62</v>
      </c>
      <c r="AK609" s="10">
        <f>COUNTIF(UniqueID!A:A,Table1[[#This Row],[ID]])</f>
        <v>0</v>
      </c>
      <c r="AL609" s="10" t="str">
        <f>VLOOKUP(Table1[[#This Row],[Cellar Location]],Location!A:F,6,FALSE)</f>
        <v>S</v>
      </c>
      <c r="AN609" s="1">
        <v>43966</v>
      </c>
      <c r="AO609" s="10" t="str">
        <f>TEXT(Table1[[#This Row],[Purchased]],"mmmm")</f>
        <v>May</v>
      </c>
      <c r="AP609" s="10" t="str">
        <f>TEXT(Table1[[#This Row],[Purchased]],"yyyy")</f>
        <v>2020</v>
      </c>
      <c r="AQ609" s="10"/>
    </row>
    <row r="610" spans="1:43" x14ac:dyDescent="0.25">
      <c r="A610" t="str">
        <f t="shared" si="40"/>
        <v>2016Diez-CaballeroVendimia Seleccionada</v>
      </c>
      <c r="B610" s="37">
        <v>2016</v>
      </c>
      <c r="C610" s="19" t="s">
        <v>1216</v>
      </c>
      <c r="D610" s="9" t="s">
        <v>303</v>
      </c>
      <c r="E610" s="67" t="s">
        <v>1220</v>
      </c>
      <c r="F610" s="37" t="s">
        <v>729</v>
      </c>
      <c r="G610" s="37" t="s">
        <v>823</v>
      </c>
      <c r="I610" s="107">
        <v>1</v>
      </c>
      <c r="J610" s="37">
        <v>750</v>
      </c>
      <c r="K610" s="107" t="s">
        <v>1314</v>
      </c>
      <c r="L610" s="37">
        <f>COUNTIF(Drank!A:A,Table1[[#This Row],[ID]])</f>
        <v>1</v>
      </c>
      <c r="M610" t="s">
        <v>202</v>
      </c>
      <c r="N610" t="s">
        <v>207</v>
      </c>
      <c r="O610">
        <v>1</v>
      </c>
      <c r="P610" s="37">
        <v>2019</v>
      </c>
      <c r="Q610">
        <v>2026</v>
      </c>
      <c r="R610" s="10">
        <f>IF(IFERROR(VLOOKUP(A610,Drank!A:S,15,FALSE),"")=0,"",IFERROR(VLOOKUP(A610,Drank!A:S,15,FALSE),""))</f>
        <v>2021</v>
      </c>
      <c r="S610" s="10">
        <f>IF(IFERROR(VLOOKUP(A610,Drank!A:S,16,FALSE),"")=0,"",IFERROR(VLOOKUP(A610,Drank!A:S,16,FALSE),""))</f>
        <v>2025</v>
      </c>
      <c r="T610" s="10"/>
      <c r="U610">
        <v>92</v>
      </c>
      <c r="V610" s="18">
        <f>IF(IFERROR(VLOOKUP(A610,Drank!A:T,19,FALSE),"")=0,"",IFERROR(VLOOKUP(A610,Drank!A:T,19,FALSE),""))</f>
        <v>90</v>
      </c>
      <c r="W610" s="1">
        <f>IF(IFERROR(VLOOKUP(A610,Drank!A:T,20,FALSE),"")=0,"",IFERROR(VLOOKUP(A610,Drank!A:T,20,FALSE),""))</f>
        <v>43883</v>
      </c>
      <c r="X610" s="10">
        <f>SUMIF(A:A,A610,I:I)</f>
        <v>7</v>
      </c>
      <c r="Y610" s="37">
        <f>IF(Table1[[#This Row],[Drank]]&gt;0,VLOOKUP(Table1[[#This Row],[ID]],Drank!A:P,16,FALSE),IF(Table1[[#This Row],[WALDD]]&gt;0,VLOOKUP(Table1[[#This Row],[ID]],Wine1!A:Q,17,FALSE),Table1[[#This Row],[EP]]))</f>
        <v>2025</v>
      </c>
      <c r="Z610" s="18">
        <f>IF(Table1[[#This Row],[My Rating]]="",IF(Table1[[#This Row],[WA Rating Clean]]="","",Table1[[#This Row],[WA Rating Clean]]),Table1[[#This Row],[My Rating]])</f>
        <v>90</v>
      </c>
      <c r="AA610" s="37">
        <v>2025</v>
      </c>
      <c r="AB610" s="128">
        <v>16.989999999999998</v>
      </c>
      <c r="AC610" s="2">
        <f t="shared" si="41"/>
        <v>16.989999999999998</v>
      </c>
      <c r="AD610" s="8">
        <v>2</v>
      </c>
      <c r="AE610" s="8">
        <f>IF(Table1[[#This Row],[P/750]]&lt;20,1,IF(Table1[[#This Row],[P/750]]&lt;50,2,3))</f>
        <v>1</v>
      </c>
      <c r="AF610" s="8">
        <f>IF(Table1[[#This Row],[P/750]]&lt;Expenses!$C$30,1,IF(Table1[[#This Row],[P/750]]&lt;Expenses!$C$31,2,IF(Table1[[#This Row],[P/750]]&lt;Expenses!$C$32,3,4)))</f>
        <v>2</v>
      </c>
      <c r="AH610" s="37" t="s">
        <v>384</v>
      </c>
      <c r="AI610" s="11">
        <f>Table1[[#This Row],[Price]]/Table1[[#This Row],[Size (ml)]]*750</f>
        <v>16.989999999999998</v>
      </c>
      <c r="AJ610">
        <v>92</v>
      </c>
      <c r="AK610" s="37">
        <f>COUNTIF(UniqueID!A:A,Table1[[#This Row],[ID]])</f>
        <v>1</v>
      </c>
      <c r="AL610" s="37" t="str">
        <f>VLOOKUP(Table1[[#This Row],[Cellar Location]],Location!A:F,6,FALSE)</f>
        <v>S</v>
      </c>
      <c r="AN610" s="1">
        <v>43873</v>
      </c>
      <c r="AO610" s="37" t="str">
        <f>TEXT(Table1[[#This Row],[Purchased]],"mmmm")</f>
        <v>February</v>
      </c>
      <c r="AP610" s="10" t="str">
        <f>TEXT(Table1[[#This Row],[Purchased]],"yyyy")</f>
        <v>2020</v>
      </c>
      <c r="AQ610" s="10"/>
    </row>
    <row r="611" spans="1:43" x14ac:dyDescent="0.25">
      <c r="A611" t="str">
        <f t="shared" si="40"/>
        <v>2016Diez-CaballeroVendimia Seleccionada</v>
      </c>
      <c r="B611" s="37">
        <v>2016</v>
      </c>
      <c r="C611" s="19" t="s">
        <v>1216</v>
      </c>
      <c r="D611" s="9" t="s">
        <v>303</v>
      </c>
      <c r="E611" s="67" t="s">
        <v>1220</v>
      </c>
      <c r="F611" s="37" t="s">
        <v>729</v>
      </c>
      <c r="G611" s="37" t="s">
        <v>823</v>
      </c>
      <c r="I611" s="107">
        <v>1</v>
      </c>
      <c r="J611" s="37">
        <v>750</v>
      </c>
      <c r="K611" s="107" t="s">
        <v>1314</v>
      </c>
      <c r="L611" s="37">
        <f>COUNTIF(Drank!A:A,Table1[[#This Row],[ID]])</f>
        <v>1</v>
      </c>
      <c r="M611" t="s">
        <v>202</v>
      </c>
      <c r="N611" t="s">
        <v>207</v>
      </c>
      <c r="O611">
        <v>1</v>
      </c>
      <c r="P611" s="37">
        <v>2019</v>
      </c>
      <c r="Q611">
        <v>2026</v>
      </c>
      <c r="R611" s="10">
        <f>IF(IFERROR(VLOOKUP(A611,Drank!A:S,15,FALSE),"")=0,"",IFERROR(VLOOKUP(A611,Drank!A:S,15,FALSE),""))</f>
        <v>2021</v>
      </c>
      <c r="S611" s="10">
        <f>IF(IFERROR(VLOOKUP(A611,Drank!A:S,16,FALSE),"")=0,"",IFERROR(VLOOKUP(A611,Drank!A:S,16,FALSE),""))</f>
        <v>2025</v>
      </c>
      <c r="T611" s="10"/>
      <c r="U611">
        <v>92</v>
      </c>
      <c r="V611" s="18">
        <f>IF(IFERROR(VLOOKUP(A611,Drank!A:T,19,FALSE),"")=0,"",IFERROR(VLOOKUP(A611,Drank!A:T,19,FALSE),""))</f>
        <v>90</v>
      </c>
      <c r="W611" s="1">
        <f>IF(IFERROR(VLOOKUP(A611,Drank!A:T,20,FALSE),"")=0,"",IFERROR(VLOOKUP(A611,Drank!A:T,20,FALSE),""))</f>
        <v>43883</v>
      </c>
      <c r="X611" s="10">
        <f>SUMIF(A:A,A611,I:I)</f>
        <v>7</v>
      </c>
      <c r="Y611" s="37">
        <f>IF(Table1[[#This Row],[Drank]]&gt;0,VLOOKUP(Table1[[#This Row],[ID]],Drank!A:P,16,FALSE),IF(Table1[[#This Row],[WALDD]]&gt;0,VLOOKUP(Table1[[#This Row],[ID]],Wine1!A:Q,17,FALSE),Table1[[#This Row],[EP]]))</f>
        <v>2025</v>
      </c>
      <c r="Z611" s="18">
        <f>IF(Table1[[#This Row],[My Rating]]="",IF(Table1[[#This Row],[WA Rating Clean]]="","",Table1[[#This Row],[WA Rating Clean]]),Table1[[#This Row],[My Rating]])</f>
        <v>90</v>
      </c>
      <c r="AA611" s="37">
        <v>2025</v>
      </c>
      <c r="AB611" s="128">
        <v>16.989999999999998</v>
      </c>
      <c r="AC611" s="2">
        <f t="shared" si="41"/>
        <v>16.989999999999998</v>
      </c>
      <c r="AD611" s="8">
        <v>2</v>
      </c>
      <c r="AE611" s="8">
        <f>IF(Table1[[#This Row],[P/750]]&lt;20,1,IF(Table1[[#This Row],[P/750]]&lt;50,2,3))</f>
        <v>1</v>
      </c>
      <c r="AF611" s="8">
        <f>IF(Table1[[#This Row],[P/750]]&lt;Expenses!$C$30,1,IF(Table1[[#This Row],[P/750]]&lt;Expenses!$C$31,2,IF(Table1[[#This Row],[P/750]]&lt;Expenses!$C$32,3,4)))</f>
        <v>2</v>
      </c>
      <c r="AH611" s="37" t="s">
        <v>384</v>
      </c>
      <c r="AI611" s="11">
        <f>Table1[[#This Row],[Price]]/Table1[[#This Row],[Size (ml)]]*750</f>
        <v>16.989999999999998</v>
      </c>
      <c r="AJ611">
        <v>92</v>
      </c>
      <c r="AK611" s="37">
        <f>COUNTIF(UniqueID!A:A,Table1[[#This Row],[ID]])</f>
        <v>1</v>
      </c>
      <c r="AL611" s="37" t="str">
        <f>VLOOKUP(Table1[[#This Row],[Cellar Location]],Location!A:F,6,FALSE)</f>
        <v>S</v>
      </c>
      <c r="AN611" s="1">
        <v>43873</v>
      </c>
      <c r="AO611" s="37" t="str">
        <f>TEXT(Table1[[#This Row],[Purchased]],"mmmm")</f>
        <v>February</v>
      </c>
      <c r="AP611" s="10" t="str">
        <f>TEXT(Table1[[#This Row],[Purchased]],"yyyy")</f>
        <v>2020</v>
      </c>
      <c r="AQ611" s="10"/>
    </row>
    <row r="612" spans="1:43" s="37" customFormat="1" x14ac:dyDescent="0.25">
      <c r="A612" s="37" t="str">
        <f t="shared" si="40"/>
        <v>2017Domaine de l'AmandineCotes du Rhone Villages Seguret</v>
      </c>
      <c r="B612" s="8">
        <v>2017</v>
      </c>
      <c r="C612" s="37" t="s">
        <v>361</v>
      </c>
      <c r="D612" s="37" t="s">
        <v>362</v>
      </c>
      <c r="E612" s="37" t="s">
        <v>1197</v>
      </c>
      <c r="F612" s="37" t="s">
        <v>742</v>
      </c>
      <c r="G612" s="37" t="s">
        <v>759</v>
      </c>
      <c r="H612" s="37" t="s">
        <v>760</v>
      </c>
      <c r="I612" s="107">
        <v>1</v>
      </c>
      <c r="J612" s="37">
        <v>750</v>
      </c>
      <c r="K612" s="107" t="s">
        <v>654</v>
      </c>
      <c r="L612" s="10">
        <f>COUNTIF(Drank!A:A,Table1[[#This Row],[ID]])</f>
        <v>17</v>
      </c>
      <c r="M612" s="37" t="s">
        <v>202</v>
      </c>
      <c r="N612" s="37" t="s">
        <v>207</v>
      </c>
      <c r="O612" s="37">
        <v>1</v>
      </c>
      <c r="P612" s="37">
        <v>2018</v>
      </c>
      <c r="Q612" s="37">
        <v>2025</v>
      </c>
      <c r="R612" s="10">
        <f>IF(IFERROR(VLOOKUP(A612,Drank!A:S,15,FALSE),"")=0,"",IFERROR(VLOOKUP(A612,Drank!A:S,15,FALSE),""))</f>
        <v>2020</v>
      </c>
      <c r="S612" s="10">
        <f>IF(IFERROR(VLOOKUP(A612,Drank!A:S,16,FALSE),"")=0,"",IFERROR(VLOOKUP(A612,Drank!A:S,16,FALSE),""))</f>
        <v>2025</v>
      </c>
      <c r="T612" s="10"/>
      <c r="U612" s="37">
        <v>93</v>
      </c>
      <c r="V612" s="18">
        <f>IF(IFERROR(VLOOKUP(A612,Drank!A:T,19,FALSE),"")=0,"",IFERROR(VLOOKUP(A612,Drank!A:T,19,FALSE),""))</f>
        <v>92.470588235294116</v>
      </c>
      <c r="W612" s="1">
        <f>IF(IFERROR(VLOOKUP(A612,Drank!A:T,20,FALSE),"")=0,"",IFERROR(VLOOKUP(A612,Drank!A:T,20,FALSE),""))</f>
        <v>44030</v>
      </c>
      <c r="X612" s="10">
        <f>SUMIF(A:A,A612,I:I)</f>
        <v>20</v>
      </c>
      <c r="Y612" s="10">
        <f>IF(Table1[[#This Row],[Drank]]&gt;0,VLOOKUP(Table1[[#This Row],[ID]],Drank!A:P,16,FALSE),IF(Table1[[#This Row],[WALDD]]&gt;0,VLOOKUP(Table1[[#This Row],[ID]],Wine1!A:Q,17,FALSE),Table1[[#This Row],[EP]]))</f>
        <v>2025</v>
      </c>
      <c r="Z612" s="18">
        <f>IF(Table1[[#This Row],[My Rating]]="",IF(Table1[[#This Row],[WA Rating Clean]]="","",Table1[[#This Row],[WA Rating Clean]]),Table1[[#This Row],[My Rating]])</f>
        <v>92.470588235294116</v>
      </c>
      <c r="AA612" s="8">
        <v>2025</v>
      </c>
      <c r="AB612" s="128">
        <v>14.99</v>
      </c>
      <c r="AC612" s="2">
        <f t="shared" si="41"/>
        <v>14.99</v>
      </c>
      <c r="AD612" s="8">
        <v>2</v>
      </c>
      <c r="AE612" s="37">
        <f>IF(Table1[[#This Row],[P/750]]&lt;20,1,IF(Table1[[#This Row],[P/750]]&lt;50,2,3))</f>
        <v>1</v>
      </c>
      <c r="AF612" s="37">
        <f>IF(Table1[[#This Row],[P/750]]&lt;Expenses!$C$30,1,IF(Table1[[#This Row],[P/750]]&lt;Expenses!$C$31,2,IF(Table1[[#This Row],[P/750]]&lt;Expenses!$C$32,3,4)))</f>
        <v>1</v>
      </c>
      <c r="AH612" s="37" t="s">
        <v>384</v>
      </c>
      <c r="AI612" s="11">
        <f>Table1[[#This Row],[Price]]/Table1[[#This Row],[Size (ml)]]*750</f>
        <v>14.99</v>
      </c>
      <c r="AJ612" s="37">
        <v>93</v>
      </c>
      <c r="AK612" s="37">
        <f>COUNTIF(UniqueID!A:A,Table1[[#This Row],[ID]])</f>
        <v>1</v>
      </c>
      <c r="AL612" s="37" t="str">
        <f>VLOOKUP(Table1[[#This Row],[Cellar Location]],Location!A:F,6,FALSE)</f>
        <v>S</v>
      </c>
      <c r="AO612" s="37" t="str">
        <f>TEXT(Table1[[#This Row],[Purchased]],"mmmm")</f>
        <v>January</v>
      </c>
      <c r="AP612" s="10" t="str">
        <f>TEXT(Table1[[#This Row],[Purchased]],"yyyy")</f>
        <v>1900</v>
      </c>
      <c r="AQ612" s="10"/>
    </row>
    <row r="613" spans="1:43" s="37" customFormat="1" x14ac:dyDescent="0.25">
      <c r="A613" s="37" t="str">
        <f t="shared" si="40"/>
        <v>2017Domaine de l'AmandineCotes du Rhone Villages Seguret</v>
      </c>
      <c r="B613" s="8">
        <v>2017</v>
      </c>
      <c r="C613" s="9" t="s">
        <v>361</v>
      </c>
      <c r="D613" s="9" t="s">
        <v>362</v>
      </c>
      <c r="E613" s="37" t="s">
        <v>1197</v>
      </c>
      <c r="F613" s="37" t="s">
        <v>742</v>
      </c>
      <c r="G613" s="37" t="s">
        <v>759</v>
      </c>
      <c r="H613" s="37" t="s">
        <v>760</v>
      </c>
      <c r="I613" s="107">
        <v>1</v>
      </c>
      <c r="J613" s="37">
        <v>750</v>
      </c>
      <c r="K613" s="107" t="s">
        <v>626</v>
      </c>
      <c r="L613" s="10">
        <f>COUNTIF(Drank!A:A,Table1[[#This Row],[ID]])</f>
        <v>17</v>
      </c>
      <c r="M613" s="37" t="s">
        <v>202</v>
      </c>
      <c r="N613" s="37" t="s">
        <v>207</v>
      </c>
      <c r="O613" s="37">
        <v>1</v>
      </c>
      <c r="P613" s="37">
        <v>2018</v>
      </c>
      <c r="Q613" s="37">
        <v>2025</v>
      </c>
      <c r="R613" s="10">
        <f>IF(IFERROR(VLOOKUP(A613,Drank!A:S,15,FALSE),"")=0,"",IFERROR(VLOOKUP(A613,Drank!A:S,15,FALSE),""))</f>
        <v>2020</v>
      </c>
      <c r="S613" s="10">
        <f>IF(IFERROR(VLOOKUP(A613,Drank!A:S,16,FALSE),"")=0,"",IFERROR(VLOOKUP(A613,Drank!A:S,16,FALSE),""))</f>
        <v>2025</v>
      </c>
      <c r="T613" s="10"/>
      <c r="U613" s="37">
        <v>93</v>
      </c>
      <c r="V613" s="18">
        <f>IF(IFERROR(VLOOKUP(A613,Drank!A:T,19,FALSE),"")=0,"",IFERROR(VLOOKUP(A613,Drank!A:T,19,FALSE),""))</f>
        <v>92.470588235294116</v>
      </c>
      <c r="W613" s="1">
        <f>IF(IFERROR(VLOOKUP(A613,Drank!A:T,20,FALSE),"")=0,"",IFERROR(VLOOKUP(A613,Drank!A:T,20,FALSE),""))</f>
        <v>44030</v>
      </c>
      <c r="X613" s="10">
        <f>SUMIF(A:A,A613,I:I)</f>
        <v>20</v>
      </c>
      <c r="Y613" s="10">
        <f>IF(Table1[[#This Row],[Drank]]&gt;0,VLOOKUP(Table1[[#This Row],[ID]],Drank!A:P,16,FALSE),IF(Table1[[#This Row],[WALDD]]&gt;0,VLOOKUP(Table1[[#This Row],[ID]],Wine1!A:Q,17,FALSE),Table1[[#This Row],[EP]]))</f>
        <v>2025</v>
      </c>
      <c r="Z613" s="18">
        <f>IF(Table1[[#This Row],[My Rating]]="",IF(Table1[[#This Row],[WA Rating Clean]]="","",Table1[[#This Row],[WA Rating Clean]]),Table1[[#This Row],[My Rating]])</f>
        <v>92.470588235294116</v>
      </c>
      <c r="AA613" s="8">
        <v>2025</v>
      </c>
      <c r="AB613" s="128">
        <v>14.99</v>
      </c>
      <c r="AC613" s="2">
        <f t="shared" si="41"/>
        <v>14.99</v>
      </c>
      <c r="AD613" s="8">
        <v>2</v>
      </c>
      <c r="AE613" s="37">
        <f>IF(Table1[[#This Row],[P/750]]&lt;20,1,IF(Table1[[#This Row],[P/750]]&lt;50,2,3))</f>
        <v>1</v>
      </c>
      <c r="AF613" s="37">
        <f>IF(Table1[[#This Row],[P/750]]&lt;Expenses!$C$30,1,IF(Table1[[#This Row],[P/750]]&lt;Expenses!$C$31,2,IF(Table1[[#This Row],[P/750]]&lt;Expenses!$C$32,3,4)))</f>
        <v>1</v>
      </c>
      <c r="AH613" s="37" t="s">
        <v>384</v>
      </c>
      <c r="AI613" s="11">
        <f>Table1[[#This Row],[Price]]/Table1[[#This Row],[Size (ml)]]*750</f>
        <v>14.99</v>
      </c>
      <c r="AJ613" s="37">
        <v>93</v>
      </c>
      <c r="AK613" s="37">
        <f>COUNTIF(UniqueID!A:A,Table1[[#This Row],[ID]])</f>
        <v>1</v>
      </c>
      <c r="AL613" s="37" t="str">
        <f>VLOOKUP(Table1[[#This Row],[Cellar Location]],Location!A:F,6,FALSE)</f>
        <v>S</v>
      </c>
      <c r="AN613" s="1">
        <v>43806</v>
      </c>
      <c r="AO613" s="37" t="str">
        <f>TEXT(Table1[[#This Row],[Purchased]],"mmmm")</f>
        <v>December</v>
      </c>
      <c r="AP613" s="10" t="str">
        <f>TEXT(Table1[[#This Row],[Purchased]],"yyyy")</f>
        <v>2019</v>
      </c>
      <c r="AQ613" s="10"/>
    </row>
    <row r="614" spans="1:43" s="37" customFormat="1" x14ac:dyDescent="0.25">
      <c r="A614" s="37" t="str">
        <f t="shared" si="40"/>
        <v>2017Domaine de l'AmandineCotes du Rhone Villages Seguret</v>
      </c>
      <c r="B614" s="37">
        <v>2017</v>
      </c>
      <c r="C614" s="9" t="s">
        <v>361</v>
      </c>
      <c r="D614" s="30" t="s">
        <v>362</v>
      </c>
      <c r="E614" s="37" t="s">
        <v>1197</v>
      </c>
      <c r="F614" s="37" t="s">
        <v>742</v>
      </c>
      <c r="G614" s="37" t="s">
        <v>759</v>
      </c>
      <c r="H614" s="37" t="s">
        <v>760</v>
      </c>
      <c r="I614" s="107">
        <v>1</v>
      </c>
      <c r="J614" s="37">
        <v>750</v>
      </c>
      <c r="K614" s="107" t="s">
        <v>647</v>
      </c>
      <c r="L614" s="37">
        <f>COUNTIF(Drank!A:A,Table1[[#This Row],[ID]])</f>
        <v>17</v>
      </c>
      <c r="M614" s="37" t="s">
        <v>202</v>
      </c>
      <c r="N614" s="37" t="s">
        <v>207</v>
      </c>
      <c r="O614" s="37">
        <v>1</v>
      </c>
      <c r="P614" s="37">
        <v>2018</v>
      </c>
      <c r="Q614" s="37">
        <v>2025</v>
      </c>
      <c r="R614" s="10">
        <f>IF(IFERROR(VLOOKUP(A614,Drank!A:S,15,FALSE),"")=0,"",IFERROR(VLOOKUP(A614,Drank!A:S,15,FALSE),""))</f>
        <v>2020</v>
      </c>
      <c r="S614" s="10">
        <f>IF(IFERROR(VLOOKUP(A614,Drank!A:S,16,FALSE),"")=0,"",IFERROR(VLOOKUP(A614,Drank!A:S,16,FALSE),""))</f>
        <v>2025</v>
      </c>
      <c r="T614" s="10"/>
      <c r="U614" s="37">
        <v>93</v>
      </c>
      <c r="V614" s="18">
        <f>IF(IFERROR(VLOOKUP(A614,Drank!A:T,19,FALSE),"")=0,"",IFERROR(VLOOKUP(A614,Drank!A:T,19,FALSE),""))</f>
        <v>92.470588235294116</v>
      </c>
      <c r="W614" s="1">
        <f>IF(IFERROR(VLOOKUP(A614,Drank!A:T,20,FALSE),"")=0,"",IFERROR(VLOOKUP(A614,Drank!A:T,20,FALSE),""))</f>
        <v>44030</v>
      </c>
      <c r="X614" s="10">
        <f>SUMIF(A:A,A614,I:I)</f>
        <v>20</v>
      </c>
      <c r="Y614" s="37">
        <f>IF(Table1[[#This Row],[Drank]]&gt;0,VLOOKUP(Table1[[#This Row],[ID]],Drank!A:P,16,FALSE),IF(Table1[[#This Row],[WALDD]]&gt;0,VLOOKUP(Table1[[#This Row],[ID]],Wine1!A:Q,17,FALSE),Table1[[#This Row],[EP]]))</f>
        <v>2025</v>
      </c>
      <c r="Z614" s="18">
        <f>IF(Table1[[#This Row],[My Rating]]="",IF(Table1[[#This Row],[WA Rating Clean]]="","",Table1[[#This Row],[WA Rating Clean]]),Table1[[#This Row],[My Rating]])</f>
        <v>92.470588235294116</v>
      </c>
      <c r="AA614" s="8">
        <v>2025</v>
      </c>
      <c r="AB614" s="128">
        <v>14.99</v>
      </c>
      <c r="AC614" s="2">
        <f t="shared" si="41"/>
        <v>14.99</v>
      </c>
      <c r="AD614" s="8">
        <v>2</v>
      </c>
      <c r="AE614" s="37">
        <f>IF(Table1[[#This Row],[P/750]]&lt;20,1,IF(Table1[[#This Row],[P/750]]&lt;50,2,3))</f>
        <v>1</v>
      </c>
      <c r="AF614" s="37">
        <f>IF(Table1[[#This Row],[P/750]]&lt;Expenses!$C$30,1,IF(Table1[[#This Row],[P/750]]&lt;Expenses!$C$31,2,IF(Table1[[#This Row],[P/750]]&lt;Expenses!$C$32,3,4)))</f>
        <v>1</v>
      </c>
      <c r="AH614" s="37" t="s">
        <v>384</v>
      </c>
      <c r="AI614" s="11">
        <f>Table1[[#This Row],[Price]]/Table1[[#This Row],[Size (ml)]]*750</f>
        <v>14.99</v>
      </c>
      <c r="AJ614" s="37">
        <v>93</v>
      </c>
      <c r="AK614" s="37">
        <f>COUNTIF(UniqueID!A:A,Table1[[#This Row],[ID]])</f>
        <v>1</v>
      </c>
      <c r="AL614" s="37" t="str">
        <f>VLOOKUP(Table1[[#This Row],[Cellar Location]],Location!A:F,6,FALSE)</f>
        <v>S</v>
      </c>
      <c r="AN614" s="1">
        <v>43806</v>
      </c>
      <c r="AO614" s="37" t="str">
        <f>TEXT(Table1[[#This Row],[Purchased]],"mmmm")</f>
        <v>December</v>
      </c>
      <c r="AP614" s="10" t="str">
        <f>TEXT(Table1[[#This Row],[Purchased]],"yyyy")</f>
        <v>2019</v>
      </c>
      <c r="AQ614" s="10"/>
    </row>
    <row r="615" spans="1:43" s="37" customFormat="1" x14ac:dyDescent="0.25">
      <c r="A615" s="37" t="str">
        <f t="shared" si="40"/>
        <v>2018Schloss VollradsRiesling Kabinett</v>
      </c>
      <c r="B615" s="37">
        <v>2018</v>
      </c>
      <c r="C615" s="37" t="s">
        <v>1604</v>
      </c>
      <c r="D615" s="37" t="s">
        <v>1605</v>
      </c>
      <c r="E615" s="67" t="s">
        <v>1608</v>
      </c>
      <c r="F615" s="37" t="s">
        <v>1606</v>
      </c>
      <c r="G615" s="37" t="s">
        <v>1607</v>
      </c>
      <c r="I615" s="8">
        <v>1</v>
      </c>
      <c r="J615" s="38">
        <v>750</v>
      </c>
      <c r="K615" s="38" t="s">
        <v>1139</v>
      </c>
      <c r="L615" s="10">
        <f>COUNTIF(Drank!A:A,Table1[[#This Row],[ID]])</f>
        <v>0</v>
      </c>
      <c r="M615" s="37" t="s">
        <v>201</v>
      </c>
      <c r="N615" s="37" t="s">
        <v>207</v>
      </c>
      <c r="O615" s="37">
        <v>0</v>
      </c>
      <c r="P615" s="10"/>
      <c r="R615" s="10" t="str">
        <f>IF(IFERROR(VLOOKUP(A615,Drank!A:S,15,FALSE),"")=0,"",IFERROR(VLOOKUP(A615,Drank!A:S,15,FALSE),""))</f>
        <v/>
      </c>
      <c r="S615" s="10" t="str">
        <f>IF(IFERROR(VLOOKUP(A615,Drank!A:S,16,FALSE),"")=0,"",IFERROR(VLOOKUP(A615,Drank!A:S,16,FALSE),""))</f>
        <v/>
      </c>
      <c r="T615" s="10">
        <v>2025</v>
      </c>
      <c r="V615" s="18" t="str">
        <f>IF(IFERROR(VLOOKUP(A615,Drank!A:T,19,FALSE),"")=0,"",IFERROR(VLOOKUP(A615,Drank!A:T,19,FALSE),""))</f>
        <v/>
      </c>
      <c r="W615" s="1" t="str">
        <f>IF(IFERROR(VLOOKUP(A615,Drank!A:T,20,FALSE),"")=0,"",IFERROR(VLOOKUP(A615,Drank!A:T,20,FALSE),""))</f>
        <v/>
      </c>
      <c r="X615" s="10">
        <f>SUMIF(A:A,A615,I:I)</f>
        <v>2</v>
      </c>
      <c r="Y615" s="10">
        <f>IF(Table1[[#This Row],[Drank]]&gt;0,VLOOKUP(Table1[[#This Row],[ID]],Drank!A:P,16,FALSE),IF(Table1[[#This Row],[WALDD]]&gt;0,VLOOKUP(Table1[[#This Row],[ID]],Wine1!A:Q,17,FALSE),Table1[[#This Row],[EP]]))</f>
        <v>2025</v>
      </c>
      <c r="Z615" s="18" t="str">
        <f>IF(Table1[[#This Row],[My Rating]]="",IF(Table1[[#This Row],[WA Rating Clean]]="","",Table1[[#This Row],[WA Rating Clean]]),Table1[[#This Row],[My Rating]])</f>
        <v/>
      </c>
      <c r="AA615" s="37">
        <v>2025</v>
      </c>
      <c r="AB615" s="128">
        <v>27.36</v>
      </c>
      <c r="AC615" s="2">
        <f t="shared" si="41"/>
        <v>27.36</v>
      </c>
      <c r="AD615" s="8">
        <v>1</v>
      </c>
      <c r="AE615" s="10">
        <f>IF(Table1[[#This Row],[P/750]]&lt;20,1,IF(Table1[[#This Row],[P/750]]&lt;50,2,3))</f>
        <v>2</v>
      </c>
      <c r="AF615" s="10">
        <f>IF(Table1[[#This Row],[P/750]]&lt;Expenses!$C$30,1,IF(Table1[[#This Row],[P/750]]&lt;Expenses!$C$31,2,IF(Table1[[#This Row],[P/750]]&lt;Expenses!$C$32,3,4)))</f>
        <v>2</v>
      </c>
      <c r="AH615" s="37" t="s">
        <v>1139</v>
      </c>
      <c r="AI615" s="11">
        <f>Table1[[#This Row],[Price]]/Table1[[#This Row],[Size (ml)]]*750</f>
        <v>27.36</v>
      </c>
      <c r="AK615" s="10">
        <f>COUNTIF(UniqueID!A:A,Table1[[#This Row],[ID]])</f>
        <v>0</v>
      </c>
      <c r="AL615" s="10" t="str">
        <f>VLOOKUP(Table1[[#This Row],[Cellar Location]],Location!A:F,6,FALSE)</f>
        <v>W</v>
      </c>
      <c r="AN615" s="1">
        <v>44058</v>
      </c>
      <c r="AO615" s="10" t="str">
        <f>TEXT(Table1[[#This Row],[Purchased]],"mmmm")</f>
        <v>August</v>
      </c>
      <c r="AP615" s="10" t="str">
        <f>TEXT(Table1[[#This Row],[Purchased]],"yyyy")</f>
        <v>2020</v>
      </c>
      <c r="AQ615" s="1">
        <v>44132</v>
      </c>
    </row>
    <row r="616" spans="1:43" s="37" customFormat="1" x14ac:dyDescent="0.25">
      <c r="A616" s="37" t="str">
        <f t="shared" si="40"/>
        <v>2017AaltoAalto</v>
      </c>
      <c r="B616" s="37">
        <v>2017</v>
      </c>
      <c r="C616" s="37" t="s">
        <v>1184</v>
      </c>
      <c r="D616" s="37" t="s">
        <v>1184</v>
      </c>
      <c r="E616" s="67" t="s">
        <v>1220</v>
      </c>
      <c r="F616" s="37" t="s">
        <v>729</v>
      </c>
      <c r="G616" s="37" t="s">
        <v>1718</v>
      </c>
      <c r="H616" s="37" t="s">
        <v>818</v>
      </c>
      <c r="I616" s="8">
        <v>1</v>
      </c>
      <c r="J616" s="38">
        <v>750</v>
      </c>
      <c r="K616" s="38" t="s">
        <v>435</v>
      </c>
      <c r="L616" s="10">
        <f>COUNTIF(Drank!A:A,Table1[[#This Row],[ID]])</f>
        <v>0</v>
      </c>
      <c r="M616" s="37" t="s">
        <v>202</v>
      </c>
      <c r="N616" s="37" t="s">
        <v>207</v>
      </c>
      <c r="O616" s="37">
        <v>1</v>
      </c>
      <c r="P616" s="10">
        <v>2020</v>
      </c>
      <c r="Q616" s="37">
        <v>2025</v>
      </c>
      <c r="R616" s="10" t="str">
        <f>IF(IFERROR(VLOOKUP(A616,Drank!A:S,15,FALSE),"")=0,"",IFERROR(VLOOKUP(A616,Drank!A:S,15,FALSE),""))</f>
        <v/>
      </c>
      <c r="S616" s="10" t="str">
        <f>IF(IFERROR(VLOOKUP(A616,Drank!A:S,16,FALSE),"")=0,"",IFERROR(VLOOKUP(A616,Drank!A:S,16,FALSE),""))</f>
        <v/>
      </c>
      <c r="T616" s="10"/>
      <c r="U616" s="37">
        <v>94</v>
      </c>
      <c r="V616" s="18" t="str">
        <f>IF(IFERROR(VLOOKUP(A616,Drank!A:T,19,FALSE),"")=0,"",IFERROR(VLOOKUP(A616,Drank!A:T,19,FALSE),""))</f>
        <v/>
      </c>
      <c r="W616" s="1" t="str">
        <f>IF(IFERROR(VLOOKUP(A616,Drank!A:T,20,FALSE),"")=0,"",IFERROR(VLOOKUP(A616,Drank!A:T,20,FALSE),""))</f>
        <v/>
      </c>
      <c r="X616" s="10">
        <f>SUMIF(A:A,A616,I:I)</f>
        <v>5</v>
      </c>
      <c r="Y616" s="10">
        <f>IF(Table1[[#This Row],[Drank]]&gt;0,VLOOKUP(Table1[[#This Row],[ID]],Drank!A:P,16,FALSE),IF(Table1[[#This Row],[WALDD]]&gt;0,VLOOKUP(Table1[[#This Row],[ID]],Wine1!A:Q,17,FALSE),Table1[[#This Row],[EP]]))</f>
        <v>2025</v>
      </c>
      <c r="Z616" s="18">
        <f>IF(Table1[[#This Row],[My Rating]]="",IF(Table1[[#This Row],[WA Rating Clean]]="","",Table1[[#This Row],[WA Rating Clean]]),Table1[[#This Row],[My Rating]])</f>
        <v>94</v>
      </c>
      <c r="AA616" s="37">
        <v>2025</v>
      </c>
      <c r="AB616" s="128">
        <v>44.99</v>
      </c>
      <c r="AC616" s="2">
        <f t="shared" si="41"/>
        <v>44.99</v>
      </c>
      <c r="AD616" s="8">
        <v>1</v>
      </c>
      <c r="AE616" s="10">
        <f>IF(Table1[[#This Row],[P/750]]&lt;20,1,IF(Table1[[#This Row],[P/750]]&lt;50,2,3))</f>
        <v>2</v>
      </c>
      <c r="AF616" s="10">
        <f>IF(Table1[[#This Row],[P/750]]&lt;Expenses!$C$30,1,IF(Table1[[#This Row],[P/750]]&lt;Expenses!$C$31,2,IF(Table1[[#This Row],[P/750]]&lt;Expenses!$C$32,3,4)))</f>
        <v>3</v>
      </c>
      <c r="AH616" s="37" t="s">
        <v>1744</v>
      </c>
      <c r="AI616" s="11">
        <f>Table1[[#This Row],[Price]]/Table1[[#This Row],[Size (ml)]]*750</f>
        <v>44.99</v>
      </c>
      <c r="AJ616" s="37">
        <v>94</v>
      </c>
      <c r="AK616" s="10">
        <f>COUNTIF(UniqueID!A:A,Table1[[#This Row],[ID]])</f>
        <v>0</v>
      </c>
      <c r="AL616" s="10" t="str">
        <f>VLOOKUP(Table1[[#This Row],[Cellar Location]],Location!A:F,6,FALSE)</f>
        <v>W</v>
      </c>
      <c r="AN616" s="1">
        <v>44063</v>
      </c>
      <c r="AO616" s="10" t="str">
        <f>TEXT(Table1[[#This Row],[Purchased]],"mmmm")</f>
        <v>August</v>
      </c>
      <c r="AP616" s="10" t="str">
        <f>TEXT(Table1[[#This Row],[Purchased]],"yyyy")</f>
        <v>2020</v>
      </c>
      <c r="AQ616" s="1">
        <v>44114</v>
      </c>
    </row>
    <row r="617" spans="1:43" s="37" customFormat="1" x14ac:dyDescent="0.25">
      <c r="A617" s="37" t="str">
        <f t="shared" si="40"/>
        <v>2013PoesiaBodegas Poesia</v>
      </c>
      <c r="B617" s="37">
        <v>2013</v>
      </c>
      <c r="C617" s="8" t="s">
        <v>1552</v>
      </c>
      <c r="D617" s="37" t="s">
        <v>730</v>
      </c>
      <c r="E617" s="67" t="s">
        <v>1553</v>
      </c>
      <c r="F617" s="37" t="s">
        <v>731</v>
      </c>
      <c r="G617" s="37" t="s">
        <v>732</v>
      </c>
      <c r="H617" s="37" t="s">
        <v>849</v>
      </c>
      <c r="I617" s="37">
        <v>1</v>
      </c>
      <c r="J617" s="38">
        <v>750</v>
      </c>
      <c r="K617" s="38" t="s">
        <v>385</v>
      </c>
      <c r="L617" s="10">
        <f>COUNTIF(Drank!A:A,Table1[[#This Row],[ID]])</f>
        <v>0</v>
      </c>
      <c r="M617" s="37" t="s">
        <v>202</v>
      </c>
      <c r="N617" s="37" t="s">
        <v>207</v>
      </c>
      <c r="O617" s="37">
        <v>1</v>
      </c>
      <c r="P617" s="37">
        <v>2017</v>
      </c>
      <c r="Q617" s="37">
        <v>2026</v>
      </c>
      <c r="R617" s="10" t="str">
        <f>IF(IFERROR(VLOOKUP(A617,Drank!A:S,15,FALSE),"")=0,"",IFERROR(VLOOKUP(A617,Drank!A:S,15,FALSE),""))</f>
        <v/>
      </c>
      <c r="S617" s="10" t="str">
        <f>IF(IFERROR(VLOOKUP(A617,Drank!A:S,16,FALSE),"")=0,"",IFERROR(VLOOKUP(A617,Drank!A:S,16,FALSE),""))</f>
        <v/>
      </c>
      <c r="T617" s="10"/>
      <c r="U617" s="37">
        <v>94</v>
      </c>
      <c r="V617" s="18" t="str">
        <f>IF(IFERROR(VLOOKUP(A617,Drank!A:T,19,FALSE),"")=0,"",IFERROR(VLOOKUP(A617,Drank!A:T,19,FALSE),""))</f>
        <v/>
      </c>
      <c r="W617" s="1" t="str">
        <f>IF(IFERROR(VLOOKUP(A617,Drank!A:T,20,FALSE),"")=0,"",IFERROR(VLOOKUP(A617,Drank!A:T,20,FALSE),""))</f>
        <v/>
      </c>
      <c r="X617" s="10">
        <f>SUMIF(A:A,A617,I:I)</f>
        <v>4</v>
      </c>
      <c r="Y617" s="10">
        <f>IF(Table1[[#This Row],[Drank]]&gt;0,VLOOKUP(Table1[[#This Row],[ID]],Drank!A:P,16,FALSE),IF(Table1[[#This Row],[WALDD]]&gt;0,VLOOKUP(Table1[[#This Row],[ID]],Wine1!A:Q,17,FALSE),Table1[[#This Row],[EP]]))</f>
        <v>2026</v>
      </c>
      <c r="Z617" s="18">
        <f>IF(Table1[[#This Row],[My Rating]]="",IF(Table1[[#This Row],[WA Rating Clean]]="","",Table1[[#This Row],[WA Rating Clean]]),Table1[[#This Row],[My Rating]])</f>
        <v>94</v>
      </c>
      <c r="AA617" s="8">
        <v>2025</v>
      </c>
      <c r="AB617" s="128">
        <v>31.68</v>
      </c>
      <c r="AC617" s="2">
        <f t="shared" si="41"/>
        <v>31.68</v>
      </c>
      <c r="AD617" s="8">
        <v>1</v>
      </c>
      <c r="AE617" s="10">
        <f>IF(Table1[[#This Row],[P/750]]&lt;20,1,IF(Table1[[#This Row],[P/750]]&lt;50,2,3))</f>
        <v>2</v>
      </c>
      <c r="AF617" s="10">
        <f>IF(Table1[[#This Row],[P/750]]&lt;Expenses!$C$30,1,IF(Table1[[#This Row],[P/750]]&lt;Expenses!$C$31,2,IF(Table1[[#This Row],[P/750]]&lt;Expenses!$C$32,3,4)))</f>
        <v>3</v>
      </c>
      <c r="AH617" s="37" t="s">
        <v>385</v>
      </c>
      <c r="AI617" s="11">
        <f>Table1[[#This Row],[Price]]/Table1[[#This Row],[Size (ml)]]*750</f>
        <v>31.68</v>
      </c>
      <c r="AJ617" s="37">
        <v>94</v>
      </c>
      <c r="AK617" s="10">
        <f>COUNTIF(UniqueID!A:A,Table1[[#This Row],[ID]])</f>
        <v>0</v>
      </c>
      <c r="AL617" s="10" t="str">
        <f>VLOOKUP(Table1[[#This Row],[Cellar Location]],Location!A:F,6,FALSE)</f>
        <v>W</v>
      </c>
      <c r="AN617" s="1">
        <v>44043</v>
      </c>
      <c r="AO617" s="10" t="str">
        <f>TEXT(Table1[[#This Row],[Purchased]],"mmmm")</f>
        <v>July</v>
      </c>
      <c r="AP617" s="10" t="str">
        <f>TEXT(Table1[[#This Row],[Purchased]],"yyyy")</f>
        <v>2020</v>
      </c>
      <c r="AQ617" s="1">
        <v>44114</v>
      </c>
    </row>
    <row r="618" spans="1:43" x14ac:dyDescent="0.25">
      <c r="A618" t="str">
        <f t="shared" si="40"/>
        <v>2016Romain DuvernayCotes du Rhone Villages Domaine de Pentelines</v>
      </c>
      <c r="B618" s="8">
        <v>2016</v>
      </c>
      <c r="C618" s="37" t="s">
        <v>1428</v>
      </c>
      <c r="D618" s="19" t="s">
        <v>1429</v>
      </c>
      <c r="E618" s="69" t="s">
        <v>417</v>
      </c>
      <c r="F618" s="37" t="s">
        <v>742</v>
      </c>
      <c r="G618" s="37" t="s">
        <v>759</v>
      </c>
      <c r="H618" s="37" t="s">
        <v>760</v>
      </c>
      <c r="I618" s="107">
        <v>1</v>
      </c>
      <c r="J618">
        <v>750</v>
      </c>
      <c r="K618" s="108" t="s">
        <v>1505</v>
      </c>
      <c r="L618" s="10">
        <f>COUNTIF(Drank!A:A,Table1[[#This Row],[ID]])</f>
        <v>2</v>
      </c>
      <c r="M618" t="s">
        <v>202</v>
      </c>
      <c r="N618" t="s">
        <v>207</v>
      </c>
      <c r="O618">
        <v>1</v>
      </c>
      <c r="P618" s="37">
        <v>2017</v>
      </c>
      <c r="Q618" s="37">
        <v>2025</v>
      </c>
      <c r="R618" s="10">
        <f>IF(IFERROR(VLOOKUP(A618,Drank!A:S,15,FALSE),"")=0,"",IFERROR(VLOOKUP(A618,Drank!A:S,15,FALSE),""))</f>
        <v>2021</v>
      </c>
      <c r="S618" s="10">
        <f>IF(IFERROR(VLOOKUP(A618,Drank!A:S,16,FALSE),"")=0,"",IFERROR(VLOOKUP(A618,Drank!A:S,16,FALSE),""))</f>
        <v>2026</v>
      </c>
      <c r="T618" s="10"/>
      <c r="U618">
        <v>92</v>
      </c>
      <c r="V618" s="18">
        <f>IF(IFERROR(VLOOKUP(A618,Drank!A:T,19,FALSE),"")=0,"",IFERROR(VLOOKUP(A618,Drank!A:T,19,FALSE),""))</f>
        <v>90.5</v>
      </c>
      <c r="W618" s="1">
        <f>IF(IFERROR(VLOOKUP(A618,Drank!A:T,20,FALSE),"")=0,"",IFERROR(VLOOKUP(A618,Drank!A:T,20,FALSE),""))</f>
        <v>44015</v>
      </c>
      <c r="X618" s="10">
        <f>SUMIF(A:A,A618,I:I)</f>
        <v>10</v>
      </c>
      <c r="Y618" s="10">
        <f>IF(Table1[[#This Row],[Drank]]&gt;0,VLOOKUP(Table1[[#This Row],[ID]],Drank!A:P,16,FALSE),IF(Table1[[#This Row],[WALDD]]&gt;0,VLOOKUP(Table1[[#This Row],[ID]],Wine1!A:Q,17,FALSE),Table1[[#This Row],[EP]]))</f>
        <v>2026</v>
      </c>
      <c r="Z618" s="18">
        <f>IF(Table1[[#This Row],[My Rating]]="",IF(Table1[[#This Row],[WA Rating Clean]]="","",Table1[[#This Row],[WA Rating Clean]]),Table1[[#This Row],[My Rating]])</f>
        <v>90.5</v>
      </c>
      <c r="AA618" s="37">
        <v>2025</v>
      </c>
      <c r="AB618" s="128">
        <v>15.2</v>
      </c>
      <c r="AC618" s="2">
        <f t="shared" si="41"/>
        <v>15.2</v>
      </c>
      <c r="AD618" s="8">
        <v>2</v>
      </c>
      <c r="AE618" s="10">
        <f>IF(Table1[[#This Row],[P/750]]&lt;20,1,IF(Table1[[#This Row],[P/750]]&lt;50,2,3))</f>
        <v>1</v>
      </c>
      <c r="AF618" s="10">
        <f>IF(Table1[[#This Row],[P/750]]&lt;Expenses!$C$30,1,IF(Table1[[#This Row],[P/750]]&lt;Expenses!$C$31,2,IF(Table1[[#This Row],[P/750]]&lt;Expenses!$C$32,3,4)))</f>
        <v>1</v>
      </c>
      <c r="AH618" s="37" t="s">
        <v>384</v>
      </c>
      <c r="AI618" s="11">
        <f>Table1[[#This Row],[Price]]/Table1[[#This Row],[Size (ml)]]*750</f>
        <v>15.2</v>
      </c>
      <c r="AJ618">
        <v>92</v>
      </c>
      <c r="AK618" s="10">
        <f>COUNTIF(UniqueID!A:A,Table1[[#This Row],[ID]])</f>
        <v>0</v>
      </c>
      <c r="AL618" s="10" t="str">
        <f>VLOOKUP(Table1[[#This Row],[Cellar Location]],Location!A:F,6,FALSE)</f>
        <v>S</v>
      </c>
      <c r="AN618" s="1">
        <v>43992</v>
      </c>
      <c r="AO618" s="10" t="str">
        <f>TEXT(Table1[[#This Row],[Purchased]],"mmmm")</f>
        <v>June</v>
      </c>
      <c r="AP618" s="10" t="str">
        <f>TEXT(Table1[[#This Row],[Purchased]],"yyyy")</f>
        <v>2020</v>
      </c>
      <c r="AQ618" s="10"/>
    </row>
    <row r="619" spans="1:43" x14ac:dyDescent="0.25">
      <c r="A619" t="str">
        <f t="shared" si="40"/>
        <v>2016Romain DuvernayCotes du Rhone Villages Domaine de Pentelines</v>
      </c>
      <c r="B619" s="8">
        <v>2016</v>
      </c>
      <c r="C619" s="37" t="s">
        <v>1428</v>
      </c>
      <c r="D619" s="19" t="s">
        <v>1429</v>
      </c>
      <c r="E619" s="69" t="s">
        <v>417</v>
      </c>
      <c r="F619" s="37" t="s">
        <v>742</v>
      </c>
      <c r="G619" s="37" t="s">
        <v>759</v>
      </c>
      <c r="H619" s="37" t="s">
        <v>760</v>
      </c>
      <c r="I619" s="107">
        <v>1</v>
      </c>
      <c r="J619" s="37">
        <v>750</v>
      </c>
      <c r="K619" s="108" t="s">
        <v>1505</v>
      </c>
      <c r="L619" s="10">
        <f>COUNTIF(Drank!A:A,Table1[[#This Row],[ID]])</f>
        <v>2</v>
      </c>
      <c r="M619" t="s">
        <v>202</v>
      </c>
      <c r="N619" t="s">
        <v>207</v>
      </c>
      <c r="O619">
        <v>1</v>
      </c>
      <c r="P619" s="37">
        <v>2017</v>
      </c>
      <c r="Q619">
        <v>2025</v>
      </c>
      <c r="R619" s="10">
        <f>IF(IFERROR(VLOOKUP(A619,Drank!A:S,15,FALSE),"")=0,"",IFERROR(VLOOKUP(A619,Drank!A:S,15,FALSE),""))</f>
        <v>2021</v>
      </c>
      <c r="S619" s="10">
        <f>IF(IFERROR(VLOOKUP(A619,Drank!A:S,16,FALSE),"")=0,"",IFERROR(VLOOKUP(A619,Drank!A:S,16,FALSE),""))</f>
        <v>2026</v>
      </c>
      <c r="T619" s="10"/>
      <c r="U619">
        <v>92</v>
      </c>
      <c r="V619" s="18">
        <f>IF(IFERROR(VLOOKUP(A619,Drank!A:T,19,FALSE),"")=0,"",IFERROR(VLOOKUP(A619,Drank!A:T,19,FALSE),""))</f>
        <v>90.5</v>
      </c>
      <c r="W619" s="1">
        <f>IF(IFERROR(VLOOKUP(A619,Drank!A:T,20,FALSE),"")=0,"",IFERROR(VLOOKUP(A619,Drank!A:T,20,FALSE),""))</f>
        <v>44015</v>
      </c>
      <c r="X619" s="10">
        <f>SUMIF(A:A,A619,I:I)</f>
        <v>10</v>
      </c>
      <c r="Y619" s="10">
        <f>IF(Table1[[#This Row],[Drank]]&gt;0,VLOOKUP(Table1[[#This Row],[ID]],Drank!A:P,16,FALSE),IF(Table1[[#This Row],[WALDD]]&gt;0,VLOOKUP(Table1[[#This Row],[ID]],Wine1!A:Q,17,FALSE),Table1[[#This Row],[EP]]))</f>
        <v>2026</v>
      </c>
      <c r="Z619" s="18">
        <f>IF(Table1[[#This Row],[My Rating]]="",IF(Table1[[#This Row],[WA Rating Clean]]="","",Table1[[#This Row],[WA Rating Clean]]),Table1[[#This Row],[My Rating]])</f>
        <v>90.5</v>
      </c>
      <c r="AA619" s="37">
        <v>2025</v>
      </c>
      <c r="AB619" s="128">
        <v>15.2</v>
      </c>
      <c r="AC619" s="2">
        <f t="shared" si="41"/>
        <v>15.2</v>
      </c>
      <c r="AD619" s="8">
        <v>2</v>
      </c>
      <c r="AE619" s="10">
        <f>IF(Table1[[#This Row],[P/750]]&lt;20,1,IF(Table1[[#This Row],[P/750]]&lt;50,2,3))</f>
        <v>1</v>
      </c>
      <c r="AF619" s="10">
        <f>IF(Table1[[#This Row],[P/750]]&lt;Expenses!$C$30,1,IF(Table1[[#This Row],[P/750]]&lt;Expenses!$C$31,2,IF(Table1[[#This Row],[P/750]]&lt;Expenses!$C$32,3,4)))</f>
        <v>1</v>
      </c>
      <c r="AH619" s="37" t="s">
        <v>384</v>
      </c>
      <c r="AI619" s="11">
        <f>Table1[[#This Row],[Price]]/Table1[[#This Row],[Size (ml)]]*750</f>
        <v>15.2</v>
      </c>
      <c r="AJ619">
        <v>92</v>
      </c>
      <c r="AK619" s="10">
        <f>COUNTIF(UniqueID!A:A,Table1[[#This Row],[ID]])</f>
        <v>0</v>
      </c>
      <c r="AL619" s="10" t="str">
        <f>VLOOKUP(Table1[[#This Row],[Cellar Location]],Location!A:F,6,FALSE)</f>
        <v>S</v>
      </c>
      <c r="AN619" s="1">
        <v>43992</v>
      </c>
      <c r="AO619" s="10" t="str">
        <f>TEXT(Table1[[#This Row],[Purchased]],"mmmm")</f>
        <v>June</v>
      </c>
      <c r="AP619" s="10" t="str">
        <f>TEXT(Table1[[#This Row],[Purchased]],"yyyy")</f>
        <v>2020</v>
      </c>
      <c r="AQ619" s="10"/>
    </row>
    <row r="620" spans="1:43" x14ac:dyDescent="0.25">
      <c r="A620" t="str">
        <f t="shared" si="40"/>
        <v>2006CapannaBrunello di Montalcino</v>
      </c>
      <c r="B620" s="37">
        <v>2006</v>
      </c>
      <c r="C620" s="9" t="s">
        <v>22</v>
      </c>
      <c r="D620" s="9" t="s">
        <v>19</v>
      </c>
      <c r="E620" s="65" t="s">
        <v>280</v>
      </c>
      <c r="F620" s="37" t="s">
        <v>728</v>
      </c>
      <c r="G620" s="37" t="s">
        <v>790</v>
      </c>
      <c r="H620" s="37" t="s">
        <v>19</v>
      </c>
      <c r="I620" s="37">
        <v>1</v>
      </c>
      <c r="J620">
        <v>750</v>
      </c>
      <c r="K620" s="8" t="s">
        <v>11</v>
      </c>
      <c r="L620" s="37">
        <f>COUNTIF(Drank!A:A,Table1[[#This Row],[ID]])</f>
        <v>0</v>
      </c>
      <c r="M620" t="s">
        <v>202</v>
      </c>
      <c r="N620" t="s">
        <v>207</v>
      </c>
      <c r="O620">
        <v>1</v>
      </c>
      <c r="P620" s="37">
        <v>2014</v>
      </c>
      <c r="Q620">
        <v>2026</v>
      </c>
      <c r="R620" s="37" t="str">
        <f>IF(IFERROR(VLOOKUP(A620,Drank!A:S,15,FALSE),"")=0,"",IFERROR(VLOOKUP(A620,Drank!A:S,15,FALSE),""))</f>
        <v/>
      </c>
      <c r="S620" s="37" t="str">
        <f>IF(IFERROR(VLOOKUP(A620,Drank!A:S,16,FALSE),"")=0,"",IFERROR(VLOOKUP(A620,Drank!A:S,16,FALSE),""))</f>
        <v/>
      </c>
      <c r="T620" s="37"/>
      <c r="U620">
        <v>94</v>
      </c>
      <c r="V620" s="18" t="str">
        <f>IF(IFERROR(VLOOKUP(A620,Drank!A:T,19,FALSE),"")=0,"",IFERROR(VLOOKUP(A620,Drank!A:T,19,FALSE),""))</f>
        <v/>
      </c>
      <c r="W620" s="1" t="str">
        <f>IF(IFERROR(VLOOKUP(A620,Drank!A:T,20,FALSE),"")=0,"",IFERROR(VLOOKUP(A620,Drank!A:T,20,FALSE),""))</f>
        <v/>
      </c>
      <c r="X620" s="37">
        <f>SUMIF(A:A,A620,I:I)</f>
        <v>1</v>
      </c>
      <c r="Y620" s="37">
        <f>IF(Table1[[#This Row],[Drank]]&gt;0,VLOOKUP(Table1[[#This Row],[ID]],Drank!A:P,16,FALSE),IF(Table1[[#This Row],[WALDD]]&gt;0,VLOOKUP(Table1[[#This Row],[ID]],Wine1!A:Q,17,FALSE),Table1[[#This Row],[EP]]))</f>
        <v>2026</v>
      </c>
      <c r="Z620" s="18">
        <f>IF(Table1[[#This Row],[My Rating]]="",IF(Table1[[#This Row],[WA Rating Clean]]="","",Table1[[#This Row],[WA Rating Clean]]),Table1[[#This Row],[My Rating]])</f>
        <v>94</v>
      </c>
      <c r="AA620" s="8">
        <v>2025</v>
      </c>
      <c r="AB620" s="14">
        <v>50</v>
      </c>
      <c r="AC620" s="2">
        <f t="shared" si="41"/>
        <v>50</v>
      </c>
      <c r="AD620" s="8">
        <v>0</v>
      </c>
      <c r="AE620" s="37">
        <f>IF(Table1[[#This Row],[P/750]]&lt;20,1,IF(Table1[[#This Row],[P/750]]&lt;50,2,3))</f>
        <v>3</v>
      </c>
      <c r="AF620" s="37">
        <f>IF(Table1[[#This Row],[P/750]]&lt;Expenses!$C$30,1,IF(Table1[[#This Row],[P/750]]&lt;Expenses!$C$31,2,IF(Table1[[#This Row],[P/750]]&lt;Expenses!$C$32,3,4)))</f>
        <v>3</v>
      </c>
      <c r="AH620" s="37" t="s">
        <v>1143</v>
      </c>
      <c r="AI620" s="11">
        <f>Table1[[#This Row],[Price]]/Table1[[#This Row],[Size (ml)]]*750</f>
        <v>50</v>
      </c>
      <c r="AJ620">
        <v>94</v>
      </c>
      <c r="AK620" s="37">
        <f>COUNTIF(UniqueID!A:A,Table1[[#This Row],[ID]])</f>
        <v>1</v>
      </c>
      <c r="AL620" s="37" t="str">
        <f>VLOOKUP(Table1[[#This Row],[Cellar Location]],Location!A:F,6,FALSE)</f>
        <v>K</v>
      </c>
      <c r="AN620" s="37"/>
      <c r="AO620" s="37" t="str">
        <f>TEXT(Table1[[#This Row],[Purchased]],"mmmm")</f>
        <v>January</v>
      </c>
      <c r="AP620" s="10" t="str">
        <f>TEXT(Table1[[#This Row],[Purchased]],"yyyy")</f>
        <v>1900</v>
      </c>
      <c r="AQ620" s="10"/>
    </row>
    <row r="621" spans="1:43" x14ac:dyDescent="0.25">
      <c r="A621" t="str">
        <f t="shared" si="40"/>
        <v>2013Cascina CuccoBarolo Cerrati</v>
      </c>
      <c r="B621" s="37">
        <v>2013</v>
      </c>
      <c r="C621" s="9" t="s">
        <v>85</v>
      </c>
      <c r="D621" s="35" t="s">
        <v>86</v>
      </c>
      <c r="E621" s="67" t="s">
        <v>1206</v>
      </c>
      <c r="F621" s="37" t="s">
        <v>728</v>
      </c>
      <c r="G621" s="37" t="s">
        <v>778</v>
      </c>
      <c r="H621" s="9" t="s">
        <v>268</v>
      </c>
      <c r="I621" s="107">
        <v>1</v>
      </c>
      <c r="J621" s="37">
        <v>750</v>
      </c>
      <c r="K621" s="107" t="s">
        <v>655</v>
      </c>
      <c r="L621" s="37">
        <f>COUNTIF(Drank!A:A,Table1[[#This Row],[ID]])</f>
        <v>1</v>
      </c>
      <c r="M621" t="s">
        <v>202</v>
      </c>
      <c r="N621" t="s">
        <v>207</v>
      </c>
      <c r="O621">
        <v>1</v>
      </c>
      <c r="P621" s="37"/>
      <c r="R621" s="37">
        <f>IF(IFERROR(VLOOKUP(A621,Drank!A:S,15,FALSE),"")=0,"",IFERROR(VLOOKUP(A621,Drank!A:S,15,FALSE),""))</f>
        <v>2022</v>
      </c>
      <c r="S621" s="37">
        <f>IF(IFERROR(VLOOKUP(A621,Drank!A:S,16,FALSE),"")=0,"",IFERROR(VLOOKUP(A621,Drank!A:S,16,FALSE),""))</f>
        <v>2026</v>
      </c>
      <c r="T621" s="37"/>
      <c r="V621" s="18">
        <f>IF(IFERROR(VLOOKUP(A621,Drank!A:T,19,FALSE),"")=0,"",IFERROR(VLOOKUP(A621,Drank!A:T,19,FALSE),""))</f>
        <v>89</v>
      </c>
      <c r="W621" s="1">
        <f>IF(IFERROR(VLOOKUP(A621,Drank!A:T,20,FALSE),"")=0,"",IFERROR(VLOOKUP(A621,Drank!A:T,20,FALSE),""))</f>
        <v>43497</v>
      </c>
      <c r="X621" s="37">
        <f>SUMIF(A:A,A621,I:I)</f>
        <v>2</v>
      </c>
      <c r="Y621" s="37">
        <f>IF(Table1[[#This Row],[Drank]]&gt;0,VLOOKUP(Table1[[#This Row],[ID]],Drank!A:P,16,FALSE),IF(Table1[[#This Row],[WALDD]]&gt;0,VLOOKUP(Table1[[#This Row],[ID]],Wine1!A:Q,17,FALSE),Table1[[#This Row],[EP]]))</f>
        <v>2026</v>
      </c>
      <c r="Z621" s="18">
        <f>IF(Table1[[#This Row],[My Rating]]="",IF(Table1[[#This Row],[WA Rating Clean]]="","",Table1[[#This Row],[WA Rating Clean]]),Table1[[#This Row],[My Rating]])</f>
        <v>89</v>
      </c>
      <c r="AA621" s="8">
        <v>2025</v>
      </c>
      <c r="AB621" s="14">
        <v>28.99</v>
      </c>
      <c r="AC621" s="2">
        <f t="shared" si="41"/>
        <v>28.99</v>
      </c>
      <c r="AD621" s="8">
        <v>2</v>
      </c>
      <c r="AE621" s="37">
        <f>IF(Table1[[#This Row],[P/750]]&lt;20,1,IF(Table1[[#This Row],[P/750]]&lt;50,2,3))</f>
        <v>2</v>
      </c>
      <c r="AF621" s="37">
        <f>IF(Table1[[#This Row],[P/750]]&lt;Expenses!$C$30,1,IF(Table1[[#This Row],[P/750]]&lt;Expenses!$C$31,2,IF(Table1[[#This Row],[P/750]]&lt;Expenses!$C$32,3,4)))</f>
        <v>2</v>
      </c>
      <c r="AH621" s="37" t="s">
        <v>384</v>
      </c>
      <c r="AI621" s="11">
        <f>Table1[[#This Row],[Price]]/Table1[[#This Row],[Size (ml)]]*750</f>
        <v>28.99</v>
      </c>
      <c r="AK621" s="37">
        <f>COUNTIF(UniqueID!A:A,Table1[[#This Row],[ID]])</f>
        <v>1</v>
      </c>
      <c r="AL621" s="37" t="str">
        <f>VLOOKUP(Table1[[#This Row],[Cellar Location]],Location!A:F,6,FALSE)</f>
        <v>S</v>
      </c>
      <c r="AN621" s="37"/>
      <c r="AO621" s="37" t="str">
        <f>TEXT(Table1[[#This Row],[Purchased]],"mmmm")</f>
        <v>January</v>
      </c>
      <c r="AP621" s="10" t="str">
        <f>TEXT(Table1[[#This Row],[Purchased]],"yyyy")</f>
        <v>1900</v>
      </c>
      <c r="AQ621" s="10"/>
    </row>
    <row r="622" spans="1:43" x14ac:dyDescent="0.25">
      <c r="A622" t="str">
        <f t="shared" si="40"/>
        <v>2015Domaine du Saint GensGigondas</v>
      </c>
      <c r="B622" s="37">
        <v>2015</v>
      </c>
      <c r="C622" s="37" t="s">
        <v>226</v>
      </c>
      <c r="D622" s="25" t="s">
        <v>227</v>
      </c>
      <c r="E622" s="64" t="s">
        <v>227</v>
      </c>
      <c r="F622" s="37" t="s">
        <v>742</v>
      </c>
      <c r="G622" s="37" t="s">
        <v>759</v>
      </c>
      <c r="H622" s="37" t="s">
        <v>764</v>
      </c>
      <c r="I622" s="107">
        <v>1</v>
      </c>
      <c r="J622" s="37">
        <v>750</v>
      </c>
      <c r="K622" s="108" t="s">
        <v>657</v>
      </c>
      <c r="L622" s="37">
        <f>COUNTIF(Drank!A:A,Table1[[#This Row],[ID]])</f>
        <v>1</v>
      </c>
      <c r="M622" t="s">
        <v>202</v>
      </c>
      <c r="N622" t="s">
        <v>207</v>
      </c>
      <c r="O622">
        <v>1</v>
      </c>
      <c r="P622" s="37">
        <v>2017</v>
      </c>
      <c r="Q622">
        <v>2025</v>
      </c>
      <c r="R622" s="37">
        <f>IF(IFERROR(VLOOKUP(A622,Drank!A:S,15,FALSE),"")=0,"",IFERROR(VLOOKUP(A622,Drank!A:S,15,FALSE),""))</f>
        <v>2022</v>
      </c>
      <c r="S622" s="37">
        <f>IF(IFERROR(VLOOKUP(A622,Drank!A:S,16,FALSE),"")=0,"",IFERROR(VLOOKUP(A622,Drank!A:S,16,FALSE),""))</f>
        <v>2026</v>
      </c>
      <c r="T622" s="37"/>
      <c r="U622">
        <v>93</v>
      </c>
      <c r="V622" s="18">
        <f>IF(IFERROR(VLOOKUP(A622,Drank!A:T,19,FALSE),"")=0,"",IFERROR(VLOOKUP(A622,Drank!A:T,19,FALSE),""))</f>
        <v>93</v>
      </c>
      <c r="W622" s="1">
        <f>IF(IFERROR(VLOOKUP(A622,Drank!A:T,20,FALSE),"")=0,"",IFERROR(VLOOKUP(A622,Drank!A:T,20,FALSE),""))</f>
        <v>43597</v>
      </c>
      <c r="X622" s="37">
        <f>SUMIF(A:A,A622,I:I)</f>
        <v>3</v>
      </c>
      <c r="Y622" s="37">
        <f>IF(Table1[[#This Row],[Drank]]&gt;0,VLOOKUP(Table1[[#This Row],[ID]],Drank!A:P,16,FALSE),IF(Table1[[#This Row],[WALDD]]&gt;0,VLOOKUP(Table1[[#This Row],[ID]],Wine1!A:Q,17,FALSE),Table1[[#This Row],[EP]]))</f>
        <v>2026</v>
      </c>
      <c r="Z622" s="18">
        <f>IF(Table1[[#This Row],[My Rating]]="",IF(Table1[[#This Row],[WA Rating Clean]]="","",Table1[[#This Row],[WA Rating Clean]]),Table1[[#This Row],[My Rating]])</f>
        <v>93</v>
      </c>
      <c r="AA622" s="37">
        <v>2025</v>
      </c>
      <c r="AB622" s="128">
        <v>21.99</v>
      </c>
      <c r="AC622" s="2">
        <f t="shared" si="41"/>
        <v>21.99</v>
      </c>
      <c r="AD622" s="8">
        <v>2</v>
      </c>
      <c r="AE622" s="37">
        <f>IF(Table1[[#This Row],[P/750]]&lt;20,1,IF(Table1[[#This Row],[P/750]]&lt;50,2,3))</f>
        <v>2</v>
      </c>
      <c r="AF622" s="37">
        <f>IF(Table1[[#This Row],[P/750]]&lt;Expenses!$C$30,1,IF(Table1[[#This Row],[P/750]]&lt;Expenses!$C$31,2,IF(Table1[[#This Row],[P/750]]&lt;Expenses!$C$32,3,4)))</f>
        <v>2</v>
      </c>
      <c r="AH622" t="s">
        <v>384</v>
      </c>
      <c r="AI622" s="11">
        <f>Table1[[#This Row],[Price]]/Table1[[#This Row],[Size (ml)]]*750</f>
        <v>21.99</v>
      </c>
      <c r="AJ622">
        <v>93</v>
      </c>
      <c r="AK622" s="37">
        <f>COUNTIF(UniqueID!A:A,Table1[[#This Row],[ID]])</f>
        <v>1</v>
      </c>
      <c r="AL622" s="37" t="str">
        <f>VLOOKUP(Table1[[#This Row],[Cellar Location]],Location!A:F,6,FALSE)</f>
        <v>S</v>
      </c>
      <c r="AN622" s="37"/>
      <c r="AO622" s="37" t="str">
        <f>TEXT(Table1[[#This Row],[Purchased]],"mmmm")</f>
        <v>January</v>
      </c>
      <c r="AP622" s="10" t="str">
        <f>TEXT(Table1[[#This Row],[Purchased]],"yyyy")</f>
        <v>1900</v>
      </c>
      <c r="AQ622" s="10"/>
    </row>
    <row r="623" spans="1:43" x14ac:dyDescent="0.25">
      <c r="A623" t="str">
        <f t="shared" si="40"/>
        <v>2011MazzeiTenuta Belguardo</v>
      </c>
      <c r="B623">
        <v>2011</v>
      </c>
      <c r="C623" s="37" t="s">
        <v>1166</v>
      </c>
      <c r="D623" s="37" t="s">
        <v>1167</v>
      </c>
      <c r="E623" s="67" t="s">
        <v>1199</v>
      </c>
      <c r="F623" s="37" t="s">
        <v>728</v>
      </c>
      <c r="G623" s="37" t="s">
        <v>790</v>
      </c>
      <c r="H623" s="37" t="s">
        <v>793</v>
      </c>
      <c r="I623" s="107">
        <v>1</v>
      </c>
      <c r="J623" s="37">
        <v>750</v>
      </c>
      <c r="K623" s="107" t="s">
        <v>1150</v>
      </c>
      <c r="L623" s="10">
        <f>COUNTIF(Drank!A:A,Table1[[#This Row],[ID]])</f>
        <v>1</v>
      </c>
      <c r="M623" t="s">
        <v>202</v>
      </c>
      <c r="N623" t="s">
        <v>207</v>
      </c>
      <c r="O623">
        <v>1</v>
      </c>
      <c r="P623" s="10">
        <v>2017</v>
      </c>
      <c r="Q623">
        <v>2024</v>
      </c>
      <c r="R623" s="10">
        <f>IF(IFERROR(VLOOKUP(A623,Drank!A:S,15,FALSE),"")=0,"",IFERROR(VLOOKUP(A623,Drank!A:S,15,FALSE),""))</f>
        <v>2023</v>
      </c>
      <c r="S623" s="10">
        <f>IF(IFERROR(VLOOKUP(A623,Drank!A:S,16,FALSE),"")=0,"",IFERROR(VLOOKUP(A623,Drank!A:S,16,FALSE),""))</f>
        <v>2026</v>
      </c>
      <c r="T623" s="10"/>
      <c r="U623" t="s">
        <v>29</v>
      </c>
      <c r="V623" s="18">
        <f>IF(IFERROR(VLOOKUP(A623,Drank!A:T,19,FALSE),"")=0,"",IFERROR(VLOOKUP(A623,Drank!A:T,19,FALSE),""))</f>
        <v>91</v>
      </c>
      <c r="W623" s="1">
        <f>IF(IFERROR(VLOOKUP(A623,Drank!A:T,20,FALSE),"")=0,"",IFERROR(VLOOKUP(A623,Drank!A:T,20,FALSE),""))</f>
        <v>43870</v>
      </c>
      <c r="X623" s="10">
        <f>SUMIF(A:A,A623,I:I)</f>
        <v>3</v>
      </c>
      <c r="Y623" s="10">
        <f>IF(Table1[[#This Row],[Drank]]&gt;0,VLOOKUP(Table1[[#This Row],[ID]],Drank!A:P,16,FALSE),IF(Table1[[#This Row],[WALDD]]&gt;0,VLOOKUP(Table1[[#This Row],[ID]],Wine1!A:Q,17,FALSE),Table1[[#This Row],[EP]]))</f>
        <v>2026</v>
      </c>
      <c r="Z623" s="18">
        <f>IF(Table1[[#This Row],[My Rating]]="",IF(Table1[[#This Row],[WA Rating Clean]]="","",Table1[[#This Row],[WA Rating Clean]]),Table1[[#This Row],[My Rating]])</f>
        <v>91</v>
      </c>
      <c r="AA623" s="37">
        <v>2025</v>
      </c>
      <c r="AB623" s="128">
        <v>32.99</v>
      </c>
      <c r="AC623" s="2">
        <f t="shared" si="41"/>
        <v>32.99</v>
      </c>
      <c r="AD623" s="8">
        <v>2</v>
      </c>
      <c r="AE623" s="10">
        <f>IF(Table1[[#This Row],[P/750]]&lt;20,1,IF(Table1[[#This Row],[P/750]]&lt;50,2,3))</f>
        <v>2</v>
      </c>
      <c r="AF623" s="10">
        <f>IF(Table1[[#This Row],[P/750]]&lt;Expenses!$C$30,1,IF(Table1[[#This Row],[P/750]]&lt;Expenses!$C$31,2,IF(Table1[[#This Row],[P/750]]&lt;Expenses!$C$32,3,4)))</f>
        <v>3</v>
      </c>
      <c r="AH623" s="37" t="s">
        <v>384</v>
      </c>
      <c r="AI623" s="11">
        <f>Table1[[#This Row],[Price]]/Table1[[#This Row],[Size (ml)]]*750</f>
        <v>32.99</v>
      </c>
      <c r="AJ623">
        <v>93</v>
      </c>
      <c r="AK623" s="10">
        <f>COUNTIF(UniqueID!A:A,Table1[[#This Row],[ID]])</f>
        <v>1</v>
      </c>
      <c r="AL623" s="10" t="str">
        <f>VLOOKUP(Table1[[#This Row],[Cellar Location]],Location!A:F,6,FALSE)</f>
        <v>S</v>
      </c>
      <c r="AN623" s="1">
        <v>43853</v>
      </c>
      <c r="AO623" s="37" t="str">
        <f>TEXT(Table1[[#This Row],[Purchased]],"mmmm")</f>
        <v>January</v>
      </c>
      <c r="AP623" s="10" t="str">
        <f>TEXT(Table1[[#This Row],[Purchased]],"yyyy")</f>
        <v>2020</v>
      </c>
      <c r="AQ623" s="10"/>
    </row>
    <row r="624" spans="1:43" x14ac:dyDescent="0.25">
      <c r="A624" t="str">
        <f t="shared" si="40"/>
        <v>2010V MadroneCabernet Sauvignon</v>
      </c>
      <c r="B624" s="37">
        <v>2010</v>
      </c>
      <c r="C624" s="37" t="s">
        <v>241</v>
      </c>
      <c r="D624" s="32" t="s">
        <v>32</v>
      </c>
      <c r="E624" s="64" t="s">
        <v>32</v>
      </c>
      <c r="F624" s="37" t="s">
        <v>727</v>
      </c>
      <c r="G624" s="37" t="s">
        <v>806</v>
      </c>
      <c r="H624" s="37" t="s">
        <v>832</v>
      </c>
      <c r="I624" s="107">
        <v>1</v>
      </c>
      <c r="J624" s="37">
        <v>750</v>
      </c>
      <c r="K624" s="107" t="s">
        <v>655</v>
      </c>
      <c r="L624" s="37">
        <f>COUNTIF(Drank!A:A,Table1[[#This Row],[ID]])</f>
        <v>1</v>
      </c>
      <c r="M624" t="s">
        <v>202</v>
      </c>
      <c r="N624" t="s">
        <v>207</v>
      </c>
      <c r="O624">
        <v>1</v>
      </c>
      <c r="P624" s="37"/>
      <c r="R624" s="37">
        <f>IF(IFERROR(VLOOKUP(A624,Drank!A:S,15,FALSE),"")=0,"",IFERROR(VLOOKUP(A624,Drank!A:S,15,FALSE),""))</f>
        <v>2025</v>
      </c>
      <c r="S624" s="37">
        <f>IF(IFERROR(VLOOKUP(A624,Drank!A:S,16,FALSE),"")=0,"",IFERROR(VLOOKUP(A624,Drank!A:S,16,FALSE),""))</f>
        <v>2026</v>
      </c>
      <c r="T624" s="37"/>
      <c r="V624" s="18">
        <f>IF(IFERROR(VLOOKUP(A624,Drank!A:T,19,FALSE),"")=0,"",IFERROR(VLOOKUP(A624,Drank!A:T,19,FALSE),""))</f>
        <v>93</v>
      </c>
      <c r="W624" s="1">
        <f>IF(IFERROR(VLOOKUP(A624,Drank!A:T,20,FALSE),"")=0,"",IFERROR(VLOOKUP(A624,Drank!A:T,20,FALSE),""))</f>
        <v>43595</v>
      </c>
      <c r="X624" s="37">
        <f>SUMIF(A:A,A624,I:I)</f>
        <v>1</v>
      </c>
      <c r="Y624" s="37">
        <f>IF(Table1[[#This Row],[Drank]]&gt;0,VLOOKUP(Table1[[#This Row],[ID]],Drank!A:P,16,FALSE),IF(Table1[[#This Row],[WALDD]]&gt;0,VLOOKUP(Table1[[#This Row],[ID]],Wine1!A:Q,17,FALSE),Table1[[#This Row],[EP]]))</f>
        <v>2026</v>
      </c>
      <c r="Z624" s="18">
        <f>IF(Table1[[#This Row],[My Rating]]="",IF(Table1[[#This Row],[WA Rating Clean]]="","",Table1[[#This Row],[WA Rating Clean]]),Table1[[#This Row],[My Rating]])</f>
        <v>93</v>
      </c>
      <c r="AA624" s="6">
        <v>2025</v>
      </c>
      <c r="AB624" s="128">
        <v>65</v>
      </c>
      <c r="AC624" s="2">
        <f t="shared" si="41"/>
        <v>65</v>
      </c>
      <c r="AD624" s="8">
        <v>2</v>
      </c>
      <c r="AE624" s="37">
        <f>IF(Table1[[#This Row],[P/750]]&lt;20,1,IF(Table1[[#This Row],[P/750]]&lt;50,2,3))</f>
        <v>3</v>
      </c>
      <c r="AF624" s="37">
        <f>IF(Table1[[#This Row],[P/750]]&lt;Expenses!$C$30,1,IF(Table1[[#This Row],[P/750]]&lt;Expenses!$C$31,2,IF(Table1[[#This Row],[P/750]]&lt;Expenses!$C$32,3,4)))</f>
        <v>4</v>
      </c>
      <c r="AH624" s="37" t="s">
        <v>385</v>
      </c>
      <c r="AI624" s="11">
        <f>Table1[[#This Row],[Price]]/Table1[[#This Row],[Size (ml)]]*750</f>
        <v>65</v>
      </c>
      <c r="AK624" s="37">
        <f>COUNTIF(UniqueID!A:A,Table1[[#This Row],[ID]])</f>
        <v>1</v>
      </c>
      <c r="AL624" s="37" t="str">
        <f>VLOOKUP(Table1[[#This Row],[Cellar Location]],Location!A:F,6,FALSE)</f>
        <v>S</v>
      </c>
      <c r="AN624" s="37"/>
      <c r="AO624" s="37" t="str">
        <f>TEXT(Table1[[#This Row],[Purchased]],"mmmm")</f>
        <v>January</v>
      </c>
      <c r="AP624" s="10" t="str">
        <f>TEXT(Table1[[#This Row],[Purchased]],"yyyy")</f>
        <v>1900</v>
      </c>
      <c r="AQ624" s="10"/>
    </row>
    <row r="625" spans="1:43" x14ac:dyDescent="0.25">
      <c r="A625" t="str">
        <f t="shared" si="40"/>
        <v>2009Hermanos Perez PascuasEl Pedrosal Reserva</v>
      </c>
      <c r="B625" s="37">
        <v>2009</v>
      </c>
      <c r="C625" s="9" t="s">
        <v>1543</v>
      </c>
      <c r="D625" s="9" t="s">
        <v>1544</v>
      </c>
      <c r="E625" s="69" t="s">
        <v>276</v>
      </c>
      <c r="F625" s="37" t="s">
        <v>729</v>
      </c>
      <c r="G625" s="37" t="s">
        <v>1718</v>
      </c>
      <c r="H625" s="37" t="s">
        <v>818</v>
      </c>
      <c r="I625" s="78">
        <v>1</v>
      </c>
      <c r="J625" s="37">
        <v>750</v>
      </c>
      <c r="K625" s="78" t="s">
        <v>1545</v>
      </c>
      <c r="L625" s="10">
        <f>COUNTIF(Drank!A:A,Table1[[#This Row],[ID]])</f>
        <v>2</v>
      </c>
      <c r="M625" t="s">
        <v>202</v>
      </c>
      <c r="N625" t="s">
        <v>207</v>
      </c>
      <c r="O625">
        <v>1</v>
      </c>
      <c r="P625" s="37">
        <v>2020</v>
      </c>
      <c r="Q625">
        <v>2029</v>
      </c>
      <c r="R625" s="10">
        <f>IF(IFERROR(VLOOKUP(A625,Drank!A:S,15,FALSE),"")=0,"",IFERROR(VLOOKUP(A625,Drank!A:S,15,FALSE),""))</f>
        <v>2020</v>
      </c>
      <c r="S625" s="10">
        <f>IF(IFERROR(VLOOKUP(A625,Drank!A:S,16,FALSE),"")=0,"",IFERROR(VLOOKUP(A625,Drank!A:S,16,FALSE),""))</f>
        <v>2027</v>
      </c>
      <c r="T625" s="10"/>
      <c r="U625">
        <v>95</v>
      </c>
      <c r="V625" s="18">
        <f>IF(IFERROR(VLOOKUP(A625,Drank!A:T,19,FALSE),"")=0,"",IFERROR(VLOOKUP(A625,Drank!A:T,19,FALSE),""))</f>
        <v>94.5</v>
      </c>
      <c r="W625" s="1">
        <f>IF(IFERROR(VLOOKUP(A625,Drank!A:T,20,FALSE),"")=0,"",IFERROR(VLOOKUP(A625,Drank!A:T,20,FALSE),""))</f>
        <v>44079</v>
      </c>
      <c r="X625" s="10">
        <f>SUMIF(A:A,A625,I:I)</f>
        <v>17</v>
      </c>
      <c r="Y625" s="10">
        <f>IF(Table1[[#This Row],[Drank]]&gt;0,VLOOKUP(Table1[[#This Row],[ID]],Drank!A:P,16,FALSE),IF(Table1[[#This Row],[WALDD]]&gt;0,VLOOKUP(Table1[[#This Row],[ID]],Wine1!A:Q,17,FALSE),Table1[[#This Row],[EP]]))</f>
        <v>2027</v>
      </c>
      <c r="Z625" s="18">
        <f>IF(Table1[[#This Row],[My Rating]]="",IF(Table1[[#This Row],[WA Rating Clean]]="","",Table1[[#This Row],[WA Rating Clean]]),Table1[[#This Row],[My Rating]])</f>
        <v>94.5</v>
      </c>
      <c r="AA625" s="37">
        <v>2025</v>
      </c>
      <c r="AB625" s="128">
        <v>29.61</v>
      </c>
      <c r="AC625" s="2">
        <f t="shared" si="41"/>
        <v>29.61</v>
      </c>
      <c r="AD625" s="8"/>
      <c r="AE625" s="10">
        <f>IF(Table1[[#This Row],[P/750]]&lt;20,1,IF(Table1[[#This Row],[P/750]]&lt;50,2,3))</f>
        <v>2</v>
      </c>
      <c r="AF625" s="10">
        <f>IF(Table1[[#This Row],[P/750]]&lt;Expenses!$C$30,1,IF(Table1[[#This Row],[P/750]]&lt;Expenses!$C$31,2,IF(Table1[[#This Row],[P/750]]&lt;Expenses!$C$32,3,4)))</f>
        <v>2</v>
      </c>
      <c r="AH625" s="37" t="s">
        <v>1545</v>
      </c>
      <c r="AI625" s="11">
        <f>Table1[[#This Row],[Price]]/Table1[[#This Row],[Size (ml)]]*750</f>
        <v>29.61</v>
      </c>
      <c r="AJ625">
        <v>95</v>
      </c>
      <c r="AK625" s="10">
        <f>COUNTIF(UniqueID!A:A,Table1[[#This Row],[ID]])</f>
        <v>0</v>
      </c>
      <c r="AL625" s="10" t="str">
        <f>VLOOKUP(Table1[[#This Row],[Cellar Location]],Location!A:F,6,FALSE)</f>
        <v>W</v>
      </c>
      <c r="AN625" s="1">
        <v>44065</v>
      </c>
      <c r="AO625" s="10" t="str">
        <f>TEXT(Table1[[#This Row],[Purchased]],"mmmm")</f>
        <v>August</v>
      </c>
      <c r="AP625" s="10" t="str">
        <f>TEXT(Table1[[#This Row],[Purchased]],"yyyy")</f>
        <v>2020</v>
      </c>
      <c r="AQ625" s="10"/>
    </row>
    <row r="626" spans="1:43" x14ac:dyDescent="0.25">
      <c r="A626" t="str">
        <f t="shared" si="40"/>
        <v>2012Bodegas Castilejo de RobledoAltos de Valdoso Reserva</v>
      </c>
      <c r="B626" s="8">
        <v>2012</v>
      </c>
      <c r="C626" s="37" t="s">
        <v>1565</v>
      </c>
      <c r="D626" s="32" t="s">
        <v>1566</v>
      </c>
      <c r="E626" s="67" t="s">
        <v>1220</v>
      </c>
      <c r="F626" s="37" t="s">
        <v>729</v>
      </c>
      <c r="G626" s="37" t="s">
        <v>1718</v>
      </c>
      <c r="H626" s="37" t="s">
        <v>818</v>
      </c>
      <c r="I626" s="37">
        <v>1</v>
      </c>
      <c r="J626" s="38">
        <v>750</v>
      </c>
      <c r="K626" s="38" t="s">
        <v>384</v>
      </c>
      <c r="L626" s="10">
        <f>COUNTIF(Drank!A:A,Table1[[#This Row],[ID]])</f>
        <v>0</v>
      </c>
      <c r="M626" t="s">
        <v>202</v>
      </c>
      <c r="N626" t="s">
        <v>207</v>
      </c>
      <c r="O626">
        <v>0</v>
      </c>
      <c r="P626" s="37"/>
      <c r="R626" s="10" t="str">
        <f>IF(IFERROR(VLOOKUP(A626,Drank!A:S,15,FALSE),"")=0,"",IFERROR(VLOOKUP(A626,Drank!A:S,15,FALSE),""))</f>
        <v/>
      </c>
      <c r="S626" s="10" t="str">
        <f>IF(IFERROR(VLOOKUP(A626,Drank!A:S,16,FALSE),"")=0,"",IFERROR(VLOOKUP(A626,Drank!A:S,16,FALSE),""))</f>
        <v/>
      </c>
      <c r="T626" s="10">
        <v>2027</v>
      </c>
      <c r="V626" s="18" t="str">
        <f>IF(IFERROR(VLOOKUP(A626,Drank!A:T,19,FALSE),"")=0,"",IFERROR(VLOOKUP(A626,Drank!A:T,19,FALSE),""))</f>
        <v/>
      </c>
      <c r="W626" s="1" t="str">
        <f>IF(IFERROR(VLOOKUP(A626,Drank!A:T,20,FALSE),"")=0,"",IFERROR(VLOOKUP(A626,Drank!A:T,20,FALSE),""))</f>
        <v/>
      </c>
      <c r="X626" s="10">
        <f>SUMIF(A:A,A626,I:I)</f>
        <v>4</v>
      </c>
      <c r="Y626" s="10">
        <f>IF(Table1[[#This Row],[Drank]]&gt;0,VLOOKUP(Table1[[#This Row],[ID]],Drank!A:P,16,FALSE),IF(Table1[[#This Row],[WALDD]]&gt;0,VLOOKUP(Table1[[#This Row],[ID]],Wine1!A:Q,17,FALSE),Table1[[#This Row],[EP]]))</f>
        <v>2027</v>
      </c>
      <c r="Z626" s="18" t="str">
        <f>IF(Table1[[#This Row],[My Rating]]="",IF(Table1[[#This Row],[WA Rating Clean]]="","",Table1[[#This Row],[WA Rating Clean]]),Table1[[#This Row],[My Rating]])</f>
        <v/>
      </c>
      <c r="AA626" s="37">
        <v>2025</v>
      </c>
      <c r="AB626" s="128">
        <v>21.72</v>
      </c>
      <c r="AC626" s="2">
        <f t="shared" si="41"/>
        <v>21.72</v>
      </c>
      <c r="AD626" s="8">
        <v>1</v>
      </c>
      <c r="AE626" s="10">
        <f>IF(Table1[[#This Row],[P/750]]&lt;20,1,IF(Table1[[#This Row],[P/750]]&lt;50,2,3))</f>
        <v>2</v>
      </c>
      <c r="AF626" s="10">
        <f>IF(Table1[[#This Row],[P/750]]&lt;Expenses!$C$30,1,IF(Table1[[#This Row],[P/750]]&lt;Expenses!$C$31,2,IF(Table1[[#This Row],[P/750]]&lt;Expenses!$C$32,3,4)))</f>
        <v>2</v>
      </c>
      <c r="AH626" t="s">
        <v>384</v>
      </c>
      <c r="AI626" s="11">
        <f>Table1[[#This Row],[Price]]/Table1[[#This Row],[Size (ml)]]*750</f>
        <v>21.72</v>
      </c>
      <c r="AK626" s="10">
        <f>COUNTIF(UniqueID!A:A,Table1[[#This Row],[ID]])</f>
        <v>0</v>
      </c>
      <c r="AL626" s="10" t="str">
        <f>VLOOKUP(Table1[[#This Row],[Cellar Location]],Location!A:F,6,FALSE)</f>
        <v>W</v>
      </c>
      <c r="AN626" s="1">
        <v>44049</v>
      </c>
      <c r="AO626" s="10" t="str">
        <f>TEXT(Table1[[#This Row],[Purchased]],"mmmm")</f>
        <v>August</v>
      </c>
      <c r="AP626" s="10" t="str">
        <f>TEXT(Table1[[#This Row],[Purchased]],"yyyy")</f>
        <v>2020</v>
      </c>
      <c r="AQ626" s="1">
        <v>44137</v>
      </c>
    </row>
    <row r="627" spans="1:43" x14ac:dyDescent="0.25">
      <c r="A627" t="str">
        <f t="shared" si="40"/>
        <v>2015Luna BeberideArt</v>
      </c>
      <c r="B627" s="37">
        <v>2015</v>
      </c>
      <c r="C627" s="37" t="s">
        <v>357</v>
      </c>
      <c r="D627" s="37" t="s">
        <v>670</v>
      </c>
      <c r="E627" s="67" t="s">
        <v>1253</v>
      </c>
      <c r="F627" s="37" t="s">
        <v>729</v>
      </c>
      <c r="G627" s="37" t="s">
        <v>1718</v>
      </c>
      <c r="H627" s="37" t="s">
        <v>815</v>
      </c>
      <c r="I627" s="107">
        <v>1</v>
      </c>
      <c r="J627">
        <v>750</v>
      </c>
      <c r="K627" s="107" t="s">
        <v>643</v>
      </c>
      <c r="L627" s="10">
        <f>COUNTIF(Drank!A:A,Table1[[#This Row],[ID]])</f>
        <v>2</v>
      </c>
      <c r="M627" t="s">
        <v>202</v>
      </c>
      <c r="N627" t="s">
        <v>207</v>
      </c>
      <c r="O627">
        <v>1</v>
      </c>
      <c r="P627" s="10">
        <v>2017</v>
      </c>
      <c r="Q627">
        <v>2022</v>
      </c>
      <c r="R627" s="10">
        <f>IF(IFERROR(VLOOKUP(A627,Drank!A:S,15,FALSE),"")=0,"",IFERROR(VLOOKUP(A627,Drank!A:S,15,FALSE),""))</f>
        <v>2022</v>
      </c>
      <c r="S627" s="10">
        <f>IF(IFERROR(VLOOKUP(A627,Drank!A:S,16,FALSE),"")=0,"",IFERROR(VLOOKUP(A627,Drank!A:S,16,FALSE),""))</f>
        <v>2027</v>
      </c>
      <c r="T627" s="10"/>
      <c r="U627">
        <v>93</v>
      </c>
      <c r="V627" s="18">
        <f>IF(IFERROR(VLOOKUP(A627,Drank!A:T,19,FALSE),"")=0,"",IFERROR(VLOOKUP(A627,Drank!A:T,19,FALSE),""))</f>
        <v>92</v>
      </c>
      <c r="W627" s="1">
        <f>IF(IFERROR(VLOOKUP(A627,Drank!A:T,20,FALSE),"")=0,"",IFERROR(VLOOKUP(A627,Drank!A:T,20,FALSE),""))</f>
        <v>44059</v>
      </c>
      <c r="X627" s="10">
        <f>SUMIF(A:A,A627,I:I)</f>
        <v>2</v>
      </c>
      <c r="Y627" s="10">
        <f>IF(Table1[[#This Row],[Drank]]&gt;0,VLOOKUP(Table1[[#This Row],[ID]],Drank!A:P,16,FALSE),IF(Table1[[#This Row],[WALDD]]&gt;0,VLOOKUP(Table1[[#This Row],[ID]],Wine1!A:Q,17,FALSE),Table1[[#This Row],[EP]]))</f>
        <v>2027</v>
      </c>
      <c r="Z627" s="18">
        <f>IF(Table1[[#This Row],[My Rating]]="",IF(Table1[[#This Row],[WA Rating Clean]]="","",Table1[[#This Row],[WA Rating Clean]]),Table1[[#This Row],[My Rating]])</f>
        <v>92</v>
      </c>
      <c r="AA627" s="37">
        <v>2025</v>
      </c>
      <c r="AB627" s="128">
        <v>22</v>
      </c>
      <c r="AC627" s="2">
        <f t="shared" si="41"/>
        <v>22</v>
      </c>
      <c r="AD627" s="8">
        <v>2</v>
      </c>
      <c r="AE627" s="10">
        <f>IF(Table1[[#This Row],[P/750]]&lt;20,1,IF(Table1[[#This Row],[P/750]]&lt;50,2,3))</f>
        <v>2</v>
      </c>
      <c r="AF627" s="10">
        <f>IF(Table1[[#This Row],[P/750]]&lt;Expenses!$C$30,1,IF(Table1[[#This Row],[P/750]]&lt;Expenses!$C$31,2,IF(Table1[[#This Row],[P/750]]&lt;Expenses!$C$32,3,4)))</f>
        <v>2</v>
      </c>
      <c r="AH627" s="37" t="s">
        <v>385</v>
      </c>
      <c r="AI627" s="11">
        <f>Table1[[#This Row],[Price]]/Table1[[#This Row],[Size (ml)]]*750</f>
        <v>22</v>
      </c>
      <c r="AJ627">
        <v>93</v>
      </c>
      <c r="AK627" s="37">
        <f>COUNTIF(UniqueID!A:A,Table1[[#This Row],[ID]])</f>
        <v>1</v>
      </c>
      <c r="AL627" s="37" t="str">
        <f>VLOOKUP(Table1[[#This Row],[Cellar Location]],Location!A:F,6,FALSE)</f>
        <v>S</v>
      </c>
      <c r="AN627" s="37"/>
      <c r="AO627" s="37" t="str">
        <f>TEXT(Table1[[#This Row],[Purchased]],"mmmm")</f>
        <v>January</v>
      </c>
      <c r="AP627" s="10" t="str">
        <f>TEXT(Table1[[#This Row],[Purchased]],"yyyy")</f>
        <v>1900</v>
      </c>
      <c r="AQ627" s="10"/>
    </row>
    <row r="628" spans="1:43" x14ac:dyDescent="0.25">
      <c r="A628" t="str">
        <f t="shared" si="40"/>
        <v>2012CortonesiBrunello di Montalcino La Mannella</v>
      </c>
      <c r="B628" s="37">
        <v>2012</v>
      </c>
      <c r="C628" s="37" t="s">
        <v>72</v>
      </c>
      <c r="D628" s="25" t="s">
        <v>73</v>
      </c>
      <c r="E628" s="64" t="s">
        <v>280</v>
      </c>
      <c r="F628" s="37" t="s">
        <v>728</v>
      </c>
      <c r="G628" s="37" t="s">
        <v>790</v>
      </c>
      <c r="H628" s="37" t="s">
        <v>19</v>
      </c>
      <c r="I628" s="107">
        <v>1</v>
      </c>
      <c r="J628">
        <v>750</v>
      </c>
      <c r="K628" s="107" t="s">
        <v>646</v>
      </c>
      <c r="L628" s="37">
        <f>COUNTIF(Drank!A:A,Table1[[#This Row],[ID]])</f>
        <v>1</v>
      </c>
      <c r="M628" t="s">
        <v>202</v>
      </c>
      <c r="N628" t="s">
        <v>207</v>
      </c>
      <c r="O628">
        <v>1</v>
      </c>
      <c r="P628" s="37">
        <v>2017</v>
      </c>
      <c r="Q628">
        <v>2026</v>
      </c>
      <c r="R628" s="37">
        <f>IF(IFERROR(VLOOKUP(A628,Drank!A:S,15,FALSE),"")=0,"",IFERROR(VLOOKUP(A628,Drank!A:S,15,FALSE),""))</f>
        <v>2025</v>
      </c>
      <c r="S628" s="37">
        <f>IF(IFERROR(VLOOKUP(A628,Drank!A:S,16,FALSE),"")=0,"",IFERROR(VLOOKUP(A628,Drank!A:S,16,FALSE),""))</f>
        <v>2027</v>
      </c>
      <c r="T628" s="37"/>
      <c r="U628">
        <v>91</v>
      </c>
      <c r="V628" s="18">
        <f>IF(IFERROR(VLOOKUP(A628,Drank!A:T,19,FALSE),"")=0,"",IFERROR(VLOOKUP(A628,Drank!A:T,19,FALSE),""))</f>
        <v>90</v>
      </c>
      <c r="W628" s="1">
        <f>IF(IFERROR(VLOOKUP(A628,Drank!A:T,20,FALSE),"")=0,"",IFERROR(VLOOKUP(A628,Drank!A:T,20,FALSE),""))</f>
        <v>43526</v>
      </c>
      <c r="X628" s="37">
        <f>SUMIF(A:A,A628,I:I)</f>
        <v>1</v>
      </c>
      <c r="Y628" s="37">
        <f>IF(Table1[[#This Row],[Drank]]&gt;0,VLOOKUP(Table1[[#This Row],[ID]],Drank!A:P,16,FALSE),IF(Table1[[#This Row],[WALDD]]&gt;0,VLOOKUP(Table1[[#This Row],[ID]],Wine1!A:Q,17,FALSE),Table1[[#This Row],[EP]]))</f>
        <v>2027</v>
      </c>
      <c r="Z628" s="18">
        <f>IF(Table1[[#This Row],[My Rating]]="",IF(Table1[[#This Row],[WA Rating Clean]]="","",Table1[[#This Row],[WA Rating Clean]]),Table1[[#This Row],[My Rating]])</f>
        <v>90</v>
      </c>
      <c r="AA628" s="6">
        <v>2025</v>
      </c>
      <c r="AB628" s="128">
        <v>32.99</v>
      </c>
      <c r="AC628" s="2">
        <f t="shared" si="41"/>
        <v>32.99</v>
      </c>
      <c r="AD628" s="8">
        <v>2</v>
      </c>
      <c r="AE628" s="37">
        <f>IF(Table1[[#This Row],[P/750]]&lt;20,1,IF(Table1[[#This Row],[P/750]]&lt;50,2,3))</f>
        <v>2</v>
      </c>
      <c r="AF628" s="37">
        <f>IF(Table1[[#This Row],[P/750]]&lt;Expenses!$C$30,1,IF(Table1[[#This Row],[P/750]]&lt;Expenses!$C$31,2,IF(Table1[[#This Row],[P/750]]&lt;Expenses!$C$32,3,4)))</f>
        <v>3</v>
      </c>
      <c r="AH628" s="37" t="s">
        <v>384</v>
      </c>
      <c r="AI628" s="11">
        <f>Table1[[#This Row],[Price]]/Table1[[#This Row],[Size (ml)]]*750</f>
        <v>32.99</v>
      </c>
      <c r="AJ628">
        <v>91</v>
      </c>
      <c r="AK628" s="37">
        <f>COUNTIF(UniqueID!A:A,Table1[[#This Row],[ID]])</f>
        <v>1</v>
      </c>
      <c r="AL628" s="37" t="str">
        <f>VLOOKUP(Table1[[#This Row],[Cellar Location]],Location!A:F,6,FALSE)</f>
        <v>S</v>
      </c>
      <c r="AN628" s="37"/>
      <c r="AO628" s="37" t="str">
        <f>TEXT(Table1[[#This Row],[Purchased]],"mmmm")</f>
        <v>January</v>
      </c>
      <c r="AP628" s="10" t="str">
        <f>TEXT(Table1[[#This Row],[Purchased]],"yyyy")</f>
        <v>1900</v>
      </c>
      <c r="AQ628" s="10"/>
    </row>
    <row r="629" spans="1:43" x14ac:dyDescent="0.25">
      <c r="A629" t="str">
        <f t="shared" si="40"/>
        <v>2016Domaine La Grangette Saint JosephGigondas la Grangette des Garrigues</v>
      </c>
      <c r="B629" s="37">
        <v>2016</v>
      </c>
      <c r="C629" s="37" t="s">
        <v>420</v>
      </c>
      <c r="D629" s="37" t="s">
        <v>421</v>
      </c>
      <c r="E629" s="69" t="s">
        <v>1225</v>
      </c>
      <c r="F629" s="37" t="s">
        <v>742</v>
      </c>
      <c r="G629" s="37" t="s">
        <v>759</v>
      </c>
      <c r="H629" s="37" t="s">
        <v>764</v>
      </c>
      <c r="I629" s="107">
        <v>1</v>
      </c>
      <c r="J629">
        <v>750</v>
      </c>
      <c r="K629" s="107" t="s">
        <v>594</v>
      </c>
      <c r="L629" s="37">
        <f>COUNTIF(Drank!A:A,Table1[[#This Row],[ID]])</f>
        <v>1</v>
      </c>
      <c r="M629" t="s">
        <v>202</v>
      </c>
      <c r="N629" t="s">
        <v>207</v>
      </c>
      <c r="O629">
        <v>1</v>
      </c>
      <c r="P629" s="37">
        <v>2018</v>
      </c>
      <c r="Q629">
        <v>2028</v>
      </c>
      <c r="R629" s="10">
        <f>IF(IFERROR(VLOOKUP(A629,Drank!A:S,15,FALSE),"")=0,"",IFERROR(VLOOKUP(A629,Drank!A:S,15,FALSE),""))</f>
        <v>2021</v>
      </c>
      <c r="S629" s="10">
        <f>IF(IFERROR(VLOOKUP(A629,Drank!A:S,16,FALSE),"")=0,"",IFERROR(VLOOKUP(A629,Drank!A:S,16,FALSE),""))</f>
        <v>2027</v>
      </c>
      <c r="T629" s="10"/>
      <c r="U629">
        <v>94</v>
      </c>
      <c r="V629" s="18">
        <f>IF(IFERROR(VLOOKUP(A629,Drank!A:T,19,FALSE),"")=0,"",IFERROR(VLOOKUP(A629,Drank!A:T,19,FALSE),""))</f>
        <v>92</v>
      </c>
      <c r="W629" s="1">
        <f>IF(IFERROR(VLOOKUP(A629,Drank!A:T,20,FALSE),"")=0,"",IFERROR(VLOOKUP(A629,Drank!A:T,20,FALSE),""))</f>
        <v>43834</v>
      </c>
      <c r="X629" s="10">
        <f>SUMIF(A:A,A629,I:I)</f>
        <v>11</v>
      </c>
      <c r="Y629" s="37">
        <f>IF(Table1[[#This Row],[Drank]]&gt;0,VLOOKUP(Table1[[#This Row],[ID]],Drank!A:P,16,FALSE),IF(Table1[[#This Row],[WALDD]]&gt;0,VLOOKUP(Table1[[#This Row],[ID]],Wine1!A:Q,17,FALSE),Table1[[#This Row],[EP]]))</f>
        <v>2027</v>
      </c>
      <c r="Z629" s="18">
        <f>IF(Table1[[#This Row],[My Rating]]="",IF(Table1[[#This Row],[WA Rating Clean]]="","",Table1[[#This Row],[WA Rating Clean]]),Table1[[#This Row],[My Rating]])</f>
        <v>92</v>
      </c>
      <c r="AA629" s="37">
        <v>2025</v>
      </c>
      <c r="AB629" s="128">
        <v>22</v>
      </c>
      <c r="AC629" s="2">
        <f t="shared" si="41"/>
        <v>22</v>
      </c>
      <c r="AD629" s="8">
        <v>2</v>
      </c>
      <c r="AE629" s="37">
        <f>IF(Table1[[#This Row],[P/750]]&lt;20,1,IF(Table1[[#This Row],[P/750]]&lt;50,2,3))</f>
        <v>2</v>
      </c>
      <c r="AF629" s="37">
        <f>IF(Table1[[#This Row],[P/750]]&lt;Expenses!$C$30,1,IF(Table1[[#This Row],[P/750]]&lt;Expenses!$C$31,2,IF(Table1[[#This Row],[P/750]]&lt;Expenses!$C$32,3,4)))</f>
        <v>2</v>
      </c>
      <c r="AH629" t="s">
        <v>384</v>
      </c>
      <c r="AI629" s="11">
        <f>Table1[[#This Row],[Price]]/Table1[[#This Row],[Size (ml)]]*750</f>
        <v>22</v>
      </c>
      <c r="AJ629">
        <v>94</v>
      </c>
      <c r="AK629" s="37">
        <f>COUNTIF(UniqueID!A:A,Table1[[#This Row],[ID]])</f>
        <v>1</v>
      </c>
      <c r="AL629" s="37" t="str">
        <f>VLOOKUP(Table1[[#This Row],[Cellar Location]],Location!A:F,6,FALSE)</f>
        <v>S</v>
      </c>
      <c r="AN629" s="37"/>
      <c r="AO629" s="37" t="str">
        <f>TEXT(Table1[[#This Row],[Purchased]],"mmmm")</f>
        <v>January</v>
      </c>
      <c r="AP629" s="10" t="str">
        <f>TEXT(Table1[[#This Row],[Purchased]],"yyyy")</f>
        <v>1900</v>
      </c>
      <c r="AQ629" s="10"/>
    </row>
    <row r="630" spans="1:43" x14ac:dyDescent="0.25">
      <c r="A630" t="str">
        <f t="shared" si="40"/>
        <v>2013Eighty FourPetit Sirah</v>
      </c>
      <c r="B630" s="37">
        <v>2013</v>
      </c>
      <c r="C630" s="37" t="s">
        <v>318</v>
      </c>
      <c r="D630" s="37" t="s">
        <v>319</v>
      </c>
      <c r="E630" s="68" t="s">
        <v>1332</v>
      </c>
      <c r="F630" s="9" t="s">
        <v>727</v>
      </c>
      <c r="G630" s="9" t="s">
        <v>806</v>
      </c>
      <c r="H630" s="9" t="s">
        <v>832</v>
      </c>
      <c r="I630" s="107">
        <v>1</v>
      </c>
      <c r="J630">
        <v>750</v>
      </c>
      <c r="K630" s="107" t="s">
        <v>1405</v>
      </c>
      <c r="L630" s="10">
        <f>COUNTIF(Drank!A:A,Table1[[#This Row],[ID]])</f>
        <v>1</v>
      </c>
      <c r="M630" t="s">
        <v>202</v>
      </c>
      <c r="N630" t="s">
        <v>207</v>
      </c>
      <c r="O630">
        <v>0</v>
      </c>
      <c r="P630" s="37"/>
      <c r="R630" s="10">
        <f>IF(IFERROR(VLOOKUP(A630,Drank!A:S,15,FALSE),"")=0,"",IFERROR(VLOOKUP(A630,Drank!A:S,15,FALSE),""))</f>
        <v>2023</v>
      </c>
      <c r="S630" s="10">
        <f>IF(IFERROR(VLOOKUP(A630,Drank!A:S,16,FALSE),"")=0,"",IFERROR(VLOOKUP(A630,Drank!A:S,16,FALSE),""))</f>
        <v>2027</v>
      </c>
      <c r="T630" s="10">
        <v>2027</v>
      </c>
      <c r="V630" s="18">
        <f>IF(IFERROR(VLOOKUP(A630,Drank!A:T,19,FALSE),"")=0,"",IFERROR(VLOOKUP(A630,Drank!A:T,19,FALSE),""))</f>
        <v>93</v>
      </c>
      <c r="W630" s="1">
        <f>IF(IFERROR(VLOOKUP(A630,Drank!A:T,20,FALSE),"")=0,"",IFERROR(VLOOKUP(A630,Drank!A:T,20,FALSE),""))</f>
        <v>44051</v>
      </c>
      <c r="X630" s="10">
        <f>SUMIF(A:A,A630,I:I)</f>
        <v>3</v>
      </c>
      <c r="Y630" s="10">
        <f>IF(Table1[[#This Row],[Drank]]&gt;0,VLOOKUP(Table1[[#This Row],[ID]],Drank!A:P,16,FALSE),IF(Table1[[#This Row],[WALDD]]&gt;0,VLOOKUP(Table1[[#This Row],[ID]],Wine1!A:Q,17,FALSE),Table1[[#This Row],[EP]]))</f>
        <v>2027</v>
      </c>
      <c r="Z630" s="18">
        <f>IF(Table1[[#This Row],[My Rating]]="",IF(Table1[[#This Row],[WA Rating Clean]]="","",Table1[[#This Row],[WA Rating Clean]]),Table1[[#This Row],[My Rating]])</f>
        <v>93</v>
      </c>
      <c r="AA630" s="37">
        <v>2025</v>
      </c>
      <c r="AB630" s="128">
        <v>38.229999999999997</v>
      </c>
      <c r="AC630" s="2">
        <f t="shared" si="41"/>
        <v>38.229999999999997</v>
      </c>
      <c r="AD630" s="8">
        <v>2</v>
      </c>
      <c r="AE630" s="10">
        <f>IF(Table1[[#This Row],[P/750]]&lt;20,1,IF(Table1[[#This Row],[P/750]]&lt;50,2,3))</f>
        <v>2</v>
      </c>
      <c r="AF630" s="10">
        <f>IF(Table1[[#This Row],[P/750]]&lt;Expenses!$C$30,1,IF(Table1[[#This Row],[P/750]]&lt;Expenses!$C$31,2,IF(Table1[[#This Row],[P/750]]&lt;Expenses!$C$32,3,4)))</f>
        <v>3</v>
      </c>
      <c r="AH630" t="s">
        <v>385</v>
      </c>
      <c r="AI630" s="11">
        <f>Table1[[#This Row],[Price]]/Table1[[#This Row],[Size (ml)]]*750</f>
        <v>38.229999999999997</v>
      </c>
      <c r="AK630" s="10">
        <f>COUNTIF(UniqueID!A:A,Table1[[#This Row],[ID]])</f>
        <v>0</v>
      </c>
      <c r="AL630" s="10" t="str">
        <f>VLOOKUP(Table1[[#This Row],[Cellar Location]],Location!A:F,6,FALSE)</f>
        <v>S</v>
      </c>
      <c r="AN630" s="1">
        <v>43923</v>
      </c>
      <c r="AO630" s="10" t="str">
        <f>TEXT(Table1[[#This Row],[Purchased]],"mmmm")</f>
        <v>April</v>
      </c>
      <c r="AP630" s="10" t="str">
        <f>TEXT(Table1[[#This Row],[Purchased]],"yyyy")</f>
        <v>2020</v>
      </c>
      <c r="AQ630" s="10"/>
    </row>
    <row r="631" spans="1:43" x14ac:dyDescent="0.25">
      <c r="A631" t="str">
        <f t="shared" si="40"/>
        <v>2013Palazzo WineRed Blend Right Bank Reserve</v>
      </c>
      <c r="B631" s="37">
        <v>2013</v>
      </c>
      <c r="C631" s="9" t="s">
        <v>87</v>
      </c>
      <c r="D631" s="35" t="s">
        <v>88</v>
      </c>
      <c r="E631" s="64" t="s">
        <v>282</v>
      </c>
      <c r="F631" s="37" t="s">
        <v>727</v>
      </c>
      <c r="G631" s="37" t="s">
        <v>806</v>
      </c>
      <c r="H631" s="37" t="s">
        <v>832</v>
      </c>
      <c r="I631" s="107">
        <v>1</v>
      </c>
      <c r="J631" s="37">
        <v>750</v>
      </c>
      <c r="K631" s="107" t="s">
        <v>655</v>
      </c>
      <c r="L631" s="37">
        <f>COUNTIF(Drank!A:A,Table1[[#This Row],[ID]])</f>
        <v>1</v>
      </c>
      <c r="M631" t="s">
        <v>202</v>
      </c>
      <c r="N631" t="s">
        <v>207</v>
      </c>
      <c r="O631">
        <v>1</v>
      </c>
      <c r="P631" s="37"/>
      <c r="R631" s="37">
        <f>IF(IFERROR(VLOOKUP(A631,Drank!A:S,15,FALSE),"")=0,"",IFERROR(VLOOKUP(A631,Drank!A:S,15,FALSE),""))</f>
        <v>2023</v>
      </c>
      <c r="S631" s="37">
        <f>IF(IFERROR(VLOOKUP(A631,Drank!A:S,16,FALSE),"")=0,"",IFERROR(VLOOKUP(A631,Drank!A:S,16,FALSE),""))</f>
        <v>2027</v>
      </c>
      <c r="T631" s="37"/>
      <c r="V631" s="18">
        <f>IF(IFERROR(VLOOKUP(A631,Drank!A:T,19,FALSE),"")=0,"",IFERROR(VLOOKUP(A631,Drank!A:T,19,FALSE),""))</f>
        <v>91</v>
      </c>
      <c r="W631" s="1">
        <f>IF(IFERROR(VLOOKUP(A631,Drank!A:T,20,FALSE),"")=0,"",IFERROR(VLOOKUP(A631,Drank!A:T,20,FALSE),""))</f>
        <v>43498</v>
      </c>
      <c r="X631" s="37">
        <f>SUMIF(A:A,A631,I:I)</f>
        <v>3</v>
      </c>
      <c r="Y631" s="37">
        <f>IF(Table1[[#This Row],[Drank]]&gt;0,VLOOKUP(Table1[[#This Row],[ID]],Drank!A:P,16,FALSE),IF(Table1[[#This Row],[WALDD]]&gt;0,VLOOKUP(Table1[[#This Row],[ID]],Wine1!A:Q,17,FALSE),Table1[[#This Row],[EP]]))</f>
        <v>2027</v>
      </c>
      <c r="Z631" s="18">
        <f>IF(Table1[[#This Row],[My Rating]]="",IF(Table1[[#This Row],[WA Rating Clean]]="","",Table1[[#This Row],[WA Rating Clean]]),Table1[[#This Row],[My Rating]])</f>
        <v>91</v>
      </c>
      <c r="AA631" s="8">
        <v>2025</v>
      </c>
      <c r="AB631" s="14">
        <v>49.99</v>
      </c>
      <c r="AC631" s="2">
        <f t="shared" si="41"/>
        <v>49.99</v>
      </c>
      <c r="AD631" s="8">
        <v>2</v>
      </c>
      <c r="AE631" s="37">
        <f>IF(Table1[[#This Row],[P/750]]&lt;20,1,IF(Table1[[#This Row],[P/750]]&lt;50,2,3))</f>
        <v>2</v>
      </c>
      <c r="AF631" s="37">
        <f>IF(Table1[[#This Row],[P/750]]&lt;Expenses!$C$30,1,IF(Table1[[#This Row],[P/750]]&lt;Expenses!$C$31,2,IF(Table1[[#This Row],[P/750]]&lt;Expenses!$C$32,3,4)))</f>
        <v>3</v>
      </c>
      <c r="AH631" s="37" t="s">
        <v>384</v>
      </c>
      <c r="AI631" s="11">
        <f>Table1[[#This Row],[Price]]/Table1[[#This Row],[Size (ml)]]*750</f>
        <v>49.990000000000009</v>
      </c>
      <c r="AK631" s="37">
        <f>COUNTIF(UniqueID!A:A,Table1[[#This Row],[ID]])</f>
        <v>1</v>
      </c>
      <c r="AL631" s="37" t="str">
        <f>VLOOKUP(Table1[[#This Row],[Cellar Location]],Location!A:F,6,FALSE)</f>
        <v>S</v>
      </c>
      <c r="AN631" s="37"/>
      <c r="AO631" s="37" t="str">
        <f>TEXT(Table1[[#This Row],[Purchased]],"mmmm")</f>
        <v>January</v>
      </c>
      <c r="AP631" s="10" t="str">
        <f>TEXT(Table1[[#This Row],[Purchased]],"yyyy")</f>
        <v>1900</v>
      </c>
      <c r="AQ631" s="10"/>
    </row>
    <row r="632" spans="1:43" x14ac:dyDescent="0.25">
      <c r="A632" t="str">
        <f t="shared" si="40"/>
        <v>2010Salvatore MolettieriTaurasi Vigna Cinque Querce</v>
      </c>
      <c r="B632" s="37">
        <v>2010</v>
      </c>
      <c r="C632" s="9" t="s">
        <v>54</v>
      </c>
      <c r="D632" s="35" t="s">
        <v>55</v>
      </c>
      <c r="E632" s="64" t="s">
        <v>285</v>
      </c>
      <c r="F632" s="37" t="s">
        <v>728</v>
      </c>
      <c r="G632" s="37" t="s">
        <v>771</v>
      </c>
      <c r="H632" s="37" t="s">
        <v>772</v>
      </c>
      <c r="I632" s="107">
        <v>1</v>
      </c>
      <c r="J632" s="37">
        <v>750</v>
      </c>
      <c r="K632" s="107" t="s">
        <v>655</v>
      </c>
      <c r="L632" s="37">
        <f>COUNTIF(Drank!A:A,Table1[[#This Row],[ID]])</f>
        <v>0</v>
      </c>
      <c r="M632" t="s">
        <v>202</v>
      </c>
      <c r="N632" t="s">
        <v>207</v>
      </c>
      <c r="O632">
        <v>1</v>
      </c>
      <c r="P632" s="37">
        <v>2017</v>
      </c>
      <c r="Q632">
        <v>2027</v>
      </c>
      <c r="R632" s="37" t="str">
        <f>IF(IFERROR(VLOOKUP(A632,Drank!A:S,15,FALSE),"")=0,"",IFERROR(VLOOKUP(A632,Drank!A:S,15,FALSE),""))</f>
        <v/>
      </c>
      <c r="S632" s="37" t="str">
        <f>IF(IFERROR(VLOOKUP(A632,Drank!A:S,16,FALSE),"")=0,"",IFERROR(VLOOKUP(A632,Drank!A:S,16,FALSE),""))</f>
        <v/>
      </c>
      <c r="T632" s="37"/>
      <c r="U632">
        <v>91</v>
      </c>
      <c r="V632" s="18" t="str">
        <f>IF(IFERROR(VLOOKUP(A632,Drank!A:T,19,FALSE),"")=0,"",IFERROR(VLOOKUP(A632,Drank!A:T,19,FALSE),""))</f>
        <v/>
      </c>
      <c r="W632" s="1" t="str">
        <f>IF(IFERROR(VLOOKUP(A632,Drank!A:T,20,FALSE),"")=0,"",IFERROR(VLOOKUP(A632,Drank!A:T,20,FALSE),""))</f>
        <v/>
      </c>
      <c r="X632" s="37">
        <f>SUMIF(A:A,A632,I:I)</f>
        <v>1</v>
      </c>
      <c r="Y632" s="37">
        <f>IF(Table1[[#This Row],[Drank]]&gt;0,VLOOKUP(Table1[[#This Row],[ID]],Drank!A:P,16,FALSE),IF(Table1[[#This Row],[WALDD]]&gt;0,VLOOKUP(Table1[[#This Row],[ID]],Wine1!A:Q,17,FALSE),Table1[[#This Row],[EP]]))</f>
        <v>2027</v>
      </c>
      <c r="Z632" s="18">
        <f>IF(Table1[[#This Row],[My Rating]]="",IF(Table1[[#This Row],[WA Rating Clean]]="","",Table1[[#This Row],[WA Rating Clean]]),Table1[[#This Row],[My Rating]])</f>
        <v>91</v>
      </c>
      <c r="AA632" s="37">
        <v>2025</v>
      </c>
      <c r="AB632" s="134">
        <v>40</v>
      </c>
      <c r="AC632" s="2">
        <f t="shared" si="41"/>
        <v>40</v>
      </c>
      <c r="AD632" s="8">
        <v>2</v>
      </c>
      <c r="AE632" s="37">
        <f>IF(Table1[[#This Row],[P/750]]&lt;20,1,IF(Table1[[#This Row],[P/750]]&lt;50,2,3))</f>
        <v>2</v>
      </c>
      <c r="AF632" s="37">
        <f>IF(Table1[[#This Row],[P/750]]&lt;Expenses!$C$30,1,IF(Table1[[#This Row],[P/750]]&lt;Expenses!$C$31,2,IF(Table1[[#This Row],[P/750]]&lt;Expenses!$C$32,3,4)))</f>
        <v>3</v>
      </c>
      <c r="AH632" s="37" t="s">
        <v>1131</v>
      </c>
      <c r="AI632" s="11">
        <f>Table1[[#This Row],[Price]]/Table1[[#This Row],[Size (ml)]]*750</f>
        <v>40</v>
      </c>
      <c r="AJ632">
        <v>91</v>
      </c>
      <c r="AK632" s="37">
        <f>COUNTIF(UniqueID!A:A,Table1[[#This Row],[ID]])</f>
        <v>1</v>
      </c>
      <c r="AL632" s="37" t="str">
        <f>VLOOKUP(Table1[[#This Row],[Cellar Location]],Location!A:F,6,FALSE)</f>
        <v>S</v>
      </c>
      <c r="AN632" s="37"/>
      <c r="AO632" s="37" t="str">
        <f>TEXT(Table1[[#This Row],[Purchased]],"mmmm")</f>
        <v>January</v>
      </c>
      <c r="AP632" s="10" t="str">
        <f>TEXT(Table1[[#This Row],[Purchased]],"yyyy")</f>
        <v>1900</v>
      </c>
      <c r="AQ632" s="10"/>
    </row>
    <row r="633" spans="1:43" x14ac:dyDescent="0.25">
      <c r="A633" t="str">
        <f t="shared" si="40"/>
        <v>2009Hermanos Perez PascuasEl Pedrosal Reserva</v>
      </c>
      <c r="B633" s="37">
        <v>2009</v>
      </c>
      <c r="C633" s="9" t="s">
        <v>1543</v>
      </c>
      <c r="D633" s="9" t="s">
        <v>1544</v>
      </c>
      <c r="E633" s="69" t="s">
        <v>276</v>
      </c>
      <c r="F633" s="37" t="s">
        <v>729</v>
      </c>
      <c r="G633" s="37" t="s">
        <v>1718</v>
      </c>
      <c r="H633" s="37" t="s">
        <v>818</v>
      </c>
      <c r="I633" s="78">
        <v>1</v>
      </c>
      <c r="J633" s="37">
        <v>750</v>
      </c>
      <c r="K633" s="78" t="s">
        <v>1545</v>
      </c>
      <c r="L633" s="10">
        <f>COUNTIF(Drank!A:A,Table1[[#This Row],[ID]])</f>
        <v>2</v>
      </c>
      <c r="M633" t="s">
        <v>202</v>
      </c>
      <c r="N633" t="s">
        <v>207</v>
      </c>
      <c r="O633">
        <v>1</v>
      </c>
      <c r="P633" s="37">
        <v>2020</v>
      </c>
      <c r="Q633">
        <v>2029</v>
      </c>
      <c r="R633" s="10">
        <f>IF(IFERROR(VLOOKUP(A633,Drank!A:S,15,FALSE),"")=0,"",IFERROR(VLOOKUP(A633,Drank!A:S,15,FALSE),""))</f>
        <v>2020</v>
      </c>
      <c r="S633" s="10">
        <f>IF(IFERROR(VLOOKUP(A633,Drank!A:S,16,FALSE),"")=0,"",IFERROR(VLOOKUP(A633,Drank!A:S,16,FALSE),""))</f>
        <v>2027</v>
      </c>
      <c r="T633" s="10"/>
      <c r="U633">
        <v>95</v>
      </c>
      <c r="V633" s="18">
        <f>IF(IFERROR(VLOOKUP(A633,Drank!A:T,19,FALSE),"")=0,"",IFERROR(VLOOKUP(A633,Drank!A:T,19,FALSE),""))</f>
        <v>94.5</v>
      </c>
      <c r="W633" s="1">
        <f>IF(IFERROR(VLOOKUP(A633,Drank!A:T,20,FALSE),"")=0,"",IFERROR(VLOOKUP(A633,Drank!A:T,20,FALSE),""))</f>
        <v>44079</v>
      </c>
      <c r="X633" s="10">
        <f>SUMIF(A:A,A633,I:I)</f>
        <v>17</v>
      </c>
      <c r="Y633" s="10">
        <f>IF(Table1[[#This Row],[Drank]]&gt;0,VLOOKUP(Table1[[#This Row],[ID]],Drank!A:P,16,FALSE),IF(Table1[[#This Row],[WALDD]]&gt;0,VLOOKUP(Table1[[#This Row],[ID]],Wine1!A:Q,17,FALSE),Table1[[#This Row],[EP]]))</f>
        <v>2027</v>
      </c>
      <c r="Z633" s="18">
        <f>IF(Table1[[#This Row],[My Rating]]="",IF(Table1[[#This Row],[WA Rating Clean]]="","",Table1[[#This Row],[WA Rating Clean]]),Table1[[#This Row],[My Rating]])</f>
        <v>94.5</v>
      </c>
      <c r="AA633" s="37">
        <v>2025</v>
      </c>
      <c r="AB633" s="128">
        <v>29.32</v>
      </c>
      <c r="AC633" s="2">
        <f t="shared" si="41"/>
        <v>29.32</v>
      </c>
      <c r="AD633" s="8">
        <v>2</v>
      </c>
      <c r="AE633" s="10">
        <f>IF(Table1[[#This Row],[P/750]]&lt;20,1,IF(Table1[[#This Row],[P/750]]&lt;50,2,3))</f>
        <v>2</v>
      </c>
      <c r="AF633" s="10">
        <f>IF(Table1[[#This Row],[P/750]]&lt;Expenses!$C$30,1,IF(Table1[[#This Row],[P/750]]&lt;Expenses!$C$31,2,IF(Table1[[#This Row],[P/750]]&lt;Expenses!$C$32,3,4)))</f>
        <v>2</v>
      </c>
      <c r="AH633" t="s">
        <v>1545</v>
      </c>
      <c r="AI633" s="11">
        <f>Table1[[#This Row],[Price]]/Table1[[#This Row],[Size (ml)]]*750</f>
        <v>29.32</v>
      </c>
      <c r="AJ633">
        <v>95</v>
      </c>
      <c r="AK633" s="10">
        <f>COUNTIF(UniqueID!A:A,Table1[[#This Row],[ID]])</f>
        <v>0</v>
      </c>
      <c r="AL633" s="10" t="str">
        <f>VLOOKUP(Table1[[#This Row],[Cellar Location]],Location!A:F,6,FALSE)</f>
        <v>W</v>
      </c>
      <c r="AN633" s="1">
        <v>44040</v>
      </c>
      <c r="AO633" s="10" t="str">
        <f>TEXT(Table1[[#This Row],[Purchased]],"mmmm")</f>
        <v>July</v>
      </c>
      <c r="AP633" s="10" t="str">
        <f>TEXT(Table1[[#This Row],[Purchased]],"yyyy")</f>
        <v>2020</v>
      </c>
      <c r="AQ633" s="10"/>
    </row>
    <row r="634" spans="1:43" x14ac:dyDescent="0.25">
      <c r="A634" t="str">
        <f t="shared" si="40"/>
        <v>2015Hacienda MonasterioRibera del Duero</v>
      </c>
      <c r="B634" s="37">
        <v>2015</v>
      </c>
      <c r="C634" s="37" t="s">
        <v>107</v>
      </c>
      <c r="D634" s="9" t="s">
        <v>1457</v>
      </c>
      <c r="E634" s="66" t="s">
        <v>1793</v>
      </c>
      <c r="F634" s="37" t="s">
        <v>729</v>
      </c>
      <c r="G634" s="37" t="s">
        <v>1718</v>
      </c>
      <c r="H634" s="37" t="s">
        <v>818</v>
      </c>
      <c r="I634" s="37">
        <v>1</v>
      </c>
      <c r="J634" s="38">
        <v>750</v>
      </c>
      <c r="K634" s="38" t="s">
        <v>1526</v>
      </c>
      <c r="L634" s="10">
        <f>COUNTIF(Drank!A:A,Table1[[#This Row],[ID]])</f>
        <v>0</v>
      </c>
      <c r="M634" t="s">
        <v>202</v>
      </c>
      <c r="N634" t="s">
        <v>207</v>
      </c>
      <c r="O634">
        <v>1</v>
      </c>
      <c r="P634" s="37">
        <v>2018</v>
      </c>
      <c r="Q634">
        <v>2028</v>
      </c>
      <c r="R634" s="10" t="str">
        <f>IF(IFERROR(VLOOKUP(A634,Drank!A:S,15,FALSE),"")=0,"",IFERROR(VLOOKUP(A634,Drank!A:S,15,FALSE),""))</f>
        <v/>
      </c>
      <c r="S634" s="10" t="str">
        <f>IF(IFERROR(VLOOKUP(A634,Drank!A:S,16,FALSE),"")=0,"",IFERROR(VLOOKUP(A634,Drank!A:S,16,FALSE),""))</f>
        <v/>
      </c>
      <c r="T634" s="10"/>
      <c r="U634">
        <v>94</v>
      </c>
      <c r="V634" s="18" t="str">
        <f>IF(IFERROR(VLOOKUP(A634,Drank!A:T,19,FALSE),"")=0,"",IFERROR(VLOOKUP(A634,Drank!A:T,19,FALSE),""))</f>
        <v/>
      </c>
      <c r="W634" s="1" t="str">
        <f>IF(IFERROR(VLOOKUP(A634,Drank!A:T,20,FALSE),"")=0,"",IFERROR(VLOOKUP(A634,Drank!A:T,20,FALSE),""))</f>
        <v/>
      </c>
      <c r="X634" s="10">
        <f>SUMIF(A:A,A634,I:I)</f>
        <v>3</v>
      </c>
      <c r="Y634" s="10">
        <f>IF(Table1[[#This Row],[Drank]]&gt;0,VLOOKUP(Table1[[#This Row],[ID]],Drank!A:P,16,FALSE),IF(Table1[[#This Row],[WALDD]]&gt;0,VLOOKUP(Table1[[#This Row],[ID]],Wine1!A:Q,17,FALSE),Table1[[#This Row],[EP]]))</f>
        <v>2028</v>
      </c>
      <c r="Z634" s="18">
        <f>IF(Table1[[#This Row],[My Rating]]="",IF(Table1[[#This Row],[WA Rating Clean]]="","",Table1[[#This Row],[WA Rating Clean]]),Table1[[#This Row],[My Rating]])</f>
        <v>94</v>
      </c>
      <c r="AA634" s="37">
        <v>2025</v>
      </c>
      <c r="AB634" s="128">
        <v>49.52</v>
      </c>
      <c r="AC634" s="2">
        <f t="shared" si="41"/>
        <v>49.52</v>
      </c>
      <c r="AD634" s="8">
        <v>1</v>
      </c>
      <c r="AE634" s="10">
        <f>IF(Table1[[#This Row],[P/750]]&lt;20,1,IF(Table1[[#This Row],[P/750]]&lt;50,2,3))</f>
        <v>2</v>
      </c>
      <c r="AF634" s="10">
        <f>IF(Table1[[#This Row],[P/750]]&lt;Expenses!$C$30,1,IF(Table1[[#This Row],[P/750]]&lt;Expenses!$C$31,2,IF(Table1[[#This Row],[P/750]]&lt;Expenses!$C$32,3,4)))</f>
        <v>3</v>
      </c>
      <c r="AH634" s="37" t="s">
        <v>1478</v>
      </c>
      <c r="AI634" s="11">
        <f>Table1[[#This Row],[Price]]/Table1[[#This Row],[Size (ml)]]*750</f>
        <v>49.519999999999996</v>
      </c>
      <c r="AJ634">
        <v>94</v>
      </c>
      <c r="AK634" s="10">
        <f>COUNTIF(UniqueID!A:A,Table1[[#This Row],[ID]])</f>
        <v>0</v>
      </c>
      <c r="AL634" s="10" t="str">
        <f>VLOOKUP(Table1[[#This Row],[Cellar Location]],Location!A:F,6,FALSE)</f>
        <v>W</v>
      </c>
      <c r="AN634" s="1">
        <v>44064</v>
      </c>
      <c r="AO634" s="10" t="str">
        <f>TEXT(Table1[[#This Row],[Purchased]],"mmmm")</f>
        <v>August</v>
      </c>
      <c r="AP634" s="10" t="str">
        <f>TEXT(Table1[[#This Row],[Purchased]],"yyyy")</f>
        <v>2020</v>
      </c>
      <c r="AQ634" s="1">
        <v>44114</v>
      </c>
    </row>
    <row r="635" spans="1:43" x14ac:dyDescent="0.25">
      <c r="A635" t="str">
        <f t="shared" si="40"/>
        <v>2008Tua RitaGiusto di Notri</v>
      </c>
      <c r="B635" s="37">
        <v>2008</v>
      </c>
      <c r="C635" s="37" t="s">
        <v>859</v>
      </c>
      <c r="D635" s="37" t="s">
        <v>860</v>
      </c>
      <c r="E635" s="67" t="s">
        <v>1563</v>
      </c>
      <c r="F635" s="37" t="s">
        <v>728</v>
      </c>
      <c r="G635" s="37" t="s">
        <v>790</v>
      </c>
      <c r="H635" s="37" t="s">
        <v>796</v>
      </c>
      <c r="I635" s="8">
        <v>1</v>
      </c>
      <c r="J635" s="38">
        <v>750</v>
      </c>
      <c r="K635" s="38" t="s">
        <v>1564</v>
      </c>
      <c r="L635" s="10">
        <f>COUNTIF(Drank!A:A,Table1[[#This Row],[ID]])</f>
        <v>0</v>
      </c>
      <c r="M635" t="s">
        <v>202</v>
      </c>
      <c r="N635" t="s">
        <v>207</v>
      </c>
      <c r="O635">
        <v>1</v>
      </c>
      <c r="P635" s="10">
        <v>2016</v>
      </c>
      <c r="Q635">
        <v>2028</v>
      </c>
      <c r="R635" s="10" t="str">
        <f>IF(IFERROR(VLOOKUP(A635,Drank!A:S,15,FALSE),"")=0,"",IFERROR(VLOOKUP(A635,Drank!A:S,15,FALSE),""))</f>
        <v/>
      </c>
      <c r="S635" s="10" t="str">
        <f>IF(IFERROR(VLOOKUP(A635,Drank!A:S,16,FALSE),"")=0,"",IFERROR(VLOOKUP(A635,Drank!A:S,16,FALSE),""))</f>
        <v/>
      </c>
      <c r="T635" s="10"/>
      <c r="U635">
        <v>94</v>
      </c>
      <c r="V635" s="18" t="str">
        <f>IF(IFERROR(VLOOKUP(A635,Drank!A:T,19,FALSE),"")=0,"",IFERROR(VLOOKUP(A635,Drank!A:T,19,FALSE),""))</f>
        <v/>
      </c>
      <c r="W635" s="1" t="str">
        <f>IF(IFERROR(VLOOKUP(A635,Drank!A:T,20,FALSE),"")=0,"",IFERROR(VLOOKUP(A635,Drank!A:T,20,FALSE),""))</f>
        <v/>
      </c>
      <c r="X635" s="10">
        <f>SUMIF(A:A,A635,I:I)</f>
        <v>12</v>
      </c>
      <c r="Y635" s="10">
        <f>IF(Table1[[#This Row],[Drank]]&gt;0,VLOOKUP(Table1[[#This Row],[ID]],Drank!A:P,16,FALSE),IF(Table1[[#This Row],[WALDD]]&gt;0,VLOOKUP(Table1[[#This Row],[ID]],Wine1!A:Q,17,FALSE),Table1[[#This Row],[EP]]))</f>
        <v>2028</v>
      </c>
      <c r="Z635" s="18">
        <f>IF(Table1[[#This Row],[My Rating]]="",IF(Table1[[#This Row],[WA Rating Clean]]="","",Table1[[#This Row],[WA Rating Clean]]),Table1[[#This Row],[My Rating]])</f>
        <v>94</v>
      </c>
      <c r="AA635" s="37">
        <v>2025</v>
      </c>
      <c r="AB635" s="128">
        <v>54.41</v>
      </c>
      <c r="AC635" s="2">
        <f t="shared" si="41"/>
        <v>54.41</v>
      </c>
      <c r="AD635" s="8">
        <v>1</v>
      </c>
      <c r="AE635" s="10">
        <f>IF(Table1[[#This Row],[P/750]]&lt;20,1,IF(Table1[[#This Row],[P/750]]&lt;50,2,3))</f>
        <v>3</v>
      </c>
      <c r="AF635" s="10">
        <f>IF(Table1[[#This Row],[P/750]]&lt;Expenses!$C$30,1,IF(Table1[[#This Row],[P/750]]&lt;Expenses!$C$31,2,IF(Table1[[#This Row],[P/750]]&lt;Expenses!$C$32,3,4)))</f>
        <v>3</v>
      </c>
      <c r="AH635" s="37" t="s">
        <v>1564</v>
      </c>
      <c r="AI635" s="11">
        <f>Table1[[#This Row],[Price]]/Table1[[#This Row],[Size (ml)]]*750</f>
        <v>54.41</v>
      </c>
      <c r="AJ635">
        <v>94</v>
      </c>
      <c r="AK635" s="10">
        <f>COUNTIF(UniqueID!A:A,Table1[[#This Row],[ID]])</f>
        <v>0</v>
      </c>
      <c r="AL635" s="10" t="str">
        <f>VLOOKUP(Table1[[#This Row],[Cellar Location]],Location!A:F,6,FALSE)</f>
        <v>W</v>
      </c>
      <c r="AN635" s="1">
        <v>44045</v>
      </c>
      <c r="AO635" s="10" t="str">
        <f>TEXT(Table1[[#This Row],[Purchased]],"mmmm")</f>
        <v>August</v>
      </c>
      <c r="AP635" s="10" t="str">
        <f>TEXT(Table1[[#This Row],[Purchased]],"yyyy")</f>
        <v>2020</v>
      </c>
      <c r="AQ635" s="1">
        <v>44094</v>
      </c>
    </row>
    <row r="636" spans="1:43" x14ac:dyDescent="0.25">
      <c r="A636" t="str">
        <f t="shared" si="40"/>
        <v>2015Giuseppe CampagnolaAmarone della Valpolicella Classico Vigneti Vallata di Marano</v>
      </c>
      <c r="B636" s="37">
        <v>2015</v>
      </c>
      <c r="C636" s="37" t="s">
        <v>311</v>
      </c>
      <c r="D636" s="37" t="s">
        <v>592</v>
      </c>
      <c r="E636" s="64" t="s">
        <v>313</v>
      </c>
      <c r="F636" s="37" t="s">
        <v>728</v>
      </c>
      <c r="G636" s="37" t="s">
        <v>799</v>
      </c>
      <c r="H636" s="37" t="s">
        <v>800</v>
      </c>
      <c r="I636" s="8">
        <v>1</v>
      </c>
      <c r="J636" s="38">
        <v>750</v>
      </c>
      <c r="K636" s="38" t="s">
        <v>384</v>
      </c>
      <c r="L636" s="10">
        <f>COUNTIF(Drank!A:A,Table1[[#This Row],[ID]])</f>
        <v>1</v>
      </c>
      <c r="M636" t="s">
        <v>202</v>
      </c>
      <c r="N636" t="s">
        <v>207</v>
      </c>
      <c r="O636">
        <v>1</v>
      </c>
      <c r="P636" s="10">
        <v>2019</v>
      </c>
      <c r="Q636">
        <v>2028</v>
      </c>
      <c r="R636" s="10">
        <f>IF(IFERROR(VLOOKUP(A636,Drank!A:S,15,FALSE),"")=0,"",IFERROR(VLOOKUP(A636,Drank!A:S,15,FALSE),""))</f>
        <v>2025</v>
      </c>
      <c r="S636" s="10">
        <f>IF(IFERROR(VLOOKUP(A636,Drank!A:S,16,FALSE),"")=0,"",IFERROR(VLOOKUP(A636,Drank!A:S,16,FALSE),""))</f>
        <v>2028</v>
      </c>
      <c r="T636" s="10"/>
      <c r="U636">
        <v>91</v>
      </c>
      <c r="V636" s="18">
        <f>IF(IFERROR(VLOOKUP(A636,Drank!A:T,19,FALSE),"")=0,"",IFERROR(VLOOKUP(A636,Drank!A:T,19,FALSE),""))</f>
        <v>92</v>
      </c>
      <c r="W636" s="1">
        <f>IF(IFERROR(VLOOKUP(A636,Drank!A:T,20,FALSE),"")=0,"",IFERROR(VLOOKUP(A636,Drank!A:T,20,FALSE),""))</f>
        <v>43890</v>
      </c>
      <c r="X636" s="10">
        <f>SUMIF(A:A,A636,I:I)</f>
        <v>8</v>
      </c>
      <c r="Y636" s="10">
        <f>IF(Table1[[#This Row],[Drank]]&gt;0,VLOOKUP(Table1[[#This Row],[ID]],Drank!A:P,16,FALSE),IF(Table1[[#This Row],[WALDD]]&gt;0,VLOOKUP(Table1[[#This Row],[ID]],Wine1!A:Q,17,FALSE),Table1[[#This Row],[EP]]))</f>
        <v>2028</v>
      </c>
      <c r="Z636" s="18">
        <f>IF(Table1[[#This Row],[My Rating]]="",IF(Table1[[#This Row],[WA Rating Clean]]="","",Table1[[#This Row],[WA Rating Clean]]),Table1[[#This Row],[My Rating]])</f>
        <v>92</v>
      </c>
      <c r="AA636" s="37">
        <v>2025</v>
      </c>
      <c r="AB636" s="128">
        <v>32.58</v>
      </c>
      <c r="AC636" s="2">
        <f t="shared" si="41"/>
        <v>32.58</v>
      </c>
      <c r="AD636" s="8">
        <v>1</v>
      </c>
      <c r="AE636" s="10">
        <f>IF(Table1[[#This Row],[P/750]]&lt;20,1,IF(Table1[[#This Row],[P/750]]&lt;50,2,3))</f>
        <v>2</v>
      </c>
      <c r="AF636" s="10">
        <f>IF(Table1[[#This Row],[P/750]]&lt;Expenses!$C$30,1,IF(Table1[[#This Row],[P/750]]&lt;Expenses!$C$31,2,IF(Table1[[#This Row],[P/750]]&lt;Expenses!$C$32,3,4)))</f>
        <v>3</v>
      </c>
      <c r="AH636" s="37" t="s">
        <v>384</v>
      </c>
      <c r="AI636" s="11">
        <f>Table1[[#This Row],[Price]]/Table1[[#This Row],[Size (ml)]]*750</f>
        <v>32.58</v>
      </c>
      <c r="AJ636">
        <v>91</v>
      </c>
      <c r="AK636" s="10">
        <f>COUNTIF(UniqueID!A:A,Table1[[#This Row],[ID]])</f>
        <v>1</v>
      </c>
      <c r="AL636" s="10" t="str">
        <f>VLOOKUP(Table1[[#This Row],[Cellar Location]],Location!A:F,6,FALSE)</f>
        <v>W</v>
      </c>
      <c r="AN636" s="1">
        <v>44063</v>
      </c>
      <c r="AO636" s="10" t="str">
        <f>TEXT(Table1[[#This Row],[Purchased]],"mmmm")</f>
        <v>August</v>
      </c>
      <c r="AP636" s="10" t="str">
        <f>TEXT(Table1[[#This Row],[Purchased]],"yyyy")</f>
        <v>2020</v>
      </c>
      <c r="AQ636" s="1">
        <v>44137</v>
      </c>
    </row>
    <row r="637" spans="1:43" x14ac:dyDescent="0.25">
      <c r="A637" t="str">
        <f t="shared" si="40"/>
        <v>2012Eighty FourPetit Sirah</v>
      </c>
      <c r="B637" s="37">
        <v>2012</v>
      </c>
      <c r="C637" s="37" t="s">
        <v>318</v>
      </c>
      <c r="D637" s="37" t="s">
        <v>319</v>
      </c>
      <c r="E637" s="65" t="s">
        <v>320</v>
      </c>
      <c r="F637" s="9" t="s">
        <v>727</v>
      </c>
      <c r="G637" s="9" t="s">
        <v>806</v>
      </c>
      <c r="H637" s="9" t="s">
        <v>832</v>
      </c>
      <c r="I637" s="107">
        <v>1</v>
      </c>
      <c r="J637" s="37">
        <v>750</v>
      </c>
      <c r="K637" s="107" t="s">
        <v>619</v>
      </c>
      <c r="L637" s="37">
        <f>COUNTIF(Drank!A:A,Table1[[#This Row],[ID]])</f>
        <v>1</v>
      </c>
      <c r="M637" t="s">
        <v>202</v>
      </c>
      <c r="N637" t="s">
        <v>207</v>
      </c>
      <c r="O637">
        <v>1</v>
      </c>
      <c r="P637" s="37"/>
      <c r="R637" s="10">
        <f>IF(IFERROR(VLOOKUP(A637,Drank!A:S,15,FALSE),"")=0,"",IFERROR(VLOOKUP(A637,Drank!A:S,15,FALSE),""))</f>
        <v>2022</v>
      </c>
      <c r="S637" s="10">
        <f>IF(IFERROR(VLOOKUP(A637,Drank!A:S,16,FALSE),"")=0,"",IFERROR(VLOOKUP(A637,Drank!A:S,16,FALSE),""))</f>
        <v>2028</v>
      </c>
      <c r="T637" s="10"/>
      <c r="V637" s="18">
        <f>IF(IFERROR(VLOOKUP(A637,Drank!A:T,19,FALSE),"")=0,"",IFERROR(VLOOKUP(A637,Drank!A:T,19,FALSE),""))</f>
        <v>92</v>
      </c>
      <c r="W637" s="1">
        <f>IF(IFERROR(VLOOKUP(A637,Drank!A:T,20,FALSE),"")=0,"",IFERROR(VLOOKUP(A637,Drank!A:T,20,FALSE),""))</f>
        <v>43604</v>
      </c>
      <c r="X637" s="10">
        <f>SUMIF(A:A,A637,I:I)</f>
        <v>2</v>
      </c>
      <c r="Y637" s="37">
        <f>IF(Table1[[#This Row],[Drank]]&gt;0,VLOOKUP(Table1[[#This Row],[ID]],Drank!A:P,16,FALSE),IF(Table1[[#This Row],[WALDD]]&gt;0,VLOOKUP(Table1[[#This Row],[ID]],Wine1!A:Q,17,FALSE),Table1[[#This Row],[EP]]))</f>
        <v>2028</v>
      </c>
      <c r="Z637" s="18">
        <f>IF(Table1[[#This Row],[My Rating]]="",IF(Table1[[#This Row],[WA Rating Clean]]="","",Table1[[#This Row],[WA Rating Clean]]),Table1[[#This Row],[My Rating]])</f>
        <v>92</v>
      </c>
      <c r="AA637" s="37">
        <v>2025</v>
      </c>
      <c r="AB637" s="128">
        <v>39.99</v>
      </c>
      <c r="AC637" s="2">
        <f t="shared" si="41"/>
        <v>39.99</v>
      </c>
      <c r="AD637" s="8">
        <v>2</v>
      </c>
      <c r="AE637" s="37">
        <f>IF(Table1[[#This Row],[P/750]]&lt;20,1,IF(Table1[[#This Row],[P/750]]&lt;50,2,3))</f>
        <v>2</v>
      </c>
      <c r="AF637" s="37">
        <f>IF(Table1[[#This Row],[P/750]]&lt;Expenses!$C$30,1,IF(Table1[[#This Row],[P/750]]&lt;Expenses!$C$31,2,IF(Table1[[#This Row],[P/750]]&lt;Expenses!$C$32,3,4)))</f>
        <v>3</v>
      </c>
      <c r="AH637" s="37" t="s">
        <v>385</v>
      </c>
      <c r="AI637" s="11">
        <f>Table1[[#This Row],[Price]]/Table1[[#This Row],[Size (ml)]]*750</f>
        <v>39.99</v>
      </c>
      <c r="AK637" s="37">
        <f>COUNTIF(UniqueID!A:A,Table1[[#This Row],[ID]])</f>
        <v>1</v>
      </c>
      <c r="AL637" s="37" t="str">
        <f>VLOOKUP(Table1[[#This Row],[Cellar Location]],Location!A:F,6,FALSE)</f>
        <v>S</v>
      </c>
      <c r="AN637" s="37"/>
      <c r="AO637" s="37" t="str">
        <f>TEXT(Table1[[#This Row],[Purchased]],"mmmm")</f>
        <v>January</v>
      </c>
      <c r="AP637" s="10" t="str">
        <f>TEXT(Table1[[#This Row],[Purchased]],"yyyy")</f>
        <v>1900</v>
      </c>
      <c r="AQ637" s="10"/>
    </row>
    <row r="638" spans="1:43" x14ac:dyDescent="0.25">
      <c r="A638" t="str">
        <f t="shared" si="40"/>
        <v>2013Elia PalazzesiBrunello di Montalcino</v>
      </c>
      <c r="B638" s="37">
        <v>2013</v>
      </c>
      <c r="C638" s="37" t="s">
        <v>440</v>
      </c>
      <c r="D638" s="25" t="s">
        <v>19</v>
      </c>
      <c r="E638" s="67" t="s">
        <v>1250</v>
      </c>
      <c r="F638" s="37" t="s">
        <v>728</v>
      </c>
      <c r="G638" s="37" t="s">
        <v>790</v>
      </c>
      <c r="H638" s="37" t="s">
        <v>19</v>
      </c>
      <c r="I638" s="107">
        <v>1</v>
      </c>
      <c r="J638" s="37">
        <v>750</v>
      </c>
      <c r="K638" s="107" t="s">
        <v>645</v>
      </c>
      <c r="L638" s="37">
        <f>COUNTIF(Drank!A:A,Table1[[#This Row],[ID]])</f>
        <v>1</v>
      </c>
      <c r="M638" t="s">
        <v>202</v>
      </c>
      <c r="N638" t="s">
        <v>207</v>
      </c>
      <c r="O638">
        <v>1</v>
      </c>
      <c r="P638" s="10">
        <v>2020</v>
      </c>
      <c r="Q638">
        <v>2030</v>
      </c>
      <c r="R638" s="10">
        <f>IF(IFERROR(VLOOKUP(A638,Drank!A:S,15,FALSE),"")=0,"",IFERROR(VLOOKUP(A638,Drank!A:S,15,FALSE),""))</f>
        <v>2025</v>
      </c>
      <c r="S638" s="10">
        <f>IF(IFERROR(VLOOKUP(A638,Drank!A:S,16,FALSE),"")=0,"",IFERROR(VLOOKUP(A638,Drank!A:S,16,FALSE),""))</f>
        <v>2028</v>
      </c>
      <c r="T638" s="10"/>
      <c r="U638">
        <v>89</v>
      </c>
      <c r="V638" s="18">
        <f>IF(IFERROR(VLOOKUP(A638,Drank!A:T,19,FALSE),"")=0,"",IFERROR(VLOOKUP(A638,Drank!A:T,19,FALSE),""))</f>
        <v>89</v>
      </c>
      <c r="W638" s="1">
        <f>IF(IFERROR(VLOOKUP(A638,Drank!A:T,20,FALSE),"")=0,"",IFERROR(VLOOKUP(A638,Drank!A:T,20,FALSE),""))</f>
        <v>43884</v>
      </c>
      <c r="X638" s="10">
        <f>SUMIF(A:A,A638,I:I)</f>
        <v>3</v>
      </c>
      <c r="Y638" s="10">
        <f>IF(Table1[[#This Row],[Drank]]&gt;0,VLOOKUP(Table1[[#This Row],[ID]],Drank!A:P,16,FALSE),IF(Table1[[#This Row],[WALDD]]&gt;0,VLOOKUP(Table1[[#This Row],[ID]],Wine1!A:Q,17,FALSE),Table1[[#This Row],[EP]]))</f>
        <v>2028</v>
      </c>
      <c r="Z638" s="18">
        <f>IF(Table1[[#This Row],[My Rating]]="",IF(Table1[[#This Row],[WA Rating Clean]]="","",Table1[[#This Row],[WA Rating Clean]]),Table1[[#This Row],[My Rating]])</f>
        <v>89</v>
      </c>
      <c r="AA638" s="37">
        <v>2025</v>
      </c>
      <c r="AB638" s="128">
        <v>29.99</v>
      </c>
      <c r="AC638" s="2">
        <f t="shared" si="41"/>
        <v>29.99</v>
      </c>
      <c r="AD638" s="8">
        <v>2</v>
      </c>
      <c r="AE638" s="37">
        <f>IF(Table1[[#This Row],[P/750]]&lt;20,1,IF(Table1[[#This Row],[P/750]]&lt;50,2,3))</f>
        <v>2</v>
      </c>
      <c r="AF638" s="37">
        <f>IF(Table1[[#This Row],[P/750]]&lt;Expenses!$C$30,1,IF(Table1[[#This Row],[P/750]]&lt;Expenses!$C$31,2,IF(Table1[[#This Row],[P/750]]&lt;Expenses!$C$32,3,4)))</f>
        <v>3</v>
      </c>
      <c r="AH638" t="s">
        <v>384</v>
      </c>
      <c r="AI638" s="11">
        <f>Table1[[#This Row],[Price]]/Table1[[#This Row],[Size (ml)]]*750</f>
        <v>29.99</v>
      </c>
      <c r="AJ638">
        <v>89</v>
      </c>
      <c r="AK638" s="37">
        <f>COUNTIF(UniqueID!A:A,Table1[[#This Row],[ID]])</f>
        <v>1</v>
      </c>
      <c r="AL638" s="37" t="str">
        <f>VLOOKUP(Table1[[#This Row],[Cellar Location]],Location!A:F,6,FALSE)</f>
        <v>S</v>
      </c>
      <c r="AN638" s="37"/>
      <c r="AO638" t="str">
        <f>TEXT(Table1[[#This Row],[Purchased]],"mmmm")</f>
        <v>January</v>
      </c>
      <c r="AP638" s="10" t="str">
        <f>TEXT(Table1[[#This Row],[Purchased]],"yyyy")</f>
        <v>1900</v>
      </c>
      <c r="AQ638" s="10"/>
    </row>
    <row r="639" spans="1:43" x14ac:dyDescent="0.25">
      <c r="A639" t="str">
        <f t="shared" si="40"/>
        <v>2008LisiniBrunello di Montalcino</v>
      </c>
      <c r="B639" s="37">
        <v>2008</v>
      </c>
      <c r="C639" s="37" t="s">
        <v>27</v>
      </c>
      <c r="D639" s="37" t="s">
        <v>19</v>
      </c>
      <c r="E639" s="65" t="s">
        <v>280</v>
      </c>
      <c r="F639" s="37" t="s">
        <v>728</v>
      </c>
      <c r="G639" s="37" t="s">
        <v>790</v>
      </c>
      <c r="H639" s="37" t="s">
        <v>19</v>
      </c>
      <c r="I639" s="37">
        <v>1</v>
      </c>
      <c r="J639">
        <v>750</v>
      </c>
      <c r="K639" s="8" t="s">
        <v>11</v>
      </c>
      <c r="L639" s="37">
        <f>COUNTIF(Drank!A:A,Table1[[#This Row],[ID]])</f>
        <v>0</v>
      </c>
      <c r="M639" t="s">
        <v>202</v>
      </c>
      <c r="N639" t="s">
        <v>207</v>
      </c>
      <c r="O639">
        <v>1</v>
      </c>
      <c r="P639" s="37">
        <v>2015</v>
      </c>
      <c r="Q639">
        <v>2028</v>
      </c>
      <c r="R639" s="37" t="str">
        <f>IF(IFERROR(VLOOKUP(A639,Drank!A:S,15,FALSE),"")=0,"",IFERROR(VLOOKUP(A639,Drank!A:S,15,FALSE),""))</f>
        <v/>
      </c>
      <c r="S639" s="37" t="str">
        <f>IF(IFERROR(VLOOKUP(A639,Drank!A:S,16,FALSE),"")=0,"",IFERROR(VLOOKUP(A639,Drank!A:S,16,FALSE),""))</f>
        <v/>
      </c>
      <c r="T639" s="37"/>
      <c r="U639">
        <v>92</v>
      </c>
      <c r="V639" s="18" t="str">
        <f>IF(IFERROR(VLOOKUP(A639,Drank!A:T,19,FALSE),"")=0,"",IFERROR(VLOOKUP(A639,Drank!A:T,19,FALSE),""))</f>
        <v/>
      </c>
      <c r="W639" s="1" t="str">
        <f>IF(IFERROR(VLOOKUP(A639,Drank!A:T,20,FALSE),"")=0,"",IFERROR(VLOOKUP(A639,Drank!A:T,20,FALSE),""))</f>
        <v/>
      </c>
      <c r="X639" s="37">
        <f>SUMIF(A:A,A639,I:I)</f>
        <v>1</v>
      </c>
      <c r="Y639" s="37">
        <f>IF(Table1[[#This Row],[Drank]]&gt;0,VLOOKUP(Table1[[#This Row],[ID]],Drank!A:P,16,FALSE),IF(Table1[[#This Row],[WALDD]]&gt;0,VLOOKUP(Table1[[#This Row],[ID]],Wine1!A:Q,17,FALSE),Table1[[#This Row],[EP]]))</f>
        <v>2028</v>
      </c>
      <c r="Z639" s="18">
        <f>IF(Table1[[#This Row],[My Rating]]="",IF(Table1[[#This Row],[WA Rating Clean]]="","",Table1[[#This Row],[WA Rating Clean]]),Table1[[#This Row],[My Rating]])</f>
        <v>92</v>
      </c>
      <c r="AA639" s="37">
        <v>2025</v>
      </c>
      <c r="AB639" s="134">
        <v>48</v>
      </c>
      <c r="AC639" s="2">
        <f t="shared" si="41"/>
        <v>48</v>
      </c>
      <c r="AD639" s="8">
        <v>0</v>
      </c>
      <c r="AE639" s="37">
        <f>IF(Table1[[#This Row],[P/750]]&lt;20,1,IF(Table1[[#This Row],[P/750]]&lt;50,2,3))</f>
        <v>2</v>
      </c>
      <c r="AF639" s="37">
        <f>IF(Table1[[#This Row],[P/750]]&lt;Expenses!$C$30,1,IF(Table1[[#This Row],[P/750]]&lt;Expenses!$C$31,2,IF(Table1[[#This Row],[P/750]]&lt;Expenses!$C$32,3,4)))</f>
        <v>3</v>
      </c>
      <c r="AH639" s="37" t="s">
        <v>384</v>
      </c>
      <c r="AI639" s="11">
        <f>Table1[[#This Row],[Price]]/Table1[[#This Row],[Size (ml)]]*750</f>
        <v>48</v>
      </c>
      <c r="AJ639">
        <v>92</v>
      </c>
      <c r="AK639" s="37">
        <f>COUNTIF(UniqueID!A:A,Table1[[#This Row],[ID]])</f>
        <v>1</v>
      </c>
      <c r="AL639" s="37" t="str">
        <f>VLOOKUP(Table1[[#This Row],[Cellar Location]],Location!A:F,6,FALSE)</f>
        <v>K</v>
      </c>
      <c r="AN639" s="37"/>
      <c r="AO639" s="37" t="str">
        <f>TEXT(Table1[[#This Row],[Purchased]],"mmmm")</f>
        <v>January</v>
      </c>
      <c r="AP639" s="10" t="str">
        <f>TEXT(Table1[[#This Row],[Purchased]],"yyyy")</f>
        <v>1900</v>
      </c>
      <c r="AQ639" s="10"/>
    </row>
    <row r="640" spans="1:43" s="37" customFormat="1" x14ac:dyDescent="0.25">
      <c r="A640" s="37" t="str">
        <f t="shared" si="40"/>
        <v>2015Durfort VivensDurfort Vivens</v>
      </c>
      <c r="B640" s="8">
        <v>2015</v>
      </c>
      <c r="C640" s="37" t="s">
        <v>116</v>
      </c>
      <c r="D640" s="37" t="s">
        <v>116</v>
      </c>
      <c r="E640" s="67" t="s">
        <v>1262</v>
      </c>
      <c r="F640" s="37" t="s">
        <v>742</v>
      </c>
      <c r="G640" s="37" t="s">
        <v>748</v>
      </c>
      <c r="H640" s="37" t="s">
        <v>750</v>
      </c>
      <c r="I640" s="107">
        <v>1</v>
      </c>
      <c r="J640" s="37">
        <v>750</v>
      </c>
      <c r="K640" s="107" t="s">
        <v>653</v>
      </c>
      <c r="L640" s="37">
        <f>COUNTIF(Drank!A:A,Table1[[#This Row],[ID]])</f>
        <v>1</v>
      </c>
      <c r="M640" s="37" t="s">
        <v>202</v>
      </c>
      <c r="N640" s="37" t="s">
        <v>207</v>
      </c>
      <c r="O640" s="37">
        <v>1</v>
      </c>
      <c r="P640" s="37">
        <v>2018</v>
      </c>
      <c r="Q640" s="37">
        <v>2030</v>
      </c>
      <c r="R640" s="37">
        <f>IF(IFERROR(VLOOKUP(A640,Drank!A:S,15,FALSE),"")=0,"",IFERROR(VLOOKUP(A640,Drank!A:S,15,FALSE),""))</f>
        <v>2019</v>
      </c>
      <c r="S640" s="37">
        <f>IF(IFERROR(VLOOKUP(A640,Drank!A:S,16,FALSE),"")=0,"",IFERROR(VLOOKUP(A640,Drank!A:S,16,FALSE),""))</f>
        <v>2029</v>
      </c>
      <c r="U640" s="37" t="s">
        <v>117</v>
      </c>
      <c r="V640" s="18">
        <f>IF(IFERROR(VLOOKUP(A640,Drank!A:T,19,FALSE),"")=0,"",IFERROR(VLOOKUP(A640,Drank!A:T,19,FALSE),""))</f>
        <v>91</v>
      </c>
      <c r="W640" s="1">
        <f>IF(IFERROR(VLOOKUP(A640,Drank!A:T,20,FALSE),"")=0,"",IFERROR(VLOOKUP(A640,Drank!A:T,20,FALSE),""))</f>
        <v>43554</v>
      </c>
      <c r="X640" s="37">
        <f>SUMIF(A:A,A640,I:I)</f>
        <v>4</v>
      </c>
      <c r="Y640" s="37">
        <f>IF(Table1[[#This Row],[Drank]]&gt;0,VLOOKUP(Table1[[#This Row],[ID]],Drank!A:P,16,FALSE),IF(Table1[[#This Row],[WALDD]]&gt;0,VLOOKUP(Table1[[#This Row],[ID]],Wine1!A:Q,17,FALSE),Table1[[#This Row],[EP]]))</f>
        <v>2029</v>
      </c>
      <c r="Z640" s="18">
        <f>IF(Table1[[#This Row],[My Rating]]="",IF(Table1[[#This Row],[WA Rating Clean]]="","",Table1[[#This Row],[WA Rating Clean]]),Table1[[#This Row],[My Rating]])</f>
        <v>91</v>
      </c>
      <c r="AA640" s="6">
        <v>2025</v>
      </c>
      <c r="AB640" s="134">
        <v>70</v>
      </c>
      <c r="AC640" s="2">
        <f t="shared" si="41"/>
        <v>70</v>
      </c>
      <c r="AD640" s="8">
        <v>2</v>
      </c>
      <c r="AE640" s="37">
        <f>IF(Table1[[#This Row],[P/750]]&lt;20,1,IF(Table1[[#This Row],[P/750]]&lt;50,2,3))</f>
        <v>3</v>
      </c>
      <c r="AF640" s="37">
        <f>IF(Table1[[#This Row],[P/750]]&lt;Expenses!$C$30,1,IF(Table1[[#This Row],[P/750]]&lt;Expenses!$C$31,2,IF(Table1[[#This Row],[P/750]]&lt;Expenses!$C$32,3,4)))</f>
        <v>4</v>
      </c>
      <c r="AH640" s="37" t="s">
        <v>1130</v>
      </c>
      <c r="AI640" s="11">
        <f>Table1[[#This Row],[Price]]/Table1[[#This Row],[Size (ml)]]*750</f>
        <v>70</v>
      </c>
      <c r="AJ640" s="37">
        <v>90</v>
      </c>
      <c r="AK640" s="37">
        <f>COUNTIF(UniqueID!A:A,Table1[[#This Row],[ID]])</f>
        <v>1</v>
      </c>
      <c r="AL640" s="37" t="str">
        <f>VLOOKUP(Table1[[#This Row],[Cellar Location]],Location!A:F,6,FALSE)</f>
        <v>S</v>
      </c>
      <c r="AO640" s="37" t="str">
        <f>TEXT(Table1[[#This Row],[Purchased]],"mmmm")</f>
        <v>January</v>
      </c>
      <c r="AP640" s="10" t="str">
        <f>TEXT(Table1[[#This Row],[Purchased]],"yyyy")</f>
        <v>1900</v>
      </c>
      <c r="AQ640" s="10"/>
    </row>
    <row r="641" spans="1:43" s="37" customFormat="1" x14ac:dyDescent="0.25">
      <c r="A641" s="37" t="str">
        <f t="shared" si="40"/>
        <v>2017Richard RottiersMoulin-Ã -Vent Foudres</v>
      </c>
      <c r="B641" s="37">
        <v>2017</v>
      </c>
      <c r="C641" s="25" t="s">
        <v>445</v>
      </c>
      <c r="D641" s="37" t="s">
        <v>446</v>
      </c>
      <c r="E641" s="69" t="s">
        <v>336</v>
      </c>
      <c r="F641" s="37" t="s">
        <v>742</v>
      </c>
      <c r="G641" s="37" t="s">
        <v>745</v>
      </c>
      <c r="H641" s="37" t="s">
        <v>746</v>
      </c>
      <c r="I641" s="107">
        <v>1</v>
      </c>
      <c r="J641" s="37">
        <v>750</v>
      </c>
      <c r="K641" s="108" t="s">
        <v>591</v>
      </c>
      <c r="L641" s="10">
        <f>COUNTIF(Drank!A:A,Table1[[#This Row],[ID]])</f>
        <v>2</v>
      </c>
      <c r="M641" s="37" t="s">
        <v>202</v>
      </c>
      <c r="N641" s="37" t="s">
        <v>207</v>
      </c>
      <c r="O641" s="37">
        <v>1</v>
      </c>
      <c r="P641" s="10">
        <v>2019</v>
      </c>
      <c r="Q641" s="37">
        <v>2029</v>
      </c>
      <c r="R641" s="10">
        <f>IF(IFERROR(VLOOKUP(A641,Drank!A:S,15,FALSE),"")=0,"",IFERROR(VLOOKUP(A641,Drank!A:S,15,FALSE),""))</f>
        <v>2021</v>
      </c>
      <c r="S641" s="10">
        <f>IF(IFERROR(VLOOKUP(A641,Drank!A:S,16,FALSE),"")=0,"",IFERROR(VLOOKUP(A641,Drank!A:S,16,FALSE),""))</f>
        <v>2029</v>
      </c>
      <c r="T641" s="10"/>
      <c r="U641" s="37">
        <v>92</v>
      </c>
      <c r="V641" s="18">
        <f>IF(IFERROR(VLOOKUP(A641,Drank!A:T,19,FALSE),"")=0,"",IFERROR(VLOOKUP(A641,Drank!A:T,19,FALSE),""))</f>
        <v>90</v>
      </c>
      <c r="W641" s="1">
        <f>IF(IFERROR(VLOOKUP(A641,Drank!A:T,20,FALSE),"")=0,"",IFERROR(VLOOKUP(A641,Drank!A:T,20,FALSE),""))</f>
        <v>43835</v>
      </c>
      <c r="X641" s="10">
        <f>SUMIF(A:A,A641,I:I)</f>
        <v>10</v>
      </c>
      <c r="Y641" s="10">
        <f>IF(Table1[[#This Row],[Drank]]&gt;0,VLOOKUP(Table1[[#This Row],[ID]],Drank!A:P,16,FALSE),IF(Table1[[#This Row],[WALDD]]&gt;0,VLOOKUP(Table1[[#This Row],[ID]],Wine1!A:Q,17,FALSE),Table1[[#This Row],[EP]]))</f>
        <v>2029</v>
      </c>
      <c r="Z641" s="18">
        <f>IF(Table1[[#This Row],[My Rating]]="",IF(Table1[[#This Row],[WA Rating Clean]]="","",Table1[[#This Row],[WA Rating Clean]]),Table1[[#This Row],[My Rating]])</f>
        <v>90</v>
      </c>
      <c r="AA641" s="37">
        <v>2025</v>
      </c>
      <c r="AB641" s="128">
        <v>14.99</v>
      </c>
      <c r="AC641" s="2">
        <f t="shared" si="41"/>
        <v>14.99</v>
      </c>
      <c r="AD641" s="8">
        <v>2</v>
      </c>
      <c r="AE641" s="10">
        <f>IF(Table1[[#This Row],[P/750]]&lt;20,1,IF(Table1[[#This Row],[P/750]]&lt;50,2,3))</f>
        <v>1</v>
      </c>
      <c r="AF641" s="10">
        <f>IF(Table1[[#This Row],[P/750]]&lt;Expenses!$C$30,1,IF(Table1[[#This Row],[P/750]]&lt;Expenses!$C$31,2,IF(Table1[[#This Row],[P/750]]&lt;Expenses!$C$32,3,4)))</f>
        <v>1</v>
      </c>
      <c r="AH641" s="37" t="s">
        <v>384</v>
      </c>
      <c r="AI641" s="11">
        <f>Table1[[#This Row],[Price]]/Table1[[#This Row],[Size (ml)]]*750</f>
        <v>14.99</v>
      </c>
      <c r="AJ641" s="37">
        <v>92</v>
      </c>
      <c r="AK641" s="37">
        <f>COUNTIF(UniqueID!A:A,Table1[[#This Row],[ID]])</f>
        <v>1</v>
      </c>
      <c r="AL641" s="37" t="str">
        <f>VLOOKUP(Table1[[#This Row],[Cellar Location]],Location!A:F,6,FALSE)</f>
        <v>S</v>
      </c>
      <c r="AO641" s="37" t="str">
        <f>TEXT(Table1[[#This Row],[Purchased]],"mmmm")</f>
        <v>January</v>
      </c>
      <c r="AP641" s="10" t="str">
        <f>TEXT(Table1[[#This Row],[Purchased]],"yyyy")</f>
        <v>1900</v>
      </c>
      <c r="AQ641" s="10"/>
    </row>
    <row r="642" spans="1:43" s="37" customFormat="1" x14ac:dyDescent="0.25">
      <c r="A642" s="37" t="str">
        <f t="shared" si="40"/>
        <v>2017Richard RottiersMoulin-Ã -Vent Foudres</v>
      </c>
      <c r="B642" s="37">
        <v>2017</v>
      </c>
      <c r="C642" s="25" t="s">
        <v>445</v>
      </c>
      <c r="D642" s="37" t="s">
        <v>446</v>
      </c>
      <c r="E642" s="69" t="s">
        <v>336</v>
      </c>
      <c r="F642" s="37" t="s">
        <v>742</v>
      </c>
      <c r="G642" s="37" t="s">
        <v>745</v>
      </c>
      <c r="H642" s="37" t="s">
        <v>746</v>
      </c>
      <c r="I642" s="107">
        <v>1</v>
      </c>
      <c r="J642" s="37">
        <v>750</v>
      </c>
      <c r="K642" s="108" t="s">
        <v>591</v>
      </c>
      <c r="L642" s="10">
        <f>COUNTIF(Drank!A:A,Table1[[#This Row],[ID]])</f>
        <v>2</v>
      </c>
      <c r="M642" s="37" t="s">
        <v>202</v>
      </c>
      <c r="N642" s="37" t="s">
        <v>207</v>
      </c>
      <c r="O642" s="37">
        <v>1</v>
      </c>
      <c r="P642" s="10">
        <v>2019</v>
      </c>
      <c r="Q642" s="37">
        <v>2029</v>
      </c>
      <c r="R642" s="10">
        <f>IF(IFERROR(VLOOKUP(A642,Drank!A:S,15,FALSE),"")=0,"",IFERROR(VLOOKUP(A642,Drank!A:S,15,FALSE),""))</f>
        <v>2021</v>
      </c>
      <c r="S642" s="10">
        <f>IF(IFERROR(VLOOKUP(A642,Drank!A:S,16,FALSE),"")=0,"",IFERROR(VLOOKUP(A642,Drank!A:S,16,FALSE),""))</f>
        <v>2029</v>
      </c>
      <c r="T642" s="10"/>
      <c r="U642" s="37">
        <v>92</v>
      </c>
      <c r="V642" s="18">
        <f>IF(IFERROR(VLOOKUP(A642,Drank!A:T,19,FALSE),"")=0,"",IFERROR(VLOOKUP(A642,Drank!A:T,19,FALSE),""))</f>
        <v>90</v>
      </c>
      <c r="W642" s="1">
        <f>IF(IFERROR(VLOOKUP(A642,Drank!A:T,20,FALSE),"")=0,"",IFERROR(VLOOKUP(A642,Drank!A:T,20,FALSE),""))</f>
        <v>43835</v>
      </c>
      <c r="X642" s="10">
        <f>SUMIF(A:A,A642,I:I)</f>
        <v>10</v>
      </c>
      <c r="Y642" s="10">
        <f>IF(Table1[[#This Row],[Drank]]&gt;0,VLOOKUP(Table1[[#This Row],[ID]],Drank!A:P,16,FALSE),IF(Table1[[#This Row],[WALDD]]&gt;0,VLOOKUP(Table1[[#This Row],[ID]],Wine1!A:Q,17,FALSE),Table1[[#This Row],[EP]]))</f>
        <v>2029</v>
      </c>
      <c r="Z642" s="18">
        <f>IF(Table1[[#This Row],[My Rating]]="",IF(Table1[[#This Row],[WA Rating Clean]]="","",Table1[[#This Row],[WA Rating Clean]]),Table1[[#This Row],[My Rating]])</f>
        <v>90</v>
      </c>
      <c r="AA642" s="37">
        <v>2025</v>
      </c>
      <c r="AB642" s="128">
        <v>14.99</v>
      </c>
      <c r="AC642" s="2">
        <f t="shared" si="41"/>
        <v>14.99</v>
      </c>
      <c r="AD642" s="8">
        <v>2</v>
      </c>
      <c r="AE642" s="10">
        <f>IF(Table1[[#This Row],[P/750]]&lt;20,1,IF(Table1[[#This Row],[P/750]]&lt;50,2,3))</f>
        <v>1</v>
      </c>
      <c r="AF642" s="10">
        <f>IF(Table1[[#This Row],[P/750]]&lt;Expenses!$C$30,1,IF(Table1[[#This Row],[P/750]]&lt;Expenses!$C$31,2,IF(Table1[[#This Row],[P/750]]&lt;Expenses!$C$32,3,4)))</f>
        <v>1</v>
      </c>
      <c r="AH642" s="37" t="s">
        <v>384</v>
      </c>
      <c r="AI642" s="11">
        <f>Table1[[#This Row],[Price]]/Table1[[#This Row],[Size (ml)]]*750</f>
        <v>14.99</v>
      </c>
      <c r="AJ642" s="37">
        <v>92</v>
      </c>
      <c r="AK642" s="37">
        <f>COUNTIF(UniqueID!A:A,Table1[[#This Row],[ID]])</f>
        <v>1</v>
      </c>
      <c r="AL642" s="37" t="str">
        <f>VLOOKUP(Table1[[#This Row],[Cellar Location]],Location!A:F,6,FALSE)</f>
        <v>S</v>
      </c>
      <c r="AO642" s="37" t="str">
        <f>TEXT(Table1[[#This Row],[Purchased]],"mmmm")</f>
        <v>January</v>
      </c>
      <c r="AP642" s="10" t="str">
        <f>TEXT(Table1[[#This Row],[Purchased]],"yyyy")</f>
        <v>1900</v>
      </c>
      <c r="AQ642" s="10"/>
    </row>
    <row r="643" spans="1:43" s="37" customFormat="1" x14ac:dyDescent="0.25">
      <c r="A643" s="37" t="str">
        <f t="shared" si="40"/>
        <v>2017Altos Las HormigasMalbec Appellation Gualtallary</v>
      </c>
      <c r="B643" s="37">
        <v>2017</v>
      </c>
      <c r="C643" s="37" t="s">
        <v>232</v>
      </c>
      <c r="D643" s="9" t="s">
        <v>233</v>
      </c>
      <c r="E643" s="67" t="s">
        <v>1207</v>
      </c>
      <c r="F643" s="37" t="s">
        <v>731</v>
      </c>
      <c r="G643" s="37" t="s">
        <v>732</v>
      </c>
      <c r="H643" s="37" t="s">
        <v>1190</v>
      </c>
      <c r="I643" s="8">
        <v>1</v>
      </c>
      <c r="J643" s="107">
        <v>750</v>
      </c>
      <c r="K643" s="8" t="s">
        <v>1847</v>
      </c>
      <c r="L643" s="10">
        <f>COUNTIF(Drank!A:A,Table1[[#This Row],[ID]])</f>
        <v>1</v>
      </c>
      <c r="M643" s="37" t="s">
        <v>202</v>
      </c>
      <c r="N643" s="37" t="s">
        <v>207</v>
      </c>
      <c r="O643" s="37">
        <v>1</v>
      </c>
      <c r="P643" s="10">
        <v>2019</v>
      </c>
      <c r="Q643" s="37">
        <v>2030</v>
      </c>
      <c r="R643" s="10">
        <f>IF(IFERROR(VLOOKUP(A643,Drank!A:S,15,FALSE),"")=0,"",IFERROR(VLOOKUP(A643,Drank!A:S,15,FALSE),""))</f>
        <v>2022</v>
      </c>
      <c r="S643" s="10">
        <f>IF(IFERROR(VLOOKUP(A643,Drank!A:S,16,FALSE),"")=0,"",IFERROR(VLOOKUP(A643,Drank!A:S,16,FALSE),""))</f>
        <v>2030</v>
      </c>
      <c r="T643" s="10"/>
      <c r="U643" s="37" t="s">
        <v>1180</v>
      </c>
      <c r="V643" s="18">
        <f>IF(IFERROR(VLOOKUP(A643,Drank!A:T,19,FALSE),"")=0,"",IFERROR(VLOOKUP(A643,Drank!A:T,19,FALSE),""))</f>
        <v>94</v>
      </c>
      <c r="W643" s="1">
        <f>IF(IFERROR(VLOOKUP(A643,Drank!A:T,20,FALSE),"")=0,"",IFERROR(VLOOKUP(A643,Drank!A:T,20,FALSE),""))</f>
        <v>43953</v>
      </c>
      <c r="X643" s="10">
        <f>SUMIF(A:A,A643,I:I)</f>
        <v>38</v>
      </c>
      <c r="Y643" s="10">
        <f>IF(Table1[[#This Row],[Drank]]&gt;0,VLOOKUP(Table1[[#This Row],[ID]],Drank!A:P,16,FALSE),IF(Table1[[#This Row],[WALDD]]&gt;0,VLOOKUP(Table1[[#This Row],[ID]],Wine1!A:Q,17,FALSE),Table1[[#This Row],[EP]]))</f>
        <v>2030</v>
      </c>
      <c r="Z643" s="18">
        <f>IF(Table1[[#This Row],[My Rating]]="",IF(Table1[[#This Row],[WA Rating Clean]]="","",Table1[[#This Row],[WA Rating Clean]]),Table1[[#This Row],[My Rating]])</f>
        <v>94</v>
      </c>
      <c r="AA643" s="37">
        <v>2025</v>
      </c>
      <c r="AB643" s="128">
        <v>35.85</v>
      </c>
      <c r="AC643" s="2">
        <f t="shared" si="41"/>
        <v>35.85</v>
      </c>
      <c r="AD643" s="8">
        <v>1</v>
      </c>
      <c r="AE643" s="10">
        <f>IF(Table1[[#This Row],[P/750]]&lt;20,1,IF(Table1[[#This Row],[P/750]]&lt;50,2,3))</f>
        <v>2</v>
      </c>
      <c r="AF643" s="10">
        <f>IF(Table1[[#This Row],[P/750]]&lt;Expenses!$C$30,1,IF(Table1[[#This Row],[P/750]]&lt;Expenses!$C$31,2,IF(Table1[[#This Row],[P/750]]&lt;Expenses!$C$32,3,4)))</f>
        <v>3</v>
      </c>
      <c r="AH643" s="37" t="s">
        <v>1128</v>
      </c>
      <c r="AI643" s="11">
        <f>Table1[[#This Row],[Price]]/Table1[[#This Row],[Size (ml)]]*750</f>
        <v>35.85</v>
      </c>
      <c r="AJ643" s="37">
        <v>96</v>
      </c>
      <c r="AK643" s="10">
        <f>COUNTIF(UniqueID!A:A,Table1[[#This Row],[ID]])</f>
        <v>1</v>
      </c>
      <c r="AL643" s="10" t="str">
        <f>VLOOKUP(Table1[[#This Row],[Cellar Location]],Location!A:F,6,FALSE)</f>
        <v>S</v>
      </c>
      <c r="AN643" s="1">
        <v>44070</v>
      </c>
      <c r="AO643" s="10" t="str">
        <f>TEXT(Table1[[#This Row],[Purchased]],"mmmm")</f>
        <v>August</v>
      </c>
      <c r="AP643" s="10" t="str">
        <f>TEXT(Table1[[#This Row],[Purchased]],"yyyy")</f>
        <v>2020</v>
      </c>
      <c r="AQ643" s="1"/>
    </row>
    <row r="644" spans="1:43" s="37" customFormat="1" x14ac:dyDescent="0.25">
      <c r="A644" s="37" t="str">
        <f t="shared" si="40"/>
        <v>2017Altos Las HormigasMalbec Appellation Gualtallary</v>
      </c>
      <c r="B644" s="37">
        <v>2017</v>
      </c>
      <c r="C644" s="37" t="s">
        <v>232</v>
      </c>
      <c r="D644" s="9" t="s">
        <v>233</v>
      </c>
      <c r="E644" s="67" t="s">
        <v>1207</v>
      </c>
      <c r="F644" s="37" t="s">
        <v>731</v>
      </c>
      <c r="G644" s="37" t="s">
        <v>732</v>
      </c>
      <c r="H644" s="37" t="s">
        <v>1190</v>
      </c>
      <c r="I644" s="8">
        <v>1</v>
      </c>
      <c r="J644" s="107">
        <v>750</v>
      </c>
      <c r="K644" s="8" t="s">
        <v>1847</v>
      </c>
      <c r="L644" s="10">
        <f>COUNTIF(Drank!A:A,Table1[[#This Row],[ID]])</f>
        <v>1</v>
      </c>
      <c r="M644" s="37" t="s">
        <v>202</v>
      </c>
      <c r="N644" s="37" t="s">
        <v>207</v>
      </c>
      <c r="O644" s="37">
        <v>1</v>
      </c>
      <c r="P644" s="10">
        <v>2019</v>
      </c>
      <c r="Q644" s="37">
        <v>2030</v>
      </c>
      <c r="R644" s="10">
        <f>IF(IFERROR(VLOOKUP(A644,Drank!A:S,15,FALSE),"")=0,"",IFERROR(VLOOKUP(A644,Drank!A:S,15,FALSE),""))</f>
        <v>2022</v>
      </c>
      <c r="S644" s="10">
        <f>IF(IFERROR(VLOOKUP(A644,Drank!A:S,16,FALSE),"")=0,"",IFERROR(VLOOKUP(A644,Drank!A:S,16,FALSE),""))</f>
        <v>2030</v>
      </c>
      <c r="T644" s="10"/>
      <c r="U644" s="37" t="s">
        <v>1180</v>
      </c>
      <c r="V644" s="18">
        <f>IF(IFERROR(VLOOKUP(A644,Drank!A:T,19,FALSE),"")=0,"",IFERROR(VLOOKUP(A644,Drank!A:T,19,FALSE),""))</f>
        <v>94</v>
      </c>
      <c r="W644" s="1">
        <f>IF(IFERROR(VLOOKUP(A644,Drank!A:T,20,FALSE),"")=0,"",IFERROR(VLOOKUP(A644,Drank!A:T,20,FALSE),""))</f>
        <v>43953</v>
      </c>
      <c r="X644" s="10">
        <f>SUMIF(A:A,A644,I:I)</f>
        <v>38</v>
      </c>
      <c r="Y644" s="10">
        <f>IF(Table1[[#This Row],[Drank]]&gt;0,VLOOKUP(Table1[[#This Row],[ID]],Drank!A:P,16,FALSE),IF(Table1[[#This Row],[WALDD]]&gt;0,VLOOKUP(Table1[[#This Row],[ID]],Wine1!A:Q,17,FALSE),Table1[[#This Row],[EP]]))</f>
        <v>2030</v>
      </c>
      <c r="Z644" s="18">
        <f>IF(Table1[[#This Row],[My Rating]]="",IF(Table1[[#This Row],[WA Rating Clean]]="","",Table1[[#This Row],[WA Rating Clean]]),Table1[[#This Row],[My Rating]])</f>
        <v>94</v>
      </c>
      <c r="AA644" s="37">
        <v>2025</v>
      </c>
      <c r="AB644" s="128">
        <v>35.85</v>
      </c>
      <c r="AC644" s="2">
        <f t="shared" si="41"/>
        <v>35.85</v>
      </c>
      <c r="AD644" s="8">
        <v>1</v>
      </c>
      <c r="AE644" s="10">
        <f>IF(Table1[[#This Row],[P/750]]&lt;20,1,IF(Table1[[#This Row],[P/750]]&lt;50,2,3))</f>
        <v>2</v>
      </c>
      <c r="AF644" s="10">
        <f>IF(Table1[[#This Row],[P/750]]&lt;Expenses!$C$30,1,IF(Table1[[#This Row],[P/750]]&lt;Expenses!$C$31,2,IF(Table1[[#This Row],[P/750]]&lt;Expenses!$C$32,3,4)))</f>
        <v>3</v>
      </c>
      <c r="AH644" s="37" t="s">
        <v>1128</v>
      </c>
      <c r="AI644" s="11">
        <f>Table1[[#This Row],[Price]]/Table1[[#This Row],[Size (ml)]]*750</f>
        <v>35.85</v>
      </c>
      <c r="AJ644" s="37">
        <v>96</v>
      </c>
      <c r="AK644" s="10">
        <f>COUNTIF(UniqueID!A:A,Table1[[#This Row],[ID]])</f>
        <v>1</v>
      </c>
      <c r="AL644" s="10" t="str">
        <f>VLOOKUP(Table1[[#This Row],[Cellar Location]],Location!A:F,6,FALSE)</f>
        <v>S</v>
      </c>
      <c r="AN644" s="1">
        <v>44070</v>
      </c>
      <c r="AO644" s="10" t="str">
        <f>TEXT(Table1[[#This Row],[Purchased]],"mmmm")</f>
        <v>August</v>
      </c>
      <c r="AP644" s="10" t="str">
        <f>TEXT(Table1[[#This Row],[Purchased]],"yyyy")</f>
        <v>2020</v>
      </c>
      <c r="AQ644" s="1"/>
    </row>
    <row r="645" spans="1:43" s="37" customFormat="1" x14ac:dyDescent="0.25">
      <c r="A645" s="37" t="str">
        <f t="shared" si="40"/>
        <v>2017Altos Las HormigasMalbec Appellation Gualtallary</v>
      </c>
      <c r="B645" s="37">
        <v>2017</v>
      </c>
      <c r="C645" s="37" t="s">
        <v>232</v>
      </c>
      <c r="D645" s="9" t="s">
        <v>233</v>
      </c>
      <c r="E645" s="67" t="s">
        <v>1207</v>
      </c>
      <c r="F645" s="37" t="s">
        <v>731</v>
      </c>
      <c r="G645" s="37" t="s">
        <v>732</v>
      </c>
      <c r="H645" s="37" t="s">
        <v>1190</v>
      </c>
      <c r="I645" s="8">
        <v>1</v>
      </c>
      <c r="J645" s="107">
        <v>750</v>
      </c>
      <c r="K645" s="8" t="s">
        <v>1847</v>
      </c>
      <c r="L645" s="10">
        <f>COUNTIF(Drank!A:A,Table1[[#This Row],[ID]])</f>
        <v>1</v>
      </c>
      <c r="M645" s="37" t="s">
        <v>202</v>
      </c>
      <c r="N645" s="37" t="s">
        <v>207</v>
      </c>
      <c r="O645" s="37">
        <v>1</v>
      </c>
      <c r="P645" s="10">
        <v>2019</v>
      </c>
      <c r="Q645" s="37">
        <v>2030</v>
      </c>
      <c r="R645" s="10">
        <f>IF(IFERROR(VLOOKUP(A645,Drank!A:S,15,FALSE),"")=0,"",IFERROR(VLOOKUP(A645,Drank!A:S,15,FALSE),""))</f>
        <v>2022</v>
      </c>
      <c r="S645" s="10">
        <f>IF(IFERROR(VLOOKUP(A645,Drank!A:S,16,FALSE),"")=0,"",IFERROR(VLOOKUP(A645,Drank!A:S,16,FALSE),""))</f>
        <v>2030</v>
      </c>
      <c r="T645" s="10"/>
      <c r="U645" s="37" t="s">
        <v>1180</v>
      </c>
      <c r="V645" s="18">
        <f>IF(IFERROR(VLOOKUP(A645,Drank!A:T,19,FALSE),"")=0,"",IFERROR(VLOOKUP(A645,Drank!A:T,19,FALSE),""))</f>
        <v>94</v>
      </c>
      <c r="W645" s="1">
        <f>IF(IFERROR(VLOOKUP(A645,Drank!A:T,20,FALSE),"")=0,"",IFERROR(VLOOKUP(A645,Drank!A:T,20,FALSE),""))</f>
        <v>43953</v>
      </c>
      <c r="X645" s="10">
        <f>SUMIF(A:A,A645,I:I)</f>
        <v>38</v>
      </c>
      <c r="Y645" s="10">
        <f>IF(Table1[[#This Row],[Drank]]&gt;0,VLOOKUP(Table1[[#This Row],[ID]],Drank!A:P,16,FALSE),IF(Table1[[#This Row],[WALDD]]&gt;0,VLOOKUP(Table1[[#This Row],[ID]],Wine1!A:Q,17,FALSE),Table1[[#This Row],[EP]]))</f>
        <v>2030</v>
      </c>
      <c r="Z645" s="18">
        <f>IF(Table1[[#This Row],[My Rating]]="",IF(Table1[[#This Row],[WA Rating Clean]]="","",Table1[[#This Row],[WA Rating Clean]]),Table1[[#This Row],[My Rating]])</f>
        <v>94</v>
      </c>
      <c r="AA645" s="37">
        <v>2025</v>
      </c>
      <c r="AB645" s="128">
        <v>35.85</v>
      </c>
      <c r="AC645" s="2">
        <f t="shared" si="41"/>
        <v>35.85</v>
      </c>
      <c r="AD645" s="8">
        <v>1</v>
      </c>
      <c r="AE645" s="10">
        <f>IF(Table1[[#This Row],[P/750]]&lt;20,1,IF(Table1[[#This Row],[P/750]]&lt;50,2,3))</f>
        <v>2</v>
      </c>
      <c r="AF645" s="10">
        <f>IF(Table1[[#This Row],[P/750]]&lt;Expenses!$C$30,1,IF(Table1[[#This Row],[P/750]]&lt;Expenses!$C$31,2,IF(Table1[[#This Row],[P/750]]&lt;Expenses!$C$32,3,4)))</f>
        <v>3</v>
      </c>
      <c r="AH645" s="37" t="s">
        <v>1128</v>
      </c>
      <c r="AI645" s="11">
        <f>Table1[[#This Row],[Price]]/Table1[[#This Row],[Size (ml)]]*750</f>
        <v>35.85</v>
      </c>
      <c r="AJ645" s="37">
        <v>96</v>
      </c>
      <c r="AK645" s="10">
        <f>COUNTIF(UniqueID!A:A,Table1[[#This Row],[ID]])</f>
        <v>1</v>
      </c>
      <c r="AL645" s="10" t="str">
        <f>VLOOKUP(Table1[[#This Row],[Cellar Location]],Location!A:F,6,FALSE)</f>
        <v>S</v>
      </c>
      <c r="AN645" s="1">
        <v>44070</v>
      </c>
      <c r="AO645" s="10" t="str">
        <f>TEXT(Table1[[#This Row],[Purchased]],"mmmm")</f>
        <v>August</v>
      </c>
      <c r="AP645" s="10" t="str">
        <f>TEXT(Table1[[#This Row],[Purchased]],"yyyy")</f>
        <v>2020</v>
      </c>
      <c r="AQ645" s="1"/>
    </row>
    <row r="646" spans="1:43" x14ac:dyDescent="0.25">
      <c r="A646" t="str">
        <f t="shared" si="40"/>
        <v>2017Guy FargeSaint Joseph Terroir de Granit</v>
      </c>
      <c r="B646" s="8">
        <v>2017</v>
      </c>
      <c r="C646" s="8" t="s">
        <v>1430</v>
      </c>
      <c r="D646" s="37" t="s">
        <v>1456</v>
      </c>
      <c r="E646" s="67" t="s">
        <v>1431</v>
      </c>
      <c r="F646" s="37" t="s">
        <v>742</v>
      </c>
      <c r="G646" s="37" t="s">
        <v>759</v>
      </c>
      <c r="H646" s="37" t="s">
        <v>1432</v>
      </c>
      <c r="I646" s="107">
        <v>1</v>
      </c>
      <c r="J646" s="37">
        <v>750</v>
      </c>
      <c r="K646" s="108" t="s">
        <v>1505</v>
      </c>
      <c r="L646" s="10">
        <f>COUNTIF(Drank!A:A,Table1[[#This Row],[ID]])</f>
        <v>1</v>
      </c>
      <c r="M646" t="s">
        <v>202</v>
      </c>
      <c r="N646" t="s">
        <v>207</v>
      </c>
      <c r="O646">
        <v>1</v>
      </c>
      <c r="P646" s="37">
        <v>2019</v>
      </c>
      <c r="Q646">
        <v>2030</v>
      </c>
      <c r="R646" s="10">
        <f>IF(IFERROR(VLOOKUP(A646,Drank!A:S,15,FALSE),"")=0,"",IFERROR(VLOOKUP(A646,Drank!A:S,15,FALSE),""))</f>
        <v>2025</v>
      </c>
      <c r="S646" s="10">
        <f>IF(IFERROR(VLOOKUP(A646,Drank!A:S,16,FALSE),"")=0,"",IFERROR(VLOOKUP(A646,Drank!A:S,16,FALSE),""))</f>
        <v>2030</v>
      </c>
      <c r="T646" s="10"/>
      <c r="U646">
        <v>93</v>
      </c>
      <c r="V646" s="18">
        <f>IF(IFERROR(VLOOKUP(A646,Drank!A:T,19,FALSE),"")=0,"",IFERROR(VLOOKUP(A646,Drank!A:T,19,FALSE),""))</f>
        <v>93</v>
      </c>
      <c r="W646" s="1">
        <f>IF(IFERROR(VLOOKUP(A646,Drank!A:T,20,FALSE),"")=0,"",IFERROR(VLOOKUP(A646,Drank!A:T,20,FALSE),""))</f>
        <v>44016</v>
      </c>
      <c r="X646" s="10">
        <f>SUMIF(A:A,A646,I:I)</f>
        <v>3</v>
      </c>
      <c r="Y646" s="10">
        <f>IF(Table1[[#This Row],[Drank]]&gt;0,VLOOKUP(Table1[[#This Row],[ID]],Drank!A:P,16,FALSE),IF(Table1[[#This Row],[WALDD]]&gt;0,VLOOKUP(Table1[[#This Row],[ID]],Wine1!A:Q,17,FALSE),Table1[[#This Row],[EP]]))</f>
        <v>2030</v>
      </c>
      <c r="Z646" s="18">
        <f>IF(Table1[[#This Row],[My Rating]]="",IF(Table1[[#This Row],[WA Rating Clean]]="","",Table1[[#This Row],[WA Rating Clean]]),Table1[[#This Row],[My Rating]])</f>
        <v>93</v>
      </c>
      <c r="AA646" s="37">
        <v>2025</v>
      </c>
      <c r="AB646" s="128">
        <v>21.72</v>
      </c>
      <c r="AC646" s="2">
        <f t="shared" si="41"/>
        <v>21.72</v>
      </c>
      <c r="AD646" s="8">
        <v>2</v>
      </c>
      <c r="AE646" s="10">
        <f>IF(Table1[[#This Row],[P/750]]&lt;20,1,IF(Table1[[#This Row],[P/750]]&lt;50,2,3))</f>
        <v>2</v>
      </c>
      <c r="AF646" s="10">
        <f>IF(Table1[[#This Row],[P/750]]&lt;Expenses!$C$30,1,IF(Table1[[#This Row],[P/750]]&lt;Expenses!$C$31,2,IF(Table1[[#This Row],[P/750]]&lt;Expenses!$C$32,3,4)))</f>
        <v>2</v>
      </c>
      <c r="AH646" s="37" t="s">
        <v>384</v>
      </c>
      <c r="AI646" s="11">
        <f>Table1[[#This Row],[Price]]/Table1[[#This Row],[Size (ml)]]*750</f>
        <v>21.72</v>
      </c>
      <c r="AJ646">
        <v>93</v>
      </c>
      <c r="AK646" s="10">
        <f>COUNTIF(UniqueID!A:A,Table1[[#This Row],[ID]])</f>
        <v>0</v>
      </c>
      <c r="AL646" s="10" t="str">
        <f>VLOOKUP(Table1[[#This Row],[Cellar Location]],Location!A:F,6,FALSE)</f>
        <v>S</v>
      </c>
      <c r="AN646" s="1">
        <v>43998</v>
      </c>
      <c r="AO646" s="10" t="str">
        <f>TEXT(Table1[[#This Row],[Purchased]],"mmmm")</f>
        <v>June</v>
      </c>
      <c r="AP646" s="10" t="str">
        <f>TEXT(Table1[[#This Row],[Purchased]],"yyyy")</f>
        <v>2020</v>
      </c>
      <c r="AQ646" s="10"/>
    </row>
    <row r="647" spans="1:43" x14ac:dyDescent="0.25">
      <c r="A647" t="str">
        <f t="shared" si="40"/>
        <v>2017Tenuta San GuidoGuidalberto</v>
      </c>
      <c r="B647" s="37">
        <v>2017</v>
      </c>
      <c r="C647" s="37" t="s">
        <v>91</v>
      </c>
      <c r="D647" s="37" t="s">
        <v>1236</v>
      </c>
      <c r="E647" s="67" t="s">
        <v>1455</v>
      </c>
      <c r="F647" s="37" t="s">
        <v>728</v>
      </c>
      <c r="G647" s="37" t="s">
        <v>790</v>
      </c>
      <c r="H647" s="37" t="s">
        <v>796</v>
      </c>
      <c r="I647" s="107">
        <v>1</v>
      </c>
      <c r="J647" s="37">
        <v>750</v>
      </c>
      <c r="K647" s="107" t="s">
        <v>1407</v>
      </c>
      <c r="L647" s="10">
        <f>COUNTIF(Drank!A:A,Table1[[#This Row],[ID]])</f>
        <v>1</v>
      </c>
      <c r="M647" t="s">
        <v>202</v>
      </c>
      <c r="N647" t="s">
        <v>207</v>
      </c>
      <c r="O647">
        <v>1</v>
      </c>
      <c r="P647" s="37">
        <v>2019</v>
      </c>
      <c r="Q647">
        <v>2028</v>
      </c>
      <c r="R647" s="10">
        <f>IF(IFERROR(VLOOKUP(A647,Drank!A:S,15,FALSE),"")=0,"",IFERROR(VLOOKUP(A647,Drank!A:S,15,FALSE),""))</f>
        <v>2025</v>
      </c>
      <c r="S647" s="10">
        <f>IF(IFERROR(VLOOKUP(A647,Drank!A:S,16,FALSE),"")=0,"",IFERROR(VLOOKUP(A647,Drank!A:S,16,FALSE),""))</f>
        <v>2030</v>
      </c>
      <c r="T647" s="10"/>
      <c r="U647" t="s">
        <v>29</v>
      </c>
      <c r="V647" s="18">
        <f>IF(IFERROR(VLOOKUP(A647,Drank!A:T,19,FALSE),"")=0,"",IFERROR(VLOOKUP(A647,Drank!A:T,19,FALSE),""))</f>
        <v>94</v>
      </c>
      <c r="W647" s="1">
        <f>IF(IFERROR(VLOOKUP(A647,Drank!A:T,20,FALSE),"")=0,"",IFERROR(VLOOKUP(A647,Drank!A:T,20,FALSE),""))</f>
        <v>44010</v>
      </c>
      <c r="X647" s="10">
        <f>SUMIF(A:A,A647,I:I)</f>
        <v>5</v>
      </c>
      <c r="Y647" s="10">
        <f>IF(Table1[[#This Row],[Drank]]&gt;0,VLOOKUP(Table1[[#This Row],[ID]],Drank!A:P,16,FALSE),IF(Table1[[#This Row],[WALDD]]&gt;0,VLOOKUP(Table1[[#This Row],[ID]],Wine1!A:Q,17,FALSE),Table1[[#This Row],[EP]]))</f>
        <v>2030</v>
      </c>
      <c r="Z647" s="18">
        <f>IF(Table1[[#This Row],[My Rating]]="",IF(Table1[[#This Row],[WA Rating Clean]]="","",Table1[[#This Row],[WA Rating Clean]]),Table1[[#This Row],[My Rating]])</f>
        <v>94</v>
      </c>
      <c r="AA647" s="37">
        <v>2025</v>
      </c>
      <c r="AB647" s="128">
        <v>48.89</v>
      </c>
      <c r="AC647" s="2">
        <f t="shared" si="41"/>
        <v>48.89</v>
      </c>
      <c r="AD647" s="8">
        <v>2</v>
      </c>
      <c r="AE647" s="10">
        <f>IF(Table1[[#This Row],[P/750]]&lt;20,1,IF(Table1[[#This Row],[P/750]]&lt;50,2,3))</f>
        <v>2</v>
      </c>
      <c r="AF647" s="10">
        <f>IF(Table1[[#This Row],[P/750]]&lt;Expenses!$C$30,1,IF(Table1[[#This Row],[P/750]]&lt;Expenses!$C$31,2,IF(Table1[[#This Row],[P/750]]&lt;Expenses!$C$32,3,4)))</f>
        <v>3</v>
      </c>
      <c r="AH647" s="37" t="s">
        <v>1128</v>
      </c>
      <c r="AI647" s="11">
        <f>Table1[[#This Row],[Price]]/Table1[[#This Row],[Size (ml)]]*750</f>
        <v>48.89</v>
      </c>
      <c r="AJ647">
        <v>92</v>
      </c>
      <c r="AK647" s="10">
        <f>COUNTIF(UniqueID!A:A,Table1[[#This Row],[ID]])</f>
        <v>0</v>
      </c>
      <c r="AL647" s="10" t="str">
        <f>VLOOKUP(Table1[[#This Row],[Cellar Location]],Location!A:F,6,FALSE)</f>
        <v>S</v>
      </c>
      <c r="AN647" s="1">
        <v>43966</v>
      </c>
      <c r="AO647" s="10" t="str">
        <f>TEXT(Table1[[#This Row],[Purchased]],"mmmm")</f>
        <v>May</v>
      </c>
      <c r="AP647" s="10" t="str">
        <f>TEXT(Table1[[#This Row],[Purchased]],"yyyy")</f>
        <v>2020</v>
      </c>
      <c r="AQ647" s="10"/>
    </row>
    <row r="648" spans="1:43" x14ac:dyDescent="0.25">
      <c r="A648" t="str">
        <f t="shared" si="40"/>
        <v>2010Chateau Sigalas RabaudLieutenant de Sigalas</v>
      </c>
      <c r="B648" s="37">
        <v>2010</v>
      </c>
      <c r="C648" s="37" t="s">
        <v>1337</v>
      </c>
      <c r="D648" s="37" t="s">
        <v>1338</v>
      </c>
      <c r="E648" s="67" t="s">
        <v>1339</v>
      </c>
      <c r="F648" s="67" t="s">
        <v>742</v>
      </c>
      <c r="G648" s="37" t="s">
        <v>748</v>
      </c>
      <c r="H648" s="37" t="s">
        <v>260</v>
      </c>
      <c r="I648" s="107">
        <v>1</v>
      </c>
      <c r="J648">
        <v>375</v>
      </c>
      <c r="K648" s="107" t="s">
        <v>1504</v>
      </c>
      <c r="L648" s="10">
        <f>COUNTIF(Drank!A:A,Table1[[#This Row],[ID]])</f>
        <v>1</v>
      </c>
      <c r="M648" t="s">
        <v>201</v>
      </c>
      <c r="N648" t="s">
        <v>206</v>
      </c>
      <c r="O648">
        <v>0</v>
      </c>
      <c r="P648" s="10"/>
      <c r="R648" s="10">
        <f>IF(IFERROR(VLOOKUP(A648,Drank!A:S,15,FALSE),"")=0,"",IFERROR(VLOOKUP(A648,Drank!A:S,15,FALSE),""))</f>
        <v>2021</v>
      </c>
      <c r="S648" s="10">
        <f>IF(IFERROR(VLOOKUP(A648,Drank!A:S,16,FALSE),"")=0,"",IFERROR(VLOOKUP(A648,Drank!A:S,16,FALSE),""))</f>
        <v>2030</v>
      </c>
      <c r="T648" s="10">
        <v>2028</v>
      </c>
      <c r="V648" s="18">
        <f>IF(IFERROR(VLOOKUP(A648,Drank!A:T,19,FALSE),"")=0,"",IFERROR(VLOOKUP(A648,Drank!A:T,19,FALSE),""))</f>
        <v>88</v>
      </c>
      <c r="W648" s="1" t="str">
        <f>IF(IFERROR(VLOOKUP(A648,Drank!A:T,20,FALSE),"")=0,"",IFERROR(VLOOKUP(A648,Drank!A:T,20,FALSE),""))</f>
        <v/>
      </c>
      <c r="X648" s="10">
        <f>SUMIF(A:A,A648,I:I)</f>
        <v>9</v>
      </c>
      <c r="Y648" s="10">
        <f>IF(Table1[[#This Row],[Drank]]&gt;0,VLOOKUP(Table1[[#This Row],[ID]],Drank!A:P,16,FALSE),IF(Table1[[#This Row],[WALDD]]&gt;0,VLOOKUP(Table1[[#This Row],[ID]],Wine1!A:Q,17,FALSE),Table1[[#This Row],[EP]]))</f>
        <v>2030</v>
      </c>
      <c r="Z648" s="18">
        <f>IF(Table1[[#This Row],[My Rating]]="",IF(Table1[[#This Row],[WA Rating Clean]]="","",Table1[[#This Row],[WA Rating Clean]]),Table1[[#This Row],[My Rating]])</f>
        <v>88</v>
      </c>
      <c r="AA648" s="8">
        <v>2025</v>
      </c>
      <c r="AB648" s="128">
        <v>13.11</v>
      </c>
      <c r="AC648" s="2">
        <f t="shared" si="41"/>
        <v>13.11</v>
      </c>
      <c r="AD648" s="8">
        <v>2</v>
      </c>
      <c r="AE648" s="10">
        <f>IF(Table1[[#This Row],[P/750]]&lt;20,1,IF(Table1[[#This Row],[P/750]]&lt;50,2,3))</f>
        <v>2</v>
      </c>
      <c r="AF648" s="10">
        <f>IF(Table1[[#This Row],[P/750]]&lt;Expenses!$C$30,1,IF(Table1[[#This Row],[P/750]]&lt;Expenses!$C$31,2,IF(Table1[[#This Row],[P/750]]&lt;Expenses!$C$32,3,4)))</f>
        <v>2</v>
      </c>
      <c r="AH648" s="37" t="s">
        <v>385</v>
      </c>
      <c r="AI648" s="11">
        <f>Table1[[#This Row],[Price]]/Table1[[#This Row],[Size (ml)]]*750</f>
        <v>26.22</v>
      </c>
      <c r="AK648" s="10">
        <f>COUNTIF(UniqueID!A:A,Table1[[#This Row],[ID]])</f>
        <v>0</v>
      </c>
      <c r="AL648" s="10" t="str">
        <f>VLOOKUP(Table1[[#This Row],[Cellar Location]],Location!A:F,6,FALSE)</f>
        <v>S</v>
      </c>
      <c r="AN648" s="1">
        <v>43923</v>
      </c>
      <c r="AO648" s="10" t="str">
        <f>TEXT(Table1[[#This Row],[Purchased]],"mmmm")</f>
        <v>April</v>
      </c>
      <c r="AP648" s="10" t="str">
        <f>TEXT(Table1[[#This Row],[Purchased]],"yyyy")</f>
        <v>2020</v>
      </c>
      <c r="AQ648" s="10"/>
    </row>
    <row r="649" spans="1:43" x14ac:dyDescent="0.25">
      <c r="A649" t="str">
        <f t="shared" si="40"/>
        <v>2016Altos Las HormigasMalbec Appellation Gualtallary</v>
      </c>
      <c r="B649" s="8">
        <v>2016</v>
      </c>
      <c r="C649" s="37" t="s">
        <v>232</v>
      </c>
      <c r="D649" s="25" t="s">
        <v>233</v>
      </c>
      <c r="E649" s="68" t="s">
        <v>1207</v>
      </c>
      <c r="F649" s="9" t="s">
        <v>731</v>
      </c>
      <c r="G649" s="9" t="s">
        <v>732</v>
      </c>
      <c r="H649" s="9" t="s">
        <v>734</v>
      </c>
      <c r="I649" s="107">
        <v>1</v>
      </c>
      <c r="J649">
        <v>750</v>
      </c>
      <c r="K649" s="107" t="s">
        <v>646</v>
      </c>
      <c r="L649" s="37">
        <f>COUNTIF(Drank!A:A,Table1[[#This Row],[ID]])</f>
        <v>2</v>
      </c>
      <c r="M649" t="s">
        <v>202</v>
      </c>
      <c r="N649" t="s">
        <v>207</v>
      </c>
      <c r="O649">
        <v>1</v>
      </c>
      <c r="P649" s="37">
        <v>2018</v>
      </c>
      <c r="Q649">
        <v>2028</v>
      </c>
      <c r="R649" s="10">
        <f>IF(IFERROR(VLOOKUP(A649,Drank!A:S,15,FALSE),"")=0,"",IFERROR(VLOOKUP(A649,Drank!A:S,15,FALSE),""))</f>
        <v>2020</v>
      </c>
      <c r="S649" s="10">
        <f>IF(IFERROR(VLOOKUP(A649,Drank!A:S,16,FALSE),"")=0,"",IFERROR(VLOOKUP(A649,Drank!A:S,16,FALSE),""))</f>
        <v>2030</v>
      </c>
      <c r="T649" s="10"/>
      <c r="U649">
        <v>96</v>
      </c>
      <c r="V649" s="18">
        <f>IF(IFERROR(VLOOKUP(A649,Drank!A:T,19,FALSE),"")=0,"",IFERROR(VLOOKUP(A649,Drank!A:T,19,FALSE),""))</f>
        <v>95.5</v>
      </c>
      <c r="W649" s="1">
        <f>IF(IFERROR(VLOOKUP(A649,Drank!A:T,20,FALSE),"")=0,"",IFERROR(VLOOKUP(A649,Drank!A:T,20,FALSE),""))</f>
        <v>43611</v>
      </c>
      <c r="X649" s="10">
        <f>SUMIF(A:A,A649,I:I)</f>
        <v>4</v>
      </c>
      <c r="Y649" s="37">
        <f>IF(Table1[[#This Row],[Drank]]&gt;0,VLOOKUP(Table1[[#This Row],[ID]],Drank!A:P,16,FALSE),IF(Table1[[#This Row],[WALDD]]&gt;0,VLOOKUP(Table1[[#This Row],[ID]],Wine1!A:Q,17,FALSE),Table1[[#This Row],[EP]]))</f>
        <v>2030</v>
      </c>
      <c r="Z649" s="18">
        <f>IF(Table1[[#This Row],[My Rating]]="",IF(Table1[[#This Row],[WA Rating Clean]]="","",Table1[[#This Row],[WA Rating Clean]]),Table1[[#This Row],[My Rating]])</f>
        <v>95.5</v>
      </c>
      <c r="AA649" s="6">
        <v>2025</v>
      </c>
      <c r="AB649" s="128">
        <v>39.99</v>
      </c>
      <c r="AC649" s="2">
        <f t="shared" si="41"/>
        <v>39.99</v>
      </c>
      <c r="AD649" s="8">
        <v>2</v>
      </c>
      <c r="AE649" s="37">
        <f>IF(Table1[[#This Row],[P/750]]&lt;20,1,IF(Table1[[#This Row],[P/750]]&lt;50,2,3))</f>
        <v>2</v>
      </c>
      <c r="AF649" s="37">
        <f>IF(Table1[[#This Row],[P/750]]&lt;Expenses!$C$30,1,IF(Table1[[#This Row],[P/750]]&lt;Expenses!$C$31,2,IF(Table1[[#This Row],[P/750]]&lt;Expenses!$C$32,3,4)))</f>
        <v>3</v>
      </c>
      <c r="AH649" s="37" t="s">
        <v>371</v>
      </c>
      <c r="AI649" s="11">
        <f>Table1[[#This Row],[Price]]/Table1[[#This Row],[Size (ml)]]*750</f>
        <v>39.99</v>
      </c>
      <c r="AJ649">
        <v>96</v>
      </c>
      <c r="AK649" s="37">
        <f>COUNTIF(UniqueID!A:A,Table1[[#This Row],[ID]])</f>
        <v>1</v>
      </c>
      <c r="AL649" s="37" t="str">
        <f>VLOOKUP(Table1[[#This Row],[Cellar Location]],Location!A:F,6,FALSE)</f>
        <v>S</v>
      </c>
      <c r="AN649" s="37"/>
      <c r="AO649" s="37" t="str">
        <f>TEXT(Table1[[#This Row],[Purchased]],"mmmm")</f>
        <v>January</v>
      </c>
      <c r="AP649" s="10" t="str">
        <f>TEXT(Table1[[#This Row],[Purchased]],"yyyy")</f>
        <v>1900</v>
      </c>
      <c r="AQ649" s="10"/>
    </row>
    <row r="650" spans="1:43" x14ac:dyDescent="0.25">
      <c r="A650" t="str">
        <f t="shared" si="40"/>
        <v>2004Il PoggioneBrunello di Montalcino</v>
      </c>
      <c r="B650" s="37">
        <v>2004</v>
      </c>
      <c r="C650" s="37" t="s">
        <v>1124</v>
      </c>
      <c r="D650" s="37" t="s">
        <v>19</v>
      </c>
      <c r="E650" s="64" t="s">
        <v>280</v>
      </c>
      <c r="F650" s="37" t="s">
        <v>728</v>
      </c>
      <c r="G650" s="37" t="s">
        <v>790</v>
      </c>
      <c r="H650" s="37" t="s">
        <v>19</v>
      </c>
      <c r="I650" s="107">
        <v>1</v>
      </c>
      <c r="J650" s="37">
        <v>750</v>
      </c>
      <c r="K650" s="107" t="s">
        <v>1150</v>
      </c>
      <c r="L650" s="10">
        <f>COUNTIF(Drank!A:A,Table1[[#This Row],[ID]])</f>
        <v>0</v>
      </c>
      <c r="M650" t="s">
        <v>202</v>
      </c>
      <c r="N650" t="s">
        <v>207</v>
      </c>
      <c r="O650">
        <v>1</v>
      </c>
      <c r="P650" s="10">
        <v>2017</v>
      </c>
      <c r="Q650">
        <v>2030</v>
      </c>
      <c r="R650" s="10" t="str">
        <f>IF(IFERROR(VLOOKUP(A650,Drank!A:S,15,FALSE),"")=0,"",IFERROR(VLOOKUP(A650,Drank!A:S,15,FALSE),""))</f>
        <v/>
      </c>
      <c r="S650" s="10" t="str">
        <f>IF(IFERROR(VLOOKUP(A650,Drank!A:S,16,FALSE),"")=0,"",IFERROR(VLOOKUP(A650,Drank!A:S,16,FALSE),""))</f>
        <v/>
      </c>
      <c r="T650" s="10"/>
      <c r="U650">
        <v>94</v>
      </c>
      <c r="V650" s="18" t="str">
        <f>IF(IFERROR(VLOOKUP(A650,Drank!A:T,19,FALSE),"")=0,"",IFERROR(VLOOKUP(A650,Drank!A:T,19,FALSE),""))</f>
        <v/>
      </c>
      <c r="W650" s="1" t="str">
        <f>IF(IFERROR(VLOOKUP(A650,Drank!A:T,20,FALSE),"")=0,"",IFERROR(VLOOKUP(A650,Drank!A:T,20,FALSE),""))</f>
        <v/>
      </c>
      <c r="X650" s="10">
        <f>SUMIF(A:A,A650,I:I)</f>
        <v>1</v>
      </c>
      <c r="Y650" s="10">
        <f>IF(Table1[[#This Row],[Drank]]&gt;0,VLOOKUP(Table1[[#This Row],[ID]],Drank!A:P,16,FALSE),IF(Table1[[#This Row],[WALDD]]&gt;0,VLOOKUP(Table1[[#This Row],[ID]],Wine1!A:Q,17,FALSE),Table1[[#This Row],[EP]]))</f>
        <v>2030</v>
      </c>
      <c r="Z650" s="18">
        <f>IF(Table1[[#This Row],[My Rating]]="",IF(Table1[[#This Row],[WA Rating Clean]]="","",Table1[[#This Row],[WA Rating Clean]]),Table1[[#This Row],[My Rating]])</f>
        <v>94</v>
      </c>
      <c r="AA650" s="6">
        <v>2025</v>
      </c>
      <c r="AB650" s="128">
        <v>69.989999999999995</v>
      </c>
      <c r="AC650" s="2">
        <f t="shared" si="41"/>
        <v>69.989999999999995</v>
      </c>
      <c r="AD650" s="8">
        <v>2</v>
      </c>
      <c r="AE650" s="10">
        <f>IF(Table1[[#This Row],[P/750]]&lt;20,1,IF(Table1[[#This Row],[P/750]]&lt;50,2,3))</f>
        <v>3</v>
      </c>
      <c r="AF650" s="10">
        <f>IF(Table1[[#This Row],[P/750]]&lt;Expenses!$C$30,1,IF(Table1[[#This Row],[P/750]]&lt;Expenses!$C$31,2,IF(Table1[[#This Row],[P/750]]&lt;Expenses!$C$32,3,4)))</f>
        <v>4</v>
      </c>
      <c r="AH650" s="37" t="s">
        <v>415</v>
      </c>
      <c r="AI650" s="11">
        <f>Table1[[#This Row],[Price]]/Table1[[#This Row],[Size (ml)]]*750</f>
        <v>69.989999999999995</v>
      </c>
      <c r="AJ650">
        <v>94</v>
      </c>
      <c r="AK650" s="10">
        <f>COUNTIF(UniqueID!A:A,Table1[[#This Row],[ID]])</f>
        <v>1</v>
      </c>
      <c r="AL650" s="10" t="str">
        <f>VLOOKUP(Table1[[#This Row],[Cellar Location]],Location!A:F,6,FALSE)</f>
        <v>S</v>
      </c>
      <c r="AN650" s="1">
        <v>43832</v>
      </c>
      <c r="AO650" s="37" t="str">
        <f>TEXT(Table1[[#This Row],[Purchased]],"mmmm")</f>
        <v>January</v>
      </c>
      <c r="AP650" s="10" t="str">
        <f>TEXT(Table1[[#This Row],[Purchased]],"yyyy")</f>
        <v>2020</v>
      </c>
      <c r="AQ650" s="10"/>
    </row>
    <row r="651" spans="1:43" x14ac:dyDescent="0.25">
      <c r="A651" t="str">
        <f t="shared" si="40"/>
        <v>2012Poggio AnticoBrunello di Montalcino Altero</v>
      </c>
      <c r="B651" s="37">
        <v>2012</v>
      </c>
      <c r="C651" s="37" t="s">
        <v>223</v>
      </c>
      <c r="D651" s="37" t="s">
        <v>1181</v>
      </c>
      <c r="E651" s="64" t="s">
        <v>280</v>
      </c>
      <c r="F651" s="37" t="s">
        <v>728</v>
      </c>
      <c r="G651" s="37" t="s">
        <v>790</v>
      </c>
      <c r="H651" s="37" t="s">
        <v>19</v>
      </c>
      <c r="I651" s="107">
        <v>1</v>
      </c>
      <c r="J651">
        <v>750</v>
      </c>
      <c r="K651" s="107" t="s">
        <v>627</v>
      </c>
      <c r="L651" s="10">
        <f>COUNTIF(Drank!A:A,Table1[[#This Row],[ID]])</f>
        <v>0</v>
      </c>
      <c r="M651" t="s">
        <v>202</v>
      </c>
      <c r="N651" t="s">
        <v>207</v>
      </c>
      <c r="O651">
        <v>1</v>
      </c>
      <c r="P651" s="10">
        <v>2018</v>
      </c>
      <c r="Q651">
        <v>2030</v>
      </c>
      <c r="R651" s="10" t="str">
        <f>IF(IFERROR(VLOOKUP(A651,Drank!A:S,15,FALSE),"")=0,"",IFERROR(VLOOKUP(A651,Drank!A:S,15,FALSE),""))</f>
        <v/>
      </c>
      <c r="S651" s="10" t="str">
        <f>IF(IFERROR(VLOOKUP(A651,Drank!A:S,16,FALSE),"")=0,"",IFERROR(VLOOKUP(A651,Drank!A:S,16,FALSE),""))</f>
        <v/>
      </c>
      <c r="T651" s="10"/>
      <c r="U651">
        <v>95</v>
      </c>
      <c r="V651" s="18" t="str">
        <f>IF(IFERROR(VLOOKUP(A651,Drank!A:T,19,FALSE),"")=0,"",IFERROR(VLOOKUP(A651,Drank!A:T,19,FALSE),""))</f>
        <v/>
      </c>
      <c r="W651" s="1" t="str">
        <f>IF(IFERROR(VLOOKUP(A651,Drank!A:T,20,FALSE),"")=0,"",IFERROR(VLOOKUP(A651,Drank!A:T,20,FALSE),""))</f>
        <v/>
      </c>
      <c r="X651" s="10">
        <f>SUMIF(A:A,A651,I:I)</f>
        <v>3</v>
      </c>
      <c r="Y651" s="10">
        <f>IF(Table1[[#This Row],[Drank]]&gt;0,VLOOKUP(Table1[[#This Row],[ID]],Drank!A:P,16,FALSE),IF(Table1[[#This Row],[WALDD]]&gt;0,VLOOKUP(Table1[[#This Row],[ID]],Wine1!A:Q,17,FALSE),Table1[[#This Row],[EP]]))</f>
        <v>2030</v>
      </c>
      <c r="Z651" s="18">
        <f>IF(Table1[[#This Row],[My Rating]]="",IF(Table1[[#This Row],[WA Rating Clean]]="","",Table1[[#This Row],[WA Rating Clean]]),Table1[[#This Row],[My Rating]])</f>
        <v>95</v>
      </c>
      <c r="AA651" s="37">
        <v>2025</v>
      </c>
      <c r="AB651" s="128">
        <v>57.94</v>
      </c>
      <c r="AC651" s="2">
        <f t="shared" si="41"/>
        <v>57.94</v>
      </c>
      <c r="AD651" s="8">
        <v>2</v>
      </c>
      <c r="AE651" s="10">
        <f>IF(Table1[[#This Row],[P/750]]&lt;20,1,IF(Table1[[#This Row],[P/750]]&lt;50,2,3))</f>
        <v>3</v>
      </c>
      <c r="AF651" s="10">
        <f>IF(Table1[[#This Row],[P/750]]&lt;Expenses!$C$30,1,IF(Table1[[#This Row],[P/750]]&lt;Expenses!$C$31,2,IF(Table1[[#This Row],[P/750]]&lt;Expenses!$C$32,3,4)))</f>
        <v>3</v>
      </c>
      <c r="AH651" s="37" t="s">
        <v>1189</v>
      </c>
      <c r="AI651" s="11">
        <f>Table1[[#This Row],[Price]]/Table1[[#This Row],[Size (ml)]]*750</f>
        <v>57.94</v>
      </c>
      <c r="AJ651">
        <v>95</v>
      </c>
      <c r="AK651" s="10">
        <f>COUNTIF(UniqueID!A:A,Table1[[#This Row],[ID]])</f>
        <v>1</v>
      </c>
      <c r="AL651" s="10" t="str">
        <f>VLOOKUP(Table1[[#This Row],[Cellar Location]],Location!A:F,6,FALSE)</f>
        <v>S</v>
      </c>
      <c r="AN651" s="1">
        <v>43860</v>
      </c>
      <c r="AO651" s="37" t="str">
        <f>TEXT(Table1[[#This Row],[Purchased]],"mmmm")</f>
        <v>January</v>
      </c>
      <c r="AP651" s="10" t="str">
        <f>TEXT(Table1[[#This Row],[Purchased]],"yyyy")</f>
        <v>2020</v>
      </c>
      <c r="AQ651" s="10"/>
    </row>
    <row r="652" spans="1:43" x14ac:dyDescent="0.25">
      <c r="A652" t="str">
        <f t="shared" si="40"/>
        <v>2016Quinta do ValladoTouriga Nacional</v>
      </c>
      <c r="B652" s="8">
        <v>2016</v>
      </c>
      <c r="C652" s="30" t="s">
        <v>210</v>
      </c>
      <c r="D652" s="9" t="s">
        <v>211</v>
      </c>
      <c r="E652" s="68" t="s">
        <v>1221</v>
      </c>
      <c r="F652" s="9" t="s">
        <v>804</v>
      </c>
      <c r="G652" s="9" t="s">
        <v>805</v>
      </c>
      <c r="H652" s="9"/>
      <c r="I652" s="107">
        <v>1</v>
      </c>
      <c r="J652" s="37">
        <v>750</v>
      </c>
      <c r="K652" s="108" t="s">
        <v>591</v>
      </c>
      <c r="L652" s="37">
        <f>COUNTIF(Drank!A:A,Table1[[#This Row],[ID]])</f>
        <v>4</v>
      </c>
      <c r="M652" t="s">
        <v>202</v>
      </c>
      <c r="N652" t="s">
        <v>207</v>
      </c>
      <c r="O652">
        <v>1</v>
      </c>
      <c r="P652" s="37">
        <v>2020</v>
      </c>
      <c r="Q652">
        <v>2032</v>
      </c>
      <c r="R652" s="37">
        <f>IF(IFERROR(VLOOKUP(A652,Drank!A:S,15,FALSE),"")=0,"",IFERROR(VLOOKUP(A652,Drank!A:S,15,FALSE),""))</f>
        <v>2021</v>
      </c>
      <c r="S652" s="37">
        <f>IF(IFERROR(VLOOKUP(A652,Drank!A:S,16,FALSE),"")=0,"",IFERROR(VLOOKUP(A652,Drank!A:S,16,FALSE),""))</f>
        <v>2030</v>
      </c>
      <c r="T652" s="37"/>
      <c r="U652">
        <v>93</v>
      </c>
      <c r="V652" s="18">
        <f>IF(IFERROR(VLOOKUP(A652,Drank!A:T,19,FALSE),"")=0,"",IFERROR(VLOOKUP(A652,Drank!A:T,19,FALSE),""))</f>
        <v>92</v>
      </c>
      <c r="W652" s="1">
        <f>IF(IFERROR(VLOOKUP(A652,Drank!A:T,20,FALSE),"")=0,"",IFERROR(VLOOKUP(A652,Drank!A:T,20,FALSE),""))</f>
        <v>43847</v>
      </c>
      <c r="X652" s="37">
        <f>SUMIF(A:A,A652,I:I)</f>
        <v>7</v>
      </c>
      <c r="Y652" s="37">
        <f>IF(Table1[[#This Row],[Drank]]&gt;0,VLOOKUP(Table1[[#This Row],[ID]],Drank!A:P,16,FALSE),IF(Table1[[#This Row],[WALDD]]&gt;0,VLOOKUP(Table1[[#This Row],[ID]],Wine1!A:Q,17,FALSE),Table1[[#This Row],[EP]]))</f>
        <v>2030</v>
      </c>
      <c r="Z652" s="18">
        <f>IF(Table1[[#This Row],[My Rating]]="",IF(Table1[[#This Row],[WA Rating Clean]]="","",Table1[[#This Row],[WA Rating Clean]]),Table1[[#This Row],[My Rating]])</f>
        <v>92</v>
      </c>
      <c r="AA652" s="37">
        <v>2025</v>
      </c>
      <c r="AB652" s="128">
        <v>24.99</v>
      </c>
      <c r="AC652" s="2">
        <f t="shared" si="41"/>
        <v>24.99</v>
      </c>
      <c r="AD652" s="8">
        <v>2</v>
      </c>
      <c r="AE652" s="37">
        <f>IF(Table1[[#This Row],[P/750]]&lt;20,1,IF(Table1[[#This Row],[P/750]]&lt;50,2,3))</f>
        <v>2</v>
      </c>
      <c r="AF652" s="37">
        <f>IF(Table1[[#This Row],[P/750]]&lt;Expenses!$C$30,1,IF(Table1[[#This Row],[P/750]]&lt;Expenses!$C$31,2,IF(Table1[[#This Row],[P/750]]&lt;Expenses!$C$32,3,4)))</f>
        <v>2</v>
      </c>
      <c r="AH652" s="37" t="s">
        <v>384</v>
      </c>
      <c r="AI652" s="11">
        <f>Table1[[#This Row],[Price]]/Table1[[#This Row],[Size (ml)]]*750</f>
        <v>24.989999999999995</v>
      </c>
      <c r="AJ652">
        <v>93</v>
      </c>
      <c r="AK652" s="37">
        <f>COUNTIF(UniqueID!A:A,Table1[[#This Row],[ID]])</f>
        <v>1</v>
      </c>
      <c r="AL652" s="37" t="str">
        <f>VLOOKUP(Table1[[#This Row],[Cellar Location]],Location!A:F,6,FALSE)</f>
        <v>S</v>
      </c>
      <c r="AN652" s="37"/>
      <c r="AO652" s="37" t="str">
        <f>TEXT(Table1[[#This Row],[Purchased]],"mmmm")</f>
        <v>January</v>
      </c>
      <c r="AP652" s="10" t="str">
        <f>TEXT(Table1[[#This Row],[Purchased]],"yyyy")</f>
        <v>1900</v>
      </c>
      <c r="AQ652" s="10"/>
    </row>
    <row r="653" spans="1:43" s="37" customFormat="1" x14ac:dyDescent="0.25">
      <c r="A653" s="37" t="str">
        <f t="shared" si="40"/>
        <v>2016Tenuta San GuidoGuidalberto</v>
      </c>
      <c r="B653" s="37">
        <v>2016</v>
      </c>
      <c r="C653" s="37" t="s">
        <v>91</v>
      </c>
      <c r="D653" s="37" t="s">
        <v>1236</v>
      </c>
      <c r="E653" s="67" t="s">
        <v>1455</v>
      </c>
      <c r="F653" s="37" t="s">
        <v>728</v>
      </c>
      <c r="G653" s="37" t="s">
        <v>790</v>
      </c>
      <c r="H653" s="37" t="s">
        <v>796</v>
      </c>
      <c r="I653" s="107">
        <v>1</v>
      </c>
      <c r="J653" s="37">
        <v>750</v>
      </c>
      <c r="K653" s="107" t="s">
        <v>1313</v>
      </c>
      <c r="L653" s="10">
        <f>COUNTIF(Drank!A:A,Table1[[#This Row],[ID]])</f>
        <v>1</v>
      </c>
      <c r="M653" s="37" t="s">
        <v>202</v>
      </c>
      <c r="N653" s="37" t="s">
        <v>207</v>
      </c>
      <c r="O653" s="37">
        <v>1</v>
      </c>
      <c r="P653" s="37">
        <v>2019</v>
      </c>
      <c r="Q653" s="37">
        <v>2030</v>
      </c>
      <c r="R653" s="10">
        <f>IF(IFERROR(VLOOKUP(A653,Drank!A:S,15,FALSE),"")=0,"",IFERROR(VLOOKUP(A653,Drank!A:S,15,FALSE),""))</f>
        <v>2025</v>
      </c>
      <c r="S653" s="10">
        <f>IF(IFERROR(VLOOKUP(A653,Drank!A:S,16,FALSE),"")=0,"",IFERROR(VLOOKUP(A653,Drank!A:S,16,FALSE),""))</f>
        <v>2030</v>
      </c>
      <c r="T653" s="10"/>
      <c r="U653" s="37" t="s">
        <v>17</v>
      </c>
      <c r="V653" s="18">
        <f>IF(IFERROR(VLOOKUP(A653,Drank!A:T,19,FALSE),"")=0,"",IFERROR(VLOOKUP(A653,Drank!A:T,19,FALSE),""))</f>
        <v>93</v>
      </c>
      <c r="W653" s="1">
        <f>IF(IFERROR(VLOOKUP(A653,Drank!A:T,20,FALSE),"")=0,"",IFERROR(VLOOKUP(A653,Drank!A:T,20,FALSE),""))</f>
        <v>43866</v>
      </c>
      <c r="X653" s="10">
        <f>SUMIF(A:A,A653,I:I)</f>
        <v>6</v>
      </c>
      <c r="Y653" s="10">
        <f>IF(Table1[[#This Row],[Drank]]&gt;0,VLOOKUP(Table1[[#This Row],[ID]],Drank!A:P,16,FALSE),IF(Table1[[#This Row],[WALDD]]&gt;0,VLOOKUP(Table1[[#This Row],[ID]],Wine1!A:Q,17,FALSE),Table1[[#This Row],[EP]]))</f>
        <v>2030</v>
      </c>
      <c r="Z653" s="18">
        <f>IF(Table1[[#This Row],[My Rating]]="",IF(Table1[[#This Row],[WA Rating Clean]]="","",Table1[[#This Row],[WA Rating Clean]]),Table1[[#This Row],[My Rating]])</f>
        <v>93</v>
      </c>
      <c r="AA653" s="37">
        <v>2025</v>
      </c>
      <c r="AB653" s="128">
        <v>44.25</v>
      </c>
      <c r="AC653" s="2">
        <f t="shared" si="41"/>
        <v>44.25</v>
      </c>
      <c r="AD653" s="8">
        <v>2</v>
      </c>
      <c r="AE653" s="10">
        <f>IF(Table1[[#This Row],[P/750]]&lt;20,1,IF(Table1[[#This Row],[P/750]]&lt;50,2,3))</f>
        <v>2</v>
      </c>
      <c r="AF653" s="10">
        <f>IF(Table1[[#This Row],[P/750]]&lt;Expenses!$C$30,1,IF(Table1[[#This Row],[P/750]]&lt;Expenses!$C$31,2,IF(Table1[[#This Row],[P/750]]&lt;Expenses!$C$32,3,4)))</f>
        <v>3</v>
      </c>
      <c r="AH653" s="37" t="s">
        <v>1238</v>
      </c>
      <c r="AI653" s="11">
        <f>Table1[[#This Row],[Price]]/Table1[[#This Row],[Size (ml)]]*750</f>
        <v>44.25</v>
      </c>
      <c r="AJ653" s="37">
        <v>94</v>
      </c>
      <c r="AK653" s="10">
        <f>COUNTIF(UniqueID!A:A,Table1[[#This Row],[ID]])</f>
        <v>1</v>
      </c>
      <c r="AL653" s="10" t="str">
        <f>VLOOKUP(Table1[[#This Row],[Cellar Location]],Location!A:F,6,FALSE)</f>
        <v>S</v>
      </c>
      <c r="AN653" s="1">
        <v>43869</v>
      </c>
      <c r="AO653" s="37" t="str">
        <f>TEXT(Table1[[#This Row],[Purchased]],"mmmm")</f>
        <v>February</v>
      </c>
      <c r="AP653" s="10" t="str">
        <f>TEXT(Table1[[#This Row],[Purchased]],"yyyy")</f>
        <v>2020</v>
      </c>
      <c r="AQ653" s="10"/>
    </row>
    <row r="654" spans="1:43" s="37" customFormat="1" x14ac:dyDescent="0.25">
      <c r="A654" s="37" t="str">
        <f t="shared" si="40"/>
        <v>2016Tour Saint-MichelChateauneuf du Pape Cuvee des Deux Soeurs</v>
      </c>
      <c r="B654" s="37">
        <v>2016</v>
      </c>
      <c r="C654" s="37" t="s">
        <v>712</v>
      </c>
      <c r="D654" s="37" t="s">
        <v>713</v>
      </c>
      <c r="E654" s="67" t="s">
        <v>1254</v>
      </c>
      <c r="F654" s="37" t="s">
        <v>742</v>
      </c>
      <c r="G654" s="37" t="s">
        <v>759</v>
      </c>
      <c r="H654" s="9" t="s">
        <v>762</v>
      </c>
      <c r="I654" s="107">
        <v>1</v>
      </c>
      <c r="J654" s="37">
        <v>750</v>
      </c>
      <c r="K654" s="107" t="s">
        <v>716</v>
      </c>
      <c r="L654" s="10">
        <f>COUNTIF(Drank!A:A,Table1[[#This Row],[ID]])</f>
        <v>1</v>
      </c>
      <c r="M654" s="37" t="s">
        <v>202</v>
      </c>
      <c r="N654" s="37" t="s">
        <v>207</v>
      </c>
      <c r="O654" s="37">
        <v>1</v>
      </c>
      <c r="P654" s="10">
        <v>2018</v>
      </c>
      <c r="Q654" s="37">
        <v>2028</v>
      </c>
      <c r="R654" s="10">
        <f>IF(IFERROR(VLOOKUP(A654,Drank!A:S,15,FALSE),"")=0,"",IFERROR(VLOOKUP(A654,Drank!A:S,15,FALSE),""))</f>
        <v>2025</v>
      </c>
      <c r="S654" s="10">
        <f>IF(IFERROR(VLOOKUP(A654,Drank!A:S,16,FALSE),"")=0,"",IFERROR(VLOOKUP(A654,Drank!A:S,16,FALSE),""))</f>
        <v>2030</v>
      </c>
      <c r="T654" s="10"/>
      <c r="U654" s="37">
        <v>92</v>
      </c>
      <c r="V654" s="18">
        <f>IF(IFERROR(VLOOKUP(A654,Drank!A:T,19,FALSE),"")=0,"",IFERROR(VLOOKUP(A654,Drank!A:T,19,FALSE),""))</f>
        <v>92</v>
      </c>
      <c r="W654" s="1">
        <f>IF(IFERROR(VLOOKUP(A654,Drank!A:T,20,FALSE),"")=0,"",IFERROR(VLOOKUP(A654,Drank!A:T,20,FALSE),""))</f>
        <v>43921</v>
      </c>
      <c r="X654" s="10">
        <f>SUMIF(A:A,A654,I:I)</f>
        <v>3</v>
      </c>
      <c r="Y654" s="10">
        <f>IF(Table1[[#This Row],[Drank]]&gt;0,VLOOKUP(Table1[[#This Row],[ID]],Drank!A:P,16,FALSE),IF(Table1[[#This Row],[WALDD]]&gt;0,VLOOKUP(Table1[[#This Row],[ID]],Wine1!A:Q,17,FALSE),Table1[[#This Row],[EP]]))</f>
        <v>2030</v>
      </c>
      <c r="Z654" s="18">
        <f>IF(Table1[[#This Row],[My Rating]]="",IF(Table1[[#This Row],[WA Rating Clean]]="","",Table1[[#This Row],[WA Rating Clean]]),Table1[[#This Row],[My Rating]])</f>
        <v>92</v>
      </c>
      <c r="AA654" s="37">
        <v>2025</v>
      </c>
      <c r="AB654" s="128">
        <v>24.99</v>
      </c>
      <c r="AC654" s="2">
        <f t="shared" si="41"/>
        <v>24.99</v>
      </c>
      <c r="AD654" s="8">
        <v>2</v>
      </c>
      <c r="AE654" s="10">
        <f>IF(Table1[[#This Row],[P/750]]&lt;20,1,IF(Table1[[#This Row],[P/750]]&lt;50,2,3))</f>
        <v>2</v>
      </c>
      <c r="AF654" s="10">
        <f>IF(Table1[[#This Row],[P/750]]&lt;Expenses!$C$30,1,IF(Table1[[#This Row],[P/750]]&lt;Expenses!$C$31,2,IF(Table1[[#This Row],[P/750]]&lt;Expenses!$C$32,3,4)))</f>
        <v>2</v>
      </c>
      <c r="AH654" s="37" t="s">
        <v>384</v>
      </c>
      <c r="AI654" s="11">
        <f>Table1[[#This Row],[Price]]/Table1[[#This Row],[Size (ml)]]*750</f>
        <v>24.989999999999995</v>
      </c>
      <c r="AJ654" s="37">
        <v>92</v>
      </c>
      <c r="AK654" s="10">
        <f>COUNTIF(UniqueID!A:A,Table1[[#This Row],[ID]])</f>
        <v>1</v>
      </c>
      <c r="AL654" s="37" t="str">
        <f>VLOOKUP(Table1[[#This Row],[Cellar Location]],Location!A:F,6,FALSE)</f>
        <v>S</v>
      </c>
      <c r="AN654" s="1">
        <v>43815</v>
      </c>
      <c r="AO654" s="37" t="str">
        <f>TEXT(Table1[[#This Row],[Purchased]],"mmmm")</f>
        <v>December</v>
      </c>
      <c r="AP654" s="10" t="str">
        <f>TEXT(Table1[[#This Row],[Purchased]],"yyyy")</f>
        <v>2019</v>
      </c>
      <c r="AQ654" s="10"/>
    </row>
    <row r="655" spans="1:43" s="37" customFormat="1" x14ac:dyDescent="0.25">
      <c r="A655" s="37" t="str">
        <f t="shared" si="40"/>
        <v>2015Xavier VignonCotes du Rhone Villages Arcane XIX Le Soleil</v>
      </c>
      <c r="B655" s="37">
        <v>2015</v>
      </c>
      <c r="C655" s="8" t="s">
        <v>405</v>
      </c>
      <c r="D655" s="25" t="s">
        <v>1856</v>
      </c>
      <c r="E655" s="68" t="s">
        <v>1222</v>
      </c>
      <c r="F655" s="37" t="s">
        <v>742</v>
      </c>
      <c r="G655" s="37" t="s">
        <v>759</v>
      </c>
      <c r="H655" s="37" t="s">
        <v>760</v>
      </c>
      <c r="I655" s="107">
        <v>1</v>
      </c>
      <c r="J655" s="37">
        <v>750</v>
      </c>
      <c r="K655" s="107" t="s">
        <v>647</v>
      </c>
      <c r="L655" s="37">
        <f>COUNTIF(Drank!A:A,Table1[[#This Row],[ID]])</f>
        <v>2</v>
      </c>
      <c r="M655" s="37" t="s">
        <v>202</v>
      </c>
      <c r="N655" s="37" t="s">
        <v>207</v>
      </c>
      <c r="O655" s="37">
        <v>1</v>
      </c>
      <c r="P655" s="37">
        <v>2017</v>
      </c>
      <c r="Q655" s="37">
        <v>2027</v>
      </c>
      <c r="R655" s="10">
        <f>IF(IFERROR(VLOOKUP(A655,Drank!A:S,15,FALSE),"")=0,"",IFERROR(VLOOKUP(A655,Drank!A:S,15,FALSE),""))</f>
        <v>2021</v>
      </c>
      <c r="S655" s="10">
        <f>IF(IFERROR(VLOOKUP(A655,Drank!A:S,16,FALSE),"")=0,"",IFERROR(VLOOKUP(A655,Drank!A:S,16,FALSE),""))</f>
        <v>2025</v>
      </c>
      <c r="T655" s="10"/>
      <c r="U655" s="37">
        <v>94</v>
      </c>
      <c r="V655" s="18">
        <f>IF(IFERROR(VLOOKUP(A655,Drank!A:T,19,FALSE),"")=0,"",IFERROR(VLOOKUP(A655,Drank!A:T,19,FALSE),""))</f>
        <v>93</v>
      </c>
      <c r="W655" s="1">
        <f>IF(IFERROR(VLOOKUP(A655,Drank!A:T,20,FALSE),"")=0,"",IFERROR(VLOOKUP(A655,Drank!A:T,20,FALSE),""))</f>
        <v>44071</v>
      </c>
      <c r="X655" s="10">
        <f>SUMIF(A:A,A655,I:I)</f>
        <v>6</v>
      </c>
      <c r="Y655" s="37">
        <f>IF(Table1[[#This Row],[Drank]]&gt;0,VLOOKUP(Table1[[#This Row],[ID]],Drank!A:P,16,FALSE),IF(Table1[[#This Row],[WALDD]]&gt;0,VLOOKUP(Table1[[#This Row],[ID]],Wine1!A:Q,17,FALSE),Table1[[#This Row],[EP]]))</f>
        <v>2025</v>
      </c>
      <c r="Z655" s="18">
        <f>IF(Table1[[#This Row],[My Rating]]="",IF(Table1[[#This Row],[WA Rating Clean]]="","",Table1[[#This Row],[WA Rating Clean]]),Table1[[#This Row],[My Rating]])</f>
        <v>93</v>
      </c>
      <c r="AA655" s="37">
        <v>2025</v>
      </c>
      <c r="AB655" s="128">
        <v>20</v>
      </c>
      <c r="AC655" s="2">
        <f t="shared" si="41"/>
        <v>20</v>
      </c>
      <c r="AD655" s="8">
        <v>2</v>
      </c>
      <c r="AE655" s="37">
        <f>IF(Table1[[#This Row],[P/750]]&lt;20,1,IF(Table1[[#This Row],[P/750]]&lt;50,2,3))</f>
        <v>2</v>
      </c>
      <c r="AF655" s="37">
        <f>IF(Table1[[#This Row],[P/750]]&lt;Expenses!$C$30,1,IF(Table1[[#This Row],[P/750]]&lt;Expenses!$C$31,2,IF(Table1[[#This Row],[P/750]]&lt;Expenses!$C$32,3,4)))</f>
        <v>2</v>
      </c>
      <c r="AH655" s="37" t="s">
        <v>385</v>
      </c>
      <c r="AI655" s="11">
        <f>Table1[[#This Row],[Price]]/Table1[[#This Row],[Size (ml)]]*750</f>
        <v>20</v>
      </c>
      <c r="AJ655" s="37">
        <v>94</v>
      </c>
      <c r="AK655" s="37">
        <f>COUNTIF(UniqueID!A:A,Table1[[#This Row],[ID]])</f>
        <v>0</v>
      </c>
      <c r="AL655" s="37" t="str">
        <f>VLOOKUP(Table1[[#This Row],[Cellar Location]],Location!A:F,6,FALSE)</f>
        <v>S</v>
      </c>
      <c r="AO655" s="37" t="str">
        <f>TEXT(Table1[[#This Row],[Purchased]],"mmmm")</f>
        <v>January</v>
      </c>
      <c r="AP655" s="10" t="str">
        <f>TEXT(Table1[[#This Row],[Purchased]],"yyyy")</f>
        <v>1900</v>
      </c>
      <c r="AQ655" s="10"/>
    </row>
    <row r="656" spans="1:43" s="37" customFormat="1" x14ac:dyDescent="0.25">
      <c r="A656" s="37" t="str">
        <f t="shared" si="40"/>
        <v>2016Tenuta di NozzoleChianti Classico Riserva Nozzole</v>
      </c>
      <c r="B656" s="37">
        <v>2016</v>
      </c>
      <c r="C656" s="8" t="s">
        <v>100</v>
      </c>
      <c r="D656" s="37" t="s">
        <v>101</v>
      </c>
      <c r="E656" s="64" t="s">
        <v>399</v>
      </c>
      <c r="F656" s="37" t="s">
        <v>728</v>
      </c>
      <c r="G656" s="37" t="s">
        <v>790</v>
      </c>
      <c r="H656" s="37" t="s">
        <v>792</v>
      </c>
      <c r="I656" s="107">
        <v>1</v>
      </c>
      <c r="J656" s="37">
        <v>750</v>
      </c>
      <c r="K656" s="107" t="s">
        <v>1314</v>
      </c>
      <c r="L656" s="37">
        <f>COUNTIF(Drank!A:A,Table1[[#This Row],[ID]])</f>
        <v>3</v>
      </c>
      <c r="M656" s="37" t="s">
        <v>202</v>
      </c>
      <c r="N656" s="37" t="s">
        <v>207</v>
      </c>
      <c r="O656" s="37">
        <v>1</v>
      </c>
      <c r="P656" s="37">
        <v>2019</v>
      </c>
      <c r="Q656" s="37">
        <v>2027</v>
      </c>
      <c r="R656" s="10">
        <f>IF(IFERROR(VLOOKUP(A656,Drank!A:S,15,FALSE),"")=0,"",IFERROR(VLOOKUP(A656,Drank!A:S,15,FALSE),""))</f>
        <v>2024</v>
      </c>
      <c r="S656" s="10">
        <f>IF(IFERROR(VLOOKUP(A656,Drank!A:S,16,FALSE),"")=0,"",IFERROR(VLOOKUP(A656,Drank!A:S,16,FALSE),""))</f>
        <v>2030</v>
      </c>
      <c r="T656" s="10"/>
      <c r="U656" s="37">
        <v>92</v>
      </c>
      <c r="V656" s="18">
        <f>IF(IFERROR(VLOOKUP(A656,Drank!A:T,19,FALSE),"")=0,"",IFERROR(VLOOKUP(A656,Drank!A:T,19,FALSE),""))</f>
        <v>91.333333333333329</v>
      </c>
      <c r="W656" s="1">
        <f>IF(IFERROR(VLOOKUP(A656,Drank!A:T,20,FALSE),"")=0,"",IFERROR(VLOOKUP(A656,Drank!A:T,20,FALSE),""))</f>
        <v>44058</v>
      </c>
      <c r="X656" s="10">
        <f>SUMIF(A:A,A656,I:I)</f>
        <v>6</v>
      </c>
      <c r="Y656" s="37">
        <f>IF(Table1[[#This Row],[Drank]]&gt;0,VLOOKUP(Table1[[#This Row],[ID]],Drank!A:P,16,FALSE),IF(Table1[[#This Row],[WALDD]]&gt;0,VLOOKUP(Table1[[#This Row],[ID]],Wine1!A:Q,17,FALSE),Table1[[#This Row],[EP]]))</f>
        <v>2030</v>
      </c>
      <c r="Z656" s="18">
        <f>IF(Table1[[#This Row],[My Rating]]="",IF(Table1[[#This Row],[WA Rating Clean]]="","",Table1[[#This Row],[WA Rating Clean]]),Table1[[#This Row],[My Rating]])</f>
        <v>91.333333333333329</v>
      </c>
      <c r="AA656" s="8">
        <v>2025</v>
      </c>
      <c r="AB656" s="128">
        <v>19.59</v>
      </c>
      <c r="AC656" s="2">
        <f t="shared" si="41"/>
        <v>19.59</v>
      </c>
      <c r="AD656" s="8">
        <v>2</v>
      </c>
      <c r="AE656" s="37">
        <f>IF(Table1[[#This Row],[P/750]]&lt;20,1,IF(Table1[[#This Row],[P/750]]&lt;50,2,3))</f>
        <v>1</v>
      </c>
      <c r="AF656" s="37">
        <f>IF(Table1[[#This Row],[P/750]]&lt;Expenses!$C$30,1,IF(Table1[[#This Row],[P/750]]&lt;Expenses!$C$31,2,IF(Table1[[#This Row],[P/750]]&lt;Expenses!$C$32,3,4)))</f>
        <v>2</v>
      </c>
      <c r="AH656" s="25" t="s">
        <v>1128</v>
      </c>
      <c r="AI656" s="11">
        <f>Table1[[#This Row],[Price]]/Table1[[#This Row],[Size (ml)]]*750</f>
        <v>19.59</v>
      </c>
      <c r="AJ656" s="37">
        <v>92</v>
      </c>
      <c r="AK656" s="37">
        <f>COUNTIF(UniqueID!A:A,Table1[[#This Row],[ID]])</f>
        <v>1</v>
      </c>
      <c r="AL656" s="37" t="str">
        <f>VLOOKUP(Table1[[#This Row],[Cellar Location]],Location!A:F,6,FALSE)</f>
        <v>S</v>
      </c>
      <c r="AN656" s="1">
        <v>43879</v>
      </c>
      <c r="AO656" s="37" t="str">
        <f>TEXT(Table1[[#This Row],[Purchased]],"mmmm")</f>
        <v>February</v>
      </c>
      <c r="AP656" s="10" t="str">
        <f>TEXT(Table1[[#This Row],[Purchased]],"yyyy")</f>
        <v>2020</v>
      </c>
      <c r="AQ656" s="10"/>
    </row>
    <row r="657" spans="1:43" s="37" customFormat="1" x14ac:dyDescent="0.25">
      <c r="A657" s="37" t="str">
        <f t="shared" si="40"/>
        <v>2015MasiAmarone della Valpolicella Classico Costasera</v>
      </c>
      <c r="B657" s="37">
        <v>2015</v>
      </c>
      <c r="C657" s="25" t="s">
        <v>37</v>
      </c>
      <c r="D657" s="37" t="s">
        <v>53</v>
      </c>
      <c r="E657" s="64" t="s">
        <v>313</v>
      </c>
      <c r="F657" s="37" t="s">
        <v>728</v>
      </c>
      <c r="G657" s="37" t="s">
        <v>799</v>
      </c>
      <c r="H657" s="37" t="s">
        <v>800</v>
      </c>
      <c r="I657" s="8">
        <v>1</v>
      </c>
      <c r="J657" s="107">
        <v>750</v>
      </c>
      <c r="K657" s="8" t="s">
        <v>1542</v>
      </c>
      <c r="L657" s="37">
        <f>COUNTIF(Drank!A:A,Table1[[#This Row],[ID]])</f>
        <v>1</v>
      </c>
      <c r="M657" s="37" t="s">
        <v>202</v>
      </c>
      <c r="N657" s="37" t="s">
        <v>207</v>
      </c>
      <c r="O657" s="37">
        <v>1</v>
      </c>
      <c r="R657" s="10">
        <f>IF(IFERROR(VLOOKUP(A657,Drank!A:S,15,FALSE),"")=0,"",IFERROR(VLOOKUP(A657,Drank!A:S,15,FALSE),""))</f>
        <v>2030</v>
      </c>
      <c r="S657" s="10">
        <f>IF(IFERROR(VLOOKUP(A657,Drank!A:S,16,FALSE),"")=0,"",IFERROR(VLOOKUP(A657,Drank!A:S,16,FALSE),""))</f>
        <v>2030</v>
      </c>
      <c r="T657" s="10"/>
      <c r="V657" s="18">
        <f>IF(IFERROR(VLOOKUP(A657,Drank!A:T,19,FALSE),"")=0,"",IFERROR(VLOOKUP(A657,Drank!A:T,19,FALSE),""))</f>
        <v>94</v>
      </c>
      <c r="W657" s="1">
        <f>IF(IFERROR(VLOOKUP(A657,Drank!A:T,20,FALSE),"")=0,"",IFERROR(VLOOKUP(A657,Drank!A:T,20,FALSE),""))</f>
        <v>43918</v>
      </c>
      <c r="X657" s="10">
        <f>SUMIF(A:A,A657,I:I)</f>
        <v>11</v>
      </c>
      <c r="Y657" s="37">
        <f>IF(Table1[[#This Row],[Drank]]&gt;0,VLOOKUP(Table1[[#This Row],[ID]],Drank!A:P,16,FALSE),IF(Table1[[#This Row],[WALDD]]&gt;0,VLOOKUP(Table1[[#This Row],[ID]],Wine1!A:Q,17,FALSE),Table1[[#This Row],[EP]]))</f>
        <v>2030</v>
      </c>
      <c r="Z657" s="18">
        <f>IF(Table1[[#This Row],[My Rating]]="",IF(Table1[[#This Row],[WA Rating Clean]]="","",Table1[[#This Row],[WA Rating Clean]]),Table1[[#This Row],[My Rating]])</f>
        <v>94</v>
      </c>
      <c r="AA657" s="37">
        <v>2025</v>
      </c>
      <c r="AB657" s="128">
        <v>58.65</v>
      </c>
      <c r="AC657" s="2">
        <f t="shared" si="41"/>
        <v>58.65</v>
      </c>
      <c r="AD657" s="8">
        <v>0</v>
      </c>
      <c r="AE657" s="37">
        <f>IF(Table1[[#This Row],[P/750]]&lt;20,1,IF(Table1[[#This Row],[P/750]]&lt;50,2,3))</f>
        <v>3</v>
      </c>
      <c r="AF657" s="37">
        <f>IF(Table1[[#This Row],[P/750]]&lt;Expenses!$C$30,1,IF(Table1[[#This Row],[P/750]]&lt;Expenses!$C$31,2,IF(Table1[[#This Row],[P/750]]&lt;Expenses!$C$32,3,4)))</f>
        <v>3</v>
      </c>
      <c r="AH657" s="37" t="s">
        <v>1128</v>
      </c>
      <c r="AI657" s="11">
        <f>Table1[[#This Row],[Price]]/Table1[[#This Row],[Size (ml)]]*750</f>
        <v>58.649999999999991</v>
      </c>
      <c r="AK657" s="37">
        <f>COUNTIF(UniqueID!A:A,Table1[[#This Row],[ID]])</f>
        <v>0</v>
      </c>
      <c r="AL657" s="37" t="str">
        <f>VLOOKUP(Table1[[#This Row],[Cellar Location]],Location!A:F,6,FALSE)</f>
        <v>S</v>
      </c>
      <c r="AN657" s="1">
        <v>44037</v>
      </c>
      <c r="AO657" s="37" t="str">
        <f>TEXT(Table1[[#This Row],[Purchased]],"mmmm")</f>
        <v>July</v>
      </c>
      <c r="AP657" s="10" t="str">
        <f>TEXT(Table1[[#This Row],[Purchased]],"yyyy")</f>
        <v>2020</v>
      </c>
      <c r="AQ657" s="10"/>
    </row>
    <row r="658" spans="1:43" s="37" customFormat="1" x14ac:dyDescent="0.25">
      <c r="A658" s="37" t="str">
        <f t="shared" si="40"/>
        <v>2013BrancaiaIlatraia</v>
      </c>
      <c r="B658" s="37">
        <v>2013</v>
      </c>
      <c r="C658" s="37" t="s">
        <v>140</v>
      </c>
      <c r="D658" s="37" t="s">
        <v>372</v>
      </c>
      <c r="E658" s="67" t="s">
        <v>1637</v>
      </c>
      <c r="F658" s="37" t="s">
        <v>728</v>
      </c>
      <c r="G658" s="37" t="s">
        <v>790</v>
      </c>
      <c r="H658" s="37" t="s">
        <v>794</v>
      </c>
      <c r="I658" s="8">
        <v>1</v>
      </c>
      <c r="J658" s="107">
        <v>750</v>
      </c>
      <c r="K658" s="8" t="s">
        <v>1852</v>
      </c>
      <c r="L658" s="37">
        <f>COUNTIF(Drank!A:A,Table1[[#This Row],[ID]])</f>
        <v>1</v>
      </c>
      <c r="M658" s="37" t="s">
        <v>202</v>
      </c>
      <c r="N658" s="37" t="s">
        <v>207</v>
      </c>
      <c r="O658" s="37">
        <v>1</v>
      </c>
      <c r="P658" s="37">
        <v>2017</v>
      </c>
      <c r="Q658" s="37">
        <v>2030</v>
      </c>
      <c r="R658" s="10">
        <f>IF(IFERROR(VLOOKUP(A658,Drank!A:S,15,FALSE),"")=0,"",IFERROR(VLOOKUP(A658,Drank!A:S,15,FALSE),""))</f>
        <v>2027</v>
      </c>
      <c r="S658" s="10">
        <f>IF(IFERROR(VLOOKUP(A658,Drank!A:S,16,FALSE),"")=0,"",IFERROR(VLOOKUP(A658,Drank!A:S,16,FALSE),""))</f>
        <v>2030</v>
      </c>
      <c r="T658" s="10"/>
      <c r="U658" s="37">
        <v>97</v>
      </c>
      <c r="V658" s="18">
        <f>IF(IFERROR(VLOOKUP(A658,Drank!A:T,19,FALSE),"")=0,"",IFERROR(VLOOKUP(A658,Drank!A:T,19,FALSE),""))</f>
        <v>92</v>
      </c>
      <c r="W658" s="1">
        <f>IF(IFERROR(VLOOKUP(A658,Drank!A:T,20,FALSE),"")=0,"",IFERROR(VLOOKUP(A658,Drank!A:T,20,FALSE),""))</f>
        <v>44067</v>
      </c>
      <c r="X658" s="10">
        <f>SUMIF(A:A,A658,I:I)</f>
        <v>8</v>
      </c>
      <c r="Y658" s="37">
        <f>IF(Table1[[#This Row],[Drank]]&gt;0,VLOOKUP(Table1[[#This Row],[ID]],Drank!A:P,16,FALSE),IF(Table1[[#This Row],[WALDD]]&gt;0,VLOOKUP(Table1[[#This Row],[ID]],Wine1!A:Q,17,FALSE),Table1[[#This Row],[EP]]))</f>
        <v>2030</v>
      </c>
      <c r="Z658" s="18">
        <f>IF(Table1[[#This Row],[My Rating]]="",IF(Table1[[#This Row],[WA Rating Clean]]="","",Table1[[#This Row],[WA Rating Clean]]),Table1[[#This Row],[My Rating]])</f>
        <v>92</v>
      </c>
      <c r="AA658" s="8">
        <v>2025</v>
      </c>
      <c r="AB658" s="128">
        <v>50.69</v>
      </c>
      <c r="AC658" s="2">
        <f t="shared" si="41"/>
        <v>50.69</v>
      </c>
      <c r="AD658" s="8">
        <v>2</v>
      </c>
      <c r="AE658" s="37">
        <f>IF(Table1[[#This Row],[P/750]]&lt;20,1,IF(Table1[[#This Row],[P/750]]&lt;50,2,3))</f>
        <v>3</v>
      </c>
      <c r="AF658" s="37">
        <f>IF(Table1[[#This Row],[P/750]]&lt;Expenses!$C$30,1,IF(Table1[[#This Row],[P/750]]&lt;Expenses!$C$31,2,IF(Table1[[#This Row],[P/750]]&lt;Expenses!$C$32,3,4)))</f>
        <v>3</v>
      </c>
      <c r="AH658" s="37" t="s">
        <v>1128</v>
      </c>
      <c r="AI658" s="11">
        <f>Table1[[#This Row],[Price]]/Table1[[#This Row],[Size (ml)]]*750</f>
        <v>50.690000000000005</v>
      </c>
      <c r="AJ658" s="37">
        <v>97</v>
      </c>
      <c r="AK658" s="37">
        <f>COUNTIF(UniqueID!A:A,Table1[[#This Row],[ID]])</f>
        <v>1</v>
      </c>
      <c r="AL658" s="37" t="str">
        <f>VLOOKUP(Table1[[#This Row],[Cellar Location]],Location!A:F,6,FALSE)</f>
        <v>S</v>
      </c>
      <c r="AN658" s="1">
        <v>44070</v>
      </c>
      <c r="AO658" s="37" t="str">
        <f>TEXT(Table1[[#This Row],[Purchased]],"mmmm")</f>
        <v>August</v>
      </c>
      <c r="AP658" s="10" t="str">
        <f>TEXT(Table1[[#This Row],[Purchased]],"yyyy")</f>
        <v>2020</v>
      </c>
      <c r="AQ658" s="10"/>
    </row>
    <row r="659" spans="1:43" s="37" customFormat="1" x14ac:dyDescent="0.25">
      <c r="A659" s="37" t="str">
        <f t="shared" si="40"/>
        <v>2010FontanafreddaBarolo la Rosa</v>
      </c>
      <c r="B659" s="37">
        <v>2010</v>
      </c>
      <c r="C659" s="37" t="s">
        <v>428</v>
      </c>
      <c r="D659" s="37" t="s">
        <v>924</v>
      </c>
      <c r="E659" s="67" t="s">
        <v>1206</v>
      </c>
      <c r="F659" s="37" t="s">
        <v>728</v>
      </c>
      <c r="G659" s="37" t="s">
        <v>778</v>
      </c>
      <c r="H659" s="37" t="s">
        <v>268</v>
      </c>
      <c r="I659" s="107">
        <v>1</v>
      </c>
      <c r="J659" s="37">
        <v>750</v>
      </c>
      <c r="K659" s="107" t="s">
        <v>1133</v>
      </c>
      <c r="L659" s="10">
        <f>COUNTIF(Drank!A:A,Table1[[#This Row],[ID]])</f>
        <v>0</v>
      </c>
      <c r="M659" s="37" t="s">
        <v>202</v>
      </c>
      <c r="N659" s="37" t="s">
        <v>207</v>
      </c>
      <c r="O659" s="37">
        <v>1</v>
      </c>
      <c r="P659" s="10">
        <v>2017</v>
      </c>
      <c r="Q659" s="37">
        <v>2032</v>
      </c>
      <c r="R659" s="10" t="str">
        <f>IF(IFERROR(VLOOKUP(A659,Drank!A:S,15,FALSE),"")=0,"",IFERROR(VLOOKUP(A659,Drank!A:S,15,FALSE),""))</f>
        <v/>
      </c>
      <c r="S659" s="10" t="str">
        <f>IF(IFERROR(VLOOKUP(A659,Drank!A:S,16,FALSE),"")=0,"",IFERROR(VLOOKUP(A659,Drank!A:S,16,FALSE),""))</f>
        <v/>
      </c>
      <c r="T659" s="10"/>
      <c r="U659" s="37">
        <v>94</v>
      </c>
      <c r="V659" s="18" t="str">
        <f>IF(IFERROR(VLOOKUP(A659,Drank!A:T,19,FALSE),"")=0,"",IFERROR(VLOOKUP(A659,Drank!A:T,19,FALSE),""))</f>
        <v/>
      </c>
      <c r="W659" s="1" t="str">
        <f>IF(IFERROR(VLOOKUP(A659,Drank!A:T,20,FALSE),"")=0,"",IFERROR(VLOOKUP(A659,Drank!A:T,20,FALSE),""))</f>
        <v/>
      </c>
      <c r="X659" s="10">
        <f>SUMIF(A:A,A659,I:I)</f>
        <v>3</v>
      </c>
      <c r="Y659" s="10">
        <f>IF(Table1[[#This Row],[Drank]]&gt;0,VLOOKUP(Table1[[#This Row],[ID]],Drank!A:P,16,FALSE),IF(Table1[[#This Row],[WALDD]]&gt;0,VLOOKUP(Table1[[#This Row],[ID]],Wine1!A:Q,17,FALSE),Table1[[#This Row],[EP]]))</f>
        <v>2032</v>
      </c>
      <c r="Z659" s="18">
        <f>IF(Table1[[#This Row],[My Rating]]="",IF(Table1[[#This Row],[WA Rating Clean]]="","",Table1[[#This Row],[WA Rating Clean]]),Table1[[#This Row],[My Rating]])</f>
        <v>94</v>
      </c>
      <c r="AA659" s="37">
        <v>2025</v>
      </c>
      <c r="AB659" s="128">
        <v>60</v>
      </c>
      <c r="AC659" s="2">
        <f t="shared" si="41"/>
        <v>60</v>
      </c>
      <c r="AD659" s="8">
        <v>2</v>
      </c>
      <c r="AE659" s="10">
        <f>IF(Table1[[#This Row],[P/750]]&lt;20,1,IF(Table1[[#This Row],[P/750]]&lt;50,2,3))</f>
        <v>3</v>
      </c>
      <c r="AF659" s="10">
        <f>IF(Table1[[#This Row],[P/750]]&lt;Expenses!$C$30,1,IF(Table1[[#This Row],[P/750]]&lt;Expenses!$C$31,2,IF(Table1[[#This Row],[P/750]]&lt;Expenses!$C$32,3,4)))</f>
        <v>3</v>
      </c>
      <c r="AH659" s="37" t="s">
        <v>384</v>
      </c>
      <c r="AI659" s="11">
        <f>Table1[[#This Row],[Price]]/Table1[[#This Row],[Size (ml)]]*750</f>
        <v>60</v>
      </c>
      <c r="AJ659" s="37">
        <v>94</v>
      </c>
      <c r="AK659" s="10">
        <f>COUNTIF(UniqueID!A:A,Table1[[#This Row],[ID]])</f>
        <v>1</v>
      </c>
      <c r="AL659" s="37" t="str">
        <f>VLOOKUP(Table1[[#This Row],[Cellar Location]],Location!A:F,6,FALSE)</f>
        <v>S</v>
      </c>
      <c r="AN659" s="1">
        <v>43826</v>
      </c>
      <c r="AO659" s="37" t="str">
        <f>TEXT(Table1[[#This Row],[Purchased]],"mmmm")</f>
        <v>December</v>
      </c>
      <c r="AP659" s="10" t="str">
        <f>TEXT(Table1[[#This Row],[Purchased]],"yyyy")</f>
        <v>2019</v>
      </c>
      <c r="AQ659" s="10"/>
    </row>
    <row r="660" spans="1:43" s="37" customFormat="1" x14ac:dyDescent="0.25">
      <c r="A660" s="37" t="str">
        <f t="shared" si="40"/>
        <v>2015Produttori del BarbarescoBarbaresco</v>
      </c>
      <c r="B660" s="8">
        <v>2015</v>
      </c>
      <c r="C660" s="37" t="s">
        <v>248</v>
      </c>
      <c r="D660" s="37" t="s">
        <v>249</v>
      </c>
      <c r="E660" s="67" t="s">
        <v>1206</v>
      </c>
      <c r="F660" s="37" t="s">
        <v>728</v>
      </c>
      <c r="G660" s="37" t="s">
        <v>778</v>
      </c>
      <c r="H660" s="37" t="s">
        <v>249</v>
      </c>
      <c r="I660" s="107">
        <v>1</v>
      </c>
      <c r="J660" s="37">
        <v>750</v>
      </c>
      <c r="K660" s="107" t="s">
        <v>648</v>
      </c>
      <c r="L660" s="37">
        <f>COUNTIF(Drank!A:A,Table1[[#This Row],[ID]])</f>
        <v>2</v>
      </c>
      <c r="M660" s="37" t="s">
        <v>202</v>
      </c>
      <c r="N660" s="37" t="s">
        <v>207</v>
      </c>
      <c r="O660" s="37">
        <v>1</v>
      </c>
      <c r="P660" s="37">
        <v>2020</v>
      </c>
      <c r="Q660" s="37">
        <v>2038</v>
      </c>
      <c r="R660" s="10">
        <f>IF(IFERROR(VLOOKUP(A660,Drank!A:S,15,FALSE),"")=0,"",IFERROR(VLOOKUP(A660,Drank!A:S,15,FALSE),""))</f>
        <v>2024</v>
      </c>
      <c r="S660" s="10">
        <f>IF(IFERROR(VLOOKUP(A660,Drank!A:S,16,FALSE),"")=0,"",IFERROR(VLOOKUP(A660,Drank!A:S,16,FALSE),""))</f>
        <v>2032</v>
      </c>
      <c r="T660" s="10"/>
      <c r="U660" s="37">
        <v>93</v>
      </c>
      <c r="V660" s="18">
        <f>IF(IFERROR(VLOOKUP(A660,Drank!A:T,19,FALSE),"")=0,"",IFERROR(VLOOKUP(A660,Drank!A:T,19,FALSE),""))</f>
        <v>93.5</v>
      </c>
      <c r="W660" s="1">
        <f>IF(IFERROR(VLOOKUP(A660,Drank!A:T,20,FALSE),"")=0,"",IFERROR(VLOOKUP(A660,Drank!A:T,20,FALSE),""))</f>
        <v>43757</v>
      </c>
      <c r="X660" s="10">
        <f>SUMIF(A:A,A660,I:I)</f>
        <v>5</v>
      </c>
      <c r="Y660" s="37">
        <f>IF(Table1[[#This Row],[Drank]]&gt;0,VLOOKUP(Table1[[#This Row],[ID]],Drank!A:P,16,FALSE),IF(Table1[[#This Row],[WALDD]]&gt;0,VLOOKUP(Table1[[#This Row],[ID]],Wine1!A:Q,17,FALSE),Table1[[#This Row],[EP]]))</f>
        <v>2032</v>
      </c>
      <c r="Z660" s="18">
        <f>IF(Table1[[#This Row],[My Rating]]="",IF(Table1[[#This Row],[WA Rating Clean]]="","",Table1[[#This Row],[WA Rating Clean]]),Table1[[#This Row],[My Rating]])</f>
        <v>93.5</v>
      </c>
      <c r="AA660" s="8">
        <v>2025</v>
      </c>
      <c r="AB660" s="128">
        <v>35.99</v>
      </c>
      <c r="AC660" s="2">
        <f t="shared" si="41"/>
        <v>35.99</v>
      </c>
      <c r="AD660" s="8">
        <v>2</v>
      </c>
      <c r="AE660" s="37">
        <f>IF(Table1[[#This Row],[P/750]]&lt;20,1,IF(Table1[[#This Row],[P/750]]&lt;50,2,3))</f>
        <v>2</v>
      </c>
      <c r="AF660" s="37">
        <f>IF(Table1[[#This Row],[P/750]]&lt;Expenses!$C$30,1,IF(Table1[[#This Row],[P/750]]&lt;Expenses!$C$31,2,IF(Table1[[#This Row],[P/750]]&lt;Expenses!$C$32,3,4)))</f>
        <v>3</v>
      </c>
      <c r="AH660" s="37" t="s">
        <v>1128</v>
      </c>
      <c r="AI660" s="11">
        <f>Table1[[#This Row],[Price]]/Table1[[#This Row],[Size (ml)]]*750</f>
        <v>35.99</v>
      </c>
      <c r="AJ660" s="37">
        <v>93</v>
      </c>
      <c r="AK660" s="37">
        <f>COUNTIF(UniqueID!A:A,Table1[[#This Row],[ID]])</f>
        <v>1</v>
      </c>
      <c r="AL660" s="37" t="str">
        <f>VLOOKUP(Table1[[#This Row],[Cellar Location]],Location!A:F,6,FALSE)</f>
        <v>S</v>
      </c>
      <c r="AO660" s="37" t="str">
        <f>TEXT(Table1[[#This Row],[Purchased]],"mmmm")</f>
        <v>January</v>
      </c>
      <c r="AP660" s="10" t="str">
        <f>TEXT(Table1[[#This Row],[Purchased]],"yyyy")</f>
        <v>1900</v>
      </c>
      <c r="AQ660" s="10"/>
    </row>
    <row r="661" spans="1:43" s="37" customFormat="1" x14ac:dyDescent="0.25">
      <c r="A661" s="37" t="str">
        <f t="shared" si="40"/>
        <v>2014Castellare di CastellinaI Sodi di S. NiccolÃ²</v>
      </c>
      <c r="B661" s="37">
        <v>2014</v>
      </c>
      <c r="C661" s="37" t="s">
        <v>403</v>
      </c>
      <c r="D661" s="25" t="s">
        <v>404</v>
      </c>
      <c r="E661" s="67" t="s">
        <v>1260</v>
      </c>
      <c r="F661" s="37" t="s">
        <v>728</v>
      </c>
      <c r="G661" s="37" t="s">
        <v>790</v>
      </c>
      <c r="H661" s="37" t="s">
        <v>796</v>
      </c>
      <c r="I661" s="107">
        <v>1</v>
      </c>
      <c r="J661" s="37">
        <v>750</v>
      </c>
      <c r="K661" s="107" t="s">
        <v>646</v>
      </c>
      <c r="L661" s="37">
        <f>COUNTIF(Drank!A:A,Table1[[#This Row],[ID]])</f>
        <v>0</v>
      </c>
      <c r="M661" s="37" t="s">
        <v>202</v>
      </c>
      <c r="N661" s="37" t="s">
        <v>207</v>
      </c>
      <c r="O661" s="37">
        <v>1</v>
      </c>
      <c r="P661" s="37">
        <v>2019</v>
      </c>
      <c r="Q661" s="37">
        <v>2033</v>
      </c>
      <c r="R661" s="10" t="str">
        <f>IF(IFERROR(VLOOKUP(A661,Drank!A:S,15,FALSE),"")=0,"",IFERROR(VLOOKUP(A661,Drank!A:S,15,FALSE),""))</f>
        <v/>
      </c>
      <c r="S661" s="10" t="str">
        <f>IF(IFERROR(VLOOKUP(A661,Drank!A:S,16,FALSE),"")=0,"",IFERROR(VLOOKUP(A661,Drank!A:S,16,FALSE),""))</f>
        <v/>
      </c>
      <c r="T661" s="10"/>
      <c r="U661" s="37" t="s">
        <v>17</v>
      </c>
      <c r="V661" s="18" t="str">
        <f>IF(IFERROR(VLOOKUP(A661,Drank!A:T,19,FALSE),"")=0,"",IFERROR(VLOOKUP(A661,Drank!A:T,19,FALSE),""))</f>
        <v/>
      </c>
      <c r="W661" s="1" t="str">
        <f>IF(IFERROR(VLOOKUP(A661,Drank!A:T,20,FALSE),"")=0,"",IFERROR(VLOOKUP(A661,Drank!A:T,20,FALSE),""))</f>
        <v/>
      </c>
      <c r="X661" s="10">
        <f>SUMIF(A:A,A661,I:I)</f>
        <v>4</v>
      </c>
      <c r="Y661" s="37">
        <f>IF(Table1[[#This Row],[Drank]]&gt;0,VLOOKUP(Table1[[#This Row],[ID]],Drank!A:P,16,FALSE),IF(Table1[[#This Row],[WALDD]]&gt;0,VLOOKUP(Table1[[#This Row],[ID]],Wine1!A:Q,17,FALSE),Table1[[#This Row],[EP]]))</f>
        <v>2033</v>
      </c>
      <c r="Z661" s="18">
        <f>IF(Table1[[#This Row],[My Rating]]="",IF(Table1[[#This Row],[WA Rating Clean]]="","",Table1[[#This Row],[WA Rating Clean]]),Table1[[#This Row],[My Rating]])</f>
        <v>94</v>
      </c>
      <c r="AA661" s="6">
        <v>2025</v>
      </c>
      <c r="AB661" s="128">
        <v>52</v>
      </c>
      <c r="AC661" s="2">
        <f t="shared" si="41"/>
        <v>52</v>
      </c>
      <c r="AD661" s="8">
        <v>2</v>
      </c>
      <c r="AE661" s="37">
        <f>IF(Table1[[#This Row],[P/750]]&lt;20,1,IF(Table1[[#This Row],[P/750]]&lt;50,2,3))</f>
        <v>3</v>
      </c>
      <c r="AF661" s="37">
        <f>IF(Table1[[#This Row],[P/750]]&lt;Expenses!$C$30,1,IF(Table1[[#This Row],[P/750]]&lt;Expenses!$C$31,2,IF(Table1[[#This Row],[P/750]]&lt;Expenses!$C$32,3,4)))</f>
        <v>3</v>
      </c>
      <c r="AH661" s="37" t="s">
        <v>385</v>
      </c>
      <c r="AI661" s="11">
        <f>Table1[[#This Row],[Price]]/Table1[[#This Row],[Size (ml)]]*750</f>
        <v>52</v>
      </c>
      <c r="AJ661" s="37">
        <v>94</v>
      </c>
      <c r="AK661" s="37">
        <f>COUNTIF(UniqueID!A:A,Table1[[#This Row],[ID]])</f>
        <v>1</v>
      </c>
      <c r="AL661" s="37" t="str">
        <f>VLOOKUP(Table1[[#This Row],[Cellar Location]],Location!A:F,6,FALSE)</f>
        <v>S</v>
      </c>
      <c r="AO661" s="37" t="str">
        <f>TEXT(Table1[[#This Row],[Purchased]],"mmmm")</f>
        <v>January</v>
      </c>
      <c r="AP661" s="10" t="str">
        <f>TEXT(Table1[[#This Row],[Purchased]],"yyyy")</f>
        <v>1900</v>
      </c>
      <c r="AQ661" s="10"/>
    </row>
    <row r="662" spans="1:43" s="37" customFormat="1" x14ac:dyDescent="0.25">
      <c r="A662" s="37" t="str">
        <f t="shared" si="40"/>
        <v>2013FontanafreddaBarolo Serralunga</v>
      </c>
      <c r="B662" s="37">
        <v>2013</v>
      </c>
      <c r="C662" s="37" t="s">
        <v>428</v>
      </c>
      <c r="D662" s="37" t="s">
        <v>429</v>
      </c>
      <c r="E662" s="67" t="s">
        <v>1206</v>
      </c>
      <c r="F662" s="37" t="s">
        <v>728</v>
      </c>
      <c r="G662" s="37" t="s">
        <v>778</v>
      </c>
      <c r="H662" s="37" t="s">
        <v>783</v>
      </c>
      <c r="I662" s="107">
        <v>1</v>
      </c>
      <c r="J662" s="37">
        <v>1000</v>
      </c>
      <c r="K662" s="107" t="s">
        <v>625</v>
      </c>
      <c r="L662" s="37">
        <f>COUNTIF(Drank!A:A,Table1[[#This Row],[ID]])</f>
        <v>2</v>
      </c>
      <c r="M662" s="37" t="s">
        <v>202</v>
      </c>
      <c r="N662" s="37" t="s">
        <v>207</v>
      </c>
      <c r="O662" s="37">
        <v>1</v>
      </c>
      <c r="P662" s="37">
        <v>2018</v>
      </c>
      <c r="Q662" s="37">
        <v>2030</v>
      </c>
      <c r="R662" s="10">
        <f>IF(IFERROR(VLOOKUP(A662,Drank!A:S,15,FALSE),"")=0,"",IFERROR(VLOOKUP(A662,Drank!A:S,15,FALSE),""))</f>
        <v>2025</v>
      </c>
      <c r="S662" s="10">
        <f>IF(IFERROR(VLOOKUP(A662,Drank!A:S,16,FALSE),"")=0,"",IFERROR(VLOOKUP(A662,Drank!A:S,16,FALSE),""))</f>
        <v>2033</v>
      </c>
      <c r="T662" s="10"/>
      <c r="U662" s="37">
        <v>92</v>
      </c>
      <c r="V662" s="18">
        <f>IF(IFERROR(VLOOKUP(A662,Drank!A:T,19,FALSE),"")=0,"",IFERROR(VLOOKUP(A662,Drank!A:T,19,FALSE),""))</f>
        <v>91.5</v>
      </c>
      <c r="W662" s="1">
        <f>IF(IFERROR(VLOOKUP(A662,Drank!A:T,20,FALSE),"")=0,"",IFERROR(VLOOKUP(A662,Drank!A:T,20,FALSE),""))</f>
        <v>44057</v>
      </c>
      <c r="X662" s="10">
        <f>SUMIF(A:A,A662,I:I)</f>
        <v>7</v>
      </c>
      <c r="Y662" s="37">
        <f>IF(Table1[[#This Row],[Drank]]&gt;0,VLOOKUP(Table1[[#This Row],[ID]],Drank!A:P,16,FALSE),IF(Table1[[#This Row],[WALDD]]&gt;0,VLOOKUP(Table1[[#This Row],[ID]],Wine1!A:Q,17,FALSE),Table1[[#This Row],[EP]]))</f>
        <v>2033</v>
      </c>
      <c r="Z662" s="18">
        <f>IF(Table1[[#This Row],[My Rating]]="",IF(Table1[[#This Row],[WA Rating Clean]]="","",Table1[[#This Row],[WA Rating Clean]]),Table1[[#This Row],[My Rating]])</f>
        <v>91.5</v>
      </c>
      <c r="AA662" s="8">
        <v>2025</v>
      </c>
      <c r="AB662" s="128">
        <v>32.99</v>
      </c>
      <c r="AC662" s="2">
        <f t="shared" si="41"/>
        <v>32.99</v>
      </c>
      <c r="AD662" s="8">
        <v>2</v>
      </c>
      <c r="AE662" s="37">
        <f>IF(Table1[[#This Row],[P/750]]&lt;20,1,IF(Table1[[#This Row],[P/750]]&lt;50,2,3))</f>
        <v>2</v>
      </c>
      <c r="AF662" s="37">
        <f>IF(Table1[[#This Row],[P/750]]&lt;Expenses!$C$30,1,IF(Table1[[#This Row],[P/750]]&lt;Expenses!$C$31,2,IF(Table1[[#This Row],[P/750]]&lt;Expenses!$C$32,3,4)))</f>
        <v>2</v>
      </c>
      <c r="AH662" s="37" t="s">
        <v>384</v>
      </c>
      <c r="AI662" s="11">
        <f>Table1[[#This Row],[Price]]/Table1[[#This Row],[Size (ml)]]*750</f>
        <v>24.742500000000003</v>
      </c>
      <c r="AJ662" s="37">
        <v>92</v>
      </c>
      <c r="AK662" s="37">
        <f>COUNTIF(UniqueID!A:A,Table1[[#This Row],[ID]])</f>
        <v>1</v>
      </c>
      <c r="AL662" s="37" t="str">
        <f>VLOOKUP(Table1[[#This Row],[Cellar Location]],Location!A:F,6,FALSE)</f>
        <v>S</v>
      </c>
      <c r="AO662" s="37" t="str">
        <f>TEXT(Table1[[#This Row],[Purchased]],"mmmm")</f>
        <v>January</v>
      </c>
      <c r="AP662" s="10" t="str">
        <f>TEXT(Table1[[#This Row],[Purchased]],"yyyy")</f>
        <v>1900</v>
      </c>
      <c r="AQ662" s="10"/>
    </row>
    <row r="663" spans="1:43" s="37" customFormat="1" x14ac:dyDescent="0.25">
      <c r="A663" s="37" t="str">
        <f t="shared" si="40"/>
        <v>2015CortonesiBrunello di Montalcino La Mannella</v>
      </c>
      <c r="B663" s="37">
        <v>2015</v>
      </c>
      <c r="C663" s="37" t="s">
        <v>72</v>
      </c>
      <c r="D663" s="25" t="s">
        <v>73</v>
      </c>
      <c r="E663" s="67" t="s">
        <v>1250</v>
      </c>
      <c r="F663" s="37" t="s">
        <v>728</v>
      </c>
      <c r="G663" s="37" t="s">
        <v>790</v>
      </c>
      <c r="H663" s="37" t="s">
        <v>19</v>
      </c>
      <c r="I663" s="8">
        <v>1</v>
      </c>
      <c r="J663" s="38">
        <v>750</v>
      </c>
      <c r="K663" s="38" t="s">
        <v>384</v>
      </c>
      <c r="L663" s="10">
        <f>COUNTIF(Drank!A:A,Table1[[#This Row],[ID]])</f>
        <v>1</v>
      </c>
      <c r="M663" s="37" t="s">
        <v>202</v>
      </c>
      <c r="N663" s="37" t="s">
        <v>207</v>
      </c>
      <c r="O663" s="37">
        <v>1</v>
      </c>
      <c r="P663" s="37">
        <v>2021</v>
      </c>
      <c r="Q663" s="37">
        <v>2035</v>
      </c>
      <c r="R663" s="10">
        <f>IF(IFERROR(VLOOKUP(A663,Drank!A:S,15,FALSE),"")=0,"",IFERROR(VLOOKUP(A663,Drank!A:S,15,FALSE),""))</f>
        <v>2026</v>
      </c>
      <c r="S663" s="10">
        <f>IF(IFERROR(VLOOKUP(A663,Drank!A:S,16,FALSE),"")=0,"",IFERROR(VLOOKUP(A663,Drank!A:S,16,FALSE),""))</f>
        <v>2033</v>
      </c>
      <c r="T663" s="10"/>
      <c r="U663" s="37">
        <v>94</v>
      </c>
      <c r="V663" s="18">
        <f>IF(IFERROR(VLOOKUP(A663,Drank!A:T,19,FALSE),"")=0,"",IFERROR(VLOOKUP(A663,Drank!A:T,19,FALSE),""))</f>
        <v>94</v>
      </c>
      <c r="W663" s="1">
        <f>IF(IFERROR(VLOOKUP(A663,Drank!A:T,20,FALSE),"")=0,"",IFERROR(VLOOKUP(A663,Drank!A:T,20,FALSE),""))</f>
        <v>43995</v>
      </c>
      <c r="X663" s="10">
        <f>SUMIF(A:A,A663,I:I)</f>
        <v>23</v>
      </c>
      <c r="Y663" s="10">
        <f>IF(Table1[[#This Row],[Drank]]&gt;0,VLOOKUP(Table1[[#This Row],[ID]],Drank!A:P,16,FALSE),IF(Table1[[#This Row],[WALDD]]&gt;0,VLOOKUP(Table1[[#This Row],[ID]],Wine1!A:Q,17,FALSE),Table1[[#This Row],[EP]]))</f>
        <v>2033</v>
      </c>
      <c r="Z663" s="18">
        <f>IF(Table1[[#This Row],[My Rating]]="",IF(Table1[[#This Row],[WA Rating Clean]]="","",Table1[[#This Row],[WA Rating Clean]]),Table1[[#This Row],[My Rating]])</f>
        <v>94</v>
      </c>
      <c r="AA663" s="37">
        <v>2025</v>
      </c>
      <c r="AB663" s="128">
        <v>36.92</v>
      </c>
      <c r="AC663" s="2">
        <f t="shared" si="41"/>
        <v>36.92</v>
      </c>
      <c r="AD663" s="8">
        <v>1</v>
      </c>
      <c r="AE663" s="10">
        <f>IF(Table1[[#This Row],[P/750]]&lt;20,1,IF(Table1[[#This Row],[P/750]]&lt;50,2,3))</f>
        <v>2</v>
      </c>
      <c r="AF663" s="10">
        <f>IF(Table1[[#This Row],[P/750]]&lt;Expenses!$C$30,1,IF(Table1[[#This Row],[P/750]]&lt;Expenses!$C$31,2,IF(Table1[[#This Row],[P/750]]&lt;Expenses!$C$32,3,4)))</f>
        <v>3</v>
      </c>
      <c r="AH663" s="37" t="s">
        <v>384</v>
      </c>
      <c r="AI663" s="11">
        <f>Table1[[#This Row],[Price]]/Table1[[#This Row],[Size (ml)]]*750</f>
        <v>36.92</v>
      </c>
      <c r="AJ663" s="37">
        <v>94</v>
      </c>
      <c r="AK663" s="10">
        <f>COUNTIF(UniqueID!A:A,Table1[[#This Row],[ID]])</f>
        <v>0</v>
      </c>
      <c r="AL663" s="10" t="str">
        <f>VLOOKUP(Table1[[#This Row],[Cellar Location]],Location!A:F,6,FALSE)</f>
        <v>W</v>
      </c>
      <c r="AN663" s="1">
        <v>44045</v>
      </c>
      <c r="AO663" s="10" t="str">
        <f>TEXT(Table1[[#This Row],[Purchased]],"mmmm")</f>
        <v>August</v>
      </c>
      <c r="AP663" s="10" t="str">
        <f>TEXT(Table1[[#This Row],[Purchased]],"yyyy")</f>
        <v>2020</v>
      </c>
      <c r="AQ663" s="1">
        <v>44138</v>
      </c>
    </row>
    <row r="664" spans="1:43" s="37" customFormat="1" x14ac:dyDescent="0.25">
      <c r="A664" s="37" t="str">
        <f t="shared" si="40"/>
        <v>2015Alter Ego de PalmerAlter Ego de Palmer</v>
      </c>
      <c r="B664" s="37">
        <v>2015</v>
      </c>
      <c r="C664" s="37" t="s">
        <v>118</v>
      </c>
      <c r="D664" s="37" t="s">
        <v>118</v>
      </c>
      <c r="E664" s="64" t="s">
        <v>274</v>
      </c>
      <c r="F664" s="37" t="s">
        <v>742</v>
      </c>
      <c r="G664" s="37" t="s">
        <v>748</v>
      </c>
      <c r="H664" s="37" t="s">
        <v>750</v>
      </c>
      <c r="I664" s="37">
        <v>1</v>
      </c>
      <c r="J664" s="37">
        <v>750</v>
      </c>
      <c r="K664" s="8" t="s">
        <v>8</v>
      </c>
      <c r="L664" s="37">
        <f>COUNTIF(Drank!A:A,Table1[[#This Row],[ID]])</f>
        <v>0</v>
      </c>
      <c r="M664" s="37" t="s">
        <v>202</v>
      </c>
      <c r="N664" s="37" t="s">
        <v>207</v>
      </c>
      <c r="O664" s="37">
        <v>1</v>
      </c>
      <c r="P664" s="37">
        <v>2020</v>
      </c>
      <c r="Q664" s="37">
        <v>2034</v>
      </c>
      <c r="R664" s="37" t="str">
        <f>IF(IFERROR(VLOOKUP(A664,Drank!A:S,15,FALSE),"")=0,"",IFERROR(VLOOKUP(A664,Drank!A:S,15,FALSE),""))</f>
        <v/>
      </c>
      <c r="S664" s="37" t="str">
        <f>IF(IFERROR(VLOOKUP(A664,Drank!A:S,16,FALSE),"")=0,"",IFERROR(VLOOKUP(A664,Drank!A:S,16,FALSE),""))</f>
        <v/>
      </c>
      <c r="U664" s="37">
        <v>91</v>
      </c>
      <c r="V664" s="18" t="str">
        <f>IF(IFERROR(VLOOKUP(A664,Drank!A:T,19,FALSE),"")=0,"",IFERROR(VLOOKUP(A664,Drank!A:T,19,FALSE),""))</f>
        <v/>
      </c>
      <c r="W664" s="1" t="str">
        <f>IF(IFERROR(VLOOKUP(A664,Drank!A:T,20,FALSE),"")=0,"",IFERROR(VLOOKUP(A664,Drank!A:T,20,FALSE),""))</f>
        <v/>
      </c>
      <c r="X664" s="37">
        <f>SUMIF(A:A,A664,I:I)</f>
        <v>2</v>
      </c>
      <c r="Y664" s="37">
        <f>IF(Table1[[#This Row],[Drank]]&gt;0,VLOOKUP(Table1[[#This Row],[ID]],Drank!A:P,16,FALSE),IF(Table1[[#This Row],[WALDD]]&gt;0,VLOOKUP(Table1[[#This Row],[ID]],Wine1!A:Q,17,FALSE),Table1[[#This Row],[EP]]))</f>
        <v>2034</v>
      </c>
      <c r="Z664" s="18">
        <f>IF(Table1[[#This Row],[My Rating]]="",IF(Table1[[#This Row],[WA Rating Clean]]="","",Table1[[#This Row],[WA Rating Clean]]),Table1[[#This Row],[My Rating]])</f>
        <v>91</v>
      </c>
      <c r="AA664" s="37">
        <v>2025</v>
      </c>
      <c r="AB664" s="134">
        <v>80</v>
      </c>
      <c r="AC664" s="2">
        <f t="shared" si="41"/>
        <v>80</v>
      </c>
      <c r="AD664" s="8">
        <v>0</v>
      </c>
      <c r="AE664" s="37">
        <f>IF(Table1[[#This Row],[P/750]]&lt;20,1,IF(Table1[[#This Row],[P/750]]&lt;50,2,3))</f>
        <v>3</v>
      </c>
      <c r="AF664" s="37">
        <f>IF(Table1[[#This Row],[P/750]]&lt;Expenses!$C$30,1,IF(Table1[[#This Row],[P/750]]&lt;Expenses!$C$31,2,IF(Table1[[#This Row],[P/750]]&lt;Expenses!$C$32,3,4)))</f>
        <v>4</v>
      </c>
      <c r="AH664" s="37" t="s">
        <v>1131</v>
      </c>
      <c r="AI664" s="11">
        <f>Table1[[#This Row],[Price]]/Table1[[#This Row],[Size (ml)]]*750</f>
        <v>80</v>
      </c>
      <c r="AJ664" s="37">
        <v>91</v>
      </c>
      <c r="AK664" s="37">
        <f>COUNTIF(UniqueID!A:A,Table1[[#This Row],[ID]])</f>
        <v>1</v>
      </c>
      <c r="AL664" s="37" t="str">
        <f>VLOOKUP(Table1[[#This Row],[Cellar Location]],Location!A:F,6,FALSE)</f>
        <v>K</v>
      </c>
      <c r="AO664" s="37" t="str">
        <f>TEXT(Table1[[#This Row],[Purchased]],"mmmm")</f>
        <v>January</v>
      </c>
      <c r="AP664" s="10" t="str">
        <f>TEXT(Table1[[#This Row],[Purchased]],"yyyy")</f>
        <v>1900</v>
      </c>
      <c r="AQ664" s="10"/>
    </row>
    <row r="665" spans="1:43" s="37" customFormat="1" x14ac:dyDescent="0.25">
      <c r="A665" s="37" t="str">
        <f t="shared" si="40"/>
        <v>2016Produttori del BarbarescoBarbaresco</v>
      </c>
      <c r="B665" s="37">
        <v>2016</v>
      </c>
      <c r="C665" s="37" t="s">
        <v>248</v>
      </c>
      <c r="D665" s="37" t="s">
        <v>249</v>
      </c>
      <c r="E665" s="67" t="s">
        <v>1206</v>
      </c>
      <c r="F665" s="37" t="s">
        <v>728</v>
      </c>
      <c r="G665" s="37" t="s">
        <v>778</v>
      </c>
      <c r="H665" s="37" t="s">
        <v>249</v>
      </c>
      <c r="I665" s="37">
        <v>1</v>
      </c>
      <c r="J665" s="107">
        <v>750</v>
      </c>
      <c r="K665" s="8" t="s">
        <v>1850</v>
      </c>
      <c r="L665" s="10">
        <f>COUNTIF(Drank!A:A,Table1[[#This Row],[ID]])</f>
        <v>2</v>
      </c>
      <c r="M665" s="37" t="s">
        <v>202</v>
      </c>
      <c r="N665" s="37" t="s">
        <v>207</v>
      </c>
      <c r="O665" s="37">
        <v>1</v>
      </c>
      <c r="P665" s="37">
        <v>2022</v>
      </c>
      <c r="Q665" s="37">
        <v>2040</v>
      </c>
      <c r="R665" s="10">
        <f>IF(IFERROR(VLOOKUP(A665,Drank!A:S,15,FALSE),"")=0,"",IFERROR(VLOOKUP(A665,Drank!A:S,15,FALSE),""))</f>
        <v>2021</v>
      </c>
      <c r="S665" s="10">
        <f>IF(IFERROR(VLOOKUP(A665,Drank!A:S,16,FALSE),"")=0,"",IFERROR(VLOOKUP(A665,Drank!A:S,16,FALSE),""))</f>
        <v>2032</v>
      </c>
      <c r="T665" s="10"/>
      <c r="U665" s="37">
        <v>95</v>
      </c>
      <c r="V665" s="18">
        <f>IF(IFERROR(VLOOKUP(A665,Drank!A:T,19,FALSE),"")=0,"",IFERROR(VLOOKUP(A665,Drank!A:T,19,FALSE),""))</f>
        <v>95.5</v>
      </c>
      <c r="W665" s="1">
        <f>IF(IFERROR(VLOOKUP(A665,Drank!A:T,20,FALSE),"")=0,"",IFERROR(VLOOKUP(A665,Drank!A:T,20,FALSE),""))</f>
        <v>44079</v>
      </c>
      <c r="X665" s="10">
        <f>SUMIF(A:A,A665,I:I)</f>
        <v>41</v>
      </c>
      <c r="Y665" s="10">
        <f>IF(Table1[[#This Row],[Drank]]&gt;0,VLOOKUP(Table1[[#This Row],[ID]],Drank!A:P,16,FALSE),IF(Table1[[#This Row],[WALDD]]&gt;0,VLOOKUP(Table1[[#This Row],[ID]],Wine1!A:Q,17,FALSE),Table1[[#This Row],[EP]]))</f>
        <v>2032</v>
      </c>
      <c r="Z665" s="18">
        <f>IF(Table1[[#This Row],[My Rating]]="",IF(Table1[[#This Row],[WA Rating Clean]]="","",Table1[[#This Row],[WA Rating Clean]]),Table1[[#This Row],[My Rating]])</f>
        <v>95.5</v>
      </c>
      <c r="AA665" s="37">
        <v>2025</v>
      </c>
      <c r="AB665" s="128">
        <v>42.36</v>
      </c>
      <c r="AC665" s="2">
        <f t="shared" si="41"/>
        <v>42.36</v>
      </c>
      <c r="AD665" s="8">
        <v>1</v>
      </c>
      <c r="AE665" s="10">
        <f>IF(Table1[[#This Row],[P/750]]&lt;20,1,IF(Table1[[#This Row],[P/750]]&lt;50,2,3))</f>
        <v>2</v>
      </c>
      <c r="AF665" s="10">
        <f>IF(Table1[[#This Row],[P/750]]&lt;Expenses!$C$30,1,IF(Table1[[#This Row],[P/750]]&lt;Expenses!$C$31,2,IF(Table1[[#This Row],[P/750]]&lt;Expenses!$C$32,3,4)))</f>
        <v>3</v>
      </c>
      <c r="AH665" s="37" t="s">
        <v>1128</v>
      </c>
      <c r="AI665" s="11">
        <f>Table1[[#This Row],[Price]]/Table1[[#This Row],[Size (ml)]]*750</f>
        <v>42.36</v>
      </c>
      <c r="AJ665" s="37">
        <v>95</v>
      </c>
      <c r="AK665" s="10">
        <f>COUNTIF(UniqueID!A:A,Table1[[#This Row],[ID]])</f>
        <v>1</v>
      </c>
      <c r="AL665" s="10" t="str">
        <f>VLOOKUP(Table1[[#This Row],[Cellar Location]],Location!A:F,6,FALSE)</f>
        <v>S</v>
      </c>
      <c r="AN665" s="1">
        <v>44070</v>
      </c>
      <c r="AO665" s="10" t="str">
        <f>TEXT(Table1[[#This Row],[Purchased]],"mmmm")</f>
        <v>August</v>
      </c>
      <c r="AP665" s="10" t="str">
        <f>TEXT(Table1[[#This Row],[Purchased]],"yyyy")</f>
        <v>2020</v>
      </c>
      <c r="AQ665" s="1"/>
    </row>
    <row r="666" spans="1:43" s="37" customFormat="1" x14ac:dyDescent="0.25">
      <c r="A666" s="37" t="str">
        <f t="shared" si="40"/>
        <v>2017Domaine Roger SabonChateauneuf du Pape Reserve</v>
      </c>
      <c r="B666" s="37">
        <v>2017</v>
      </c>
      <c r="C666" s="37" t="s">
        <v>359</v>
      </c>
      <c r="D666" s="25" t="s">
        <v>360</v>
      </c>
      <c r="E666" s="67" t="s">
        <v>1222</v>
      </c>
      <c r="F666" s="37" t="s">
        <v>742</v>
      </c>
      <c r="G666" s="37" t="s">
        <v>759</v>
      </c>
      <c r="H666" s="9" t="s">
        <v>762</v>
      </c>
      <c r="I666" s="107">
        <v>1</v>
      </c>
      <c r="J666" s="37">
        <v>750</v>
      </c>
      <c r="K666" s="107" t="s">
        <v>656</v>
      </c>
      <c r="L666" s="37">
        <f>COUNTIF(Drank!A:A,Table1[[#This Row],[ID]])</f>
        <v>0</v>
      </c>
      <c r="M666" s="37" t="s">
        <v>202</v>
      </c>
      <c r="N666" s="37" t="s">
        <v>207</v>
      </c>
      <c r="O666" s="37">
        <v>1</v>
      </c>
      <c r="P666" s="37">
        <v>2020</v>
      </c>
      <c r="Q666" s="37">
        <v>2035</v>
      </c>
      <c r="R666" s="10" t="str">
        <f>IF(IFERROR(VLOOKUP(A666,Drank!A:S,15,FALSE),"")=0,"",IFERROR(VLOOKUP(A666,Drank!A:S,15,FALSE),""))</f>
        <v/>
      </c>
      <c r="S666" s="10" t="str">
        <f>IF(IFERROR(VLOOKUP(A666,Drank!A:S,16,FALSE),"")=0,"",IFERROR(VLOOKUP(A666,Drank!A:S,16,FALSE),""))</f>
        <v/>
      </c>
      <c r="T666" s="10"/>
      <c r="U666" s="37">
        <v>95</v>
      </c>
      <c r="V666" s="18" t="str">
        <f>IF(IFERROR(VLOOKUP(A666,Drank!A:T,19,FALSE),"")=0,"",IFERROR(VLOOKUP(A666,Drank!A:T,19,FALSE),""))</f>
        <v/>
      </c>
      <c r="W666" s="1" t="str">
        <f>IF(IFERROR(VLOOKUP(A666,Drank!A:T,20,FALSE),"")=0,"",IFERROR(VLOOKUP(A666,Drank!A:T,20,FALSE),""))</f>
        <v/>
      </c>
      <c r="X666" s="10">
        <f>SUMIF(A:A,A666,I:I)</f>
        <v>4</v>
      </c>
      <c r="Y666" s="37">
        <f>IF(Table1[[#This Row],[Drank]]&gt;0,VLOOKUP(Table1[[#This Row],[ID]],Drank!A:P,16,FALSE),IF(Table1[[#This Row],[WALDD]]&gt;0,VLOOKUP(Table1[[#This Row],[ID]],Wine1!A:Q,17,FALSE),Table1[[#This Row],[EP]]))</f>
        <v>2035</v>
      </c>
      <c r="Z666" s="18">
        <f>IF(Table1[[#This Row],[My Rating]]="",IF(Table1[[#This Row],[WA Rating Clean]]="","",Table1[[#This Row],[WA Rating Clean]]),Table1[[#This Row],[My Rating]])</f>
        <v>95</v>
      </c>
      <c r="AA666" s="6">
        <v>2025</v>
      </c>
      <c r="AB666" s="128">
        <v>39.99</v>
      </c>
      <c r="AC666" s="2">
        <f t="shared" si="41"/>
        <v>39.99</v>
      </c>
      <c r="AD666" s="8">
        <v>2</v>
      </c>
      <c r="AE666" s="37">
        <f>IF(Table1[[#This Row],[P/750]]&lt;20,1,IF(Table1[[#This Row],[P/750]]&lt;50,2,3))</f>
        <v>2</v>
      </c>
      <c r="AF666" s="37">
        <f>IF(Table1[[#This Row],[P/750]]&lt;Expenses!$C$30,1,IF(Table1[[#This Row],[P/750]]&lt;Expenses!$C$31,2,IF(Table1[[#This Row],[P/750]]&lt;Expenses!$C$32,3,4)))</f>
        <v>3</v>
      </c>
      <c r="AH666" s="37" t="s">
        <v>384</v>
      </c>
      <c r="AI666" s="11">
        <f>Table1[[#This Row],[Price]]/Table1[[#This Row],[Size (ml)]]*750</f>
        <v>39.99</v>
      </c>
      <c r="AJ666" s="37">
        <v>95</v>
      </c>
      <c r="AK666" s="37">
        <f>COUNTIF(UniqueID!A:A,Table1[[#This Row],[ID]])</f>
        <v>1</v>
      </c>
      <c r="AL666" s="37" t="str">
        <f>VLOOKUP(Table1[[#This Row],[Cellar Location]],Location!A:F,6,FALSE)</f>
        <v>S</v>
      </c>
      <c r="AO666" s="37" t="str">
        <f>TEXT(Table1[[#This Row],[Purchased]],"mmmm")</f>
        <v>January</v>
      </c>
      <c r="AP666" s="10" t="str">
        <f>TEXT(Table1[[#This Row],[Purchased]],"yyyy")</f>
        <v>1900</v>
      </c>
      <c r="AQ666" s="10"/>
    </row>
    <row r="667" spans="1:43" s="37" customFormat="1" x14ac:dyDescent="0.25">
      <c r="A667" s="37" t="str">
        <f t="shared" si="40"/>
        <v>2016Quinta do ValladoField Blend Reserva</v>
      </c>
      <c r="B667" s="8">
        <v>2016</v>
      </c>
      <c r="C667" s="30" t="s">
        <v>210</v>
      </c>
      <c r="D667" s="9" t="s">
        <v>1423</v>
      </c>
      <c r="E667" s="65" t="s">
        <v>274</v>
      </c>
      <c r="F667" s="37" t="s">
        <v>804</v>
      </c>
      <c r="G667" s="37" t="s">
        <v>1422</v>
      </c>
      <c r="H667" s="9"/>
      <c r="I667" s="107">
        <v>1</v>
      </c>
      <c r="J667" s="37">
        <v>750</v>
      </c>
      <c r="K667" s="107" t="s">
        <v>1195</v>
      </c>
      <c r="L667" s="10">
        <f>COUNTIF(Drank!A:A,Table1[[#This Row],[ID]])</f>
        <v>1</v>
      </c>
      <c r="M667" s="37" t="s">
        <v>202</v>
      </c>
      <c r="N667" s="37" t="s">
        <v>207</v>
      </c>
      <c r="O667" s="37">
        <v>1</v>
      </c>
      <c r="P667" s="37">
        <v>2021</v>
      </c>
      <c r="Q667" s="37">
        <v>2041</v>
      </c>
      <c r="R667" s="10">
        <f>IF(IFERROR(VLOOKUP(A667,Drank!A:S,15,FALSE),"")=0,"",IFERROR(VLOOKUP(A667,Drank!A:S,15,FALSE),""))</f>
        <v>2025</v>
      </c>
      <c r="S667" s="10">
        <f>IF(IFERROR(VLOOKUP(A667,Drank!A:S,16,FALSE),"")=0,"",IFERROR(VLOOKUP(A667,Drank!A:S,16,FALSE),""))</f>
        <v>2037</v>
      </c>
      <c r="T667" s="10"/>
      <c r="U667" s="37">
        <v>95</v>
      </c>
      <c r="V667" s="18">
        <f>IF(IFERROR(VLOOKUP(A667,Drank!A:T,19,FALSE),"")=0,"",IFERROR(VLOOKUP(A667,Drank!A:T,19,FALSE),""))</f>
        <v>92</v>
      </c>
      <c r="W667" s="1">
        <f>IF(IFERROR(VLOOKUP(A667,Drank!A:T,20,FALSE),"")=0,"",IFERROR(VLOOKUP(A667,Drank!A:T,20,FALSE),""))</f>
        <v>43987</v>
      </c>
      <c r="X667" s="10">
        <f>SUMIF(A:A,A667,I:I)</f>
        <v>5</v>
      </c>
      <c r="Y667" s="10">
        <f>IF(Table1[[#This Row],[Drank]]&gt;0,VLOOKUP(Table1[[#This Row],[ID]],Drank!A:P,16,FALSE),IF(Table1[[#This Row],[WALDD]]&gt;0,VLOOKUP(Table1[[#This Row],[ID]],Wine1!A:Q,17,FALSE),Table1[[#This Row],[EP]]))</f>
        <v>2037</v>
      </c>
      <c r="Z667" s="18">
        <f>IF(Table1[[#This Row],[My Rating]]="",IF(Table1[[#This Row],[WA Rating Clean]]="","",Table1[[#This Row],[WA Rating Clean]]),Table1[[#This Row],[My Rating]])</f>
        <v>92</v>
      </c>
      <c r="AA667" s="37">
        <v>2025</v>
      </c>
      <c r="AB667" s="128">
        <v>32.58</v>
      </c>
      <c r="AC667" s="2">
        <f t="shared" si="41"/>
        <v>32.58</v>
      </c>
      <c r="AD667" s="8">
        <v>2</v>
      </c>
      <c r="AE667" s="10">
        <f>IF(Table1[[#This Row],[P/750]]&lt;20,1,IF(Table1[[#This Row],[P/750]]&lt;50,2,3))</f>
        <v>2</v>
      </c>
      <c r="AF667" s="10">
        <f>IF(Table1[[#This Row],[P/750]]&lt;Expenses!$C$30,1,IF(Table1[[#This Row],[P/750]]&lt;Expenses!$C$31,2,IF(Table1[[#This Row],[P/750]]&lt;Expenses!$C$32,3,4)))</f>
        <v>3</v>
      </c>
      <c r="AH667" s="37" t="s">
        <v>384</v>
      </c>
      <c r="AI667" s="11">
        <f>Table1[[#This Row],[Price]]/Table1[[#This Row],[Size (ml)]]*750</f>
        <v>32.58</v>
      </c>
      <c r="AJ667" s="37">
        <v>95</v>
      </c>
      <c r="AK667" s="10">
        <f>COUNTIF(UniqueID!A:A,Table1[[#This Row],[ID]])</f>
        <v>0</v>
      </c>
      <c r="AL667" s="10" t="str">
        <f>VLOOKUP(Table1[[#This Row],[Cellar Location]],Location!A:F,6,FALSE)</f>
        <v>S</v>
      </c>
      <c r="AN667" s="1">
        <v>43984</v>
      </c>
      <c r="AO667" s="10" t="str">
        <f>TEXT(Table1[[#This Row],[Purchased]],"mmmm")</f>
        <v>June</v>
      </c>
      <c r="AP667" s="10" t="str">
        <f>TEXT(Table1[[#This Row],[Purchased]],"yyyy")</f>
        <v>2020</v>
      </c>
      <c r="AQ667" s="10"/>
    </row>
    <row r="668" spans="1:43" s="37" customFormat="1" x14ac:dyDescent="0.25">
      <c r="A668" s="37" t="str">
        <f t="shared" si="40"/>
        <v>2016Tenuta San GuidoSassicaia</v>
      </c>
      <c r="B668" s="37">
        <v>2016</v>
      </c>
      <c r="C668" s="37" t="s">
        <v>91</v>
      </c>
      <c r="D668" s="37" t="s">
        <v>304</v>
      </c>
      <c r="E668" s="67" t="s">
        <v>1251</v>
      </c>
      <c r="F668" s="37" t="s">
        <v>728</v>
      </c>
      <c r="G668" s="37" t="s">
        <v>790</v>
      </c>
      <c r="H668" s="37" t="s">
        <v>791</v>
      </c>
      <c r="I668" s="37">
        <v>1</v>
      </c>
      <c r="J668" s="37">
        <v>750</v>
      </c>
      <c r="K668" s="8" t="s">
        <v>11</v>
      </c>
      <c r="L668" s="37">
        <f>COUNTIF(Drank!A:A,Table1[[#This Row],[ID]])</f>
        <v>0</v>
      </c>
      <c r="M668" s="37" t="s">
        <v>202</v>
      </c>
      <c r="N668" s="37" t="s">
        <v>207</v>
      </c>
      <c r="O668" s="37">
        <v>1</v>
      </c>
      <c r="P668" s="37">
        <v>2021</v>
      </c>
      <c r="Q668" s="37">
        <v>2050</v>
      </c>
      <c r="R668" s="10" t="str">
        <f>IF(IFERROR(VLOOKUP(A668,Drank!A:S,15,FALSE),"")=0,"",IFERROR(VLOOKUP(A668,Drank!A:S,15,FALSE),""))</f>
        <v/>
      </c>
      <c r="S668" s="10" t="str">
        <f>IF(IFERROR(VLOOKUP(A668,Drank!A:S,16,FALSE),"")=0,"",IFERROR(VLOOKUP(A668,Drank!A:S,16,FALSE),""))</f>
        <v/>
      </c>
      <c r="T668" s="10"/>
      <c r="U668" s="37">
        <v>100</v>
      </c>
      <c r="V668" s="18" t="str">
        <f>IF(IFERROR(VLOOKUP(A668,Drank!A:T,19,FALSE),"")=0,"",IFERROR(VLOOKUP(A668,Drank!A:T,19,FALSE),""))</f>
        <v/>
      </c>
      <c r="W668" s="1" t="str">
        <f>IF(IFERROR(VLOOKUP(A668,Drank!A:T,20,FALSE),"")=0,"",IFERROR(VLOOKUP(A668,Drank!A:T,20,FALSE),""))</f>
        <v/>
      </c>
      <c r="X668" s="10">
        <f>SUMIF(A:A,A668,I:I)</f>
        <v>6</v>
      </c>
      <c r="Y668" s="37">
        <f>IF(Table1[[#This Row],[Drank]]&gt;0,VLOOKUP(Table1[[#This Row],[ID]],Drank!A:P,16,FALSE),IF(Table1[[#This Row],[WALDD]]&gt;0,VLOOKUP(Table1[[#This Row],[ID]],Wine1!A:Q,17,FALSE),Table1[[#This Row],[EP]]))</f>
        <v>2050</v>
      </c>
      <c r="Z668" s="18">
        <f>IF(Table1[[#This Row],[My Rating]]="",IF(Table1[[#This Row],[WA Rating Clean]]="","",Table1[[#This Row],[WA Rating Clean]]),Table1[[#This Row],[My Rating]])</f>
        <v>100</v>
      </c>
      <c r="AA668" s="37">
        <v>2025</v>
      </c>
      <c r="AB668" s="128">
        <v>225.32</v>
      </c>
      <c r="AC668" s="2">
        <f t="shared" si="41"/>
        <v>225.32</v>
      </c>
      <c r="AD668" s="8">
        <v>0</v>
      </c>
      <c r="AE668" s="37">
        <f>IF(Table1[[#This Row],[P/750]]&lt;20,1,IF(Table1[[#This Row],[P/750]]&lt;50,2,3))</f>
        <v>3</v>
      </c>
      <c r="AF668" s="37">
        <f>IF(Table1[[#This Row],[P/750]]&lt;Expenses!$C$30,1,IF(Table1[[#This Row],[P/750]]&lt;Expenses!$C$31,2,IF(Table1[[#This Row],[P/750]]&lt;Expenses!$C$32,3,4)))</f>
        <v>4</v>
      </c>
      <c r="AH668" s="37" t="s">
        <v>1128</v>
      </c>
      <c r="AI668" s="11">
        <f>Table1[[#This Row],[Price]]/Table1[[#This Row],[Size (ml)]]*750</f>
        <v>225.32</v>
      </c>
      <c r="AJ668" s="37">
        <v>100</v>
      </c>
      <c r="AK668" s="37">
        <f>COUNTIF(UniqueID!A:A,Table1[[#This Row],[ID]])</f>
        <v>1</v>
      </c>
      <c r="AL668" s="37" t="str">
        <f>VLOOKUP(Table1[[#This Row],[Cellar Location]],Location!A:F,6,FALSE)</f>
        <v>K</v>
      </c>
      <c r="AO668" s="37" t="str">
        <f>TEXT(Table1[[#This Row],[Purchased]],"mmmm")</f>
        <v>January</v>
      </c>
      <c r="AP668" s="10" t="str">
        <f>TEXT(Table1[[#This Row],[Purchased]],"yyyy")</f>
        <v>1900</v>
      </c>
      <c r="AQ668" s="10"/>
    </row>
    <row r="669" spans="1:43" s="37" customFormat="1" x14ac:dyDescent="0.25">
      <c r="A669" s="37" t="str">
        <f t="shared" ref="A669:A732" si="42">CONCATENATE(B669,C669,D669)</f>
        <v>2018Max Ferdinand RichterWehlener Sonnenurh Riesling Kabinett</v>
      </c>
      <c r="B669" s="37">
        <v>2018</v>
      </c>
      <c r="C669" s="37" t="s">
        <v>1696</v>
      </c>
      <c r="D669" s="37" t="s">
        <v>1698</v>
      </c>
      <c r="E669" s="37" t="s">
        <v>1608</v>
      </c>
      <c r="F669" s="37" t="s">
        <v>1606</v>
      </c>
      <c r="G669" s="37" t="s">
        <v>1697</v>
      </c>
      <c r="I669" s="8">
        <v>1</v>
      </c>
      <c r="J669" s="38">
        <v>750</v>
      </c>
      <c r="K669" s="38" t="s">
        <v>1687</v>
      </c>
      <c r="L669" s="10">
        <f>COUNTIF(Drank!A:A,Table1[[#This Row],[ID]])</f>
        <v>0</v>
      </c>
      <c r="M669" s="37" t="s">
        <v>202</v>
      </c>
      <c r="N669" s="37" t="s">
        <v>207</v>
      </c>
      <c r="O669" s="37">
        <v>1</v>
      </c>
      <c r="P669" s="37">
        <v>2019</v>
      </c>
      <c r="Q669" s="37">
        <v>2060</v>
      </c>
      <c r="R669" s="10" t="str">
        <f>IF(IFERROR(VLOOKUP(A669,Drank!A:S,15,FALSE),"")=0,"",IFERROR(VLOOKUP(A669,Drank!A:S,15,FALSE),""))</f>
        <v/>
      </c>
      <c r="S669" s="10" t="str">
        <f>IF(IFERROR(VLOOKUP(A669,Drank!A:S,16,FALSE),"")=0,"",IFERROR(VLOOKUP(A669,Drank!A:S,16,FALSE),""))</f>
        <v/>
      </c>
      <c r="T669" s="10"/>
      <c r="U669" s="37" t="s">
        <v>853</v>
      </c>
      <c r="V669" s="18" t="str">
        <f>IF(IFERROR(VLOOKUP(A669,Drank!A:T,19,FALSE),"")=0,"",IFERROR(VLOOKUP(A669,Drank!A:T,19,FALSE),""))</f>
        <v/>
      </c>
      <c r="W669" s="1" t="str">
        <f>IF(IFERROR(VLOOKUP(A669,Drank!A:T,20,FALSE),"")=0,"",IFERROR(VLOOKUP(A669,Drank!A:T,20,FALSE),""))</f>
        <v/>
      </c>
      <c r="X669" s="10">
        <f>SUMIF(A:A,A669,I:I)</f>
        <v>2</v>
      </c>
      <c r="Y669" s="10">
        <f>IF(Table1[[#This Row],[Drank]]&gt;0,VLOOKUP(Table1[[#This Row],[ID]],Drank!A:P,16,FALSE),IF(Table1[[#This Row],[WALDD]]&gt;0,VLOOKUP(Table1[[#This Row],[ID]],Wine1!A:Q,17,FALSE),Table1[[#This Row],[EP]]))</f>
        <v>2060</v>
      </c>
      <c r="Z669" s="18">
        <f>IF(Table1[[#This Row],[My Rating]]="",IF(Table1[[#This Row],[WA Rating Clean]]="","",Table1[[#This Row],[WA Rating Clean]]),Table1[[#This Row],[My Rating]])</f>
        <v>94</v>
      </c>
      <c r="AA669" s="8">
        <v>2025</v>
      </c>
      <c r="AB669" s="128">
        <v>25.65</v>
      </c>
      <c r="AC669" s="2">
        <f t="shared" ref="AC669:AC732" si="43">AB669*I669</f>
        <v>25.65</v>
      </c>
      <c r="AD669" s="8">
        <v>1</v>
      </c>
      <c r="AE669" s="10">
        <f>IF(Table1[[#This Row],[P/750]]&lt;20,1,IF(Table1[[#This Row],[P/750]]&lt;50,2,3))</f>
        <v>2</v>
      </c>
      <c r="AF669" s="10">
        <f>IF(Table1[[#This Row],[P/750]]&lt;Expenses!$C$30,1,IF(Table1[[#This Row],[P/750]]&lt;Expenses!$C$31,2,IF(Table1[[#This Row],[P/750]]&lt;Expenses!$C$32,3,4)))</f>
        <v>2</v>
      </c>
      <c r="AH669" s="37" t="s">
        <v>1189</v>
      </c>
      <c r="AI669" s="11">
        <f>Table1[[#This Row],[Price]]/Table1[[#This Row],[Size (ml)]]*750</f>
        <v>25.650000000000002</v>
      </c>
      <c r="AJ669" s="37">
        <v>94</v>
      </c>
      <c r="AK669" s="10">
        <f>COUNTIF(UniqueID!A:A,Table1[[#This Row],[ID]])</f>
        <v>0</v>
      </c>
      <c r="AL669" s="10" t="str">
        <f>VLOOKUP(Table1[[#This Row],[Cellar Location]],Location!A:F,6,FALSE)</f>
        <v>W</v>
      </c>
      <c r="AN669" s="1">
        <v>44061</v>
      </c>
      <c r="AO669" s="10" t="str">
        <f>TEXT(Table1[[#This Row],[Purchased]],"mmmm")</f>
        <v>August</v>
      </c>
      <c r="AP669" s="10" t="str">
        <f>TEXT(Table1[[#This Row],[Purchased]],"yyyy")</f>
        <v>2020</v>
      </c>
      <c r="AQ669" s="1">
        <v>44137</v>
      </c>
    </row>
    <row r="670" spans="1:43" s="37" customFormat="1" x14ac:dyDescent="0.25">
      <c r="A670" s="37" t="str">
        <f t="shared" si="42"/>
        <v>2016Doisy-VedrinesPetit-Vedrines</v>
      </c>
      <c r="B670" s="37">
        <v>2016</v>
      </c>
      <c r="C670" s="37" t="s">
        <v>843</v>
      </c>
      <c r="D670" s="37" t="s">
        <v>1686</v>
      </c>
      <c r="E670" s="69" t="s">
        <v>1688</v>
      </c>
      <c r="F670" s="37" t="s">
        <v>742</v>
      </c>
      <c r="G670" s="37" t="s">
        <v>748</v>
      </c>
      <c r="H670" s="37" t="s">
        <v>260</v>
      </c>
      <c r="I670" s="8">
        <v>1</v>
      </c>
      <c r="J670" s="38">
        <v>375</v>
      </c>
      <c r="K670" s="38" t="s">
        <v>1687</v>
      </c>
      <c r="L670" s="10">
        <f>COUNTIF(Drank!A:A,Table1[[#This Row],[ID]])</f>
        <v>0</v>
      </c>
      <c r="M670" s="37" t="s">
        <v>201</v>
      </c>
      <c r="N670" s="37" t="s">
        <v>206</v>
      </c>
      <c r="O670" s="37">
        <v>0</v>
      </c>
      <c r="R670" s="10" t="str">
        <f>IF(IFERROR(VLOOKUP(A670,Drank!A:S,15,FALSE),"")=0,"",IFERROR(VLOOKUP(A670,Drank!A:S,15,FALSE),""))</f>
        <v/>
      </c>
      <c r="S670" s="10" t="str">
        <f>IF(IFERROR(VLOOKUP(A670,Drank!A:S,16,FALSE),"")=0,"",IFERROR(VLOOKUP(A670,Drank!A:S,16,FALSE),""))</f>
        <v/>
      </c>
      <c r="T670" s="10"/>
      <c r="V670" s="18" t="str">
        <f>IF(IFERROR(VLOOKUP(A670,Drank!A:T,19,FALSE),"")=0,"",IFERROR(VLOOKUP(A670,Drank!A:T,19,FALSE),""))</f>
        <v/>
      </c>
      <c r="W670" s="1" t="str">
        <f>IF(IFERROR(VLOOKUP(A670,Drank!A:T,20,FALSE),"")=0,"",IFERROR(VLOOKUP(A670,Drank!A:T,20,FALSE),""))</f>
        <v/>
      </c>
      <c r="X670" s="10">
        <f>SUMIF(A:A,A670,I:I)</f>
        <v>24</v>
      </c>
      <c r="Y670" s="10">
        <f>IF(Table1[[#This Row],[Drank]]&gt;0,VLOOKUP(Table1[[#This Row],[ID]],Drank!A:P,16,FALSE),IF(Table1[[#This Row],[WALDD]]&gt;0,VLOOKUP(Table1[[#This Row],[ID]],Wine1!A:Q,17,FALSE),Table1[[#This Row],[EP]]))</f>
        <v>0</v>
      </c>
      <c r="Z670" s="18" t="str">
        <f>IF(Table1[[#This Row],[My Rating]]="",IF(Table1[[#This Row],[WA Rating Clean]]="","",Table1[[#This Row],[WA Rating Clean]]),Table1[[#This Row],[My Rating]])</f>
        <v/>
      </c>
      <c r="AA670" s="8">
        <v>2026</v>
      </c>
      <c r="AB670" s="128">
        <v>16.399999999999999</v>
      </c>
      <c r="AC670" s="2">
        <f t="shared" si="43"/>
        <v>16.399999999999999</v>
      </c>
      <c r="AD670" s="8">
        <v>1</v>
      </c>
      <c r="AE670" s="10">
        <f>IF(Table1[[#This Row],[P/750]]&lt;20,1,IF(Table1[[#This Row],[P/750]]&lt;50,2,3))</f>
        <v>2</v>
      </c>
      <c r="AF670" s="10">
        <f>IF(Table1[[#This Row],[P/750]]&lt;Expenses!$C$30,1,IF(Table1[[#This Row],[P/750]]&lt;Expenses!$C$31,2,IF(Table1[[#This Row],[P/750]]&lt;Expenses!$C$32,3,4)))</f>
        <v>3</v>
      </c>
      <c r="AH670" s="37" t="s">
        <v>1189</v>
      </c>
      <c r="AI670" s="11">
        <f>Table1[[#This Row],[Price]]/Table1[[#This Row],[Size (ml)]]*750</f>
        <v>32.799999999999997</v>
      </c>
      <c r="AK670" s="10">
        <f>COUNTIF(UniqueID!A:A,Table1[[#This Row],[ID]])</f>
        <v>0</v>
      </c>
      <c r="AL670" s="10" t="str">
        <f>VLOOKUP(Table1[[#This Row],[Cellar Location]],Location!A:F,6,FALSE)</f>
        <v>W</v>
      </c>
      <c r="AN670" s="1">
        <v>44061</v>
      </c>
      <c r="AO670" s="10" t="str">
        <f>TEXT(Table1[[#This Row],[Purchased]],"mmmm")</f>
        <v>August</v>
      </c>
      <c r="AP670" s="10" t="str">
        <f>TEXT(Table1[[#This Row],[Purchased]],"yyyy")</f>
        <v>2020</v>
      </c>
      <c r="AQ670" s="1">
        <v>44137</v>
      </c>
    </row>
    <row r="671" spans="1:43" s="37" customFormat="1" x14ac:dyDescent="0.25">
      <c r="A671" s="37" t="str">
        <f t="shared" si="42"/>
        <v>2006LÃ³pez de HerediaViÃ±a Tondonia Reserva</v>
      </c>
      <c r="B671" s="37">
        <v>2006</v>
      </c>
      <c r="C671" s="37" t="s">
        <v>219</v>
      </c>
      <c r="D671" s="25" t="s">
        <v>220</v>
      </c>
      <c r="E671" s="64" t="s">
        <v>277</v>
      </c>
      <c r="F671" s="37" t="s">
        <v>729</v>
      </c>
      <c r="G671" s="37" t="s">
        <v>823</v>
      </c>
      <c r="H671" s="37" t="s">
        <v>825</v>
      </c>
      <c r="I671" s="107">
        <v>1</v>
      </c>
      <c r="J671" s="37">
        <v>750</v>
      </c>
      <c r="K671" s="108" t="s">
        <v>657</v>
      </c>
      <c r="L671" s="37">
        <f>COUNTIF(Drank!A:A,Table1[[#This Row],[ID]])</f>
        <v>2</v>
      </c>
      <c r="M671" s="37" t="s">
        <v>202</v>
      </c>
      <c r="N671" s="37" t="s">
        <v>207</v>
      </c>
      <c r="O671" s="37">
        <v>1</v>
      </c>
      <c r="P671" s="37">
        <v>2018</v>
      </c>
      <c r="Q671" s="37">
        <v>2028</v>
      </c>
      <c r="R671" s="37">
        <f>IF(IFERROR(VLOOKUP(A671,Drank!A:S,15,FALSE),"")=0,"",IFERROR(VLOOKUP(A671,Drank!A:S,15,FALSE),""))</f>
        <v>2019</v>
      </c>
      <c r="S671" s="37">
        <f>IF(IFERROR(VLOOKUP(A671,Drank!A:S,16,FALSE),"")=0,"",IFERROR(VLOOKUP(A671,Drank!A:S,16,FALSE),""))</f>
        <v>2024</v>
      </c>
      <c r="U671" s="37">
        <v>95</v>
      </c>
      <c r="V671" s="18">
        <f>IF(IFERROR(VLOOKUP(A671,Drank!A:T,19,FALSE),"")=0,"",IFERROR(VLOOKUP(A671,Drank!A:T,19,FALSE),""))</f>
        <v>94.5</v>
      </c>
      <c r="W671" s="1">
        <f>IF(IFERROR(VLOOKUP(A671,Drank!A:T,20,FALSE),"")=0,"",IFERROR(VLOOKUP(A671,Drank!A:T,20,FALSE),""))</f>
        <v>43609</v>
      </c>
      <c r="X671" s="37">
        <f>SUMIF(A:A,A671,I:I)</f>
        <v>3</v>
      </c>
      <c r="Y671" s="37">
        <f>IF(Table1[[#This Row],[Drank]]&gt;0,VLOOKUP(Table1[[#This Row],[ID]],Drank!A:P,16,FALSE),IF(Table1[[#This Row],[WALDD]]&gt;0,VLOOKUP(Table1[[#This Row],[ID]],Wine1!A:Q,17,FALSE),Table1[[#This Row],[EP]]))</f>
        <v>2024</v>
      </c>
      <c r="Z671" s="18">
        <f>IF(Table1[[#This Row],[My Rating]]="",IF(Table1[[#This Row],[WA Rating Clean]]="","",Table1[[#This Row],[WA Rating Clean]]),Table1[[#This Row],[My Rating]])</f>
        <v>94.5</v>
      </c>
      <c r="AA671" s="37">
        <v>2026</v>
      </c>
      <c r="AB671" s="128">
        <v>39.99</v>
      </c>
      <c r="AC671" s="2">
        <f t="shared" si="43"/>
        <v>39.99</v>
      </c>
      <c r="AD671" s="8">
        <v>2</v>
      </c>
      <c r="AE671" s="37">
        <f>IF(Table1[[#This Row],[P/750]]&lt;20,1,IF(Table1[[#This Row],[P/750]]&lt;50,2,3))</f>
        <v>2</v>
      </c>
      <c r="AF671" s="37">
        <f>IF(Table1[[#This Row],[P/750]]&lt;Expenses!$C$30,1,IF(Table1[[#This Row],[P/750]]&lt;Expenses!$C$31,2,IF(Table1[[#This Row],[P/750]]&lt;Expenses!$C$32,3,4)))</f>
        <v>3</v>
      </c>
      <c r="AH671" s="37" t="s">
        <v>1139</v>
      </c>
      <c r="AI671" s="11">
        <f>Table1[[#This Row],[Price]]/Table1[[#This Row],[Size (ml)]]*750</f>
        <v>39.99</v>
      </c>
      <c r="AJ671" s="37">
        <v>95</v>
      </c>
      <c r="AK671" s="37">
        <f>COUNTIF(UniqueID!A:A,Table1[[#This Row],[ID]])</f>
        <v>1</v>
      </c>
      <c r="AL671" s="37" t="str">
        <f>VLOOKUP(Table1[[#This Row],[Cellar Location]],Location!A:F,6,FALSE)</f>
        <v>S</v>
      </c>
      <c r="AO671" s="37" t="str">
        <f>TEXT(Table1[[#This Row],[Purchased]],"mmmm")</f>
        <v>January</v>
      </c>
      <c r="AP671" s="10" t="str">
        <f>TEXT(Table1[[#This Row],[Purchased]],"yyyy")</f>
        <v>1900</v>
      </c>
      <c r="AQ671" s="10"/>
    </row>
    <row r="672" spans="1:43" s="37" customFormat="1" x14ac:dyDescent="0.25">
      <c r="A672" s="37" t="str">
        <f t="shared" si="42"/>
        <v>2017Vintage LongbottomHenry's Drive Shiraz-Cabernet Sauvignon</v>
      </c>
      <c r="B672" s="8">
        <v>2017</v>
      </c>
      <c r="C672" s="37" t="s">
        <v>1547</v>
      </c>
      <c r="D672" s="32" t="s">
        <v>1550</v>
      </c>
      <c r="E672" s="67" t="s">
        <v>1551</v>
      </c>
      <c r="F672" s="37" t="s">
        <v>736</v>
      </c>
      <c r="G672" s="37" t="s">
        <v>737</v>
      </c>
      <c r="I672" s="37">
        <v>1</v>
      </c>
      <c r="J672" s="38">
        <v>750</v>
      </c>
      <c r="K672" s="38" t="s">
        <v>384</v>
      </c>
      <c r="L672" s="10">
        <f>COUNTIF(Drank!A:A,Table1[[#This Row],[ID]])</f>
        <v>0</v>
      </c>
      <c r="M672" s="37" t="s">
        <v>202</v>
      </c>
      <c r="N672" s="37" t="s">
        <v>207</v>
      </c>
      <c r="O672" s="37">
        <v>1</v>
      </c>
      <c r="P672" s="37">
        <v>2019</v>
      </c>
      <c r="Q672" s="37">
        <v>2025</v>
      </c>
      <c r="R672" s="10" t="str">
        <f>IF(IFERROR(VLOOKUP(A672,Drank!A:S,15,FALSE),"")=0,"",IFERROR(VLOOKUP(A672,Drank!A:S,15,FALSE),""))</f>
        <v/>
      </c>
      <c r="S672" s="10" t="str">
        <f>IF(IFERROR(VLOOKUP(A672,Drank!A:S,16,FALSE),"")=0,"",IFERROR(VLOOKUP(A672,Drank!A:S,16,FALSE),""))</f>
        <v/>
      </c>
      <c r="T672" s="10"/>
      <c r="U672" s="37">
        <v>91</v>
      </c>
      <c r="V672" s="18" t="str">
        <f>IF(IFERROR(VLOOKUP(A672,Drank!A:T,19,FALSE),"")=0,"",IFERROR(VLOOKUP(A672,Drank!A:T,19,FALSE),""))</f>
        <v/>
      </c>
      <c r="W672" s="1" t="str">
        <f>IF(IFERROR(VLOOKUP(A672,Drank!A:T,20,FALSE),"")=0,"",IFERROR(VLOOKUP(A672,Drank!A:T,20,FALSE),""))</f>
        <v/>
      </c>
      <c r="X672" s="10">
        <f>SUMIF(A:A,A672,I:I)</f>
        <v>4</v>
      </c>
      <c r="Y672" s="10">
        <f>IF(Table1[[#This Row],[Drank]]&gt;0,VLOOKUP(Table1[[#This Row],[ID]],Drank!A:P,16,FALSE),IF(Table1[[#This Row],[WALDD]]&gt;0,VLOOKUP(Table1[[#This Row],[ID]],Wine1!A:Q,17,FALSE),Table1[[#This Row],[EP]]))</f>
        <v>2025</v>
      </c>
      <c r="Z672" s="18">
        <f>IF(Table1[[#This Row],[My Rating]]="",IF(Table1[[#This Row],[WA Rating Clean]]="","",Table1[[#This Row],[WA Rating Clean]]),Table1[[#This Row],[My Rating]])</f>
        <v>91</v>
      </c>
      <c r="AA672" s="37">
        <v>2026</v>
      </c>
      <c r="AB672" s="128">
        <v>21.72</v>
      </c>
      <c r="AC672" s="2">
        <f t="shared" si="43"/>
        <v>21.72</v>
      </c>
      <c r="AD672" s="8">
        <v>1</v>
      </c>
      <c r="AE672" s="10">
        <f>IF(Table1[[#This Row],[P/750]]&lt;20,1,IF(Table1[[#This Row],[P/750]]&lt;50,2,3))</f>
        <v>2</v>
      </c>
      <c r="AF672" s="10">
        <f>IF(Table1[[#This Row],[P/750]]&lt;Expenses!$C$30,1,IF(Table1[[#This Row],[P/750]]&lt;Expenses!$C$31,2,IF(Table1[[#This Row],[P/750]]&lt;Expenses!$C$32,3,4)))</f>
        <v>2</v>
      </c>
      <c r="AH672" s="37" t="s">
        <v>384</v>
      </c>
      <c r="AI672" s="11">
        <f>Table1[[#This Row],[Price]]/Table1[[#This Row],[Size (ml)]]*750</f>
        <v>21.72</v>
      </c>
      <c r="AJ672" s="37">
        <v>91</v>
      </c>
      <c r="AK672" s="10">
        <f>COUNTIF(UniqueID!A:A,Table1[[#This Row],[ID]])</f>
        <v>0</v>
      </c>
      <c r="AL672" s="10" t="str">
        <f>VLOOKUP(Table1[[#This Row],[Cellar Location]],Location!A:F,6,FALSE)</f>
        <v>W</v>
      </c>
      <c r="AN672" s="1">
        <v>44041</v>
      </c>
      <c r="AO672" s="10" t="str">
        <f>TEXT(Table1[[#This Row],[Purchased]],"mmmm")</f>
        <v>July</v>
      </c>
      <c r="AP672" s="10" t="str">
        <f>TEXT(Table1[[#This Row],[Purchased]],"yyyy")</f>
        <v>2020</v>
      </c>
      <c r="AQ672" s="1">
        <v>44138</v>
      </c>
    </row>
    <row r="673" spans="1:43" s="37" customFormat="1" x14ac:dyDescent="0.25">
      <c r="A673" s="37" t="str">
        <f t="shared" si="42"/>
        <v>2016Diez-CaballeroVendimia Seleccionada</v>
      </c>
      <c r="B673" s="37">
        <v>2016</v>
      </c>
      <c r="C673" s="19" t="s">
        <v>1216</v>
      </c>
      <c r="D673" s="9" t="s">
        <v>303</v>
      </c>
      <c r="E673" s="67" t="s">
        <v>1220</v>
      </c>
      <c r="F673" s="37" t="s">
        <v>729</v>
      </c>
      <c r="G673" s="37" t="s">
        <v>823</v>
      </c>
      <c r="I673" s="107">
        <v>1</v>
      </c>
      <c r="J673" s="37">
        <v>750</v>
      </c>
      <c r="K673" s="107" t="s">
        <v>1313</v>
      </c>
      <c r="L673" s="37">
        <f>COUNTIF(Drank!A:A,Table1[[#This Row],[ID]])</f>
        <v>1</v>
      </c>
      <c r="M673" s="37" t="s">
        <v>202</v>
      </c>
      <c r="N673" s="37" t="s">
        <v>207</v>
      </c>
      <c r="O673" s="37">
        <v>1</v>
      </c>
      <c r="P673" s="37">
        <v>2019</v>
      </c>
      <c r="Q673" s="37">
        <v>2026</v>
      </c>
      <c r="R673" s="10">
        <f>IF(IFERROR(VLOOKUP(A673,Drank!A:S,15,FALSE),"")=0,"",IFERROR(VLOOKUP(A673,Drank!A:S,15,FALSE),""))</f>
        <v>2021</v>
      </c>
      <c r="S673" s="10">
        <f>IF(IFERROR(VLOOKUP(A673,Drank!A:S,16,FALSE),"")=0,"",IFERROR(VLOOKUP(A673,Drank!A:S,16,FALSE),""))</f>
        <v>2025</v>
      </c>
      <c r="T673" s="10"/>
      <c r="U673" s="37">
        <v>92</v>
      </c>
      <c r="V673" s="18">
        <f>IF(IFERROR(VLOOKUP(A673,Drank!A:T,19,FALSE),"")=0,"",IFERROR(VLOOKUP(A673,Drank!A:T,19,FALSE),""))</f>
        <v>90</v>
      </c>
      <c r="W673" s="1">
        <f>IF(IFERROR(VLOOKUP(A673,Drank!A:T,20,FALSE),"")=0,"",IFERROR(VLOOKUP(A673,Drank!A:T,20,FALSE),""))</f>
        <v>43883</v>
      </c>
      <c r="X673" s="10">
        <f>SUMIF(A:A,A673,I:I)</f>
        <v>7</v>
      </c>
      <c r="Y673" s="37">
        <f>IF(Table1[[#This Row],[Drank]]&gt;0,VLOOKUP(Table1[[#This Row],[ID]],Drank!A:P,16,FALSE),IF(Table1[[#This Row],[WALDD]]&gt;0,VLOOKUP(Table1[[#This Row],[ID]],Wine1!A:Q,17,FALSE),Table1[[#This Row],[EP]]))</f>
        <v>2025</v>
      </c>
      <c r="Z673" s="18">
        <f>IF(Table1[[#This Row],[My Rating]]="",IF(Table1[[#This Row],[WA Rating Clean]]="","",Table1[[#This Row],[WA Rating Clean]]),Table1[[#This Row],[My Rating]])</f>
        <v>90</v>
      </c>
      <c r="AA673" s="37">
        <v>2026</v>
      </c>
      <c r="AB673" s="128">
        <v>16.989999999999998</v>
      </c>
      <c r="AC673" s="2">
        <f t="shared" si="43"/>
        <v>16.989999999999998</v>
      </c>
      <c r="AD673" s="8">
        <v>2</v>
      </c>
      <c r="AE673" s="8">
        <f>IF(Table1[[#This Row],[P/750]]&lt;20,1,IF(Table1[[#This Row],[P/750]]&lt;50,2,3))</f>
        <v>1</v>
      </c>
      <c r="AF673" s="8">
        <f>IF(Table1[[#This Row],[P/750]]&lt;Expenses!$C$30,1,IF(Table1[[#This Row],[P/750]]&lt;Expenses!$C$31,2,IF(Table1[[#This Row],[P/750]]&lt;Expenses!$C$32,3,4)))</f>
        <v>2</v>
      </c>
      <c r="AH673" s="37" t="s">
        <v>384</v>
      </c>
      <c r="AI673" s="11">
        <f>Table1[[#This Row],[Price]]/Table1[[#This Row],[Size (ml)]]*750</f>
        <v>16.989999999999998</v>
      </c>
      <c r="AJ673" s="37">
        <v>92</v>
      </c>
      <c r="AK673" s="37">
        <f>COUNTIF(UniqueID!A:A,Table1[[#This Row],[ID]])</f>
        <v>1</v>
      </c>
      <c r="AL673" s="37" t="str">
        <f>VLOOKUP(Table1[[#This Row],[Cellar Location]],Location!A:F,6,FALSE)</f>
        <v>S</v>
      </c>
      <c r="AN673" s="1">
        <v>43873</v>
      </c>
      <c r="AO673" s="37" t="str">
        <f>TEXT(Table1[[#This Row],[Purchased]],"mmmm")</f>
        <v>February</v>
      </c>
      <c r="AP673" s="10" t="str">
        <f>TEXT(Table1[[#This Row],[Purchased]],"yyyy")</f>
        <v>2020</v>
      </c>
      <c r="AQ673" s="10"/>
    </row>
    <row r="674" spans="1:43" s="37" customFormat="1" x14ac:dyDescent="0.25">
      <c r="A674" s="37" t="str">
        <f t="shared" si="42"/>
        <v>2017Domaine de l'AmandineCotes du Rhone Villages Seguret</v>
      </c>
      <c r="B674" s="37">
        <v>2017</v>
      </c>
      <c r="C674" s="9" t="s">
        <v>361</v>
      </c>
      <c r="D674" s="30" t="s">
        <v>362</v>
      </c>
      <c r="E674" s="37" t="s">
        <v>1197</v>
      </c>
      <c r="F674" s="37" t="s">
        <v>742</v>
      </c>
      <c r="G674" s="37" t="s">
        <v>759</v>
      </c>
      <c r="H674" s="37" t="s">
        <v>760</v>
      </c>
      <c r="I674" s="107">
        <v>1</v>
      </c>
      <c r="J674" s="37">
        <v>750</v>
      </c>
      <c r="K674" s="107" t="s">
        <v>926</v>
      </c>
      <c r="L674" s="37">
        <f>COUNTIF(Drank!A:A,Table1[[#This Row],[ID]])</f>
        <v>17</v>
      </c>
      <c r="M674" s="37" t="s">
        <v>202</v>
      </c>
      <c r="N674" s="37" t="s">
        <v>207</v>
      </c>
      <c r="O674" s="37">
        <v>1</v>
      </c>
      <c r="P674" s="37">
        <v>2018</v>
      </c>
      <c r="Q674" s="37">
        <v>2025</v>
      </c>
      <c r="R674" s="10">
        <f>IF(IFERROR(VLOOKUP(A674,Drank!A:S,15,FALSE),"")=0,"",IFERROR(VLOOKUP(A674,Drank!A:S,15,FALSE),""))</f>
        <v>2020</v>
      </c>
      <c r="S674" s="10">
        <f>IF(IFERROR(VLOOKUP(A674,Drank!A:S,16,FALSE),"")=0,"",IFERROR(VLOOKUP(A674,Drank!A:S,16,FALSE),""))</f>
        <v>2025</v>
      </c>
      <c r="T674" s="10"/>
      <c r="U674" s="37">
        <v>93</v>
      </c>
      <c r="V674" s="18">
        <f>IF(IFERROR(VLOOKUP(A674,Drank!A:T,19,FALSE),"")=0,"",IFERROR(VLOOKUP(A674,Drank!A:T,19,FALSE),""))</f>
        <v>92.470588235294116</v>
      </c>
      <c r="W674" s="1">
        <f>IF(IFERROR(VLOOKUP(A674,Drank!A:T,20,FALSE),"")=0,"",IFERROR(VLOOKUP(A674,Drank!A:T,20,FALSE),""))</f>
        <v>44030</v>
      </c>
      <c r="X674" s="10">
        <f>SUMIF(A:A,A674,I:I)</f>
        <v>20</v>
      </c>
      <c r="Y674" s="37">
        <f>IF(Table1[[#This Row],[Drank]]&gt;0,VLOOKUP(Table1[[#This Row],[ID]],Drank!A:P,16,FALSE),IF(Table1[[#This Row],[WALDD]]&gt;0,VLOOKUP(Table1[[#This Row],[ID]],Wine1!A:Q,17,FALSE),Table1[[#This Row],[EP]]))</f>
        <v>2025</v>
      </c>
      <c r="Z674" s="18">
        <f>IF(Table1[[#This Row],[My Rating]]="",IF(Table1[[#This Row],[WA Rating Clean]]="","",Table1[[#This Row],[WA Rating Clean]]),Table1[[#This Row],[My Rating]])</f>
        <v>92.470588235294116</v>
      </c>
      <c r="AA674" s="8">
        <v>2026</v>
      </c>
      <c r="AB674" s="128">
        <v>14.99</v>
      </c>
      <c r="AC674" s="2">
        <f t="shared" si="43"/>
        <v>14.99</v>
      </c>
      <c r="AD674" s="8">
        <v>2</v>
      </c>
      <c r="AE674" s="37">
        <f>IF(Table1[[#This Row],[P/750]]&lt;20,1,IF(Table1[[#This Row],[P/750]]&lt;50,2,3))</f>
        <v>1</v>
      </c>
      <c r="AF674" s="37">
        <f>IF(Table1[[#This Row],[P/750]]&lt;Expenses!$C$30,1,IF(Table1[[#This Row],[P/750]]&lt;Expenses!$C$31,2,IF(Table1[[#This Row],[P/750]]&lt;Expenses!$C$32,3,4)))</f>
        <v>1</v>
      </c>
      <c r="AH674" s="37" t="s">
        <v>384</v>
      </c>
      <c r="AI674" s="11">
        <f>Table1[[#This Row],[Price]]/Table1[[#This Row],[Size (ml)]]*750</f>
        <v>14.99</v>
      </c>
      <c r="AJ674" s="37">
        <v>93</v>
      </c>
      <c r="AK674" s="37">
        <f>COUNTIF(UniqueID!A:A,Table1[[#This Row],[ID]])</f>
        <v>1</v>
      </c>
      <c r="AL674" s="37" t="str">
        <f>VLOOKUP(Table1[[#This Row],[Cellar Location]],Location!A:F,6,FALSE)</f>
        <v>S</v>
      </c>
      <c r="AN674" s="1">
        <v>43806</v>
      </c>
      <c r="AO674" s="37" t="str">
        <f>TEXT(Table1[[#This Row],[Purchased]],"mmmm")</f>
        <v>December</v>
      </c>
      <c r="AP674" s="10" t="str">
        <f>TEXT(Table1[[#This Row],[Purchased]],"yyyy")</f>
        <v>2019</v>
      </c>
      <c r="AQ674" s="10"/>
    </row>
    <row r="675" spans="1:43" s="37" customFormat="1" x14ac:dyDescent="0.25">
      <c r="A675" s="37" t="str">
        <f t="shared" si="42"/>
        <v>2012Vizcarra RamosCelia</v>
      </c>
      <c r="B675" s="37">
        <v>2012</v>
      </c>
      <c r="C675" s="37" t="s">
        <v>1344</v>
      </c>
      <c r="D675" s="37" t="s">
        <v>1345</v>
      </c>
      <c r="E675" s="67" t="s">
        <v>1346</v>
      </c>
      <c r="F675" s="37" t="s">
        <v>729</v>
      </c>
      <c r="G675" s="37" t="s">
        <v>1718</v>
      </c>
      <c r="H675" s="37" t="s">
        <v>818</v>
      </c>
      <c r="I675" s="107">
        <v>1</v>
      </c>
      <c r="J675" s="37">
        <v>750</v>
      </c>
      <c r="K675" s="107" t="s">
        <v>1405</v>
      </c>
      <c r="L675" s="10">
        <f>COUNTIF(Drank!A:A,Table1[[#This Row],[ID]])</f>
        <v>0</v>
      </c>
      <c r="M675" s="37" t="s">
        <v>202</v>
      </c>
      <c r="N675" s="37" t="s">
        <v>207</v>
      </c>
      <c r="O675" s="37">
        <v>1</v>
      </c>
      <c r="P675" s="10">
        <v>2017</v>
      </c>
      <c r="Q675" s="37">
        <v>2025</v>
      </c>
      <c r="R675" s="10" t="str">
        <f>IF(IFERROR(VLOOKUP(A675,Drank!A:S,15,FALSE),"")=0,"",IFERROR(VLOOKUP(A675,Drank!A:S,15,FALSE),""))</f>
        <v/>
      </c>
      <c r="S675" s="10" t="str">
        <f>IF(IFERROR(VLOOKUP(A675,Drank!A:S,16,FALSE),"")=0,"",IFERROR(VLOOKUP(A675,Drank!A:S,16,FALSE),""))</f>
        <v/>
      </c>
      <c r="T675" s="10"/>
      <c r="U675" s="37">
        <v>95</v>
      </c>
      <c r="V675" s="18" t="str">
        <f>IF(IFERROR(VLOOKUP(A675,Drank!A:T,19,FALSE),"")=0,"",IFERROR(VLOOKUP(A675,Drank!A:T,19,FALSE),""))</f>
        <v/>
      </c>
      <c r="W675" s="1" t="str">
        <f>IF(IFERROR(VLOOKUP(A675,Drank!A:T,20,FALSE),"")=0,"",IFERROR(VLOOKUP(A675,Drank!A:T,20,FALSE),""))</f>
        <v/>
      </c>
      <c r="X675" s="10">
        <f>SUMIF(A:A,A675,I:I)</f>
        <v>2</v>
      </c>
      <c r="Y675" s="10">
        <f>IF(Table1[[#This Row],[Drank]]&gt;0,VLOOKUP(Table1[[#This Row],[ID]],Drank!A:P,16,FALSE),IF(Table1[[#This Row],[WALDD]]&gt;0,VLOOKUP(Table1[[#This Row],[ID]],Wine1!A:Q,17,FALSE),Table1[[#This Row],[EP]]))</f>
        <v>2025</v>
      </c>
      <c r="Z675" s="18">
        <f>IF(Table1[[#This Row],[My Rating]]="",IF(Table1[[#This Row],[WA Rating Clean]]="","",Table1[[#This Row],[WA Rating Clean]]),Table1[[#This Row],[My Rating]])</f>
        <v>95</v>
      </c>
      <c r="AA675" s="6">
        <v>2026</v>
      </c>
      <c r="AB675" s="128">
        <v>81.93</v>
      </c>
      <c r="AC675" s="2">
        <f t="shared" si="43"/>
        <v>81.93</v>
      </c>
      <c r="AD675" s="8">
        <v>2</v>
      </c>
      <c r="AE675" s="10">
        <f>IF(Table1[[#This Row],[P/750]]&lt;20,1,IF(Table1[[#This Row],[P/750]]&lt;50,2,3))</f>
        <v>3</v>
      </c>
      <c r="AF675" s="10">
        <f>IF(Table1[[#This Row],[P/750]]&lt;Expenses!$C$30,1,IF(Table1[[#This Row],[P/750]]&lt;Expenses!$C$31,2,IF(Table1[[#This Row],[P/750]]&lt;Expenses!$C$32,3,4)))</f>
        <v>4</v>
      </c>
      <c r="AH675" s="37" t="s">
        <v>385</v>
      </c>
      <c r="AI675" s="11">
        <f>Table1[[#This Row],[Price]]/Table1[[#This Row],[Size (ml)]]*750</f>
        <v>81.93</v>
      </c>
      <c r="AJ675" s="37">
        <v>95</v>
      </c>
      <c r="AK675" s="10">
        <f>COUNTIF(UniqueID!A:A,Table1[[#This Row],[ID]])</f>
        <v>0</v>
      </c>
      <c r="AL675" s="10" t="str">
        <f>VLOOKUP(Table1[[#This Row],[Cellar Location]],Location!A:F,6,FALSE)</f>
        <v>S</v>
      </c>
      <c r="AN675" s="1">
        <v>43924</v>
      </c>
      <c r="AO675" s="10" t="str">
        <f>TEXT(Table1[[#This Row],[Purchased]],"mmmm")</f>
        <v>April</v>
      </c>
      <c r="AP675" s="10" t="str">
        <f>TEXT(Table1[[#This Row],[Purchased]],"yyyy")</f>
        <v>2020</v>
      </c>
      <c r="AQ675" s="10"/>
    </row>
    <row r="676" spans="1:43" s="37" customFormat="1" x14ac:dyDescent="0.25">
      <c r="A676" s="37" t="str">
        <f t="shared" si="42"/>
        <v>2017SichelSichel</v>
      </c>
      <c r="B676" s="8">
        <v>2017</v>
      </c>
      <c r="C676" s="37" t="s">
        <v>409</v>
      </c>
      <c r="D676" s="37" t="s">
        <v>409</v>
      </c>
      <c r="E676" s="37" t="s">
        <v>1200</v>
      </c>
      <c r="F676" s="37" t="s">
        <v>742</v>
      </c>
      <c r="G676" s="37" t="s">
        <v>748</v>
      </c>
      <c r="H676" s="37" t="s">
        <v>260</v>
      </c>
      <c r="I676" s="107">
        <v>1</v>
      </c>
      <c r="J676" s="37">
        <v>375</v>
      </c>
      <c r="K676" s="107" t="s">
        <v>1504</v>
      </c>
      <c r="L676" s="37">
        <f>COUNTIF(Drank!A:A,Table1[[#This Row],[ID]])</f>
        <v>10</v>
      </c>
      <c r="M676" s="37" t="s">
        <v>201</v>
      </c>
      <c r="N676" s="37" t="s">
        <v>206</v>
      </c>
      <c r="O676" s="37">
        <v>1</v>
      </c>
      <c r="R676" s="10">
        <f>IF(IFERROR(VLOOKUP(A676,Drank!A:S,15,FALSE),"")=0,"",IFERROR(VLOOKUP(A676,Drank!A:S,15,FALSE),""))</f>
        <v>2020</v>
      </c>
      <c r="S676" s="10">
        <f>IF(IFERROR(VLOOKUP(A676,Drank!A:S,16,FALSE),"")=0,"",IFERROR(VLOOKUP(A676,Drank!A:S,16,FALSE),""))</f>
        <v>2025</v>
      </c>
      <c r="T676" s="10"/>
      <c r="V676" s="18">
        <f>IF(IFERROR(VLOOKUP(A676,Drank!A:T,19,FALSE),"")=0,"",IFERROR(VLOOKUP(A676,Drank!A:T,19,FALSE),""))</f>
        <v>89.7</v>
      </c>
      <c r="W676" s="1">
        <f>IF(IFERROR(VLOOKUP(A676,Drank!A:T,20,FALSE),"")=0,"",IFERROR(VLOOKUP(A676,Drank!A:T,20,FALSE),""))</f>
        <v>44002</v>
      </c>
      <c r="X676" s="10">
        <f>SUMIF(A:A,A676,I:I)</f>
        <v>20</v>
      </c>
      <c r="Y676" s="37">
        <f>IF(Table1[[#This Row],[Drank]]&gt;0,VLOOKUP(Table1[[#This Row],[ID]],Drank!A:P,16,FALSE),IF(Table1[[#This Row],[WALDD]]&gt;0,VLOOKUP(Table1[[#This Row],[ID]],Wine1!A:Q,17,FALSE),Table1[[#This Row],[EP]]))</f>
        <v>2025</v>
      </c>
      <c r="Z676" s="18">
        <f>IF(Table1[[#This Row],[My Rating]]="",IF(Table1[[#This Row],[WA Rating Clean]]="","",Table1[[#This Row],[WA Rating Clean]]),Table1[[#This Row],[My Rating]])</f>
        <v>89.7</v>
      </c>
      <c r="AA676" s="37">
        <v>2026</v>
      </c>
      <c r="AB676" s="128">
        <v>12</v>
      </c>
      <c r="AC676" s="2">
        <f t="shared" si="43"/>
        <v>12</v>
      </c>
      <c r="AD676" s="8">
        <v>2</v>
      </c>
      <c r="AE676" s="37">
        <f>IF(Table1[[#This Row],[P/750]]&lt;20,1,IF(Table1[[#This Row],[P/750]]&lt;50,2,3))</f>
        <v>2</v>
      </c>
      <c r="AF676" s="37">
        <f>IF(Table1[[#This Row],[P/750]]&lt;Expenses!$C$30,1,IF(Table1[[#This Row],[P/750]]&lt;Expenses!$C$31,2,IF(Table1[[#This Row],[P/750]]&lt;Expenses!$C$32,3,4)))</f>
        <v>2</v>
      </c>
      <c r="AH676" s="37" t="s">
        <v>385</v>
      </c>
      <c r="AI676" s="11">
        <f>Table1[[#This Row],[Price]]/Table1[[#This Row],[Size (ml)]]*750</f>
        <v>24</v>
      </c>
      <c r="AK676" s="37">
        <f>COUNTIF(UniqueID!A:A,Table1[[#This Row],[ID]])</f>
        <v>1</v>
      </c>
      <c r="AL676" s="37" t="str">
        <f>VLOOKUP(Table1[[#This Row],[Cellar Location]],Location!A:F,6,FALSE)</f>
        <v>S</v>
      </c>
      <c r="AN676" s="1">
        <v>43845</v>
      </c>
      <c r="AO676" s="37" t="str">
        <f>TEXT(Table1[[#This Row],[Purchased]],"mmmm")</f>
        <v>January</v>
      </c>
      <c r="AP676" s="10" t="str">
        <f>TEXT(Table1[[#This Row],[Purchased]],"yyyy")</f>
        <v>2020</v>
      </c>
      <c r="AQ676" s="10"/>
    </row>
    <row r="677" spans="1:43" s="37" customFormat="1" x14ac:dyDescent="0.25">
      <c r="A677" s="37" t="str">
        <f t="shared" si="42"/>
        <v>2017AaltoAalto</v>
      </c>
      <c r="B677" s="37">
        <v>2017</v>
      </c>
      <c r="C677" s="37" t="s">
        <v>1184</v>
      </c>
      <c r="D677" s="37" t="s">
        <v>1184</v>
      </c>
      <c r="E677" s="67" t="s">
        <v>1220</v>
      </c>
      <c r="F677" s="37" t="s">
        <v>729</v>
      </c>
      <c r="G677" s="37" t="s">
        <v>1718</v>
      </c>
      <c r="H677" s="37" t="s">
        <v>818</v>
      </c>
      <c r="I677" s="8">
        <v>1</v>
      </c>
      <c r="J677" s="38">
        <v>750</v>
      </c>
      <c r="K677" s="38" t="s">
        <v>435</v>
      </c>
      <c r="L677" s="10">
        <f>COUNTIF(Drank!A:A,Table1[[#This Row],[ID]])</f>
        <v>0</v>
      </c>
      <c r="M677" s="37" t="s">
        <v>202</v>
      </c>
      <c r="N677" s="37" t="s">
        <v>207</v>
      </c>
      <c r="O677" s="37">
        <v>1</v>
      </c>
      <c r="P677" s="10">
        <v>2020</v>
      </c>
      <c r="Q677" s="37">
        <v>2025</v>
      </c>
      <c r="R677" s="10" t="str">
        <f>IF(IFERROR(VLOOKUP(A677,Drank!A:S,15,FALSE),"")=0,"",IFERROR(VLOOKUP(A677,Drank!A:S,15,FALSE),""))</f>
        <v/>
      </c>
      <c r="S677" s="10" t="str">
        <f>IF(IFERROR(VLOOKUP(A677,Drank!A:S,16,FALSE),"")=0,"",IFERROR(VLOOKUP(A677,Drank!A:S,16,FALSE),""))</f>
        <v/>
      </c>
      <c r="T677" s="10"/>
      <c r="U677" s="37">
        <v>94</v>
      </c>
      <c r="V677" s="18" t="str">
        <f>IF(IFERROR(VLOOKUP(A677,Drank!A:T,19,FALSE),"")=0,"",IFERROR(VLOOKUP(A677,Drank!A:T,19,FALSE),""))</f>
        <v/>
      </c>
      <c r="W677" s="1" t="str">
        <f>IF(IFERROR(VLOOKUP(A677,Drank!A:T,20,FALSE),"")=0,"",IFERROR(VLOOKUP(A677,Drank!A:T,20,FALSE),""))</f>
        <v/>
      </c>
      <c r="X677" s="10">
        <f>SUMIF(A:A,A677,I:I)</f>
        <v>5</v>
      </c>
      <c r="Y677" s="10">
        <f>IF(Table1[[#This Row],[Drank]]&gt;0,VLOOKUP(Table1[[#This Row],[ID]],Drank!A:P,16,FALSE),IF(Table1[[#This Row],[WALDD]]&gt;0,VLOOKUP(Table1[[#This Row],[ID]],Wine1!A:Q,17,FALSE),Table1[[#This Row],[EP]]))</f>
        <v>2025</v>
      </c>
      <c r="Z677" s="18">
        <f>IF(Table1[[#This Row],[My Rating]]="",IF(Table1[[#This Row],[WA Rating Clean]]="","",Table1[[#This Row],[WA Rating Clean]]),Table1[[#This Row],[My Rating]])</f>
        <v>94</v>
      </c>
      <c r="AA677" s="37">
        <v>2026</v>
      </c>
      <c r="AB677" s="128">
        <v>44.99</v>
      </c>
      <c r="AC677" s="2">
        <f t="shared" si="43"/>
        <v>44.99</v>
      </c>
      <c r="AD677" s="8">
        <v>1</v>
      </c>
      <c r="AE677" s="10">
        <f>IF(Table1[[#This Row],[P/750]]&lt;20,1,IF(Table1[[#This Row],[P/750]]&lt;50,2,3))</f>
        <v>2</v>
      </c>
      <c r="AF677" s="10">
        <f>IF(Table1[[#This Row],[P/750]]&lt;Expenses!$C$30,1,IF(Table1[[#This Row],[P/750]]&lt;Expenses!$C$31,2,IF(Table1[[#This Row],[P/750]]&lt;Expenses!$C$32,3,4)))</f>
        <v>3</v>
      </c>
      <c r="AH677" s="37" t="s">
        <v>1744</v>
      </c>
      <c r="AI677" s="11">
        <f>Table1[[#This Row],[Price]]/Table1[[#This Row],[Size (ml)]]*750</f>
        <v>44.99</v>
      </c>
      <c r="AJ677" s="37">
        <v>94</v>
      </c>
      <c r="AK677" s="10">
        <f>COUNTIF(UniqueID!A:A,Table1[[#This Row],[ID]])</f>
        <v>0</v>
      </c>
      <c r="AL677" s="10" t="str">
        <f>VLOOKUP(Table1[[#This Row],[Cellar Location]],Location!A:F,6,FALSE)</f>
        <v>W</v>
      </c>
      <c r="AN677" s="1">
        <v>44063</v>
      </c>
      <c r="AO677" s="10" t="str">
        <f>TEXT(Table1[[#This Row],[Purchased]],"mmmm")</f>
        <v>August</v>
      </c>
      <c r="AP677" s="10" t="str">
        <f>TEXT(Table1[[#This Row],[Purchased]],"yyyy")</f>
        <v>2020</v>
      </c>
      <c r="AQ677" s="1">
        <v>44114</v>
      </c>
    </row>
    <row r="678" spans="1:43" s="37" customFormat="1" x14ac:dyDescent="0.25">
      <c r="A678" s="37" t="str">
        <f t="shared" si="42"/>
        <v>2013PoesiaBodegas Poesia</v>
      </c>
      <c r="B678" s="37">
        <v>2013</v>
      </c>
      <c r="C678" s="8" t="s">
        <v>1552</v>
      </c>
      <c r="D678" s="37" t="s">
        <v>730</v>
      </c>
      <c r="E678" s="67" t="s">
        <v>1553</v>
      </c>
      <c r="F678" s="37" t="s">
        <v>731</v>
      </c>
      <c r="G678" s="37" t="s">
        <v>732</v>
      </c>
      <c r="H678" s="37" t="s">
        <v>849</v>
      </c>
      <c r="I678" s="37">
        <v>1</v>
      </c>
      <c r="J678" s="38">
        <v>750</v>
      </c>
      <c r="K678" s="38" t="s">
        <v>385</v>
      </c>
      <c r="L678" s="10">
        <f>COUNTIF(Drank!A:A,Table1[[#This Row],[ID]])</f>
        <v>0</v>
      </c>
      <c r="M678" s="37" t="s">
        <v>202</v>
      </c>
      <c r="N678" s="37" t="s">
        <v>207</v>
      </c>
      <c r="O678" s="37">
        <v>1</v>
      </c>
      <c r="P678" s="37">
        <v>2017</v>
      </c>
      <c r="Q678" s="37">
        <v>2026</v>
      </c>
      <c r="R678" s="10" t="str">
        <f>IF(IFERROR(VLOOKUP(A678,Drank!A:S,15,FALSE),"")=0,"",IFERROR(VLOOKUP(A678,Drank!A:S,15,FALSE),""))</f>
        <v/>
      </c>
      <c r="S678" s="10" t="str">
        <f>IF(IFERROR(VLOOKUP(A678,Drank!A:S,16,FALSE),"")=0,"",IFERROR(VLOOKUP(A678,Drank!A:S,16,FALSE),""))</f>
        <v/>
      </c>
      <c r="T678" s="10"/>
      <c r="U678" s="37">
        <v>94</v>
      </c>
      <c r="V678" s="18" t="str">
        <f>IF(IFERROR(VLOOKUP(A678,Drank!A:T,19,FALSE),"")=0,"",IFERROR(VLOOKUP(A678,Drank!A:T,19,FALSE),""))</f>
        <v/>
      </c>
      <c r="W678" s="1" t="str">
        <f>IF(IFERROR(VLOOKUP(A678,Drank!A:T,20,FALSE),"")=0,"",IFERROR(VLOOKUP(A678,Drank!A:T,20,FALSE),""))</f>
        <v/>
      </c>
      <c r="X678" s="10">
        <f>SUMIF(A:A,A678,I:I)</f>
        <v>4</v>
      </c>
      <c r="Y678" s="10">
        <f>IF(Table1[[#This Row],[Drank]]&gt;0,VLOOKUP(Table1[[#This Row],[ID]],Drank!A:P,16,FALSE),IF(Table1[[#This Row],[WALDD]]&gt;0,VLOOKUP(Table1[[#This Row],[ID]],Wine1!A:Q,17,FALSE),Table1[[#This Row],[EP]]))</f>
        <v>2026</v>
      </c>
      <c r="Z678" s="18">
        <f>IF(Table1[[#This Row],[My Rating]]="",IF(Table1[[#This Row],[WA Rating Clean]]="","",Table1[[#This Row],[WA Rating Clean]]),Table1[[#This Row],[My Rating]])</f>
        <v>94</v>
      </c>
      <c r="AA678" s="8">
        <v>2026</v>
      </c>
      <c r="AB678" s="128">
        <v>31.68</v>
      </c>
      <c r="AC678" s="2">
        <f t="shared" si="43"/>
        <v>31.68</v>
      </c>
      <c r="AD678" s="8">
        <v>1</v>
      </c>
      <c r="AE678" s="10">
        <f>IF(Table1[[#This Row],[P/750]]&lt;20,1,IF(Table1[[#This Row],[P/750]]&lt;50,2,3))</f>
        <v>2</v>
      </c>
      <c r="AF678" s="10">
        <f>IF(Table1[[#This Row],[P/750]]&lt;Expenses!$C$30,1,IF(Table1[[#This Row],[P/750]]&lt;Expenses!$C$31,2,IF(Table1[[#This Row],[P/750]]&lt;Expenses!$C$32,3,4)))</f>
        <v>3</v>
      </c>
      <c r="AH678" s="37" t="s">
        <v>385</v>
      </c>
      <c r="AI678" s="11">
        <f>Table1[[#This Row],[Price]]/Table1[[#This Row],[Size (ml)]]*750</f>
        <v>31.68</v>
      </c>
      <c r="AJ678" s="37">
        <v>94</v>
      </c>
      <c r="AK678" s="10">
        <f>COUNTIF(UniqueID!A:A,Table1[[#This Row],[ID]])</f>
        <v>0</v>
      </c>
      <c r="AL678" s="10" t="str">
        <f>VLOOKUP(Table1[[#This Row],[Cellar Location]],Location!A:F,6,FALSE)</f>
        <v>W</v>
      </c>
      <c r="AN678" s="1">
        <v>44043</v>
      </c>
      <c r="AO678" s="10" t="str">
        <f>TEXT(Table1[[#This Row],[Purchased]],"mmmm")</f>
        <v>July</v>
      </c>
      <c r="AP678" s="10" t="str">
        <f>TEXT(Table1[[#This Row],[Purchased]],"yyyy")</f>
        <v>2020</v>
      </c>
      <c r="AQ678" s="1">
        <v>44114</v>
      </c>
    </row>
    <row r="679" spans="1:43" s="37" customFormat="1" x14ac:dyDescent="0.25">
      <c r="A679" s="37" t="str">
        <f t="shared" si="42"/>
        <v>2012Gustave LorentzAlsace Grand Cru Altenberg de Bergheim Riesling</v>
      </c>
      <c r="B679" s="37">
        <v>2012</v>
      </c>
      <c r="C679" s="37" t="s">
        <v>1355</v>
      </c>
      <c r="D679" s="37" t="s">
        <v>1356</v>
      </c>
      <c r="E679" s="69" t="s">
        <v>1357</v>
      </c>
      <c r="F679" s="37" t="s">
        <v>742</v>
      </c>
      <c r="G679" s="37" t="s">
        <v>743</v>
      </c>
      <c r="H679" s="37" t="s">
        <v>1358</v>
      </c>
      <c r="I679" s="107">
        <v>1</v>
      </c>
      <c r="J679" s="9">
        <v>750</v>
      </c>
      <c r="K679" s="107" t="s">
        <v>590</v>
      </c>
      <c r="L679" s="10">
        <f>COUNTIF(Drank!A:A,Table1[[#This Row],[ID]])</f>
        <v>2</v>
      </c>
      <c r="M679" s="37" t="s">
        <v>201</v>
      </c>
      <c r="N679" s="37" t="s">
        <v>207</v>
      </c>
      <c r="O679" s="37">
        <v>1</v>
      </c>
      <c r="P679" s="10">
        <v>2018</v>
      </c>
      <c r="Q679" s="37">
        <v>2026</v>
      </c>
      <c r="R679" s="10">
        <f>IF(IFERROR(VLOOKUP(A679,Drank!A:S,15,FALSE),"")=0,"",IFERROR(VLOOKUP(A679,Drank!A:S,15,FALSE),""))</f>
        <v>2026</v>
      </c>
      <c r="S679" s="10">
        <f>IF(IFERROR(VLOOKUP(A679,Drank!A:S,16,FALSE),"")=0,"",IFERROR(VLOOKUP(A679,Drank!A:S,16,FALSE),""))</f>
        <v>2026</v>
      </c>
      <c r="T679" s="10"/>
      <c r="U679" s="37">
        <v>91</v>
      </c>
      <c r="V679" s="18">
        <f>IF(IFERROR(VLOOKUP(A679,Drank!A:T,19,FALSE),"")=0,"",IFERROR(VLOOKUP(A679,Drank!A:T,19,FALSE),""))</f>
        <v>90</v>
      </c>
      <c r="W679" s="1">
        <f>IF(IFERROR(VLOOKUP(A679,Drank!A:T,20,FALSE),"")=0,"",IFERROR(VLOOKUP(A679,Drank!A:T,20,FALSE),""))</f>
        <v>44044</v>
      </c>
      <c r="X679" s="10">
        <f>SUMIF(A:A,A679,I:I)</f>
        <v>1</v>
      </c>
      <c r="Y679" s="10">
        <f>IF(Table1[[#This Row],[Drank]]&gt;0,VLOOKUP(Table1[[#This Row],[ID]],Drank!A:P,16,FALSE),IF(Table1[[#This Row],[WALDD]]&gt;0,VLOOKUP(Table1[[#This Row],[ID]],Wine1!A:Q,17,FALSE),Table1[[#This Row],[EP]]))</f>
        <v>2026</v>
      </c>
      <c r="Z679" s="18">
        <f>IF(Table1[[#This Row],[My Rating]]="",IF(Table1[[#This Row],[WA Rating Clean]]="","",Table1[[#This Row],[WA Rating Clean]]),Table1[[#This Row],[My Rating]])</f>
        <v>90</v>
      </c>
      <c r="AA679" s="37">
        <v>2026</v>
      </c>
      <c r="AB679" s="128">
        <v>29.32</v>
      </c>
      <c r="AC679" s="2">
        <f t="shared" si="43"/>
        <v>29.32</v>
      </c>
      <c r="AD679" s="8">
        <v>2</v>
      </c>
      <c r="AE679" s="10">
        <f>IF(Table1[[#This Row],[P/750]]&lt;20,1,IF(Table1[[#This Row],[P/750]]&lt;50,2,3))</f>
        <v>2</v>
      </c>
      <c r="AF679" s="10">
        <f>IF(Table1[[#This Row],[P/750]]&lt;Expenses!$C$30,1,IF(Table1[[#This Row],[P/750]]&lt;Expenses!$C$31,2,IF(Table1[[#This Row],[P/750]]&lt;Expenses!$C$32,3,4)))</f>
        <v>2</v>
      </c>
      <c r="AH679" s="37" t="s">
        <v>384</v>
      </c>
      <c r="AI679" s="11">
        <f>Table1[[#This Row],[Price]]/Table1[[#This Row],[Size (ml)]]*750</f>
        <v>29.32</v>
      </c>
      <c r="AJ679" s="37">
        <v>91</v>
      </c>
      <c r="AK679" s="10">
        <f>COUNTIF(UniqueID!A:A,Table1[[#This Row],[ID]])</f>
        <v>0</v>
      </c>
      <c r="AL679" s="10" t="str">
        <f>VLOOKUP(Table1[[#This Row],[Cellar Location]],Location!A:F,6,FALSE)</f>
        <v>S</v>
      </c>
      <c r="AN679" s="1">
        <v>43931</v>
      </c>
      <c r="AO679" s="10" t="str">
        <f>TEXT(Table1[[#This Row],[Purchased]],"mmmm")</f>
        <v>April</v>
      </c>
      <c r="AP679" s="10" t="str">
        <f>TEXT(Table1[[#This Row],[Purchased]],"yyyy")</f>
        <v>2020</v>
      </c>
      <c r="AQ679" s="10"/>
    </row>
    <row r="680" spans="1:43" s="37" customFormat="1" x14ac:dyDescent="0.25">
      <c r="A680" s="37" t="str">
        <f t="shared" si="42"/>
        <v>2014LutumPinot Noir Sanford &amp; Benedict Vineyard</v>
      </c>
      <c r="B680" s="37">
        <v>2014</v>
      </c>
      <c r="C680" s="9" t="s">
        <v>333</v>
      </c>
      <c r="D680" s="35" t="s">
        <v>373</v>
      </c>
      <c r="E680" s="65" t="s">
        <v>263</v>
      </c>
      <c r="F680" s="37" t="s">
        <v>727</v>
      </c>
      <c r="G680" s="37" t="s">
        <v>806</v>
      </c>
      <c r="H680" s="37" t="s">
        <v>830</v>
      </c>
      <c r="I680" s="107">
        <v>1</v>
      </c>
      <c r="J680" s="37">
        <v>750</v>
      </c>
      <c r="K680" s="107" t="s">
        <v>655</v>
      </c>
      <c r="L680" s="37">
        <f>COUNTIF(Drank!A:A,Table1[[#This Row],[ID]])</f>
        <v>1</v>
      </c>
      <c r="M680" s="37" t="s">
        <v>202</v>
      </c>
      <c r="N680" s="37" t="s">
        <v>207</v>
      </c>
      <c r="O680" s="37">
        <v>1</v>
      </c>
      <c r="P680" s="37">
        <v>2016</v>
      </c>
      <c r="Q680" s="37">
        <v>2026</v>
      </c>
      <c r="R680" s="10">
        <f>IF(IFERROR(VLOOKUP(A680,Drank!A:S,15,FALSE),"")=0,"",IFERROR(VLOOKUP(A680,Drank!A:S,15,FALSE),""))</f>
        <v>2019</v>
      </c>
      <c r="S680" s="10">
        <f>IF(IFERROR(VLOOKUP(A680,Drank!A:S,16,FALSE),"")=0,"",IFERROR(VLOOKUP(A680,Drank!A:S,16,FALSE),""))</f>
        <v>2026</v>
      </c>
      <c r="T680" s="10"/>
      <c r="U680" s="37">
        <v>95</v>
      </c>
      <c r="V680" s="18">
        <f>IF(IFERROR(VLOOKUP(A680,Drank!A:T,19,FALSE),"")=0,"",IFERROR(VLOOKUP(A680,Drank!A:T,19,FALSE),""))</f>
        <v>93</v>
      </c>
      <c r="W680" s="1">
        <f>IF(IFERROR(VLOOKUP(A680,Drank!A:T,20,FALSE),"")=0,"",IFERROR(VLOOKUP(A680,Drank!A:T,20,FALSE),""))</f>
        <v>43656</v>
      </c>
      <c r="X680" s="10">
        <f>SUMIF(A:A,A680,I:I)</f>
        <v>3</v>
      </c>
      <c r="Y680" s="37">
        <f>IF(Table1[[#This Row],[Drank]]&gt;0,VLOOKUP(Table1[[#This Row],[ID]],Drank!A:P,16,FALSE),IF(Table1[[#This Row],[WALDD]]&gt;0,VLOOKUP(Table1[[#This Row],[ID]],Wine1!A:Q,17,FALSE),Table1[[#This Row],[EP]]))</f>
        <v>2026</v>
      </c>
      <c r="Z680" s="18">
        <f>IF(Table1[[#This Row],[My Rating]]="",IF(Table1[[#This Row],[WA Rating Clean]]="","",Table1[[#This Row],[WA Rating Clean]]),Table1[[#This Row],[My Rating]])</f>
        <v>93</v>
      </c>
      <c r="AA680" s="8">
        <v>2026</v>
      </c>
      <c r="AB680" s="128">
        <v>35</v>
      </c>
      <c r="AC680" s="2">
        <f t="shared" si="43"/>
        <v>35</v>
      </c>
      <c r="AD680" s="8">
        <v>2</v>
      </c>
      <c r="AE680" s="37">
        <f>IF(Table1[[#This Row],[P/750]]&lt;20,1,IF(Table1[[#This Row],[P/750]]&lt;50,2,3))</f>
        <v>2</v>
      </c>
      <c r="AF680" s="37">
        <f>IF(Table1[[#This Row],[P/750]]&lt;Expenses!$C$30,1,IF(Table1[[#This Row],[P/750]]&lt;Expenses!$C$31,2,IF(Table1[[#This Row],[P/750]]&lt;Expenses!$C$32,3,4)))</f>
        <v>3</v>
      </c>
      <c r="AH680" s="37" t="s">
        <v>385</v>
      </c>
      <c r="AI680" s="11">
        <f>Table1[[#This Row],[Price]]/Table1[[#This Row],[Size (ml)]]*750</f>
        <v>35</v>
      </c>
      <c r="AJ680" s="37">
        <v>95</v>
      </c>
      <c r="AK680" s="37">
        <f>COUNTIF(UniqueID!A:A,Table1[[#This Row],[ID]])</f>
        <v>1</v>
      </c>
      <c r="AL680" s="37" t="str">
        <f>VLOOKUP(Table1[[#This Row],[Cellar Location]],Location!A:F,6,FALSE)</f>
        <v>S</v>
      </c>
      <c r="AO680" s="37" t="str">
        <f>TEXT(Table1[[#This Row],[Purchased]],"mmmm")</f>
        <v>January</v>
      </c>
      <c r="AP680" s="10" t="str">
        <f>TEXT(Table1[[#This Row],[Purchased]],"yyyy")</f>
        <v>1900</v>
      </c>
      <c r="AQ680" s="10"/>
    </row>
    <row r="681" spans="1:43" x14ac:dyDescent="0.25">
      <c r="A681" t="str">
        <f t="shared" si="42"/>
        <v>2013TabarriniMontefalco Sagrantino Colle Grimaldesco</v>
      </c>
      <c r="B681" s="37">
        <v>2013</v>
      </c>
      <c r="C681" s="37" t="s">
        <v>246</v>
      </c>
      <c r="D681" s="25" t="s">
        <v>247</v>
      </c>
      <c r="E681" s="64" t="s">
        <v>272</v>
      </c>
      <c r="F681" s="37" t="s">
        <v>728</v>
      </c>
      <c r="G681" s="37" t="s">
        <v>797</v>
      </c>
      <c r="H681" s="37" t="s">
        <v>798</v>
      </c>
      <c r="I681" s="107">
        <v>1</v>
      </c>
      <c r="J681" s="37">
        <v>750</v>
      </c>
      <c r="K681" s="108" t="s">
        <v>657</v>
      </c>
      <c r="L681" s="37">
        <f>COUNTIF(Drank!A:A,Table1[[#This Row],[ID]])</f>
        <v>1</v>
      </c>
      <c r="M681" t="s">
        <v>202</v>
      </c>
      <c r="N681" t="s">
        <v>207</v>
      </c>
      <c r="O681">
        <v>1</v>
      </c>
      <c r="P681" s="37">
        <v>2017</v>
      </c>
      <c r="Q681">
        <v>2026</v>
      </c>
      <c r="R681" s="37">
        <f>IF(IFERROR(VLOOKUP(A681,Drank!A:S,15,FALSE),"")=0,"",IFERROR(VLOOKUP(A681,Drank!A:S,15,FALSE),""))</f>
        <v>2022</v>
      </c>
      <c r="S681" s="37">
        <f>IF(IFERROR(VLOOKUP(A681,Drank!A:S,16,FALSE),"")=0,"",IFERROR(VLOOKUP(A681,Drank!A:S,16,FALSE),""))</f>
        <v>2026</v>
      </c>
      <c r="T681" s="37"/>
      <c r="U681">
        <v>90</v>
      </c>
      <c r="V681" s="18">
        <f>IF(IFERROR(VLOOKUP(A681,Drank!A:T,19,FALSE),"")=0,"",IFERROR(VLOOKUP(A681,Drank!A:T,19,FALSE),""))</f>
        <v>90</v>
      </c>
      <c r="W681" s="1">
        <f>IF(IFERROR(VLOOKUP(A681,Drank!A:T,20,FALSE),"")=0,"",IFERROR(VLOOKUP(A681,Drank!A:T,20,FALSE),""))</f>
        <v>43583</v>
      </c>
      <c r="X681" s="37">
        <f>SUMIF(A:A,A681,I:I)</f>
        <v>2</v>
      </c>
      <c r="Y681" s="37">
        <f>IF(Table1[[#This Row],[Drank]]&gt;0,VLOOKUP(Table1[[#This Row],[ID]],Drank!A:P,16,FALSE),IF(Table1[[#This Row],[WALDD]]&gt;0,VLOOKUP(Table1[[#This Row],[ID]],Wine1!A:Q,17,FALSE),Table1[[#This Row],[EP]]))</f>
        <v>2026</v>
      </c>
      <c r="Z681" s="18">
        <f>IF(Table1[[#This Row],[My Rating]]="",IF(Table1[[#This Row],[WA Rating Clean]]="","",Table1[[#This Row],[WA Rating Clean]]),Table1[[#This Row],[My Rating]])</f>
        <v>90</v>
      </c>
      <c r="AA681" s="37">
        <v>2026</v>
      </c>
      <c r="AB681" s="128">
        <v>24.99</v>
      </c>
      <c r="AC681" s="2">
        <f t="shared" si="43"/>
        <v>24.99</v>
      </c>
      <c r="AD681" s="8">
        <v>2</v>
      </c>
      <c r="AE681" s="37">
        <f>IF(Table1[[#This Row],[P/750]]&lt;20,1,IF(Table1[[#This Row],[P/750]]&lt;50,2,3))</f>
        <v>2</v>
      </c>
      <c r="AF681" s="37">
        <f>IF(Table1[[#This Row],[P/750]]&lt;Expenses!$C$30,1,IF(Table1[[#This Row],[P/750]]&lt;Expenses!$C$31,2,IF(Table1[[#This Row],[P/750]]&lt;Expenses!$C$32,3,4)))</f>
        <v>2</v>
      </c>
      <c r="AH681" s="37" t="s">
        <v>384</v>
      </c>
      <c r="AI681" s="11">
        <f>Table1[[#This Row],[Price]]/Table1[[#This Row],[Size (ml)]]*750</f>
        <v>24.989999999999995</v>
      </c>
      <c r="AJ681">
        <v>90</v>
      </c>
      <c r="AK681" s="37">
        <f>COUNTIF(UniqueID!A:A,Table1[[#This Row],[ID]])</f>
        <v>1</v>
      </c>
      <c r="AL681" s="37" t="str">
        <f>VLOOKUP(Table1[[#This Row],[Cellar Location]],Location!A:F,6,FALSE)</f>
        <v>S</v>
      </c>
      <c r="AN681" s="37"/>
      <c r="AO681" s="37" t="str">
        <f>TEXT(Table1[[#This Row],[Purchased]],"mmmm")</f>
        <v>January</v>
      </c>
      <c r="AP681" s="10" t="str">
        <f>TEXT(Table1[[#This Row],[Purchased]],"yyyy")</f>
        <v>1900</v>
      </c>
      <c r="AQ681" s="10"/>
    </row>
    <row r="682" spans="1:43" x14ac:dyDescent="0.25">
      <c r="A682" t="str">
        <f t="shared" si="42"/>
        <v>2016Tenuta San GuidoLe Difese</v>
      </c>
      <c r="B682" s="37">
        <v>2016</v>
      </c>
      <c r="C682" s="37" t="s">
        <v>91</v>
      </c>
      <c r="D682" s="37" t="s">
        <v>396</v>
      </c>
      <c r="E682" s="64" t="s">
        <v>399</v>
      </c>
      <c r="F682" s="37" t="s">
        <v>728</v>
      </c>
      <c r="G682" s="37" t="s">
        <v>790</v>
      </c>
      <c r="H682" s="37" t="s">
        <v>796</v>
      </c>
      <c r="I682" s="107">
        <v>1</v>
      </c>
      <c r="J682" s="37">
        <v>750</v>
      </c>
      <c r="K682" s="107" t="s">
        <v>654</v>
      </c>
      <c r="L682" s="37">
        <f>COUNTIF(Drank!A:A,Table1[[#This Row],[ID]])</f>
        <v>3</v>
      </c>
      <c r="M682" t="s">
        <v>202</v>
      </c>
      <c r="N682" t="s">
        <v>207</v>
      </c>
      <c r="O682">
        <v>1</v>
      </c>
      <c r="P682" s="37">
        <v>2018</v>
      </c>
      <c r="Q682">
        <v>2022</v>
      </c>
      <c r="R682" s="10">
        <f>IF(IFERROR(VLOOKUP(A682,Drank!A:S,15,FALSE),"")=0,"",IFERROR(VLOOKUP(A682,Drank!A:S,15,FALSE),""))</f>
        <v>2022</v>
      </c>
      <c r="S682" s="10">
        <f>IF(IFERROR(VLOOKUP(A682,Drank!A:S,16,FALSE),"")=0,"",IFERROR(VLOOKUP(A682,Drank!A:S,16,FALSE),""))</f>
        <v>2026</v>
      </c>
      <c r="T682" s="10"/>
      <c r="U682">
        <v>90</v>
      </c>
      <c r="V682" s="18">
        <f>IF(IFERROR(VLOOKUP(A682,Drank!A:T,19,FALSE),"")=0,"",IFERROR(VLOOKUP(A682,Drank!A:T,19,FALSE),""))</f>
        <v>90.666666666666671</v>
      </c>
      <c r="W682" s="1">
        <f>IF(IFERROR(VLOOKUP(A682,Drank!A:T,20,FALSE),"")=0,"",IFERROR(VLOOKUP(A682,Drank!A:T,20,FALSE),""))</f>
        <v>43835</v>
      </c>
      <c r="X682" s="10">
        <f>SUMIF(A:A,A682,I:I)</f>
        <v>3</v>
      </c>
      <c r="Y682" s="37">
        <f>IF(Table1[[#This Row],[Drank]]&gt;0,VLOOKUP(Table1[[#This Row],[ID]],Drank!A:P,16,FALSE),IF(Table1[[#This Row],[WALDD]]&gt;0,VLOOKUP(Table1[[#This Row],[ID]],Wine1!A:Q,17,FALSE),Table1[[#This Row],[EP]]))</f>
        <v>2026</v>
      </c>
      <c r="Z682" s="18">
        <f>IF(Table1[[#This Row],[My Rating]]="",IF(Table1[[#This Row],[WA Rating Clean]]="","",Table1[[#This Row],[WA Rating Clean]]),Table1[[#This Row],[My Rating]])</f>
        <v>90.666666666666671</v>
      </c>
      <c r="AA682" s="37">
        <v>2026</v>
      </c>
      <c r="AB682" s="128">
        <v>29</v>
      </c>
      <c r="AC682" s="2">
        <f t="shared" si="43"/>
        <v>29</v>
      </c>
      <c r="AD682" s="8">
        <v>2</v>
      </c>
      <c r="AE682" s="37">
        <f>IF(Table1[[#This Row],[P/750]]&lt;20,1,IF(Table1[[#This Row],[P/750]]&lt;50,2,3))</f>
        <v>2</v>
      </c>
      <c r="AF682" s="37">
        <f>IF(Table1[[#This Row],[P/750]]&lt;Expenses!$C$30,1,IF(Table1[[#This Row],[P/750]]&lt;Expenses!$C$31,2,IF(Table1[[#This Row],[P/750]]&lt;Expenses!$C$32,3,4)))</f>
        <v>2</v>
      </c>
      <c r="AH682" s="37" t="s">
        <v>1128</v>
      </c>
      <c r="AI682" s="11">
        <f>Table1[[#This Row],[Price]]/Table1[[#This Row],[Size (ml)]]*750</f>
        <v>29</v>
      </c>
      <c r="AJ682">
        <v>90</v>
      </c>
      <c r="AK682" s="37">
        <f>COUNTIF(UniqueID!A:A,Table1[[#This Row],[ID]])</f>
        <v>1</v>
      </c>
      <c r="AL682" s="37" t="str">
        <f>VLOOKUP(Table1[[#This Row],[Cellar Location]],Location!A:F,6,FALSE)</f>
        <v>S</v>
      </c>
      <c r="AN682" s="37"/>
      <c r="AO682" s="37" t="str">
        <f>TEXT(Table1[[#This Row],[Purchased]],"mmmm")</f>
        <v>January</v>
      </c>
      <c r="AP682" s="10" t="str">
        <f>TEXT(Table1[[#This Row],[Purchased]],"yyyy")</f>
        <v>1900</v>
      </c>
      <c r="AQ682" s="10"/>
    </row>
    <row r="683" spans="1:43" x14ac:dyDescent="0.25">
      <c r="A683" t="str">
        <f t="shared" si="42"/>
        <v>2018Clos de LuzAzuda Syrah</v>
      </c>
      <c r="B683" s="37">
        <v>2018</v>
      </c>
      <c r="C683" s="37" t="s">
        <v>1573</v>
      </c>
      <c r="D683" s="37" t="s">
        <v>1574</v>
      </c>
      <c r="E683" s="69" t="s">
        <v>1431</v>
      </c>
      <c r="F683" s="67" t="s">
        <v>952</v>
      </c>
      <c r="G683" s="37" t="s">
        <v>1481</v>
      </c>
      <c r="H683" s="37" t="s">
        <v>1575</v>
      </c>
      <c r="I683" s="8">
        <v>1</v>
      </c>
      <c r="J683" s="38">
        <v>750</v>
      </c>
      <c r="K683" s="38" t="s">
        <v>1572</v>
      </c>
      <c r="L683" s="10">
        <f>COUNTIF(Drank!A:A,Table1[[#This Row],[ID]])</f>
        <v>0</v>
      </c>
      <c r="M683" t="s">
        <v>202</v>
      </c>
      <c r="N683" t="s">
        <v>207</v>
      </c>
      <c r="O683">
        <v>1</v>
      </c>
      <c r="P683" s="10">
        <v>2020</v>
      </c>
      <c r="Q683">
        <v>2026</v>
      </c>
      <c r="R683" s="10" t="str">
        <f>IF(IFERROR(VLOOKUP(A683,Drank!A:S,15,FALSE),"")=0,"",IFERROR(VLOOKUP(A683,Drank!A:S,15,FALSE),""))</f>
        <v/>
      </c>
      <c r="S683" s="10" t="str">
        <f>IF(IFERROR(VLOOKUP(A683,Drank!A:S,16,FALSE),"")=0,"",IFERROR(VLOOKUP(A683,Drank!A:S,16,FALSE),""))</f>
        <v/>
      </c>
      <c r="T683" s="10"/>
      <c r="U683" t="s">
        <v>29</v>
      </c>
      <c r="V683" s="18" t="str">
        <f>IF(IFERROR(VLOOKUP(A683,Drank!A:T,19,FALSE),"")=0,"",IFERROR(VLOOKUP(A683,Drank!A:T,19,FALSE),""))</f>
        <v/>
      </c>
      <c r="W683" s="1" t="str">
        <f>IF(IFERROR(VLOOKUP(A683,Drank!A:T,20,FALSE),"")=0,"",IFERROR(VLOOKUP(A683,Drank!A:T,20,FALSE),""))</f>
        <v/>
      </c>
      <c r="X683" s="10">
        <f>SUMIF(A:A,A683,I:I)</f>
        <v>2</v>
      </c>
      <c r="Y683" s="10">
        <f>IF(Table1[[#This Row],[Drank]]&gt;0,VLOOKUP(Table1[[#This Row],[ID]],Drank!A:P,16,FALSE),IF(Table1[[#This Row],[WALDD]]&gt;0,VLOOKUP(Table1[[#This Row],[ID]],Wine1!A:Q,17,FALSE),Table1[[#This Row],[EP]]))</f>
        <v>2026</v>
      </c>
      <c r="Z683" s="18">
        <f>IF(Table1[[#This Row],[My Rating]]="",IF(Table1[[#This Row],[WA Rating Clean]]="","",Table1[[#This Row],[WA Rating Clean]]),Table1[[#This Row],[My Rating]])</f>
        <v>92</v>
      </c>
      <c r="AA683" s="8">
        <v>2026</v>
      </c>
      <c r="AB683" s="128">
        <v>18.719297151989981</v>
      </c>
      <c r="AC683" s="2">
        <f t="shared" si="43"/>
        <v>18.719297151989981</v>
      </c>
      <c r="AD683" s="8">
        <v>1</v>
      </c>
      <c r="AE683" s="10">
        <f>IF(Table1[[#This Row],[P/750]]&lt;20,1,IF(Table1[[#This Row],[P/750]]&lt;50,2,3))</f>
        <v>1</v>
      </c>
      <c r="AF683" s="10">
        <f>IF(Table1[[#This Row],[P/750]]&lt;Expenses!$C$30,1,IF(Table1[[#This Row],[P/750]]&lt;Expenses!$C$31,2,IF(Table1[[#This Row],[P/750]]&lt;Expenses!$C$32,3,4)))</f>
        <v>2</v>
      </c>
      <c r="AH683" s="37" t="s">
        <v>1572</v>
      </c>
      <c r="AI683" s="11">
        <f>Table1[[#This Row],[Price]]/Table1[[#This Row],[Size (ml)]]*750</f>
        <v>18.719297151989981</v>
      </c>
      <c r="AJ683">
        <v>92</v>
      </c>
      <c r="AK683" s="10">
        <f>COUNTIF(UniqueID!A:A,Table1[[#This Row],[ID]])</f>
        <v>0</v>
      </c>
      <c r="AL683" s="10" t="str">
        <f>VLOOKUP(Table1[[#This Row],[Cellar Location]],Location!A:F,6,FALSE)</f>
        <v>W</v>
      </c>
      <c r="AN683" s="1">
        <v>44055</v>
      </c>
      <c r="AO683" s="10" t="str">
        <f>TEXT(Table1[[#This Row],[Purchased]],"mmmm")</f>
        <v>August</v>
      </c>
      <c r="AP683" s="10" t="str">
        <f>TEXT(Table1[[#This Row],[Purchased]],"yyyy")</f>
        <v>2020</v>
      </c>
      <c r="AQ683" s="1">
        <v>44114</v>
      </c>
    </row>
    <row r="684" spans="1:43" x14ac:dyDescent="0.25">
      <c r="A684" t="str">
        <f t="shared" si="42"/>
        <v>2009Hermanos Perez PascuasEl Pedrosal Reserva</v>
      </c>
      <c r="B684" s="37">
        <v>2009</v>
      </c>
      <c r="C684" s="9" t="s">
        <v>1543</v>
      </c>
      <c r="D684" s="9" t="s">
        <v>1544</v>
      </c>
      <c r="E684" s="69" t="s">
        <v>276</v>
      </c>
      <c r="F684" s="37" t="s">
        <v>729</v>
      </c>
      <c r="G684" s="37" t="s">
        <v>1718</v>
      </c>
      <c r="H684" s="37" t="s">
        <v>818</v>
      </c>
      <c r="I684" s="78">
        <v>1</v>
      </c>
      <c r="J684" s="37">
        <v>750</v>
      </c>
      <c r="K684" s="78" t="s">
        <v>1545</v>
      </c>
      <c r="L684" s="10">
        <f>COUNTIF(Drank!A:A,Table1[[#This Row],[ID]])</f>
        <v>2</v>
      </c>
      <c r="M684" t="s">
        <v>202</v>
      </c>
      <c r="N684" t="s">
        <v>207</v>
      </c>
      <c r="O684">
        <v>1</v>
      </c>
      <c r="P684" s="37">
        <v>2020</v>
      </c>
      <c r="Q684">
        <v>2029</v>
      </c>
      <c r="R684" s="10">
        <f>IF(IFERROR(VLOOKUP(A684,Drank!A:S,15,FALSE),"")=0,"",IFERROR(VLOOKUP(A684,Drank!A:S,15,FALSE),""))</f>
        <v>2020</v>
      </c>
      <c r="S684" s="10">
        <f>IF(IFERROR(VLOOKUP(A684,Drank!A:S,16,FALSE),"")=0,"",IFERROR(VLOOKUP(A684,Drank!A:S,16,FALSE),""))</f>
        <v>2027</v>
      </c>
      <c r="T684" s="10"/>
      <c r="U684">
        <v>95</v>
      </c>
      <c r="V684" s="18">
        <f>IF(IFERROR(VLOOKUP(A684,Drank!A:T,19,FALSE),"")=0,"",IFERROR(VLOOKUP(A684,Drank!A:T,19,FALSE),""))</f>
        <v>94.5</v>
      </c>
      <c r="W684" s="1">
        <f>IF(IFERROR(VLOOKUP(A684,Drank!A:T,20,FALSE),"")=0,"",IFERROR(VLOOKUP(A684,Drank!A:T,20,FALSE),""))</f>
        <v>44079</v>
      </c>
      <c r="X684" s="10">
        <f>SUMIF(A:A,A684,I:I)</f>
        <v>17</v>
      </c>
      <c r="Y684" s="10">
        <f>IF(Table1[[#This Row],[Drank]]&gt;0,VLOOKUP(Table1[[#This Row],[ID]],Drank!A:P,16,FALSE),IF(Table1[[#This Row],[WALDD]]&gt;0,VLOOKUP(Table1[[#This Row],[ID]],Wine1!A:Q,17,FALSE),Table1[[#This Row],[EP]]))</f>
        <v>2027</v>
      </c>
      <c r="Z684" s="18">
        <f>IF(Table1[[#This Row],[My Rating]]="",IF(Table1[[#This Row],[WA Rating Clean]]="","",Table1[[#This Row],[WA Rating Clean]]),Table1[[#This Row],[My Rating]])</f>
        <v>94.5</v>
      </c>
      <c r="AA684" s="37">
        <v>2026</v>
      </c>
      <c r="AB684" s="128">
        <v>29.32</v>
      </c>
      <c r="AC684" s="2">
        <f t="shared" si="43"/>
        <v>29.32</v>
      </c>
      <c r="AD684" s="8">
        <v>2</v>
      </c>
      <c r="AE684" s="10">
        <f>IF(Table1[[#This Row],[P/750]]&lt;20,1,IF(Table1[[#This Row],[P/750]]&lt;50,2,3))</f>
        <v>2</v>
      </c>
      <c r="AF684" s="10">
        <f>IF(Table1[[#This Row],[P/750]]&lt;Expenses!$C$30,1,IF(Table1[[#This Row],[P/750]]&lt;Expenses!$C$31,2,IF(Table1[[#This Row],[P/750]]&lt;Expenses!$C$32,3,4)))</f>
        <v>2</v>
      </c>
      <c r="AH684" s="37" t="s">
        <v>1545</v>
      </c>
      <c r="AI684" s="11">
        <f>Table1[[#This Row],[Price]]/Table1[[#This Row],[Size (ml)]]*750</f>
        <v>29.32</v>
      </c>
      <c r="AJ684">
        <v>95</v>
      </c>
      <c r="AK684" s="10">
        <f>COUNTIF(UniqueID!A:A,Table1[[#This Row],[ID]])</f>
        <v>0</v>
      </c>
      <c r="AL684" s="10" t="str">
        <f>VLOOKUP(Table1[[#This Row],[Cellar Location]],Location!A:F,6,FALSE)</f>
        <v>W</v>
      </c>
      <c r="AN684" s="1">
        <v>44040</v>
      </c>
      <c r="AO684" s="10" t="str">
        <f>TEXT(Table1[[#This Row],[Purchased]],"mmmm")</f>
        <v>July</v>
      </c>
      <c r="AP684" s="10" t="str">
        <f>TEXT(Table1[[#This Row],[Purchased]],"yyyy")</f>
        <v>2020</v>
      </c>
      <c r="AQ684" s="10"/>
    </row>
    <row r="685" spans="1:43" x14ac:dyDescent="0.25">
      <c r="A685" t="str">
        <f t="shared" si="42"/>
        <v>2011AndrettaBrunello di Montalcino Riserva</v>
      </c>
      <c r="B685" s="37">
        <v>2011</v>
      </c>
      <c r="C685" s="37" t="s">
        <v>60</v>
      </c>
      <c r="D685" s="37" t="s">
        <v>13</v>
      </c>
      <c r="E685" s="64" t="s">
        <v>280</v>
      </c>
      <c r="F685" s="37" t="s">
        <v>728</v>
      </c>
      <c r="G685" s="37" t="s">
        <v>790</v>
      </c>
      <c r="H685" s="37" t="s">
        <v>19</v>
      </c>
      <c r="I685" s="107">
        <v>1</v>
      </c>
      <c r="J685" s="37">
        <v>750</v>
      </c>
      <c r="K685" s="107" t="s">
        <v>650</v>
      </c>
      <c r="L685" s="37">
        <f>COUNTIF(Drank!A:A,Table1[[#This Row],[ID]])</f>
        <v>0</v>
      </c>
      <c r="M685" t="s">
        <v>202</v>
      </c>
      <c r="N685" t="s">
        <v>207</v>
      </c>
      <c r="O685">
        <v>1</v>
      </c>
      <c r="P685" s="37">
        <v>2017</v>
      </c>
      <c r="Q685">
        <v>2027</v>
      </c>
      <c r="R685" s="37" t="str">
        <f>IF(IFERROR(VLOOKUP(A685,Drank!A:S,15,FALSE),"")=0,"",IFERROR(VLOOKUP(A685,Drank!A:S,15,FALSE),""))</f>
        <v/>
      </c>
      <c r="S685" s="37" t="str">
        <f>IF(IFERROR(VLOOKUP(A685,Drank!A:S,16,FALSE),"")=0,"",IFERROR(VLOOKUP(A685,Drank!A:S,16,FALSE),""))</f>
        <v/>
      </c>
      <c r="T685" s="37"/>
      <c r="U685" t="s">
        <v>29</v>
      </c>
      <c r="V685" s="18" t="str">
        <f>IF(IFERROR(VLOOKUP(A685,Drank!A:T,19,FALSE),"")=0,"",IFERROR(VLOOKUP(A685,Drank!A:T,19,FALSE),""))</f>
        <v/>
      </c>
      <c r="W685" s="1" t="str">
        <f>IF(IFERROR(VLOOKUP(A685,Drank!A:T,20,FALSE),"")=0,"",IFERROR(VLOOKUP(A685,Drank!A:T,20,FALSE),""))</f>
        <v/>
      </c>
      <c r="X685" s="37">
        <f>SUMIF(A:A,A685,I:I)</f>
        <v>2</v>
      </c>
      <c r="Y685" s="37">
        <f>IF(Table1[[#This Row],[Drank]]&gt;0,VLOOKUP(Table1[[#This Row],[ID]],Drank!A:P,16,FALSE),IF(Table1[[#This Row],[WALDD]]&gt;0,VLOOKUP(Table1[[#This Row],[ID]],Wine1!A:Q,17,FALSE),Table1[[#This Row],[EP]]))</f>
        <v>2027</v>
      </c>
      <c r="Z685" s="18">
        <f>IF(Table1[[#This Row],[My Rating]]="",IF(Table1[[#This Row],[WA Rating Clean]]="","",Table1[[#This Row],[WA Rating Clean]]),Table1[[#This Row],[My Rating]])</f>
        <v>92</v>
      </c>
      <c r="AA685" s="6">
        <v>2026</v>
      </c>
      <c r="AB685" s="14">
        <v>39.99</v>
      </c>
      <c r="AC685" s="2">
        <f t="shared" si="43"/>
        <v>39.99</v>
      </c>
      <c r="AD685" s="8">
        <v>2</v>
      </c>
      <c r="AE685" s="37">
        <f>IF(Table1[[#This Row],[P/750]]&lt;20,1,IF(Table1[[#This Row],[P/750]]&lt;50,2,3))</f>
        <v>2</v>
      </c>
      <c r="AF685" s="37">
        <f>IF(Table1[[#This Row],[P/750]]&lt;Expenses!$C$30,1,IF(Table1[[#This Row],[P/750]]&lt;Expenses!$C$31,2,IF(Table1[[#This Row],[P/750]]&lt;Expenses!$C$32,3,4)))</f>
        <v>3</v>
      </c>
      <c r="AH685" t="s">
        <v>384</v>
      </c>
      <c r="AI685" s="11">
        <f>Table1[[#This Row],[Price]]/Table1[[#This Row],[Size (ml)]]*750</f>
        <v>39.99</v>
      </c>
      <c r="AJ685">
        <v>92</v>
      </c>
      <c r="AK685" s="37">
        <f>COUNTIF(UniqueID!A:A,Table1[[#This Row],[ID]])</f>
        <v>1</v>
      </c>
      <c r="AL685" s="37" t="str">
        <f>VLOOKUP(Table1[[#This Row],[Cellar Location]],Location!A:F,6,FALSE)</f>
        <v>S</v>
      </c>
      <c r="AN685" s="37"/>
      <c r="AO685" s="37" t="str">
        <f>TEXT(Table1[[#This Row],[Purchased]],"mmmm")</f>
        <v>January</v>
      </c>
      <c r="AP685" s="10" t="str">
        <f>TEXT(Table1[[#This Row],[Purchased]],"yyyy")</f>
        <v>1900</v>
      </c>
      <c r="AQ685" s="10"/>
    </row>
    <row r="686" spans="1:43" x14ac:dyDescent="0.25">
      <c r="A686" t="str">
        <f t="shared" si="42"/>
        <v>2016Domaine La Grangette Saint JosephGigondas la Grangette des Garrigues</v>
      </c>
      <c r="B686" s="37">
        <v>2016</v>
      </c>
      <c r="C686" s="37" t="s">
        <v>420</v>
      </c>
      <c r="D686" s="37" t="s">
        <v>421</v>
      </c>
      <c r="E686" s="69" t="s">
        <v>1225</v>
      </c>
      <c r="F686" s="37" t="s">
        <v>742</v>
      </c>
      <c r="G686" s="37" t="s">
        <v>759</v>
      </c>
      <c r="H686" s="37" t="s">
        <v>764</v>
      </c>
      <c r="I686" s="107">
        <v>1</v>
      </c>
      <c r="J686">
        <v>750</v>
      </c>
      <c r="K686" s="107" t="s">
        <v>594</v>
      </c>
      <c r="L686" s="37">
        <f>COUNTIF(Drank!A:A,Table1[[#This Row],[ID]])</f>
        <v>1</v>
      </c>
      <c r="M686" t="s">
        <v>202</v>
      </c>
      <c r="N686" t="s">
        <v>207</v>
      </c>
      <c r="O686">
        <v>1</v>
      </c>
      <c r="P686" s="37">
        <v>2018</v>
      </c>
      <c r="Q686">
        <v>2028</v>
      </c>
      <c r="R686" s="10">
        <f>IF(IFERROR(VLOOKUP(A686,Drank!A:S,15,FALSE),"")=0,"",IFERROR(VLOOKUP(A686,Drank!A:S,15,FALSE),""))</f>
        <v>2021</v>
      </c>
      <c r="S686" s="10">
        <f>IF(IFERROR(VLOOKUP(A686,Drank!A:S,16,FALSE),"")=0,"",IFERROR(VLOOKUP(A686,Drank!A:S,16,FALSE),""))</f>
        <v>2027</v>
      </c>
      <c r="T686" s="10"/>
      <c r="U686">
        <v>94</v>
      </c>
      <c r="V686" s="18">
        <f>IF(IFERROR(VLOOKUP(A686,Drank!A:T,19,FALSE),"")=0,"",IFERROR(VLOOKUP(A686,Drank!A:T,19,FALSE),""))</f>
        <v>92</v>
      </c>
      <c r="W686" s="1">
        <f>IF(IFERROR(VLOOKUP(A686,Drank!A:T,20,FALSE),"")=0,"",IFERROR(VLOOKUP(A686,Drank!A:T,20,FALSE),""))</f>
        <v>43834</v>
      </c>
      <c r="X686" s="10">
        <f>SUMIF(A:A,A686,I:I)</f>
        <v>11</v>
      </c>
      <c r="Y686" s="37">
        <f>IF(Table1[[#This Row],[Drank]]&gt;0,VLOOKUP(Table1[[#This Row],[ID]],Drank!A:P,16,FALSE),IF(Table1[[#This Row],[WALDD]]&gt;0,VLOOKUP(Table1[[#This Row],[ID]],Wine1!A:Q,17,FALSE),Table1[[#This Row],[EP]]))</f>
        <v>2027</v>
      </c>
      <c r="Z686" s="18">
        <f>IF(Table1[[#This Row],[My Rating]]="",IF(Table1[[#This Row],[WA Rating Clean]]="","",Table1[[#This Row],[WA Rating Clean]]),Table1[[#This Row],[My Rating]])</f>
        <v>92</v>
      </c>
      <c r="AA686" s="37">
        <v>2026</v>
      </c>
      <c r="AB686" s="128">
        <v>22</v>
      </c>
      <c r="AC686" s="2">
        <f t="shared" si="43"/>
        <v>22</v>
      </c>
      <c r="AD686" s="8">
        <v>2</v>
      </c>
      <c r="AE686" s="37">
        <f>IF(Table1[[#This Row],[P/750]]&lt;20,1,IF(Table1[[#This Row],[P/750]]&lt;50,2,3))</f>
        <v>2</v>
      </c>
      <c r="AF686" s="37">
        <f>IF(Table1[[#This Row],[P/750]]&lt;Expenses!$C$30,1,IF(Table1[[#This Row],[P/750]]&lt;Expenses!$C$31,2,IF(Table1[[#This Row],[P/750]]&lt;Expenses!$C$32,3,4)))</f>
        <v>2</v>
      </c>
      <c r="AH686" t="s">
        <v>384</v>
      </c>
      <c r="AI686" s="11">
        <f>Table1[[#This Row],[Price]]/Table1[[#This Row],[Size (ml)]]*750</f>
        <v>22</v>
      </c>
      <c r="AJ686">
        <v>94</v>
      </c>
      <c r="AK686" s="37">
        <f>COUNTIF(UniqueID!A:A,Table1[[#This Row],[ID]])</f>
        <v>1</v>
      </c>
      <c r="AL686" s="37" t="str">
        <f>VLOOKUP(Table1[[#This Row],[Cellar Location]],Location!A:F,6,FALSE)</f>
        <v>S</v>
      </c>
      <c r="AN686" s="37"/>
      <c r="AO686" s="37" t="str">
        <f>TEXT(Table1[[#This Row],[Purchased]],"mmmm")</f>
        <v>January</v>
      </c>
      <c r="AP686" s="10" t="str">
        <f>TEXT(Table1[[#This Row],[Purchased]],"yyyy")</f>
        <v>1900</v>
      </c>
      <c r="AQ686" s="10"/>
    </row>
    <row r="687" spans="1:43" s="37" customFormat="1" x14ac:dyDescent="0.25">
      <c r="A687" s="37" t="str">
        <f t="shared" si="42"/>
        <v>2011Tenuta VitanzaBrunello di Montalcino Riserva Firma</v>
      </c>
      <c r="B687" s="37">
        <v>2011</v>
      </c>
      <c r="C687" s="9" t="s">
        <v>214</v>
      </c>
      <c r="D687" s="9" t="s">
        <v>215</v>
      </c>
      <c r="E687" s="68" t="s">
        <v>1250</v>
      </c>
      <c r="F687" s="37" t="s">
        <v>728</v>
      </c>
      <c r="G687" s="37" t="s">
        <v>790</v>
      </c>
      <c r="H687" s="37" t="s">
        <v>19</v>
      </c>
      <c r="I687" s="107">
        <v>1</v>
      </c>
      <c r="J687" s="37">
        <v>750</v>
      </c>
      <c r="K687" s="107" t="s">
        <v>1196</v>
      </c>
      <c r="L687" s="10">
        <f>COUNTIF(Drank!A:A,Table1[[#This Row],[ID]])</f>
        <v>1</v>
      </c>
      <c r="M687" s="37" t="s">
        <v>202</v>
      </c>
      <c r="N687" s="37" t="s">
        <v>207</v>
      </c>
      <c r="O687" s="37">
        <v>1</v>
      </c>
      <c r="P687" s="37">
        <v>2017</v>
      </c>
      <c r="Q687" s="37">
        <v>2027</v>
      </c>
      <c r="R687" s="10">
        <f>IF(IFERROR(VLOOKUP(A687,Drank!A:S,15,FALSE),"")=0,"",IFERROR(VLOOKUP(A687,Drank!A:S,15,FALSE),""))</f>
        <v>2023</v>
      </c>
      <c r="S687" s="10">
        <f>IF(IFERROR(VLOOKUP(A687,Drank!A:S,16,FALSE),"")=0,"",IFERROR(VLOOKUP(A687,Drank!A:S,16,FALSE),""))</f>
        <v>2027</v>
      </c>
      <c r="T687" s="10"/>
      <c r="U687" s="37">
        <v>91</v>
      </c>
      <c r="V687" s="18">
        <f>IF(IFERROR(VLOOKUP(A687,Drank!A:T,19,FALSE),"")=0,"",IFERROR(VLOOKUP(A687,Drank!A:T,19,FALSE),""))</f>
        <v>90</v>
      </c>
      <c r="W687" s="1">
        <f>IF(IFERROR(VLOOKUP(A687,Drank!A:T,20,FALSE),"")=0,"",IFERROR(VLOOKUP(A687,Drank!A:T,20,FALSE),""))</f>
        <v>44052</v>
      </c>
      <c r="X687" s="10">
        <f>SUMIF(A:A,A687,I:I)</f>
        <v>3</v>
      </c>
      <c r="Y687" s="10">
        <f>IF(Table1[[#This Row],[Drank]]&gt;0,VLOOKUP(Table1[[#This Row],[ID]],Drank!A:P,16,FALSE),IF(Table1[[#This Row],[WALDD]]&gt;0,VLOOKUP(Table1[[#This Row],[ID]],Wine1!A:Q,17,FALSE),Table1[[#This Row],[EP]]))</f>
        <v>2027</v>
      </c>
      <c r="Z687" s="18">
        <f>IF(Table1[[#This Row],[My Rating]]="",IF(Table1[[#This Row],[WA Rating Clean]]="","",Table1[[#This Row],[WA Rating Clean]]),Table1[[#This Row],[My Rating]])</f>
        <v>90</v>
      </c>
      <c r="AA687" s="37">
        <v>2026</v>
      </c>
      <c r="AB687" s="128">
        <v>32.58</v>
      </c>
      <c r="AC687" s="2">
        <f t="shared" si="43"/>
        <v>32.58</v>
      </c>
      <c r="AD687" s="8">
        <v>2</v>
      </c>
      <c r="AE687" s="10">
        <f>IF(Table1[[#This Row],[P/750]]&lt;20,1,IF(Table1[[#This Row],[P/750]]&lt;50,2,3))</f>
        <v>2</v>
      </c>
      <c r="AF687" s="10">
        <f>IF(Table1[[#This Row],[P/750]]&lt;Expenses!$C$30,1,IF(Table1[[#This Row],[P/750]]&lt;Expenses!$C$31,2,IF(Table1[[#This Row],[P/750]]&lt;Expenses!$C$32,3,4)))</f>
        <v>3</v>
      </c>
      <c r="AH687" s="37" t="s">
        <v>384</v>
      </c>
      <c r="AI687" s="11">
        <f>Table1[[#This Row],[Price]]/Table1[[#This Row],[Size (ml)]]*750</f>
        <v>32.58</v>
      </c>
      <c r="AJ687" s="37">
        <v>91</v>
      </c>
      <c r="AK687" s="10">
        <f>COUNTIF(UniqueID!A:A,Table1[[#This Row],[ID]])</f>
        <v>0</v>
      </c>
      <c r="AL687" s="10" t="str">
        <f>VLOOKUP(Table1[[#This Row],[Cellar Location]],Location!A:F,6,FALSE)</f>
        <v>S</v>
      </c>
      <c r="AN687" s="1">
        <v>43941</v>
      </c>
      <c r="AO687" s="10" t="str">
        <f>TEXT(Table1[[#This Row],[Purchased]],"mmmm")</f>
        <v>April</v>
      </c>
      <c r="AP687" s="10" t="str">
        <f>TEXT(Table1[[#This Row],[Purchased]],"yyyy")</f>
        <v>2020</v>
      </c>
      <c r="AQ687" s="10"/>
    </row>
    <row r="688" spans="1:43" s="37" customFormat="1" x14ac:dyDescent="0.25">
      <c r="A688" s="37" t="str">
        <f t="shared" si="42"/>
        <v>2009Hermanos Perez PascuasEl Pedrosal Reserva</v>
      </c>
      <c r="B688" s="37">
        <v>2009</v>
      </c>
      <c r="C688" s="9" t="s">
        <v>1543</v>
      </c>
      <c r="D688" s="9" t="s">
        <v>1544</v>
      </c>
      <c r="E688" s="69" t="s">
        <v>276</v>
      </c>
      <c r="F688" s="37" t="s">
        <v>729</v>
      </c>
      <c r="G688" s="37" t="s">
        <v>1718</v>
      </c>
      <c r="H688" s="37" t="s">
        <v>818</v>
      </c>
      <c r="I688" s="78">
        <v>1</v>
      </c>
      <c r="J688" s="37">
        <v>750</v>
      </c>
      <c r="K688" s="78" t="s">
        <v>1545</v>
      </c>
      <c r="L688" s="10">
        <f>COUNTIF(Drank!A:A,Table1[[#This Row],[ID]])</f>
        <v>2</v>
      </c>
      <c r="M688" s="37" t="s">
        <v>202</v>
      </c>
      <c r="N688" s="37" t="s">
        <v>207</v>
      </c>
      <c r="O688" s="37">
        <v>1</v>
      </c>
      <c r="P688" s="37">
        <v>2020</v>
      </c>
      <c r="Q688" s="37">
        <v>2029</v>
      </c>
      <c r="R688" s="10">
        <f>IF(IFERROR(VLOOKUP(A688,Drank!A:S,15,FALSE),"")=0,"",IFERROR(VLOOKUP(A688,Drank!A:S,15,FALSE),""))</f>
        <v>2020</v>
      </c>
      <c r="S688" s="10">
        <f>IF(IFERROR(VLOOKUP(A688,Drank!A:S,16,FALSE),"")=0,"",IFERROR(VLOOKUP(A688,Drank!A:S,16,FALSE),""))</f>
        <v>2027</v>
      </c>
      <c r="T688" s="10"/>
      <c r="U688" s="37">
        <v>95</v>
      </c>
      <c r="V688" s="18">
        <f>IF(IFERROR(VLOOKUP(A688,Drank!A:T,19,FALSE),"")=0,"",IFERROR(VLOOKUP(A688,Drank!A:T,19,FALSE),""))</f>
        <v>94.5</v>
      </c>
      <c r="W688" s="1">
        <f>IF(IFERROR(VLOOKUP(A688,Drank!A:T,20,FALSE),"")=0,"",IFERROR(VLOOKUP(A688,Drank!A:T,20,FALSE),""))</f>
        <v>44079</v>
      </c>
      <c r="X688" s="10">
        <f>SUMIF(A:A,A688,I:I)</f>
        <v>17</v>
      </c>
      <c r="Y688" s="10">
        <f>IF(Table1[[#This Row],[Drank]]&gt;0,VLOOKUP(Table1[[#This Row],[ID]],Drank!A:P,16,FALSE),IF(Table1[[#This Row],[WALDD]]&gt;0,VLOOKUP(Table1[[#This Row],[ID]],Wine1!A:Q,17,FALSE),Table1[[#This Row],[EP]]))</f>
        <v>2027</v>
      </c>
      <c r="Z688" s="18">
        <f>IF(Table1[[#This Row],[My Rating]]="",IF(Table1[[#This Row],[WA Rating Clean]]="","",Table1[[#This Row],[WA Rating Clean]]),Table1[[#This Row],[My Rating]])</f>
        <v>94.5</v>
      </c>
      <c r="AA688" s="37">
        <v>2026</v>
      </c>
      <c r="AB688" s="128">
        <v>29.32</v>
      </c>
      <c r="AC688" s="2">
        <f t="shared" si="43"/>
        <v>29.32</v>
      </c>
      <c r="AD688" s="8">
        <v>2</v>
      </c>
      <c r="AE688" s="10">
        <f>IF(Table1[[#This Row],[P/750]]&lt;20,1,IF(Table1[[#This Row],[P/750]]&lt;50,2,3))</f>
        <v>2</v>
      </c>
      <c r="AF688" s="10">
        <f>IF(Table1[[#This Row],[P/750]]&lt;Expenses!$C$30,1,IF(Table1[[#This Row],[P/750]]&lt;Expenses!$C$31,2,IF(Table1[[#This Row],[P/750]]&lt;Expenses!$C$32,3,4)))</f>
        <v>2</v>
      </c>
      <c r="AH688" s="37" t="s">
        <v>1545</v>
      </c>
      <c r="AI688" s="11">
        <f>Table1[[#This Row],[Price]]/Table1[[#This Row],[Size (ml)]]*750</f>
        <v>29.32</v>
      </c>
      <c r="AJ688" s="37">
        <v>95</v>
      </c>
      <c r="AK688" s="10">
        <f>COUNTIF(UniqueID!A:A,Table1[[#This Row],[ID]])</f>
        <v>0</v>
      </c>
      <c r="AL688" s="10" t="str">
        <f>VLOOKUP(Table1[[#This Row],[Cellar Location]],Location!A:F,6,FALSE)</f>
        <v>W</v>
      </c>
      <c r="AN688" s="1">
        <v>44040</v>
      </c>
      <c r="AO688" s="10" t="str">
        <f>TEXT(Table1[[#This Row],[Purchased]],"mmmm")</f>
        <v>July</v>
      </c>
      <c r="AP688" s="10" t="str">
        <f>TEXT(Table1[[#This Row],[Purchased]],"yyyy")</f>
        <v>2020</v>
      </c>
      <c r="AQ688" s="10"/>
    </row>
    <row r="689" spans="1:43" s="37" customFormat="1" x14ac:dyDescent="0.25">
      <c r="A689" s="37" t="str">
        <f t="shared" si="42"/>
        <v>2015AllegriniAmarone della Valpolicella Classico</v>
      </c>
      <c r="B689" s="37">
        <v>2015</v>
      </c>
      <c r="C689" s="37" t="s">
        <v>111</v>
      </c>
      <c r="D689" s="9" t="s">
        <v>26</v>
      </c>
      <c r="E689" s="67" t="s">
        <v>1776</v>
      </c>
      <c r="F689" s="37" t="s">
        <v>728</v>
      </c>
      <c r="G689" s="37" t="s">
        <v>799</v>
      </c>
      <c r="H689" s="37" t="s">
        <v>800</v>
      </c>
      <c r="I689" s="37">
        <v>1</v>
      </c>
      <c r="J689" s="107">
        <v>750</v>
      </c>
      <c r="K689" s="8" t="s">
        <v>1830</v>
      </c>
      <c r="L689" s="10">
        <f>COUNTIF(Drank!A:A,Table1[[#This Row],[ID]])</f>
        <v>0</v>
      </c>
      <c r="M689" s="37" t="s">
        <v>202</v>
      </c>
      <c r="N689" s="37" t="s">
        <v>207</v>
      </c>
      <c r="O689" s="37">
        <v>1</v>
      </c>
      <c r="P689" s="10"/>
      <c r="R689" s="10" t="str">
        <f>IF(IFERROR(VLOOKUP(A689,Drank!A:S,15,FALSE),"")=0,"",IFERROR(VLOOKUP(A689,Drank!A:S,15,FALSE),""))</f>
        <v/>
      </c>
      <c r="S689" s="10" t="str">
        <f>IF(IFERROR(VLOOKUP(A689,Drank!A:S,16,FALSE),"")=0,"",IFERROR(VLOOKUP(A689,Drank!A:S,16,FALSE),""))</f>
        <v/>
      </c>
      <c r="T689" s="10">
        <v>2028</v>
      </c>
      <c r="V689" s="18" t="str">
        <f>IF(IFERROR(VLOOKUP(A689,Drank!A:T,19,FALSE),"")=0,"",IFERROR(VLOOKUP(A689,Drank!A:T,19,FALSE),""))</f>
        <v/>
      </c>
      <c r="W689" s="1" t="str">
        <f>IF(IFERROR(VLOOKUP(A689,Drank!A:T,20,FALSE),"")=0,"",IFERROR(VLOOKUP(A689,Drank!A:T,20,FALSE),""))</f>
        <v/>
      </c>
      <c r="X689" s="10">
        <f>SUMIF(A:A,A689,I:I)</f>
        <v>2</v>
      </c>
      <c r="Y689" s="10">
        <f>IF(Table1[[#This Row],[Drank]]&gt;0,VLOOKUP(Table1[[#This Row],[ID]],Drank!A:P,16,FALSE),IF(Table1[[#This Row],[WALDD]]&gt;0,VLOOKUP(Table1[[#This Row],[ID]],Wine1!A:Q,17,FALSE),Table1[[#This Row],[EP]]))</f>
        <v>2028</v>
      </c>
      <c r="Z689" s="18" t="str">
        <f>IF(Table1[[#This Row],[My Rating]]="",IF(Table1[[#This Row],[WA Rating Clean]]="","",Table1[[#This Row],[WA Rating Clean]]),Table1[[#This Row],[My Rating]])</f>
        <v/>
      </c>
      <c r="AA689" s="37">
        <v>2026</v>
      </c>
      <c r="AB689" s="128">
        <v>73.31</v>
      </c>
      <c r="AC689" s="2">
        <f t="shared" si="43"/>
        <v>73.31</v>
      </c>
      <c r="AD689" s="8">
        <v>1</v>
      </c>
      <c r="AE689" s="10">
        <f>IF(Table1[[#This Row],[P/750]]&lt;20,1,IF(Table1[[#This Row],[P/750]]&lt;50,2,3))</f>
        <v>3</v>
      </c>
      <c r="AF689" s="10">
        <f>IF(Table1[[#This Row],[P/750]]&lt;Expenses!$C$30,1,IF(Table1[[#This Row],[P/750]]&lt;Expenses!$C$31,2,IF(Table1[[#This Row],[P/750]]&lt;Expenses!$C$32,3,4)))</f>
        <v>4</v>
      </c>
      <c r="AH689" s="25" t="s">
        <v>1128</v>
      </c>
      <c r="AI689" s="11">
        <f>Table1[[#This Row],[Price]]/Table1[[#This Row],[Size (ml)]]*750</f>
        <v>73.31</v>
      </c>
      <c r="AK689" s="10">
        <f>COUNTIF(UniqueID!A:A,Table1[[#This Row],[ID]])</f>
        <v>0</v>
      </c>
      <c r="AL689" s="10" t="str">
        <f>VLOOKUP(Table1[[#This Row],[Cellar Location]],Location!A:F,6,FALSE)</f>
        <v>S</v>
      </c>
      <c r="AN689" s="1">
        <v>44070</v>
      </c>
      <c r="AO689" s="10" t="str">
        <f>TEXT(Table1[[#This Row],[Purchased]],"mmmm")</f>
        <v>August</v>
      </c>
      <c r="AP689" s="10" t="str">
        <f>TEXT(Table1[[#This Row],[Purchased]],"yyyy")</f>
        <v>2020</v>
      </c>
      <c r="AQ689" s="1"/>
    </row>
    <row r="690" spans="1:43" s="37" customFormat="1" x14ac:dyDescent="0.25">
      <c r="A690" s="37" t="str">
        <f t="shared" si="42"/>
        <v>2017Domaine BelleCrozes Hermitage Cuvee Louis Belle</v>
      </c>
      <c r="B690" s="8">
        <v>2017</v>
      </c>
      <c r="C690" s="37" t="s">
        <v>1567</v>
      </c>
      <c r="D690" s="32" t="s">
        <v>1568</v>
      </c>
      <c r="E690" s="67" t="s">
        <v>1431</v>
      </c>
      <c r="F690" s="37" t="s">
        <v>742</v>
      </c>
      <c r="G690" s="37" t="s">
        <v>1569</v>
      </c>
      <c r="H690" s="37" t="s">
        <v>1626</v>
      </c>
      <c r="I690" s="37">
        <v>1</v>
      </c>
      <c r="J690" s="38">
        <v>750</v>
      </c>
      <c r="K690" s="38" t="s">
        <v>384</v>
      </c>
      <c r="L690" s="10">
        <f>COUNTIF(Drank!A:A,Table1[[#This Row],[ID]])</f>
        <v>0</v>
      </c>
      <c r="M690" s="37" t="s">
        <v>202</v>
      </c>
      <c r="N690" s="37" t="s">
        <v>207</v>
      </c>
      <c r="O690" s="37">
        <v>1</v>
      </c>
      <c r="P690" s="37">
        <v>2020</v>
      </c>
      <c r="Q690" s="37">
        <v>2028</v>
      </c>
      <c r="R690" s="10" t="str">
        <f>IF(IFERROR(VLOOKUP(A690,Drank!A:S,15,FALSE),"")=0,"",IFERROR(VLOOKUP(A690,Drank!A:S,15,FALSE),""))</f>
        <v/>
      </c>
      <c r="S690" s="10" t="str">
        <f>IF(IFERROR(VLOOKUP(A690,Drank!A:S,16,FALSE),"")=0,"",IFERROR(VLOOKUP(A690,Drank!A:S,16,FALSE),""))</f>
        <v/>
      </c>
      <c r="T690" s="10"/>
      <c r="U690" s="37">
        <v>92</v>
      </c>
      <c r="V690" s="18" t="str">
        <f>IF(IFERROR(VLOOKUP(A690,Drank!A:T,19,FALSE),"")=0,"",IFERROR(VLOOKUP(A690,Drank!A:T,19,FALSE),""))</f>
        <v/>
      </c>
      <c r="W690" s="1" t="str">
        <f>IF(IFERROR(VLOOKUP(A690,Drank!A:T,20,FALSE),"")=0,"",IFERROR(VLOOKUP(A690,Drank!A:T,20,FALSE),""))</f>
        <v/>
      </c>
      <c r="X690" s="10">
        <f>SUMIF(A:A,A690,I:I)</f>
        <v>4</v>
      </c>
      <c r="Y690" s="10">
        <f>IF(Table1[[#This Row],[Drank]]&gt;0,VLOOKUP(Table1[[#This Row],[ID]],Drank!A:P,16,FALSE),IF(Table1[[#This Row],[WALDD]]&gt;0,VLOOKUP(Table1[[#This Row],[ID]],Wine1!A:Q,17,FALSE),Table1[[#This Row],[EP]]))</f>
        <v>2028</v>
      </c>
      <c r="Z690" s="18">
        <f>IF(Table1[[#This Row],[My Rating]]="",IF(Table1[[#This Row],[WA Rating Clean]]="","",Table1[[#This Row],[WA Rating Clean]]),Table1[[#This Row],[My Rating]])</f>
        <v>92</v>
      </c>
      <c r="AA690" s="37">
        <v>2026</v>
      </c>
      <c r="AB690" s="128">
        <v>27.15</v>
      </c>
      <c r="AC690" s="2">
        <f t="shared" si="43"/>
        <v>27.15</v>
      </c>
      <c r="AD690" s="8">
        <v>1</v>
      </c>
      <c r="AE690" s="10">
        <f>IF(Table1[[#This Row],[P/750]]&lt;20,1,IF(Table1[[#This Row],[P/750]]&lt;50,2,3))</f>
        <v>2</v>
      </c>
      <c r="AF690" s="10">
        <f>IF(Table1[[#This Row],[P/750]]&lt;Expenses!$C$30,1,IF(Table1[[#This Row],[P/750]]&lt;Expenses!$C$31,2,IF(Table1[[#This Row],[P/750]]&lt;Expenses!$C$32,3,4)))</f>
        <v>2</v>
      </c>
      <c r="AH690" s="37" t="s">
        <v>384</v>
      </c>
      <c r="AI690" s="11">
        <f>Table1[[#This Row],[Price]]/Table1[[#This Row],[Size (ml)]]*750</f>
        <v>27.15</v>
      </c>
      <c r="AJ690" s="37">
        <v>92</v>
      </c>
      <c r="AK690" s="10">
        <f>COUNTIF(UniqueID!A:A,Table1[[#This Row],[ID]])</f>
        <v>0</v>
      </c>
      <c r="AL690" s="10" t="str">
        <f>VLOOKUP(Table1[[#This Row],[Cellar Location]],Location!A:F,6,FALSE)</f>
        <v>W</v>
      </c>
      <c r="AN690" s="1">
        <v>44050</v>
      </c>
      <c r="AO690" s="10" t="str">
        <f>TEXT(Table1[[#This Row],[Purchased]],"mmmm")</f>
        <v>August</v>
      </c>
      <c r="AP690" s="10" t="str">
        <f>TEXT(Table1[[#This Row],[Purchased]],"yyyy")</f>
        <v>2020</v>
      </c>
      <c r="AQ690" s="1">
        <v>44137</v>
      </c>
    </row>
    <row r="691" spans="1:43" s="37" customFormat="1" x14ac:dyDescent="0.25">
      <c r="A691" s="37" t="str">
        <f t="shared" si="42"/>
        <v>2015MazzeiCastello di Fonterutoli Concerto</v>
      </c>
      <c r="B691" s="37">
        <v>2015</v>
      </c>
      <c r="C691" s="37" t="s">
        <v>1166</v>
      </c>
      <c r="D691" s="37" t="s">
        <v>1580</v>
      </c>
      <c r="E691" s="67" t="s">
        <v>1581</v>
      </c>
      <c r="F691" s="37" t="s">
        <v>728</v>
      </c>
      <c r="G691" s="37" t="s">
        <v>790</v>
      </c>
      <c r="H691" s="37" t="s">
        <v>796</v>
      </c>
      <c r="I691" s="8">
        <v>1</v>
      </c>
      <c r="J691" s="38">
        <v>750</v>
      </c>
      <c r="K691" s="38" t="s">
        <v>384</v>
      </c>
      <c r="L691" s="10">
        <f>COUNTIF(Drank!A:A,Table1[[#This Row],[ID]])</f>
        <v>0</v>
      </c>
      <c r="M691" s="37" t="s">
        <v>202</v>
      </c>
      <c r="N691" s="37" t="s">
        <v>207</v>
      </c>
      <c r="P691" s="10">
        <v>2017</v>
      </c>
      <c r="Q691" s="37">
        <v>2028</v>
      </c>
      <c r="R691" s="10" t="str">
        <f>IF(IFERROR(VLOOKUP(A691,Drank!A:S,15,FALSE),"")=0,"",IFERROR(VLOOKUP(A691,Drank!A:S,15,FALSE),""))</f>
        <v/>
      </c>
      <c r="S691" s="10" t="str">
        <f>IF(IFERROR(VLOOKUP(A691,Drank!A:S,16,FALSE),"")=0,"",IFERROR(VLOOKUP(A691,Drank!A:S,16,FALSE),""))</f>
        <v/>
      </c>
      <c r="T691" s="10"/>
      <c r="U691" s="37">
        <v>92</v>
      </c>
      <c r="V691" s="18" t="str">
        <f>IF(IFERROR(VLOOKUP(A691,Drank!A:T,19,FALSE),"")=0,"",IFERROR(VLOOKUP(A691,Drank!A:T,19,FALSE),""))</f>
        <v/>
      </c>
      <c r="W691" s="1" t="str">
        <f>IF(IFERROR(VLOOKUP(A691,Drank!A:T,20,FALSE),"")=0,"",IFERROR(VLOOKUP(A691,Drank!A:T,20,FALSE),""))</f>
        <v/>
      </c>
      <c r="X691" s="10">
        <f>SUMIF(A:A,A691,I:I)</f>
        <v>4</v>
      </c>
      <c r="Y691" s="10">
        <f>IF(Table1[[#This Row],[Drank]]&gt;0,VLOOKUP(Table1[[#This Row],[ID]],Drank!A:P,16,FALSE),IF(Table1[[#This Row],[WALDD]]&gt;0,VLOOKUP(Table1[[#This Row],[ID]],Wine1!A:Q,17,FALSE),Table1[[#This Row],[EP]]))</f>
        <v>2028</v>
      </c>
      <c r="Z691" s="18">
        <f>IF(Table1[[#This Row],[My Rating]]="",IF(Table1[[#This Row],[WA Rating Clean]]="","",Table1[[#This Row],[WA Rating Clean]]),Table1[[#This Row],[My Rating]])</f>
        <v>92</v>
      </c>
      <c r="AA691" s="37">
        <v>2026</v>
      </c>
      <c r="AB691" s="128">
        <v>48.87</v>
      </c>
      <c r="AC691" s="2">
        <f t="shared" si="43"/>
        <v>48.87</v>
      </c>
      <c r="AD691" s="8">
        <v>1</v>
      </c>
      <c r="AE691" s="10">
        <f>IF(Table1[[#This Row],[P/750]]&lt;20,1,IF(Table1[[#This Row],[P/750]]&lt;50,2,3))</f>
        <v>2</v>
      </c>
      <c r="AF691" s="10">
        <f>IF(Table1[[#This Row],[P/750]]&lt;Expenses!$C$30,1,IF(Table1[[#This Row],[P/750]]&lt;Expenses!$C$31,2,IF(Table1[[#This Row],[P/750]]&lt;Expenses!$C$32,3,4)))</f>
        <v>3</v>
      </c>
      <c r="AH691" s="37" t="s">
        <v>384</v>
      </c>
      <c r="AI691" s="11">
        <f>Table1[[#This Row],[Price]]/Table1[[#This Row],[Size (ml)]]*750</f>
        <v>48.87</v>
      </c>
      <c r="AJ691" s="37">
        <v>92</v>
      </c>
      <c r="AK691" s="10">
        <f>COUNTIF(UniqueID!A:A,Table1[[#This Row],[ID]])</f>
        <v>0</v>
      </c>
      <c r="AL691" s="10" t="str">
        <f>VLOOKUP(Table1[[#This Row],[Cellar Location]],Location!A:F,6,FALSE)</f>
        <v>W</v>
      </c>
      <c r="AN691" s="1">
        <v>44057</v>
      </c>
      <c r="AO691" s="10" t="str">
        <f>TEXT(Table1[[#This Row],[Purchased]],"mmmm")</f>
        <v>August</v>
      </c>
      <c r="AP691" s="10" t="str">
        <f>TEXT(Table1[[#This Row],[Purchased]],"yyyy")</f>
        <v>2020</v>
      </c>
      <c r="AQ691" s="1">
        <v>44137</v>
      </c>
    </row>
    <row r="692" spans="1:43" s="37" customFormat="1" x14ac:dyDescent="0.25">
      <c r="A692" s="37" t="str">
        <f t="shared" si="42"/>
        <v>2008Tua RitaGiusto di Notri</v>
      </c>
      <c r="B692" s="37">
        <v>2008</v>
      </c>
      <c r="C692" s="37" t="s">
        <v>859</v>
      </c>
      <c r="D692" s="37" t="s">
        <v>860</v>
      </c>
      <c r="E692" s="67" t="s">
        <v>1563</v>
      </c>
      <c r="F692" s="37" t="s">
        <v>728</v>
      </c>
      <c r="G692" s="37" t="s">
        <v>790</v>
      </c>
      <c r="H692" s="37" t="s">
        <v>796</v>
      </c>
      <c r="I692" s="8">
        <v>1</v>
      </c>
      <c r="J692" s="38">
        <v>750</v>
      </c>
      <c r="K692" s="38" t="s">
        <v>1564</v>
      </c>
      <c r="L692" s="10">
        <f>COUNTIF(Drank!A:A,Table1[[#This Row],[ID]])</f>
        <v>0</v>
      </c>
      <c r="M692" s="37" t="s">
        <v>202</v>
      </c>
      <c r="N692" s="37" t="s">
        <v>207</v>
      </c>
      <c r="O692" s="37">
        <v>1</v>
      </c>
      <c r="P692" s="10">
        <v>2016</v>
      </c>
      <c r="Q692" s="37">
        <v>2028</v>
      </c>
      <c r="R692" s="10" t="str">
        <f>IF(IFERROR(VLOOKUP(A692,Drank!A:S,15,FALSE),"")=0,"",IFERROR(VLOOKUP(A692,Drank!A:S,15,FALSE),""))</f>
        <v/>
      </c>
      <c r="S692" s="10" t="str">
        <f>IF(IFERROR(VLOOKUP(A692,Drank!A:S,16,FALSE),"")=0,"",IFERROR(VLOOKUP(A692,Drank!A:S,16,FALSE),""))</f>
        <v/>
      </c>
      <c r="T692" s="10"/>
      <c r="U692" s="37">
        <v>94</v>
      </c>
      <c r="V692" s="18" t="str">
        <f>IF(IFERROR(VLOOKUP(A692,Drank!A:T,19,FALSE),"")=0,"",IFERROR(VLOOKUP(A692,Drank!A:T,19,FALSE),""))</f>
        <v/>
      </c>
      <c r="W692" s="1" t="str">
        <f>IF(IFERROR(VLOOKUP(A692,Drank!A:T,20,FALSE),"")=0,"",IFERROR(VLOOKUP(A692,Drank!A:T,20,FALSE),""))</f>
        <v/>
      </c>
      <c r="X692" s="10">
        <f>SUMIF(A:A,A692,I:I)</f>
        <v>12</v>
      </c>
      <c r="Y692" s="10">
        <f>IF(Table1[[#This Row],[Drank]]&gt;0,VLOOKUP(Table1[[#This Row],[ID]],Drank!A:P,16,FALSE),IF(Table1[[#This Row],[WALDD]]&gt;0,VLOOKUP(Table1[[#This Row],[ID]],Wine1!A:Q,17,FALSE),Table1[[#This Row],[EP]]))</f>
        <v>2028</v>
      </c>
      <c r="Z692" s="18">
        <f>IF(Table1[[#This Row],[My Rating]]="",IF(Table1[[#This Row],[WA Rating Clean]]="","",Table1[[#This Row],[WA Rating Clean]]),Table1[[#This Row],[My Rating]])</f>
        <v>94</v>
      </c>
      <c r="AA692" s="37">
        <v>2026</v>
      </c>
      <c r="AB692" s="128">
        <v>54.41</v>
      </c>
      <c r="AC692" s="2">
        <f t="shared" si="43"/>
        <v>54.41</v>
      </c>
      <c r="AD692" s="8">
        <v>1</v>
      </c>
      <c r="AE692" s="10">
        <f>IF(Table1[[#This Row],[P/750]]&lt;20,1,IF(Table1[[#This Row],[P/750]]&lt;50,2,3))</f>
        <v>3</v>
      </c>
      <c r="AF692" s="10">
        <f>IF(Table1[[#This Row],[P/750]]&lt;Expenses!$C$30,1,IF(Table1[[#This Row],[P/750]]&lt;Expenses!$C$31,2,IF(Table1[[#This Row],[P/750]]&lt;Expenses!$C$32,3,4)))</f>
        <v>3</v>
      </c>
      <c r="AH692" s="37" t="s">
        <v>1564</v>
      </c>
      <c r="AI692" s="11">
        <f>Table1[[#This Row],[Price]]/Table1[[#This Row],[Size (ml)]]*750</f>
        <v>54.41</v>
      </c>
      <c r="AJ692" s="37">
        <v>94</v>
      </c>
      <c r="AK692" s="10">
        <f>COUNTIF(UniqueID!A:A,Table1[[#This Row],[ID]])</f>
        <v>0</v>
      </c>
      <c r="AL692" s="10" t="str">
        <f>VLOOKUP(Table1[[#This Row],[Cellar Location]],Location!A:F,6,FALSE)</f>
        <v>W</v>
      </c>
      <c r="AN692" s="1">
        <v>44045</v>
      </c>
      <c r="AO692" s="10" t="str">
        <f>TEXT(Table1[[#This Row],[Purchased]],"mmmm")</f>
        <v>August</v>
      </c>
      <c r="AP692" s="10" t="str">
        <f>TEXT(Table1[[#This Row],[Purchased]],"yyyy")</f>
        <v>2020</v>
      </c>
      <c r="AQ692" s="1">
        <v>44094</v>
      </c>
    </row>
    <row r="693" spans="1:43" x14ac:dyDescent="0.25">
      <c r="A693" t="str">
        <f t="shared" si="42"/>
        <v>2015Giuseppe CampagnolaAmarone della Valpolicella Classico Vigneti Vallata di Marano</v>
      </c>
      <c r="B693" s="37">
        <v>2015</v>
      </c>
      <c r="C693" s="37" t="s">
        <v>311</v>
      </c>
      <c r="D693" s="37" t="s">
        <v>592</v>
      </c>
      <c r="E693" s="64" t="s">
        <v>313</v>
      </c>
      <c r="F693" s="37" t="s">
        <v>728</v>
      </c>
      <c r="G693" s="37" t="s">
        <v>799</v>
      </c>
      <c r="H693" s="37" t="s">
        <v>800</v>
      </c>
      <c r="I693" s="8">
        <v>1</v>
      </c>
      <c r="J693" s="38">
        <v>750</v>
      </c>
      <c r="K693" s="38" t="s">
        <v>384</v>
      </c>
      <c r="L693" s="10">
        <f>COUNTIF(Drank!A:A,Table1[[#This Row],[ID]])</f>
        <v>1</v>
      </c>
      <c r="M693" t="s">
        <v>202</v>
      </c>
      <c r="N693" t="s">
        <v>207</v>
      </c>
      <c r="O693">
        <v>1</v>
      </c>
      <c r="P693" s="10">
        <v>2019</v>
      </c>
      <c r="Q693">
        <v>2028</v>
      </c>
      <c r="R693" s="10">
        <f>IF(IFERROR(VLOOKUP(A693,Drank!A:S,15,FALSE),"")=0,"",IFERROR(VLOOKUP(A693,Drank!A:S,15,FALSE),""))</f>
        <v>2025</v>
      </c>
      <c r="S693" s="10">
        <f>IF(IFERROR(VLOOKUP(A693,Drank!A:S,16,FALSE),"")=0,"",IFERROR(VLOOKUP(A693,Drank!A:S,16,FALSE),""))</f>
        <v>2028</v>
      </c>
      <c r="T693" s="10"/>
      <c r="U693">
        <v>91</v>
      </c>
      <c r="V693" s="18">
        <f>IF(IFERROR(VLOOKUP(A693,Drank!A:T,19,FALSE),"")=0,"",IFERROR(VLOOKUP(A693,Drank!A:T,19,FALSE),""))</f>
        <v>92</v>
      </c>
      <c r="W693" s="1">
        <f>IF(IFERROR(VLOOKUP(A693,Drank!A:T,20,FALSE),"")=0,"",IFERROR(VLOOKUP(A693,Drank!A:T,20,FALSE),""))</f>
        <v>43890</v>
      </c>
      <c r="X693" s="10">
        <f>SUMIF(A:A,A693,I:I)</f>
        <v>8</v>
      </c>
      <c r="Y693" s="10">
        <f>IF(Table1[[#This Row],[Drank]]&gt;0,VLOOKUP(Table1[[#This Row],[ID]],Drank!A:P,16,FALSE),IF(Table1[[#This Row],[WALDD]]&gt;0,VLOOKUP(Table1[[#This Row],[ID]],Wine1!A:Q,17,FALSE),Table1[[#This Row],[EP]]))</f>
        <v>2028</v>
      </c>
      <c r="Z693" s="18">
        <f>IF(Table1[[#This Row],[My Rating]]="",IF(Table1[[#This Row],[WA Rating Clean]]="","",Table1[[#This Row],[WA Rating Clean]]),Table1[[#This Row],[My Rating]])</f>
        <v>92</v>
      </c>
      <c r="AA693" s="37">
        <v>2026</v>
      </c>
      <c r="AB693" s="128">
        <v>32.58</v>
      </c>
      <c r="AC693" s="2">
        <f t="shared" si="43"/>
        <v>32.58</v>
      </c>
      <c r="AD693" s="8">
        <v>1</v>
      </c>
      <c r="AE693" s="10">
        <f>IF(Table1[[#This Row],[P/750]]&lt;20,1,IF(Table1[[#This Row],[P/750]]&lt;50,2,3))</f>
        <v>2</v>
      </c>
      <c r="AF693" s="10">
        <f>IF(Table1[[#This Row],[P/750]]&lt;Expenses!$C$30,1,IF(Table1[[#This Row],[P/750]]&lt;Expenses!$C$31,2,IF(Table1[[#This Row],[P/750]]&lt;Expenses!$C$32,3,4)))</f>
        <v>3</v>
      </c>
      <c r="AH693" t="s">
        <v>384</v>
      </c>
      <c r="AI693" s="11">
        <f>Table1[[#This Row],[Price]]/Table1[[#This Row],[Size (ml)]]*750</f>
        <v>32.58</v>
      </c>
      <c r="AJ693">
        <v>91</v>
      </c>
      <c r="AK693" s="10">
        <f>COUNTIF(UniqueID!A:A,Table1[[#This Row],[ID]])</f>
        <v>1</v>
      </c>
      <c r="AL693" s="10" t="str">
        <f>VLOOKUP(Table1[[#This Row],[Cellar Location]],Location!A:F,6,FALSE)</f>
        <v>W</v>
      </c>
      <c r="AN693" s="1">
        <v>44063</v>
      </c>
      <c r="AO693" s="10" t="str">
        <f>TEXT(Table1[[#This Row],[Purchased]],"mmmm")</f>
        <v>August</v>
      </c>
      <c r="AP693" s="10" t="str">
        <f>TEXT(Table1[[#This Row],[Purchased]],"yyyy")</f>
        <v>2020</v>
      </c>
      <c r="AQ693" s="1">
        <v>44137</v>
      </c>
    </row>
    <row r="694" spans="1:43" s="37" customFormat="1" x14ac:dyDescent="0.25">
      <c r="A694" s="37" t="str">
        <f t="shared" si="42"/>
        <v>2012Le GodeBrunello di Montalcino Riserva</v>
      </c>
      <c r="B694" s="37">
        <v>2012</v>
      </c>
      <c r="C694" s="37" t="s">
        <v>245</v>
      </c>
      <c r="D694" s="25" t="s">
        <v>13</v>
      </c>
      <c r="E694" s="64" t="s">
        <v>280</v>
      </c>
      <c r="F694" s="37" t="s">
        <v>728</v>
      </c>
      <c r="G694" s="37" t="s">
        <v>790</v>
      </c>
      <c r="H694" s="37" t="s">
        <v>19</v>
      </c>
      <c r="I694" s="107">
        <v>1</v>
      </c>
      <c r="J694" s="37">
        <v>750</v>
      </c>
      <c r="K694" s="107" t="s">
        <v>1314</v>
      </c>
      <c r="L694" s="37">
        <f>COUNTIF(Drank!A:A,Table1[[#This Row],[ID]])</f>
        <v>0</v>
      </c>
      <c r="M694" s="37" t="s">
        <v>202</v>
      </c>
      <c r="N694" s="37" t="s">
        <v>207</v>
      </c>
      <c r="O694" s="37">
        <v>1</v>
      </c>
      <c r="P694" s="37">
        <v>2019</v>
      </c>
      <c r="Q694" s="37">
        <v>2028</v>
      </c>
      <c r="R694" s="37" t="str">
        <f>IF(IFERROR(VLOOKUP(A694,Drank!A:S,15,FALSE),"")=0,"",IFERROR(VLOOKUP(A694,Drank!A:S,15,FALSE),""))</f>
        <v/>
      </c>
      <c r="S694" s="37" t="str">
        <f>IF(IFERROR(VLOOKUP(A694,Drank!A:S,16,FALSE),"")=0,"",IFERROR(VLOOKUP(A694,Drank!A:S,16,FALSE),""))</f>
        <v/>
      </c>
      <c r="U694" s="37">
        <v>91</v>
      </c>
      <c r="V694" s="18" t="str">
        <f>IF(IFERROR(VLOOKUP(A694,Drank!A:T,19,FALSE),"")=0,"",IFERROR(VLOOKUP(A694,Drank!A:T,19,FALSE),""))</f>
        <v/>
      </c>
      <c r="W694" s="1" t="str">
        <f>IF(IFERROR(VLOOKUP(A694,Drank!A:T,20,FALSE),"")=0,"",IFERROR(VLOOKUP(A694,Drank!A:T,20,FALSE),""))</f>
        <v/>
      </c>
      <c r="X694" s="37">
        <f>SUMIF(A:A,A694,I:I)</f>
        <v>2</v>
      </c>
      <c r="Y694" s="37">
        <f>IF(Table1[[#This Row],[Drank]]&gt;0,VLOOKUP(Table1[[#This Row],[ID]],Drank!A:P,16,FALSE),IF(Table1[[#This Row],[WALDD]]&gt;0,VLOOKUP(Table1[[#This Row],[ID]],Wine1!A:Q,17,FALSE),Table1[[#This Row],[EP]]))</f>
        <v>2028</v>
      </c>
      <c r="Z694" s="18">
        <f>IF(Table1[[#This Row],[My Rating]]="",IF(Table1[[#This Row],[WA Rating Clean]]="","",Table1[[#This Row],[WA Rating Clean]]),Table1[[#This Row],[My Rating]])</f>
        <v>91</v>
      </c>
      <c r="AA694" s="8">
        <v>2026</v>
      </c>
      <c r="AB694" s="128">
        <v>54.99</v>
      </c>
      <c r="AC694" s="2">
        <f t="shared" si="43"/>
        <v>54.99</v>
      </c>
      <c r="AD694" s="8">
        <v>2</v>
      </c>
      <c r="AE694" s="37">
        <f>IF(Table1[[#This Row],[P/750]]&lt;20,1,IF(Table1[[#This Row],[P/750]]&lt;50,2,3))</f>
        <v>3</v>
      </c>
      <c r="AF694" s="37">
        <f>IF(Table1[[#This Row],[P/750]]&lt;Expenses!$C$30,1,IF(Table1[[#This Row],[P/750]]&lt;Expenses!$C$31,2,IF(Table1[[#This Row],[P/750]]&lt;Expenses!$C$32,3,4)))</f>
        <v>3</v>
      </c>
      <c r="AH694" s="37" t="s">
        <v>384</v>
      </c>
      <c r="AI694" s="11">
        <f>Table1[[#This Row],[Price]]/Table1[[#This Row],[Size (ml)]]*750</f>
        <v>54.989999999999995</v>
      </c>
      <c r="AJ694" s="37">
        <v>91</v>
      </c>
      <c r="AK694" s="37">
        <f>COUNTIF(UniqueID!A:A,Table1[[#This Row],[ID]])</f>
        <v>1</v>
      </c>
      <c r="AL694" s="37" t="str">
        <f>VLOOKUP(Table1[[#This Row],[Cellar Location]],Location!A:F,6,FALSE)</f>
        <v>S</v>
      </c>
      <c r="AO694" s="37" t="str">
        <f>TEXT(Table1[[#This Row],[Purchased]],"mmmm")</f>
        <v>January</v>
      </c>
      <c r="AP694" s="10" t="str">
        <f>TEXT(Table1[[#This Row],[Purchased]],"yyyy")</f>
        <v>1900</v>
      </c>
      <c r="AQ694" s="10"/>
    </row>
    <row r="695" spans="1:43" s="37" customFormat="1" x14ac:dyDescent="0.25">
      <c r="A695" s="37" t="str">
        <f t="shared" si="42"/>
        <v>2013Le GodeBrunello di Montalcino</v>
      </c>
      <c r="B695" s="37">
        <v>2013</v>
      </c>
      <c r="C695" s="9" t="s">
        <v>245</v>
      </c>
      <c r="D695" s="25" t="s">
        <v>19</v>
      </c>
      <c r="E695" s="64" t="s">
        <v>280</v>
      </c>
      <c r="F695" s="37" t="s">
        <v>728</v>
      </c>
      <c r="G695" s="37" t="s">
        <v>790</v>
      </c>
      <c r="H695" s="37" t="s">
        <v>19</v>
      </c>
      <c r="I695" s="107">
        <v>1</v>
      </c>
      <c r="J695" s="37">
        <v>750</v>
      </c>
      <c r="K695" s="108" t="s">
        <v>657</v>
      </c>
      <c r="L695" s="37">
        <f>COUNTIF(Drank!A:A,Table1[[#This Row],[ID]])</f>
        <v>2</v>
      </c>
      <c r="M695" s="37" t="s">
        <v>202</v>
      </c>
      <c r="N695" s="37" t="s">
        <v>207</v>
      </c>
      <c r="O695" s="37">
        <v>1</v>
      </c>
      <c r="P695" s="37">
        <v>2019</v>
      </c>
      <c r="Q695" s="37">
        <v>2028</v>
      </c>
      <c r="R695" s="37">
        <f>IF(IFERROR(VLOOKUP(A695,Drank!A:S,15,FALSE),"")=0,"",IFERROR(VLOOKUP(A695,Drank!A:S,15,FALSE),""))</f>
        <v>2026</v>
      </c>
      <c r="S695" s="37">
        <f>IF(IFERROR(VLOOKUP(A695,Drank!A:S,16,FALSE),"")=0,"",IFERROR(VLOOKUP(A695,Drank!A:S,16,FALSE),""))</f>
        <v>2028</v>
      </c>
      <c r="U695" s="37">
        <v>90</v>
      </c>
      <c r="V695" s="18">
        <f>IF(IFERROR(VLOOKUP(A695,Drank!A:T,19,FALSE),"")=0,"",IFERROR(VLOOKUP(A695,Drank!A:T,19,FALSE),""))</f>
        <v>90.5</v>
      </c>
      <c r="W695" s="1">
        <f>IF(IFERROR(VLOOKUP(A695,Drank!A:T,20,FALSE),"")=0,"",IFERROR(VLOOKUP(A695,Drank!A:T,20,FALSE),""))</f>
        <v>43575</v>
      </c>
      <c r="X695" s="37">
        <f>SUMIF(A:A,A695,I:I)</f>
        <v>1</v>
      </c>
      <c r="Y695" s="37">
        <f>IF(Table1[[#This Row],[Drank]]&gt;0,VLOOKUP(Table1[[#This Row],[ID]],Drank!A:P,16,FALSE),IF(Table1[[#This Row],[WALDD]]&gt;0,VLOOKUP(Table1[[#This Row],[ID]],Wine1!A:Q,17,FALSE),Table1[[#This Row],[EP]]))</f>
        <v>2028</v>
      </c>
      <c r="Z695" s="18">
        <f>IF(Table1[[#This Row],[My Rating]]="",IF(Table1[[#This Row],[WA Rating Clean]]="","",Table1[[#This Row],[WA Rating Clean]]),Table1[[#This Row],[My Rating]])</f>
        <v>90.5</v>
      </c>
      <c r="AA695" s="37">
        <v>2026</v>
      </c>
      <c r="AB695" s="128">
        <v>32.99</v>
      </c>
      <c r="AC695" s="2">
        <f t="shared" si="43"/>
        <v>32.99</v>
      </c>
      <c r="AD695" s="8">
        <v>2</v>
      </c>
      <c r="AE695" s="37">
        <f>IF(Table1[[#This Row],[P/750]]&lt;20,1,IF(Table1[[#This Row],[P/750]]&lt;50,2,3))</f>
        <v>2</v>
      </c>
      <c r="AF695" s="37">
        <f>IF(Table1[[#This Row],[P/750]]&lt;Expenses!$C$30,1,IF(Table1[[#This Row],[P/750]]&lt;Expenses!$C$31,2,IF(Table1[[#This Row],[P/750]]&lt;Expenses!$C$32,3,4)))</f>
        <v>3</v>
      </c>
      <c r="AH695" s="37" t="s">
        <v>384</v>
      </c>
      <c r="AI695" s="11">
        <f>Table1[[#This Row],[Price]]/Table1[[#This Row],[Size (ml)]]*750</f>
        <v>32.99</v>
      </c>
      <c r="AJ695" s="37">
        <v>90</v>
      </c>
      <c r="AK695" s="37">
        <f>COUNTIF(UniqueID!A:A,Table1[[#This Row],[ID]])</f>
        <v>1</v>
      </c>
      <c r="AL695" s="37" t="str">
        <f>VLOOKUP(Table1[[#This Row],[Cellar Location]],Location!A:F,6,FALSE)</f>
        <v>S</v>
      </c>
      <c r="AO695" s="37" t="str">
        <f>TEXT(Table1[[#This Row],[Purchased]],"mmmm")</f>
        <v>January</v>
      </c>
      <c r="AP695" s="10" t="str">
        <f>TEXT(Table1[[#This Row],[Purchased]],"yyyy")</f>
        <v>1900</v>
      </c>
      <c r="AQ695" s="10"/>
    </row>
    <row r="696" spans="1:43" s="37" customFormat="1" x14ac:dyDescent="0.25">
      <c r="A696" s="37" t="str">
        <f t="shared" si="42"/>
        <v>2015Luis Seabra VinhosTinto Xisto Cru</v>
      </c>
      <c r="B696" s="8">
        <v>2015</v>
      </c>
      <c r="C696" s="9" t="s">
        <v>250</v>
      </c>
      <c r="D696" s="9" t="s">
        <v>1275</v>
      </c>
      <c r="E696" s="65" t="s">
        <v>274</v>
      </c>
      <c r="F696" s="9" t="s">
        <v>804</v>
      </c>
      <c r="G696" s="9" t="s">
        <v>805</v>
      </c>
      <c r="H696" s="9"/>
      <c r="I696" s="107">
        <v>1</v>
      </c>
      <c r="J696" s="37">
        <v>750</v>
      </c>
      <c r="K696" s="107" t="s">
        <v>644</v>
      </c>
      <c r="L696" s="37">
        <f>COUNTIF(Drank!A:A,Table1[[#This Row],[ID]])</f>
        <v>1</v>
      </c>
      <c r="M696" s="37" t="s">
        <v>202</v>
      </c>
      <c r="N696" s="37" t="s">
        <v>207</v>
      </c>
      <c r="O696" s="37">
        <v>1</v>
      </c>
      <c r="P696" s="37">
        <v>2021</v>
      </c>
      <c r="Q696" s="37">
        <v>2040</v>
      </c>
      <c r="R696" s="37">
        <f>IF(IFERROR(VLOOKUP(A696,Drank!A:S,15,FALSE),"")=0,"",IFERROR(VLOOKUP(A696,Drank!A:S,15,FALSE),""))</f>
        <v>2021</v>
      </c>
      <c r="S696" s="37">
        <f>IF(IFERROR(VLOOKUP(A696,Drank!A:S,16,FALSE),"")=0,"",IFERROR(VLOOKUP(A696,Drank!A:S,16,FALSE),""))</f>
        <v>2028</v>
      </c>
      <c r="U696" s="37">
        <v>95</v>
      </c>
      <c r="V696" s="18">
        <f>IF(IFERROR(VLOOKUP(A696,Drank!A:T,19,FALSE),"")=0,"",IFERROR(VLOOKUP(A696,Drank!A:T,19,FALSE),""))</f>
        <v>95</v>
      </c>
      <c r="W696" s="1">
        <f>IF(IFERROR(VLOOKUP(A696,Drank!A:T,20,FALSE),"")=0,"",IFERROR(VLOOKUP(A696,Drank!A:T,20,FALSE),""))</f>
        <v>43576</v>
      </c>
      <c r="X696" s="37">
        <f>SUMIF(A:A,A696,I:I)</f>
        <v>3</v>
      </c>
      <c r="Y696" s="37">
        <f>IF(Table1[[#This Row],[Drank]]&gt;0,VLOOKUP(Table1[[#This Row],[ID]],Drank!A:P,16,FALSE),IF(Table1[[#This Row],[WALDD]]&gt;0,VLOOKUP(Table1[[#This Row],[ID]],Wine1!A:Q,17,FALSE),Table1[[#This Row],[EP]]))</f>
        <v>2028</v>
      </c>
      <c r="Z696" s="18">
        <f>IF(Table1[[#This Row],[My Rating]]="",IF(Table1[[#This Row],[WA Rating Clean]]="","",Table1[[#This Row],[WA Rating Clean]]),Table1[[#This Row],[My Rating]])</f>
        <v>95</v>
      </c>
      <c r="AA696" s="37">
        <v>2026</v>
      </c>
      <c r="AB696" s="128">
        <v>45</v>
      </c>
      <c r="AC696" s="2">
        <f t="shared" si="43"/>
        <v>45</v>
      </c>
      <c r="AD696" s="8">
        <v>2</v>
      </c>
      <c r="AE696" s="37">
        <f>IF(Table1[[#This Row],[P/750]]&lt;20,1,IF(Table1[[#This Row],[P/750]]&lt;50,2,3))</f>
        <v>2</v>
      </c>
      <c r="AF696" s="37">
        <f>IF(Table1[[#This Row],[P/750]]&lt;Expenses!$C$30,1,IF(Table1[[#This Row],[P/750]]&lt;Expenses!$C$31,2,IF(Table1[[#This Row],[P/750]]&lt;Expenses!$C$32,3,4)))</f>
        <v>3</v>
      </c>
      <c r="AH696" s="37" t="s">
        <v>385</v>
      </c>
      <c r="AI696" s="11">
        <f>Table1[[#This Row],[Price]]/Table1[[#This Row],[Size (ml)]]*750</f>
        <v>45</v>
      </c>
      <c r="AJ696" s="37">
        <v>95</v>
      </c>
      <c r="AK696" s="37">
        <f>COUNTIF(UniqueID!A:A,Table1[[#This Row],[ID]])</f>
        <v>1</v>
      </c>
      <c r="AL696" s="37" t="str">
        <f>VLOOKUP(Table1[[#This Row],[Cellar Location]],Location!A:F,6,FALSE)</f>
        <v>S</v>
      </c>
      <c r="AO696" s="37" t="str">
        <f>TEXT(Table1[[#This Row],[Purchased]],"mmmm")</f>
        <v>January</v>
      </c>
      <c r="AP696" s="10" t="str">
        <f>TEXT(Table1[[#This Row],[Purchased]],"yyyy")</f>
        <v>1900</v>
      </c>
      <c r="AQ696" s="10"/>
    </row>
    <row r="697" spans="1:43" s="37" customFormat="1" x14ac:dyDescent="0.25">
      <c r="A697" s="37" t="str">
        <f t="shared" si="42"/>
        <v>2008PoesiaBodegas Poesia</v>
      </c>
      <c r="B697" s="37">
        <v>2008</v>
      </c>
      <c r="C697" s="8" t="s">
        <v>1552</v>
      </c>
      <c r="D697" s="37" t="s">
        <v>730</v>
      </c>
      <c r="E697" s="64" t="s">
        <v>274</v>
      </c>
      <c r="F697" s="37" t="s">
        <v>731</v>
      </c>
      <c r="G697" s="37" t="s">
        <v>732</v>
      </c>
      <c r="I697" s="107">
        <v>1</v>
      </c>
      <c r="J697" s="37">
        <v>750</v>
      </c>
      <c r="K697" s="107" t="s">
        <v>650</v>
      </c>
      <c r="L697" s="37">
        <f>COUNTIF(Drank!A:A,Table1[[#This Row],[ID]])</f>
        <v>0</v>
      </c>
      <c r="M697" s="37" t="s">
        <v>202</v>
      </c>
      <c r="N697" s="37" t="s">
        <v>207</v>
      </c>
      <c r="O697" s="37">
        <v>1</v>
      </c>
      <c r="P697" s="37">
        <v>2014</v>
      </c>
      <c r="Q697" s="37">
        <v>2028</v>
      </c>
      <c r="R697" s="10" t="str">
        <f>IF(IFERROR(VLOOKUP(A697,Drank!A:S,15,FALSE),"")=0,"",IFERROR(VLOOKUP(A697,Drank!A:S,15,FALSE),""))</f>
        <v/>
      </c>
      <c r="S697" s="10" t="str">
        <f>IF(IFERROR(VLOOKUP(A697,Drank!A:S,16,FALSE),"")=0,"",IFERROR(VLOOKUP(A697,Drank!A:S,16,FALSE),""))</f>
        <v/>
      </c>
      <c r="T697" s="10"/>
      <c r="U697" s="37">
        <v>91</v>
      </c>
      <c r="V697" s="18" t="str">
        <f>IF(IFERROR(VLOOKUP(A697,Drank!A:T,19,FALSE),"")=0,"",IFERROR(VLOOKUP(A697,Drank!A:T,19,FALSE),""))</f>
        <v/>
      </c>
      <c r="W697" s="1" t="str">
        <f>IF(IFERROR(VLOOKUP(A697,Drank!A:T,20,FALSE),"")=0,"",IFERROR(VLOOKUP(A697,Drank!A:T,20,FALSE),""))</f>
        <v/>
      </c>
      <c r="X697" s="10">
        <f>SUMIF(A:A,A697,I:I)</f>
        <v>2</v>
      </c>
      <c r="Y697" s="37">
        <f>IF(Table1[[#This Row],[Drank]]&gt;0,VLOOKUP(Table1[[#This Row],[ID]],Drank!A:P,16,FALSE),IF(Table1[[#This Row],[WALDD]]&gt;0,VLOOKUP(Table1[[#This Row],[ID]],Wine1!A:Q,17,FALSE),Table1[[#This Row],[EP]]))</f>
        <v>2028</v>
      </c>
      <c r="Z697" s="18">
        <f>IF(Table1[[#This Row],[My Rating]]="",IF(Table1[[#This Row],[WA Rating Clean]]="","",Table1[[#This Row],[WA Rating Clean]]),Table1[[#This Row],[My Rating]])</f>
        <v>91</v>
      </c>
      <c r="AA697" s="6">
        <v>2026</v>
      </c>
      <c r="AB697" s="128">
        <v>50</v>
      </c>
      <c r="AC697" s="2">
        <f t="shared" si="43"/>
        <v>50</v>
      </c>
      <c r="AD697" s="8">
        <v>2</v>
      </c>
      <c r="AE697" s="37">
        <f>IF(Table1[[#This Row],[P/750]]&lt;20,1,IF(Table1[[#This Row],[P/750]]&lt;50,2,3))</f>
        <v>3</v>
      </c>
      <c r="AF697" s="37">
        <f>IF(Table1[[#This Row],[P/750]]&lt;Expenses!$C$30,1,IF(Table1[[#This Row],[P/750]]&lt;Expenses!$C$31,2,IF(Table1[[#This Row],[P/750]]&lt;Expenses!$C$32,3,4)))</f>
        <v>3</v>
      </c>
      <c r="AH697" s="37" t="s">
        <v>385</v>
      </c>
      <c r="AI697" s="11">
        <f>Table1[[#This Row],[Price]]/Table1[[#This Row],[Size (ml)]]*750</f>
        <v>50</v>
      </c>
      <c r="AJ697" s="37">
        <v>91</v>
      </c>
      <c r="AK697" s="37">
        <f>COUNTIF(UniqueID!A:A,Table1[[#This Row],[ID]])</f>
        <v>0</v>
      </c>
      <c r="AL697" s="37" t="str">
        <f>VLOOKUP(Table1[[#This Row],[Cellar Location]],Location!A:F,6,FALSE)</f>
        <v>S</v>
      </c>
      <c r="AO697" s="37" t="str">
        <f>TEXT(Table1[[#This Row],[Purchased]],"mmmm")</f>
        <v>January</v>
      </c>
      <c r="AP697" s="10" t="str">
        <f>TEXT(Table1[[#This Row],[Purchased]],"yyyy")</f>
        <v>1900</v>
      </c>
      <c r="AQ697" s="10"/>
    </row>
    <row r="698" spans="1:43" x14ac:dyDescent="0.25">
      <c r="A698" t="str">
        <f t="shared" si="42"/>
        <v>2012Tenuta VitanzaBrunello di Montalcino Riserva Firma</v>
      </c>
      <c r="B698" s="37">
        <v>2012</v>
      </c>
      <c r="C698" s="9" t="s">
        <v>214</v>
      </c>
      <c r="D698" s="9" t="s">
        <v>215</v>
      </c>
      <c r="E698" s="68" t="s">
        <v>1250</v>
      </c>
      <c r="F698" s="37" t="s">
        <v>728</v>
      </c>
      <c r="G698" s="37" t="s">
        <v>790</v>
      </c>
      <c r="H698" s="37" t="s">
        <v>19</v>
      </c>
      <c r="I698" s="37">
        <v>1</v>
      </c>
      <c r="J698">
        <v>750</v>
      </c>
      <c r="K698" s="8" t="s">
        <v>11</v>
      </c>
      <c r="L698" s="37">
        <f>COUNTIF(Drank!A:A,Table1[[#This Row],[ID]])</f>
        <v>1</v>
      </c>
      <c r="M698" t="s">
        <v>202</v>
      </c>
      <c r="N698" t="s">
        <v>207</v>
      </c>
      <c r="O698">
        <v>1</v>
      </c>
      <c r="P698" s="37"/>
      <c r="R698" s="37">
        <f>IF(IFERROR(VLOOKUP(A698,Drank!A:S,15,FALSE),"")=0,"",IFERROR(VLOOKUP(A698,Drank!A:S,15,FALSE),""))</f>
        <v>2028</v>
      </c>
      <c r="S698" s="37">
        <f>IF(IFERROR(VLOOKUP(A698,Drank!A:S,16,FALSE),"")=0,"",IFERROR(VLOOKUP(A698,Drank!A:S,16,FALSE),""))</f>
        <v>2028</v>
      </c>
      <c r="T698" s="37"/>
      <c r="V698" s="18">
        <f>IF(IFERROR(VLOOKUP(A698,Drank!A:T,19,FALSE),"")=0,"",IFERROR(VLOOKUP(A698,Drank!A:T,19,FALSE),""))</f>
        <v>94</v>
      </c>
      <c r="W698" s="1">
        <f>IF(IFERROR(VLOOKUP(A698,Drank!A:T,20,FALSE),"")=0,"",IFERROR(VLOOKUP(A698,Drank!A:T,20,FALSE),""))</f>
        <v>43568</v>
      </c>
      <c r="X698" s="37">
        <f>SUMIF(A:A,A698,I:I)</f>
        <v>1</v>
      </c>
      <c r="Y698" s="37">
        <f>IF(Table1[[#This Row],[Drank]]&gt;0,VLOOKUP(Table1[[#This Row],[ID]],Drank!A:P,16,FALSE),IF(Table1[[#This Row],[WALDD]]&gt;0,VLOOKUP(Table1[[#This Row],[ID]],Wine1!A:Q,17,FALSE),Table1[[#This Row],[EP]]))</f>
        <v>2028</v>
      </c>
      <c r="Z698" s="18">
        <f>IF(Table1[[#This Row],[My Rating]]="",IF(Table1[[#This Row],[WA Rating Clean]]="","",Table1[[#This Row],[WA Rating Clean]]),Table1[[#This Row],[My Rating]])</f>
        <v>94</v>
      </c>
      <c r="AA698" s="37">
        <v>2026</v>
      </c>
      <c r="AB698" s="128">
        <v>39.99</v>
      </c>
      <c r="AC698" s="2">
        <f t="shared" si="43"/>
        <v>39.99</v>
      </c>
      <c r="AD698" s="8">
        <v>0</v>
      </c>
      <c r="AE698" s="37">
        <f>IF(Table1[[#This Row],[P/750]]&lt;20,1,IF(Table1[[#This Row],[P/750]]&lt;50,2,3))</f>
        <v>2</v>
      </c>
      <c r="AF698" s="37">
        <f>IF(Table1[[#This Row],[P/750]]&lt;Expenses!$C$30,1,IF(Table1[[#This Row],[P/750]]&lt;Expenses!$C$31,2,IF(Table1[[#This Row],[P/750]]&lt;Expenses!$C$32,3,4)))</f>
        <v>3</v>
      </c>
      <c r="AH698" s="37" t="s">
        <v>384</v>
      </c>
      <c r="AI698" s="11">
        <f>Table1[[#This Row],[Price]]/Table1[[#This Row],[Size (ml)]]*750</f>
        <v>39.99</v>
      </c>
      <c r="AK698">
        <f>COUNTIF(UniqueID!A:A,Table1[[#This Row],[ID]])</f>
        <v>1</v>
      </c>
      <c r="AL698" t="str">
        <f>VLOOKUP(Table1[[#This Row],[Cellar Location]],Location!A:F,6,FALSE)</f>
        <v>K</v>
      </c>
      <c r="AN698" s="37"/>
      <c r="AO698" t="str">
        <f>TEXT(Table1[[#This Row],[Purchased]],"mmmm")</f>
        <v>January</v>
      </c>
      <c r="AP698" s="10" t="str">
        <f>TEXT(Table1[[#This Row],[Purchased]],"yyyy")</f>
        <v>1900</v>
      </c>
      <c r="AQ698" s="10"/>
    </row>
    <row r="699" spans="1:43" s="37" customFormat="1" x14ac:dyDescent="0.25">
      <c r="A699" s="37" t="str">
        <f t="shared" si="42"/>
        <v>2013Tenuta VitanzaBrunello di Montalcino Riserva Firma</v>
      </c>
      <c r="B699" s="37">
        <v>2013</v>
      </c>
      <c r="C699" s="9" t="s">
        <v>214</v>
      </c>
      <c r="D699" s="9" t="s">
        <v>215</v>
      </c>
      <c r="E699" s="68" t="s">
        <v>1250</v>
      </c>
      <c r="F699" s="37" t="s">
        <v>728</v>
      </c>
      <c r="G699" s="37" t="s">
        <v>790</v>
      </c>
      <c r="H699" s="37" t="s">
        <v>19</v>
      </c>
      <c r="I699" s="37">
        <v>1</v>
      </c>
      <c r="J699" s="38">
        <v>750</v>
      </c>
      <c r="K699" s="38" t="s">
        <v>384</v>
      </c>
      <c r="L699" s="10">
        <f>COUNTIF(Drank!A:A,Table1[[#This Row],[ID]])</f>
        <v>0</v>
      </c>
      <c r="M699" s="37" t="s">
        <v>202</v>
      </c>
      <c r="N699" s="37" t="s">
        <v>207</v>
      </c>
      <c r="O699" s="37">
        <v>0</v>
      </c>
      <c r="R699" s="10" t="str">
        <f>IF(IFERROR(VLOOKUP(A699,Drank!A:S,15,FALSE),"")=0,"",IFERROR(VLOOKUP(A699,Drank!A:S,15,FALSE),""))</f>
        <v/>
      </c>
      <c r="S699" s="10" t="str">
        <f>IF(IFERROR(VLOOKUP(A699,Drank!A:S,16,FALSE),"")=0,"",IFERROR(VLOOKUP(A699,Drank!A:S,16,FALSE),""))</f>
        <v/>
      </c>
      <c r="T699" s="10">
        <v>2029</v>
      </c>
      <c r="V699" s="18" t="str">
        <f>IF(IFERROR(VLOOKUP(A699,Drank!A:T,19,FALSE),"")=0,"",IFERROR(VLOOKUP(A699,Drank!A:T,19,FALSE),""))</f>
        <v/>
      </c>
      <c r="W699" s="1" t="str">
        <f>IF(IFERROR(VLOOKUP(A699,Drank!A:T,20,FALSE),"")=0,"",IFERROR(VLOOKUP(A699,Drank!A:T,20,FALSE),""))</f>
        <v/>
      </c>
      <c r="X699" s="10">
        <f>SUMIF(A:A,A699,I:I)</f>
        <v>3</v>
      </c>
      <c r="Y699" s="10">
        <f>IF(Table1[[#This Row],[Drank]]&gt;0,VLOOKUP(Table1[[#This Row],[ID]],Drank!A:P,16,FALSE),IF(Table1[[#This Row],[WALDD]]&gt;0,VLOOKUP(Table1[[#This Row],[ID]],Wine1!A:Q,17,FALSE),Table1[[#This Row],[EP]]))</f>
        <v>2029</v>
      </c>
      <c r="Z699" s="18" t="str">
        <f>IF(Table1[[#This Row],[My Rating]]="",IF(Table1[[#This Row],[WA Rating Clean]]="","",Table1[[#This Row],[WA Rating Clean]]),Table1[[#This Row],[My Rating]])</f>
        <v/>
      </c>
      <c r="AA699" s="37">
        <v>2021</v>
      </c>
      <c r="AB699" s="128">
        <v>38.01</v>
      </c>
      <c r="AC699" s="2">
        <f t="shared" si="43"/>
        <v>38.01</v>
      </c>
      <c r="AD699" s="8"/>
      <c r="AE699" s="10">
        <f>IF(Table1[[#This Row],[P/750]]&lt;20,1,IF(Table1[[#This Row],[P/750]]&lt;50,2,3))</f>
        <v>2</v>
      </c>
      <c r="AF699" s="10">
        <f>IF(Table1[[#This Row],[P/750]]&lt;Expenses!$C$30,1,IF(Table1[[#This Row],[P/750]]&lt;Expenses!$C$31,2,IF(Table1[[#This Row],[P/750]]&lt;Expenses!$C$32,3,4)))</f>
        <v>3</v>
      </c>
      <c r="AH699" s="37" t="s">
        <v>384</v>
      </c>
      <c r="AI699" s="11">
        <f>Table1[[#This Row],[Price]]/Table1[[#This Row],[Size (ml)]]*750</f>
        <v>38.01</v>
      </c>
      <c r="AK699" s="10">
        <f>COUNTIF(UniqueID!A:A,Table1[[#This Row],[ID]])</f>
        <v>0</v>
      </c>
      <c r="AL699" s="10" t="str">
        <f>VLOOKUP(Table1[[#This Row],[Cellar Location]],Location!A:F,6,FALSE)</f>
        <v>W</v>
      </c>
      <c r="AN699" s="1">
        <v>44077</v>
      </c>
      <c r="AO699" s="10" t="str">
        <f>TEXT(Table1[[#This Row],[Purchased]],"mmmm")</f>
        <v>September</v>
      </c>
      <c r="AP699" s="10" t="str">
        <f>TEXT(Table1[[#This Row],[Purchased]],"yyyy")</f>
        <v>2020</v>
      </c>
      <c r="AQ699" s="1">
        <v>44137</v>
      </c>
    </row>
    <row r="700" spans="1:43" s="37" customFormat="1" x14ac:dyDescent="0.25">
      <c r="A700" s="37" t="str">
        <f t="shared" si="42"/>
        <v>2013Tenuta VitanzaBrunello di Montalcino Riserva Firma</v>
      </c>
      <c r="B700" s="37">
        <v>2013</v>
      </c>
      <c r="C700" s="9" t="s">
        <v>214</v>
      </c>
      <c r="D700" s="9" t="s">
        <v>215</v>
      </c>
      <c r="E700" s="68" t="s">
        <v>1250</v>
      </c>
      <c r="F700" s="37" t="s">
        <v>728</v>
      </c>
      <c r="G700" s="37" t="s">
        <v>790</v>
      </c>
      <c r="H700" s="37" t="s">
        <v>19</v>
      </c>
      <c r="I700" s="37">
        <v>1</v>
      </c>
      <c r="J700" s="38">
        <v>750</v>
      </c>
      <c r="K700" s="38" t="s">
        <v>384</v>
      </c>
      <c r="L700" s="10">
        <f>COUNTIF(Drank!A:A,Table1[[#This Row],[ID]])</f>
        <v>0</v>
      </c>
      <c r="M700" s="37" t="s">
        <v>202</v>
      </c>
      <c r="N700" s="37" t="s">
        <v>207</v>
      </c>
      <c r="O700" s="37">
        <v>0</v>
      </c>
      <c r="R700" s="10" t="str">
        <f>IF(IFERROR(VLOOKUP(A700,Drank!A:S,15,FALSE),"")=0,"",IFERROR(VLOOKUP(A700,Drank!A:S,15,FALSE),""))</f>
        <v/>
      </c>
      <c r="S700" s="10" t="str">
        <f>IF(IFERROR(VLOOKUP(A700,Drank!A:S,16,FALSE),"")=0,"",IFERROR(VLOOKUP(A700,Drank!A:S,16,FALSE),""))</f>
        <v/>
      </c>
      <c r="T700" s="10">
        <v>2029</v>
      </c>
      <c r="V700" s="18" t="str">
        <f>IF(IFERROR(VLOOKUP(A700,Drank!A:T,19,FALSE),"")=0,"",IFERROR(VLOOKUP(A700,Drank!A:T,19,FALSE),""))</f>
        <v/>
      </c>
      <c r="W700" s="1" t="str">
        <f>IF(IFERROR(VLOOKUP(A700,Drank!A:T,20,FALSE),"")=0,"",IFERROR(VLOOKUP(A700,Drank!A:T,20,FALSE),""))</f>
        <v/>
      </c>
      <c r="X700" s="10">
        <f>SUMIF(A:A,A700,I:I)</f>
        <v>3</v>
      </c>
      <c r="Y700" s="10">
        <f>IF(Table1[[#This Row],[Drank]]&gt;0,VLOOKUP(Table1[[#This Row],[ID]],Drank!A:P,16,FALSE),IF(Table1[[#This Row],[WALDD]]&gt;0,VLOOKUP(Table1[[#This Row],[ID]],Wine1!A:Q,17,FALSE),Table1[[#This Row],[EP]]))</f>
        <v>2029</v>
      </c>
      <c r="Z700" s="18" t="str">
        <f>IF(Table1[[#This Row],[My Rating]]="",IF(Table1[[#This Row],[WA Rating Clean]]="","",Table1[[#This Row],[WA Rating Clean]]),Table1[[#This Row],[My Rating]])</f>
        <v/>
      </c>
      <c r="AA700" s="37">
        <v>2028</v>
      </c>
      <c r="AB700" s="128">
        <v>38.01</v>
      </c>
      <c r="AC700" s="2">
        <f t="shared" si="43"/>
        <v>38.01</v>
      </c>
      <c r="AD700" s="8"/>
      <c r="AE700" s="10">
        <f>IF(Table1[[#This Row],[P/750]]&lt;20,1,IF(Table1[[#This Row],[P/750]]&lt;50,2,3))</f>
        <v>2</v>
      </c>
      <c r="AF700" s="10">
        <f>IF(Table1[[#This Row],[P/750]]&lt;Expenses!$C$30,1,IF(Table1[[#This Row],[P/750]]&lt;Expenses!$C$31,2,IF(Table1[[#This Row],[P/750]]&lt;Expenses!$C$32,3,4)))</f>
        <v>3</v>
      </c>
      <c r="AH700" s="37" t="s">
        <v>384</v>
      </c>
      <c r="AI700" s="11">
        <f>Table1[[#This Row],[Price]]/Table1[[#This Row],[Size (ml)]]*750</f>
        <v>38.01</v>
      </c>
      <c r="AK700" s="10">
        <f>COUNTIF(UniqueID!A:A,Table1[[#This Row],[ID]])</f>
        <v>0</v>
      </c>
      <c r="AL700" s="10" t="str">
        <f>VLOOKUP(Table1[[#This Row],[Cellar Location]],Location!A:F,6,FALSE)</f>
        <v>W</v>
      </c>
      <c r="AN700" s="1">
        <v>44077</v>
      </c>
      <c r="AO700" s="10" t="str">
        <f>TEXT(Table1[[#This Row],[Purchased]],"mmmm")</f>
        <v>September</v>
      </c>
      <c r="AP700" s="10" t="str">
        <f>TEXT(Table1[[#This Row],[Purchased]],"yyyy")</f>
        <v>2020</v>
      </c>
      <c r="AQ700" s="1">
        <v>44137</v>
      </c>
    </row>
    <row r="701" spans="1:43" s="37" customFormat="1" x14ac:dyDescent="0.25">
      <c r="A701" s="37" t="str">
        <f t="shared" si="42"/>
        <v>2013Tenuta VitanzaBrunello di Montalcino Riserva Firma</v>
      </c>
      <c r="B701" s="37">
        <v>2013</v>
      </c>
      <c r="C701" s="9" t="s">
        <v>214</v>
      </c>
      <c r="D701" s="9" t="s">
        <v>215</v>
      </c>
      <c r="E701" s="68" t="s">
        <v>1250</v>
      </c>
      <c r="F701" s="37" t="s">
        <v>728</v>
      </c>
      <c r="G701" s="37" t="s">
        <v>790</v>
      </c>
      <c r="H701" s="37" t="s">
        <v>19</v>
      </c>
      <c r="I701" s="37">
        <v>1</v>
      </c>
      <c r="J701" s="38">
        <v>750</v>
      </c>
      <c r="K701" s="38" t="s">
        <v>384</v>
      </c>
      <c r="L701" s="10">
        <f>COUNTIF(Drank!A:A,Table1[[#This Row],[ID]])</f>
        <v>0</v>
      </c>
      <c r="M701" s="37" t="s">
        <v>202</v>
      </c>
      <c r="N701" s="37" t="s">
        <v>207</v>
      </c>
      <c r="O701" s="37">
        <v>0</v>
      </c>
      <c r="R701" s="10" t="str">
        <f>IF(IFERROR(VLOOKUP(A701,Drank!A:S,15,FALSE),"")=0,"",IFERROR(VLOOKUP(A701,Drank!A:S,15,FALSE),""))</f>
        <v/>
      </c>
      <c r="S701" s="10" t="str">
        <f>IF(IFERROR(VLOOKUP(A701,Drank!A:S,16,FALSE),"")=0,"",IFERROR(VLOOKUP(A701,Drank!A:S,16,FALSE),""))</f>
        <v/>
      </c>
      <c r="T701" s="10">
        <v>2029</v>
      </c>
      <c r="V701" s="18" t="str">
        <f>IF(IFERROR(VLOOKUP(A701,Drank!A:T,19,FALSE),"")=0,"",IFERROR(VLOOKUP(A701,Drank!A:T,19,FALSE),""))</f>
        <v/>
      </c>
      <c r="W701" s="1" t="str">
        <f>IF(IFERROR(VLOOKUP(A701,Drank!A:T,20,FALSE),"")=0,"",IFERROR(VLOOKUP(A701,Drank!A:T,20,FALSE),""))</f>
        <v/>
      </c>
      <c r="X701" s="10">
        <f>SUMIF(A:A,A701,I:I)</f>
        <v>3</v>
      </c>
      <c r="Y701" s="10">
        <f>IF(Table1[[#This Row],[Drank]]&gt;0,VLOOKUP(Table1[[#This Row],[ID]],Drank!A:P,16,FALSE),IF(Table1[[#This Row],[WALDD]]&gt;0,VLOOKUP(Table1[[#This Row],[ID]],Wine1!A:Q,17,FALSE),Table1[[#This Row],[EP]]))</f>
        <v>2029</v>
      </c>
      <c r="Z701" s="18" t="str">
        <f>IF(Table1[[#This Row],[My Rating]]="",IF(Table1[[#This Row],[WA Rating Clean]]="","",Table1[[#This Row],[WA Rating Clean]]),Table1[[#This Row],[My Rating]])</f>
        <v/>
      </c>
      <c r="AA701" s="37">
        <v>2029</v>
      </c>
      <c r="AB701" s="128">
        <v>38.01</v>
      </c>
      <c r="AC701" s="2">
        <f t="shared" si="43"/>
        <v>38.01</v>
      </c>
      <c r="AD701" s="8"/>
      <c r="AE701" s="10">
        <f>IF(Table1[[#This Row],[P/750]]&lt;20,1,IF(Table1[[#This Row],[P/750]]&lt;50,2,3))</f>
        <v>2</v>
      </c>
      <c r="AF701" s="10">
        <f>IF(Table1[[#This Row],[P/750]]&lt;Expenses!$C$30,1,IF(Table1[[#This Row],[P/750]]&lt;Expenses!$C$31,2,IF(Table1[[#This Row],[P/750]]&lt;Expenses!$C$32,3,4)))</f>
        <v>3</v>
      </c>
      <c r="AH701" s="37" t="s">
        <v>384</v>
      </c>
      <c r="AI701" s="11">
        <f>Table1[[#This Row],[Price]]/Table1[[#This Row],[Size (ml)]]*750</f>
        <v>38.01</v>
      </c>
      <c r="AK701" s="10">
        <f>COUNTIF(UniqueID!A:A,Table1[[#This Row],[ID]])</f>
        <v>0</v>
      </c>
      <c r="AL701" s="10" t="str">
        <f>VLOOKUP(Table1[[#This Row],[Cellar Location]],Location!A:F,6,FALSE)</f>
        <v>W</v>
      </c>
      <c r="AN701" s="1">
        <v>44077</v>
      </c>
      <c r="AO701" s="10" t="str">
        <f>TEXT(Table1[[#This Row],[Purchased]],"mmmm")</f>
        <v>September</v>
      </c>
      <c r="AP701" s="10" t="str">
        <f>TEXT(Table1[[#This Row],[Purchased]],"yyyy")</f>
        <v>2020</v>
      </c>
      <c r="AQ701" s="1">
        <v>44137</v>
      </c>
    </row>
    <row r="702" spans="1:43" x14ac:dyDescent="0.25">
      <c r="A702" t="str">
        <f t="shared" si="42"/>
        <v>2016Yves CheronGigondas La Grand Comtadine Heritiers Cheron-Misset</v>
      </c>
      <c r="B702" s="37">
        <v>2016</v>
      </c>
      <c r="C702" s="37" t="s">
        <v>413</v>
      </c>
      <c r="D702" s="25" t="s">
        <v>414</v>
      </c>
      <c r="E702" s="67" t="s">
        <v>1249</v>
      </c>
      <c r="F702" s="37" t="s">
        <v>742</v>
      </c>
      <c r="G702" s="37" t="s">
        <v>759</v>
      </c>
      <c r="H702" s="37" t="s">
        <v>764</v>
      </c>
      <c r="I702" s="107">
        <v>1</v>
      </c>
      <c r="J702" s="9">
        <v>750</v>
      </c>
      <c r="K702" s="107" t="s">
        <v>645</v>
      </c>
      <c r="L702" s="37">
        <f>COUNTIF(Drank!A:A,Table1[[#This Row],[ID]])</f>
        <v>1</v>
      </c>
      <c r="M702" t="s">
        <v>202</v>
      </c>
      <c r="N702" t="s">
        <v>207</v>
      </c>
      <c r="O702">
        <v>1</v>
      </c>
      <c r="P702" s="37">
        <v>2018</v>
      </c>
      <c r="Q702">
        <v>2028</v>
      </c>
      <c r="R702" s="10">
        <f>IF(IFERROR(VLOOKUP(A702,Drank!A:S,15,FALSE),"")=0,"",IFERROR(VLOOKUP(A702,Drank!A:S,15,FALSE),""))</f>
        <v>2022</v>
      </c>
      <c r="S702" s="10">
        <f>IF(IFERROR(VLOOKUP(A702,Drank!A:S,16,FALSE),"")=0,"",IFERROR(VLOOKUP(A702,Drank!A:S,16,FALSE),""))</f>
        <v>2028</v>
      </c>
      <c r="T702" s="10"/>
      <c r="U702">
        <v>93</v>
      </c>
      <c r="V702" s="18">
        <f>IF(IFERROR(VLOOKUP(A702,Drank!A:T,19,FALSE),"")=0,"",IFERROR(VLOOKUP(A702,Drank!A:T,19,FALSE),""))</f>
        <v>92</v>
      </c>
      <c r="W702" s="1">
        <f>IF(IFERROR(VLOOKUP(A702,Drank!A:T,20,FALSE),"")=0,"",IFERROR(VLOOKUP(A702,Drank!A:T,20,FALSE),""))</f>
        <v>43897</v>
      </c>
      <c r="X702" s="10">
        <f>SUMIF(A:A,A702,I:I)</f>
        <v>5</v>
      </c>
      <c r="Y702" s="37">
        <f>IF(Table1[[#This Row],[Drank]]&gt;0,VLOOKUP(Table1[[#This Row],[ID]],Drank!A:P,16,FALSE),IF(Table1[[#This Row],[WALDD]]&gt;0,VLOOKUP(Table1[[#This Row],[ID]],Wine1!A:Q,17,FALSE),Table1[[#This Row],[EP]]))</f>
        <v>2028</v>
      </c>
      <c r="Z702" s="18">
        <f>IF(Table1[[#This Row],[My Rating]]="",IF(Table1[[#This Row],[WA Rating Clean]]="","",Table1[[#This Row],[WA Rating Clean]]),Table1[[#This Row],[My Rating]])</f>
        <v>92</v>
      </c>
      <c r="AA702" s="37">
        <v>2026</v>
      </c>
      <c r="AB702" s="128">
        <v>23</v>
      </c>
      <c r="AC702" s="2">
        <f t="shared" si="43"/>
        <v>23</v>
      </c>
      <c r="AD702" s="8">
        <v>2</v>
      </c>
      <c r="AE702" s="37">
        <f>IF(Table1[[#This Row],[P/750]]&lt;20,1,IF(Table1[[#This Row],[P/750]]&lt;50,2,3))</f>
        <v>2</v>
      </c>
      <c r="AF702" s="37">
        <f>IF(Table1[[#This Row],[P/750]]&lt;Expenses!$C$30,1,IF(Table1[[#This Row],[P/750]]&lt;Expenses!$C$31,2,IF(Table1[[#This Row],[P/750]]&lt;Expenses!$C$32,3,4)))</f>
        <v>2</v>
      </c>
      <c r="AH702" s="37" t="s">
        <v>384</v>
      </c>
      <c r="AI702" s="11">
        <f>Table1[[#This Row],[Price]]/Table1[[#This Row],[Size (ml)]]*750</f>
        <v>23</v>
      </c>
      <c r="AJ702">
        <v>93</v>
      </c>
      <c r="AK702" s="37">
        <f>COUNTIF(UniqueID!A:A,Table1[[#This Row],[ID]])</f>
        <v>1</v>
      </c>
      <c r="AL702" s="37" t="str">
        <f>VLOOKUP(Table1[[#This Row],[Cellar Location]],Location!A:F,6,FALSE)</f>
        <v>S</v>
      </c>
      <c r="AN702" s="37"/>
      <c r="AO702" s="37" t="str">
        <f>TEXT(Table1[[#This Row],[Purchased]],"mmmm")</f>
        <v>January</v>
      </c>
      <c r="AP702" s="10" t="str">
        <f>TEXT(Table1[[#This Row],[Purchased]],"yyyy")</f>
        <v>1900</v>
      </c>
      <c r="AQ702" s="10"/>
    </row>
    <row r="703" spans="1:43" x14ac:dyDescent="0.25">
      <c r="A703" t="str">
        <f t="shared" si="42"/>
        <v>2015PalaEssentija</v>
      </c>
      <c r="B703" s="8">
        <v>2015</v>
      </c>
      <c r="C703" s="8" t="s">
        <v>1825</v>
      </c>
      <c r="D703" s="19" t="s">
        <v>1827</v>
      </c>
      <c r="E703" s="63" t="s">
        <v>1824</v>
      </c>
      <c r="F703" s="37" t="s">
        <v>728</v>
      </c>
      <c r="G703" s="37" t="s">
        <v>787</v>
      </c>
      <c r="H703" s="37" t="s">
        <v>1826</v>
      </c>
      <c r="I703" s="37">
        <v>1</v>
      </c>
      <c r="J703" s="38">
        <v>750</v>
      </c>
      <c r="K703" s="38" t="s">
        <v>1572</v>
      </c>
      <c r="L703" s="10">
        <f>COUNTIF(Drank!A:A,Table1[[#This Row],[ID]])</f>
        <v>0</v>
      </c>
      <c r="M703" t="s">
        <v>202</v>
      </c>
      <c r="N703" t="s">
        <v>207</v>
      </c>
      <c r="O703">
        <v>0</v>
      </c>
      <c r="P703" s="10"/>
      <c r="R703" s="10" t="str">
        <f>IF(IFERROR(VLOOKUP(A703,Drank!A:S,15,FALSE),"")=0,"",IFERROR(VLOOKUP(A703,Drank!A:S,15,FALSE),""))</f>
        <v/>
      </c>
      <c r="S703" s="10" t="str">
        <f>IF(IFERROR(VLOOKUP(A703,Drank!A:S,16,FALSE),"")=0,"",IFERROR(VLOOKUP(A703,Drank!A:S,16,FALSE),""))</f>
        <v/>
      </c>
      <c r="T703" s="10">
        <v>2028</v>
      </c>
      <c r="V703" s="18" t="str">
        <f>IF(IFERROR(VLOOKUP(A703,Drank!A:T,19,FALSE),"")=0,"",IFERROR(VLOOKUP(A703,Drank!A:T,19,FALSE),""))</f>
        <v/>
      </c>
      <c r="W703" s="1" t="str">
        <f>IF(IFERROR(VLOOKUP(A703,Drank!A:T,20,FALSE),"")=0,"",IFERROR(VLOOKUP(A703,Drank!A:T,20,FALSE),""))</f>
        <v/>
      </c>
      <c r="X703" s="10">
        <f>SUMIF(A:A,A703,I:I)</f>
        <v>5</v>
      </c>
      <c r="Y703" s="10">
        <f>IF(Table1[[#This Row],[Drank]]&gt;0,VLOOKUP(Table1[[#This Row],[ID]],Drank!A:P,16,FALSE),IF(Table1[[#This Row],[WALDD]]&gt;0,VLOOKUP(Table1[[#This Row],[ID]],Wine1!A:Q,17,FALSE),Table1[[#This Row],[EP]]))</f>
        <v>2028</v>
      </c>
      <c r="Z703" s="18" t="str">
        <f>IF(Table1[[#This Row],[My Rating]]="",IF(Table1[[#This Row],[WA Rating Clean]]="","",Table1[[#This Row],[WA Rating Clean]]),Table1[[#This Row],[My Rating]])</f>
        <v/>
      </c>
      <c r="AA703" s="37">
        <v>2026</v>
      </c>
      <c r="AB703" s="128">
        <v>26.8</v>
      </c>
      <c r="AC703" s="2">
        <f t="shared" si="43"/>
        <v>26.8</v>
      </c>
      <c r="AD703" s="8"/>
      <c r="AE703" s="10">
        <f>IF(Table1[[#This Row],[P/750]]&lt;20,1,IF(Table1[[#This Row],[P/750]]&lt;50,2,3))</f>
        <v>2</v>
      </c>
      <c r="AF703" s="10">
        <f>IF(Table1[[#This Row],[P/750]]&lt;Expenses!$C$30,1,IF(Table1[[#This Row],[P/750]]&lt;Expenses!$C$31,2,IF(Table1[[#This Row],[P/750]]&lt;Expenses!$C$32,3,4)))</f>
        <v>2</v>
      </c>
      <c r="AH703" s="25" t="s">
        <v>1572</v>
      </c>
      <c r="AI703" s="11">
        <f>Table1[[#This Row],[Price]]/Table1[[#This Row],[Size (ml)]]*750</f>
        <v>26.8</v>
      </c>
      <c r="AK703" s="10">
        <f>COUNTIF(UniqueID!A:A,Table1[[#This Row],[ID]])</f>
        <v>0</v>
      </c>
      <c r="AL703" s="10" t="str">
        <f>VLOOKUP(Table1[[#This Row],[Cellar Location]],Location!A:F,6,FALSE)</f>
        <v>W</v>
      </c>
      <c r="AN703" s="1">
        <v>44068</v>
      </c>
      <c r="AO703" s="10" t="str">
        <f>TEXT(Table1[[#This Row],[Purchased]],"mmmm")</f>
        <v>August</v>
      </c>
      <c r="AP703" s="10" t="str">
        <f>TEXT(Table1[[#This Row],[Purchased]],"yyyy")</f>
        <v>2020</v>
      </c>
      <c r="AQ703" s="1">
        <v>44114</v>
      </c>
    </row>
    <row r="704" spans="1:43" x14ac:dyDescent="0.25">
      <c r="A704" t="str">
        <f t="shared" si="42"/>
        <v>2016AaltoAalto</v>
      </c>
      <c r="B704" s="37">
        <v>2016</v>
      </c>
      <c r="C704" s="37" t="s">
        <v>1184</v>
      </c>
      <c r="D704" s="37" t="s">
        <v>1184</v>
      </c>
      <c r="E704" s="67" t="s">
        <v>1220</v>
      </c>
      <c r="F704" s="37" t="s">
        <v>729</v>
      </c>
      <c r="G704" s="37" t="s">
        <v>1718</v>
      </c>
      <c r="H704" s="37" t="s">
        <v>818</v>
      </c>
      <c r="I704" s="107">
        <v>1</v>
      </c>
      <c r="J704">
        <v>750</v>
      </c>
      <c r="K704" s="107" t="s">
        <v>627</v>
      </c>
      <c r="L704" s="10">
        <f>COUNTIF(Drank!A:A,Table1[[#This Row],[ID]])</f>
        <v>1</v>
      </c>
      <c r="M704" t="s">
        <v>202</v>
      </c>
      <c r="N704" t="s">
        <v>207</v>
      </c>
      <c r="O704">
        <v>1</v>
      </c>
      <c r="P704" s="10">
        <v>2020</v>
      </c>
      <c r="Q704">
        <v>2026</v>
      </c>
      <c r="R704" s="10">
        <f>IF(IFERROR(VLOOKUP(A704,Drank!A:S,15,FALSE),"")=0,"",IFERROR(VLOOKUP(A704,Drank!A:S,15,FALSE),""))</f>
        <v>2026</v>
      </c>
      <c r="S704" s="10">
        <f>IF(IFERROR(VLOOKUP(A704,Drank!A:S,16,FALSE),"")=0,"",IFERROR(VLOOKUP(A704,Drank!A:S,16,FALSE),""))</f>
        <v>2029</v>
      </c>
      <c r="T704" s="10"/>
      <c r="U704" t="s">
        <v>1185</v>
      </c>
      <c r="V704" s="18">
        <f>IF(IFERROR(VLOOKUP(A704,Drank!A:T,19,FALSE),"")=0,"",IFERROR(VLOOKUP(A704,Drank!A:T,19,FALSE),""))</f>
        <v>94</v>
      </c>
      <c r="W704" s="1">
        <f>IF(IFERROR(VLOOKUP(A704,Drank!A:T,20,FALSE),"")=0,"",IFERROR(VLOOKUP(A704,Drank!A:T,20,FALSE),""))</f>
        <v>43870</v>
      </c>
      <c r="X704" s="10">
        <f>SUMIF(A:A,A704,I:I)</f>
        <v>7</v>
      </c>
      <c r="Y704" s="10">
        <f>IF(Table1[[#This Row],[Drank]]&gt;0,VLOOKUP(Table1[[#This Row],[ID]],Drank!A:P,16,FALSE),IF(Table1[[#This Row],[WALDD]]&gt;0,VLOOKUP(Table1[[#This Row],[ID]],Wine1!A:Q,17,FALSE),Table1[[#This Row],[EP]]))</f>
        <v>2029</v>
      </c>
      <c r="Z704" s="18">
        <f>IF(Table1[[#This Row],[My Rating]]="",IF(Table1[[#This Row],[WA Rating Clean]]="","",Table1[[#This Row],[WA Rating Clean]]),Table1[[#This Row],[My Rating]])</f>
        <v>94</v>
      </c>
      <c r="AA704" s="37">
        <v>2026</v>
      </c>
      <c r="AB704" s="128">
        <v>39.840000000000003</v>
      </c>
      <c r="AC704" s="2">
        <f t="shared" si="43"/>
        <v>39.840000000000003</v>
      </c>
      <c r="AD704" s="8">
        <v>2</v>
      </c>
      <c r="AE704" s="10">
        <f>IF(Table1[[#This Row],[P/750]]&lt;20,1,IF(Table1[[#This Row],[P/750]]&lt;50,2,3))</f>
        <v>2</v>
      </c>
      <c r="AF704" s="10">
        <f>IF(Table1[[#This Row],[P/750]]&lt;Expenses!$C$30,1,IF(Table1[[#This Row],[P/750]]&lt;Expenses!$C$31,2,IF(Table1[[#This Row],[P/750]]&lt;Expenses!$C$32,3,4)))</f>
        <v>3</v>
      </c>
      <c r="AH704" s="37" t="s">
        <v>1189</v>
      </c>
      <c r="AI704" s="11">
        <f>Table1[[#This Row],[Price]]/Table1[[#This Row],[Size (ml)]]*750</f>
        <v>39.840000000000003</v>
      </c>
      <c r="AJ704">
        <v>94</v>
      </c>
      <c r="AK704" s="10">
        <f>COUNTIF(UniqueID!A:A,Table1[[#This Row],[ID]])</f>
        <v>1</v>
      </c>
      <c r="AL704" s="10" t="str">
        <f>VLOOKUP(Table1[[#This Row],[Cellar Location]],Location!A:F,6,FALSE)</f>
        <v>S</v>
      </c>
      <c r="AN704" s="1">
        <v>43860</v>
      </c>
      <c r="AO704" s="37" t="str">
        <f>TEXT(Table1[[#This Row],[Purchased]],"mmmm")</f>
        <v>January</v>
      </c>
      <c r="AP704" s="10" t="str">
        <f>TEXT(Table1[[#This Row],[Purchased]],"yyyy")</f>
        <v>2020</v>
      </c>
      <c r="AQ704" s="10"/>
    </row>
    <row r="705" spans="1:43" x14ac:dyDescent="0.25">
      <c r="A705" t="str">
        <f t="shared" si="42"/>
        <v>2016Luna BeberidePaixar</v>
      </c>
      <c r="B705" s="8">
        <v>2016</v>
      </c>
      <c r="C705" s="9" t="s">
        <v>357</v>
      </c>
      <c r="D705" s="9" t="s">
        <v>358</v>
      </c>
      <c r="E705" s="65" t="s">
        <v>363</v>
      </c>
      <c r="F705" s="9" t="s">
        <v>729</v>
      </c>
      <c r="G705" s="37" t="s">
        <v>1718</v>
      </c>
      <c r="H705" s="9" t="s">
        <v>815</v>
      </c>
      <c r="I705" s="107">
        <v>1</v>
      </c>
      <c r="J705">
        <v>750</v>
      </c>
      <c r="K705" s="107" t="s">
        <v>653</v>
      </c>
      <c r="L705" s="37">
        <f>COUNTIF(Drank!A:A,Table1[[#This Row],[ID]])</f>
        <v>1</v>
      </c>
      <c r="M705" t="s">
        <v>202</v>
      </c>
      <c r="N705" t="s">
        <v>207</v>
      </c>
      <c r="O705">
        <v>1</v>
      </c>
      <c r="P705" s="37">
        <v>2020</v>
      </c>
      <c r="Q705">
        <v>2030</v>
      </c>
      <c r="R705" s="10">
        <f>IF(IFERROR(VLOOKUP(A705,Drank!A:S,15,FALSE),"")=0,"",IFERROR(VLOOKUP(A705,Drank!A:S,15,FALSE),""))</f>
        <v>2024</v>
      </c>
      <c r="S705" s="10">
        <f>IF(IFERROR(VLOOKUP(A705,Drank!A:S,16,FALSE),"")=0,"",IFERROR(VLOOKUP(A705,Drank!A:S,16,FALSE),""))</f>
        <v>2029</v>
      </c>
      <c r="T705" s="10"/>
      <c r="U705">
        <v>95</v>
      </c>
      <c r="V705" s="18">
        <f>IF(IFERROR(VLOOKUP(A705,Drank!A:T,19,FALSE),"")=0,"",IFERROR(VLOOKUP(A705,Drank!A:T,19,FALSE),""))</f>
        <v>94</v>
      </c>
      <c r="W705" s="1">
        <f>IF(IFERROR(VLOOKUP(A705,Drank!A:T,20,FALSE),"")=0,"",IFERROR(VLOOKUP(A705,Drank!A:T,20,FALSE),""))</f>
        <v>43650</v>
      </c>
      <c r="X705" s="10">
        <f>SUMIF(A:A,A705,I:I)</f>
        <v>3</v>
      </c>
      <c r="Y705" s="37">
        <f>IF(Table1[[#This Row],[Drank]]&gt;0,VLOOKUP(Table1[[#This Row],[ID]],Drank!A:P,16,FALSE),IF(Table1[[#This Row],[WALDD]]&gt;0,VLOOKUP(Table1[[#This Row],[ID]],Wine1!A:Q,17,FALSE),Table1[[#This Row],[EP]]))</f>
        <v>2029</v>
      </c>
      <c r="Z705" s="18">
        <f>IF(Table1[[#This Row],[My Rating]]="",IF(Table1[[#This Row],[WA Rating Clean]]="","",Table1[[#This Row],[WA Rating Clean]]),Table1[[#This Row],[My Rating]])</f>
        <v>94</v>
      </c>
      <c r="AA705" s="8">
        <v>2026</v>
      </c>
      <c r="AB705" s="128">
        <v>37.99</v>
      </c>
      <c r="AC705" s="2">
        <f t="shared" si="43"/>
        <v>37.99</v>
      </c>
      <c r="AD705" s="8">
        <v>2</v>
      </c>
      <c r="AE705" s="37">
        <f>IF(Table1[[#This Row],[P/750]]&lt;20,1,IF(Table1[[#This Row],[P/750]]&lt;50,2,3))</f>
        <v>2</v>
      </c>
      <c r="AF705" s="37">
        <f>IF(Table1[[#This Row],[P/750]]&lt;Expenses!$C$30,1,IF(Table1[[#This Row],[P/750]]&lt;Expenses!$C$31,2,IF(Table1[[#This Row],[P/750]]&lt;Expenses!$C$32,3,4)))</f>
        <v>3</v>
      </c>
      <c r="AH705" s="37" t="s">
        <v>384</v>
      </c>
      <c r="AI705" s="11">
        <f>Table1[[#This Row],[Price]]/Table1[[#This Row],[Size (ml)]]*750</f>
        <v>37.99</v>
      </c>
      <c r="AJ705">
        <v>95</v>
      </c>
      <c r="AK705" s="37">
        <f>COUNTIF(UniqueID!A:A,Table1[[#This Row],[ID]])</f>
        <v>1</v>
      </c>
      <c r="AL705" s="37" t="str">
        <f>VLOOKUP(Table1[[#This Row],[Cellar Location]],Location!A:F,6,FALSE)</f>
        <v>S</v>
      </c>
      <c r="AN705" s="37"/>
      <c r="AO705" s="37" t="str">
        <f>TEXT(Table1[[#This Row],[Purchased]],"mmmm")</f>
        <v>January</v>
      </c>
      <c r="AP705" s="10" t="str">
        <f>TEXT(Table1[[#This Row],[Purchased]],"yyyy")</f>
        <v>1900</v>
      </c>
      <c r="AQ705" s="10"/>
    </row>
    <row r="706" spans="1:43" x14ac:dyDescent="0.25">
      <c r="A706" t="str">
        <f t="shared" si="42"/>
        <v>2017Richard RottiersMoulin-Ã -Vent Foudres</v>
      </c>
      <c r="B706" s="37">
        <v>2017</v>
      </c>
      <c r="C706" s="25" t="s">
        <v>445</v>
      </c>
      <c r="D706" s="37" t="s">
        <v>446</v>
      </c>
      <c r="E706" s="69" t="s">
        <v>336</v>
      </c>
      <c r="F706" s="37" t="s">
        <v>742</v>
      </c>
      <c r="G706" s="37" t="s">
        <v>745</v>
      </c>
      <c r="H706" s="37" t="s">
        <v>746</v>
      </c>
      <c r="I706" s="107">
        <v>1</v>
      </c>
      <c r="J706">
        <v>750</v>
      </c>
      <c r="K706" s="108" t="s">
        <v>591</v>
      </c>
      <c r="L706" s="10">
        <f>COUNTIF(Drank!A:A,Table1[[#This Row],[ID]])</f>
        <v>2</v>
      </c>
      <c r="M706" t="s">
        <v>202</v>
      </c>
      <c r="N706" t="s">
        <v>207</v>
      </c>
      <c r="O706">
        <v>1</v>
      </c>
      <c r="P706" s="10">
        <v>2019</v>
      </c>
      <c r="Q706">
        <v>2029</v>
      </c>
      <c r="R706" s="10">
        <f>IF(IFERROR(VLOOKUP(A706,Drank!A:S,15,FALSE),"")=0,"",IFERROR(VLOOKUP(A706,Drank!A:S,15,FALSE),""))</f>
        <v>2021</v>
      </c>
      <c r="S706" s="10">
        <f>IF(IFERROR(VLOOKUP(A706,Drank!A:S,16,FALSE),"")=0,"",IFERROR(VLOOKUP(A706,Drank!A:S,16,FALSE),""))</f>
        <v>2029</v>
      </c>
      <c r="T706" s="10"/>
      <c r="U706">
        <v>92</v>
      </c>
      <c r="V706" s="18">
        <f>IF(IFERROR(VLOOKUP(A706,Drank!A:T,19,FALSE),"")=0,"",IFERROR(VLOOKUP(A706,Drank!A:T,19,FALSE),""))</f>
        <v>90</v>
      </c>
      <c r="W706" s="1">
        <f>IF(IFERROR(VLOOKUP(A706,Drank!A:T,20,FALSE),"")=0,"",IFERROR(VLOOKUP(A706,Drank!A:T,20,FALSE),""))</f>
        <v>43835</v>
      </c>
      <c r="X706" s="10">
        <f>SUMIF(A:A,A706,I:I)</f>
        <v>10</v>
      </c>
      <c r="Y706" s="10">
        <f>IF(Table1[[#This Row],[Drank]]&gt;0,VLOOKUP(Table1[[#This Row],[ID]],Drank!A:P,16,FALSE),IF(Table1[[#This Row],[WALDD]]&gt;0,VLOOKUP(Table1[[#This Row],[ID]],Wine1!A:Q,17,FALSE),Table1[[#This Row],[EP]]))</f>
        <v>2029</v>
      </c>
      <c r="Z706" s="18">
        <f>IF(Table1[[#This Row],[My Rating]]="",IF(Table1[[#This Row],[WA Rating Clean]]="","",Table1[[#This Row],[WA Rating Clean]]),Table1[[#This Row],[My Rating]])</f>
        <v>90</v>
      </c>
      <c r="AA706" s="37">
        <v>2026</v>
      </c>
      <c r="AB706" s="128">
        <v>14.99</v>
      </c>
      <c r="AC706" s="2">
        <f t="shared" si="43"/>
        <v>14.99</v>
      </c>
      <c r="AD706" s="8">
        <v>2</v>
      </c>
      <c r="AE706" s="10">
        <f>IF(Table1[[#This Row],[P/750]]&lt;20,1,IF(Table1[[#This Row],[P/750]]&lt;50,2,3))</f>
        <v>1</v>
      </c>
      <c r="AF706" s="10">
        <f>IF(Table1[[#This Row],[P/750]]&lt;Expenses!$C$30,1,IF(Table1[[#This Row],[P/750]]&lt;Expenses!$C$31,2,IF(Table1[[#This Row],[P/750]]&lt;Expenses!$C$32,3,4)))</f>
        <v>1</v>
      </c>
      <c r="AH706" s="37" t="s">
        <v>384</v>
      </c>
      <c r="AI706" s="11">
        <f>Table1[[#This Row],[Price]]/Table1[[#This Row],[Size (ml)]]*750</f>
        <v>14.99</v>
      </c>
      <c r="AJ706">
        <v>92</v>
      </c>
      <c r="AK706" s="37">
        <f>COUNTIF(UniqueID!A:A,Table1[[#This Row],[ID]])</f>
        <v>1</v>
      </c>
      <c r="AL706" s="37" t="str">
        <f>VLOOKUP(Table1[[#This Row],[Cellar Location]],Location!A:F,6,FALSE)</f>
        <v>S</v>
      </c>
      <c r="AN706" s="37"/>
      <c r="AO706" s="37" t="str">
        <f>TEXT(Table1[[#This Row],[Purchased]],"mmmm")</f>
        <v>January</v>
      </c>
      <c r="AP706" s="10" t="str">
        <f>TEXT(Table1[[#This Row],[Purchased]],"yyyy")</f>
        <v>1900</v>
      </c>
      <c r="AQ706" s="10"/>
    </row>
    <row r="707" spans="1:43" x14ac:dyDescent="0.25">
      <c r="A707" t="str">
        <f t="shared" si="42"/>
        <v>2017Altos Las HormigasMalbec Appellation Gualtallary</v>
      </c>
      <c r="B707" s="37">
        <v>2017</v>
      </c>
      <c r="C707" s="37" t="s">
        <v>232</v>
      </c>
      <c r="D707" s="9" t="s">
        <v>233</v>
      </c>
      <c r="E707" s="67" t="s">
        <v>1207</v>
      </c>
      <c r="F707" s="37" t="s">
        <v>731</v>
      </c>
      <c r="G707" s="37" t="s">
        <v>732</v>
      </c>
      <c r="H707" s="37" t="s">
        <v>1190</v>
      </c>
      <c r="I707" s="8">
        <v>1</v>
      </c>
      <c r="J707" s="107">
        <v>750</v>
      </c>
      <c r="K707" s="8" t="s">
        <v>1847</v>
      </c>
      <c r="L707" s="10">
        <f>COUNTIF(Drank!A:A,Table1[[#This Row],[ID]])</f>
        <v>1</v>
      </c>
      <c r="M707" t="s">
        <v>202</v>
      </c>
      <c r="N707" t="s">
        <v>207</v>
      </c>
      <c r="O707">
        <v>1</v>
      </c>
      <c r="P707" s="10">
        <v>2019</v>
      </c>
      <c r="Q707">
        <v>2030</v>
      </c>
      <c r="R707" s="10">
        <f>IF(IFERROR(VLOOKUP(A707,Drank!A:S,15,FALSE),"")=0,"",IFERROR(VLOOKUP(A707,Drank!A:S,15,FALSE),""))</f>
        <v>2022</v>
      </c>
      <c r="S707" s="10">
        <f>IF(IFERROR(VLOOKUP(A707,Drank!A:S,16,FALSE),"")=0,"",IFERROR(VLOOKUP(A707,Drank!A:S,16,FALSE),""))</f>
        <v>2030</v>
      </c>
      <c r="T707" s="10"/>
      <c r="U707" t="s">
        <v>1180</v>
      </c>
      <c r="V707" s="18">
        <f>IF(IFERROR(VLOOKUP(A707,Drank!A:T,19,FALSE),"")=0,"",IFERROR(VLOOKUP(A707,Drank!A:T,19,FALSE),""))</f>
        <v>94</v>
      </c>
      <c r="W707" s="1">
        <f>IF(IFERROR(VLOOKUP(A707,Drank!A:T,20,FALSE),"")=0,"",IFERROR(VLOOKUP(A707,Drank!A:T,20,FALSE),""))</f>
        <v>43953</v>
      </c>
      <c r="X707" s="10">
        <f>SUMIF(A:A,A707,I:I)</f>
        <v>38</v>
      </c>
      <c r="Y707" s="10">
        <f>IF(Table1[[#This Row],[Drank]]&gt;0,VLOOKUP(Table1[[#This Row],[ID]],Drank!A:P,16,FALSE),IF(Table1[[#This Row],[WALDD]]&gt;0,VLOOKUP(Table1[[#This Row],[ID]],Wine1!A:Q,17,FALSE),Table1[[#This Row],[EP]]))</f>
        <v>2030</v>
      </c>
      <c r="Z707" s="18">
        <f>IF(Table1[[#This Row],[My Rating]]="",IF(Table1[[#This Row],[WA Rating Clean]]="","",Table1[[#This Row],[WA Rating Clean]]),Table1[[#This Row],[My Rating]])</f>
        <v>94</v>
      </c>
      <c r="AA707" s="37">
        <v>2026</v>
      </c>
      <c r="AB707" s="128">
        <v>35.85</v>
      </c>
      <c r="AC707" s="2">
        <f t="shared" si="43"/>
        <v>35.85</v>
      </c>
      <c r="AD707" s="8">
        <v>1</v>
      </c>
      <c r="AE707" s="10">
        <f>IF(Table1[[#This Row],[P/750]]&lt;20,1,IF(Table1[[#This Row],[P/750]]&lt;50,2,3))</f>
        <v>2</v>
      </c>
      <c r="AF707" s="10">
        <f>IF(Table1[[#This Row],[P/750]]&lt;Expenses!$C$30,1,IF(Table1[[#This Row],[P/750]]&lt;Expenses!$C$31,2,IF(Table1[[#This Row],[P/750]]&lt;Expenses!$C$32,3,4)))</f>
        <v>3</v>
      </c>
      <c r="AH707" s="37" t="s">
        <v>1128</v>
      </c>
      <c r="AI707" s="11">
        <f>Table1[[#This Row],[Price]]/Table1[[#This Row],[Size (ml)]]*750</f>
        <v>35.85</v>
      </c>
      <c r="AJ707">
        <v>96</v>
      </c>
      <c r="AK707" s="10">
        <f>COUNTIF(UniqueID!A:A,Table1[[#This Row],[ID]])</f>
        <v>1</v>
      </c>
      <c r="AL707" s="10" t="str">
        <f>VLOOKUP(Table1[[#This Row],[Cellar Location]],Location!A:F,6,FALSE)</f>
        <v>S</v>
      </c>
      <c r="AN707" s="1">
        <v>44070</v>
      </c>
      <c r="AO707" s="10" t="str">
        <f>TEXT(Table1[[#This Row],[Purchased]],"mmmm")</f>
        <v>August</v>
      </c>
      <c r="AP707" s="10" t="str">
        <f>TEXT(Table1[[#This Row],[Purchased]],"yyyy")</f>
        <v>2020</v>
      </c>
      <c r="AQ707" s="1"/>
    </row>
    <row r="708" spans="1:43" x14ac:dyDescent="0.25">
      <c r="A708" t="str">
        <f t="shared" si="42"/>
        <v>2017Altos Las HormigasMalbec Appellation Gualtallary</v>
      </c>
      <c r="B708" s="37">
        <v>2017</v>
      </c>
      <c r="C708" s="37" t="s">
        <v>232</v>
      </c>
      <c r="D708" s="9" t="s">
        <v>233</v>
      </c>
      <c r="E708" s="67" t="s">
        <v>1207</v>
      </c>
      <c r="F708" s="37" t="s">
        <v>731</v>
      </c>
      <c r="G708" s="37" t="s">
        <v>732</v>
      </c>
      <c r="H708" s="37" t="s">
        <v>1190</v>
      </c>
      <c r="I708" s="8">
        <v>1</v>
      </c>
      <c r="J708" s="107">
        <v>750</v>
      </c>
      <c r="K708" s="8" t="s">
        <v>1847</v>
      </c>
      <c r="L708" s="10">
        <f>COUNTIF(Drank!A:A,Table1[[#This Row],[ID]])</f>
        <v>1</v>
      </c>
      <c r="M708" t="s">
        <v>202</v>
      </c>
      <c r="N708" t="s">
        <v>207</v>
      </c>
      <c r="O708">
        <v>1</v>
      </c>
      <c r="P708" s="10">
        <v>2019</v>
      </c>
      <c r="Q708">
        <v>2030</v>
      </c>
      <c r="R708" s="10">
        <f>IF(IFERROR(VLOOKUP(A708,Drank!A:S,15,FALSE),"")=0,"",IFERROR(VLOOKUP(A708,Drank!A:S,15,FALSE),""))</f>
        <v>2022</v>
      </c>
      <c r="S708" s="10">
        <f>IF(IFERROR(VLOOKUP(A708,Drank!A:S,16,FALSE),"")=0,"",IFERROR(VLOOKUP(A708,Drank!A:S,16,FALSE),""))</f>
        <v>2030</v>
      </c>
      <c r="T708" s="10"/>
      <c r="U708" t="s">
        <v>1180</v>
      </c>
      <c r="V708" s="18">
        <f>IF(IFERROR(VLOOKUP(A708,Drank!A:T,19,FALSE),"")=0,"",IFERROR(VLOOKUP(A708,Drank!A:T,19,FALSE),""))</f>
        <v>94</v>
      </c>
      <c r="W708" s="1">
        <f>IF(IFERROR(VLOOKUP(A708,Drank!A:T,20,FALSE),"")=0,"",IFERROR(VLOOKUP(A708,Drank!A:T,20,FALSE),""))</f>
        <v>43953</v>
      </c>
      <c r="X708" s="10">
        <f>SUMIF(A:A,A708,I:I)</f>
        <v>38</v>
      </c>
      <c r="Y708" s="10">
        <f>IF(Table1[[#This Row],[Drank]]&gt;0,VLOOKUP(Table1[[#This Row],[ID]],Drank!A:P,16,FALSE),IF(Table1[[#This Row],[WALDD]]&gt;0,VLOOKUP(Table1[[#This Row],[ID]],Wine1!A:Q,17,FALSE),Table1[[#This Row],[EP]]))</f>
        <v>2030</v>
      </c>
      <c r="Z708" s="18">
        <f>IF(Table1[[#This Row],[My Rating]]="",IF(Table1[[#This Row],[WA Rating Clean]]="","",Table1[[#This Row],[WA Rating Clean]]),Table1[[#This Row],[My Rating]])</f>
        <v>94</v>
      </c>
      <c r="AA708" s="37">
        <v>2026</v>
      </c>
      <c r="AB708" s="128">
        <v>35.85</v>
      </c>
      <c r="AC708" s="2">
        <f t="shared" si="43"/>
        <v>35.85</v>
      </c>
      <c r="AD708" s="8">
        <v>1</v>
      </c>
      <c r="AE708" s="10">
        <f>IF(Table1[[#This Row],[P/750]]&lt;20,1,IF(Table1[[#This Row],[P/750]]&lt;50,2,3))</f>
        <v>2</v>
      </c>
      <c r="AF708" s="10">
        <f>IF(Table1[[#This Row],[P/750]]&lt;Expenses!$C$30,1,IF(Table1[[#This Row],[P/750]]&lt;Expenses!$C$31,2,IF(Table1[[#This Row],[P/750]]&lt;Expenses!$C$32,3,4)))</f>
        <v>3</v>
      </c>
      <c r="AH708" s="37" t="s">
        <v>1128</v>
      </c>
      <c r="AI708" s="11">
        <f>Table1[[#This Row],[Price]]/Table1[[#This Row],[Size (ml)]]*750</f>
        <v>35.85</v>
      </c>
      <c r="AJ708">
        <v>96</v>
      </c>
      <c r="AK708" s="10">
        <f>COUNTIF(UniqueID!A:A,Table1[[#This Row],[ID]])</f>
        <v>1</v>
      </c>
      <c r="AL708" s="10" t="str">
        <f>VLOOKUP(Table1[[#This Row],[Cellar Location]],Location!A:F,6,FALSE)</f>
        <v>S</v>
      </c>
      <c r="AN708" s="1">
        <v>44070</v>
      </c>
      <c r="AO708" s="10" t="str">
        <f>TEXT(Table1[[#This Row],[Purchased]],"mmmm")</f>
        <v>August</v>
      </c>
      <c r="AP708" s="10" t="str">
        <f>TEXT(Table1[[#This Row],[Purchased]],"yyyy")</f>
        <v>2020</v>
      </c>
      <c r="AQ708" s="1"/>
    </row>
    <row r="709" spans="1:43" x14ac:dyDescent="0.25">
      <c r="A709" t="str">
        <f t="shared" si="42"/>
        <v>2016Domaine du Grand MontmirailGigondas Vieilles Vignes</v>
      </c>
      <c r="B709" s="37">
        <v>2016</v>
      </c>
      <c r="C709" s="37" t="s">
        <v>1387</v>
      </c>
      <c r="D709" s="37" t="s">
        <v>1576</v>
      </c>
      <c r="E709" s="67" t="s">
        <v>1249</v>
      </c>
      <c r="F709" s="37" t="s">
        <v>742</v>
      </c>
      <c r="G709" s="37" t="s">
        <v>759</v>
      </c>
      <c r="H709" s="37" t="s">
        <v>764</v>
      </c>
      <c r="I709" s="8">
        <v>1</v>
      </c>
      <c r="J709" s="38">
        <v>750</v>
      </c>
      <c r="K709" s="38" t="s">
        <v>384</v>
      </c>
      <c r="L709" s="10">
        <f>COUNTIF(Drank!A:A,Table1[[#This Row],[ID]])</f>
        <v>0</v>
      </c>
      <c r="M709" t="s">
        <v>202</v>
      </c>
      <c r="N709" t="s">
        <v>207</v>
      </c>
      <c r="O709">
        <v>1</v>
      </c>
      <c r="P709" s="10">
        <v>2020</v>
      </c>
      <c r="Q709">
        <v>2030</v>
      </c>
      <c r="R709" s="10" t="str">
        <f>IF(IFERROR(VLOOKUP(A709,Drank!A:S,15,FALSE),"")=0,"",IFERROR(VLOOKUP(A709,Drank!A:S,15,FALSE),""))</f>
        <v/>
      </c>
      <c r="S709" s="10" t="str">
        <f>IF(IFERROR(VLOOKUP(A709,Drank!A:S,16,FALSE),"")=0,"",IFERROR(VLOOKUP(A709,Drank!A:S,16,FALSE),""))</f>
        <v/>
      </c>
      <c r="T709" s="10"/>
      <c r="U709">
        <v>92</v>
      </c>
      <c r="V709" s="18" t="str">
        <f>IF(IFERROR(VLOOKUP(A709,Drank!A:T,19,FALSE),"")=0,"",IFERROR(VLOOKUP(A709,Drank!A:T,19,FALSE),""))</f>
        <v/>
      </c>
      <c r="W709" s="1" t="str">
        <f>IF(IFERROR(VLOOKUP(A709,Drank!A:T,20,FALSE),"")=0,"",IFERROR(VLOOKUP(A709,Drank!A:T,20,FALSE),""))</f>
        <v/>
      </c>
      <c r="X709" s="10">
        <f>SUMIF(A:A,A709,I:I)</f>
        <v>6</v>
      </c>
      <c r="Y709" s="10">
        <f>IF(Table1[[#This Row],[Drank]]&gt;0,VLOOKUP(Table1[[#This Row],[ID]],Drank!A:P,16,FALSE),IF(Table1[[#This Row],[WALDD]]&gt;0,VLOOKUP(Table1[[#This Row],[ID]],Wine1!A:Q,17,FALSE),Table1[[#This Row],[EP]]))</f>
        <v>2030</v>
      </c>
      <c r="Z709" s="18">
        <f>IF(Table1[[#This Row],[My Rating]]="",IF(Table1[[#This Row],[WA Rating Clean]]="","",Table1[[#This Row],[WA Rating Clean]]),Table1[[#This Row],[My Rating]])</f>
        <v>92</v>
      </c>
      <c r="AA709" s="37">
        <v>2026</v>
      </c>
      <c r="AB709" s="128">
        <v>24.97</v>
      </c>
      <c r="AC709" s="2">
        <f t="shared" si="43"/>
        <v>24.97</v>
      </c>
      <c r="AD709" s="8">
        <v>1</v>
      </c>
      <c r="AE709" s="10">
        <f>IF(Table1[[#This Row],[P/750]]&lt;20,1,IF(Table1[[#This Row],[P/750]]&lt;50,2,3))</f>
        <v>2</v>
      </c>
      <c r="AF709" s="10">
        <f>IF(Table1[[#This Row],[P/750]]&lt;Expenses!$C$30,1,IF(Table1[[#This Row],[P/750]]&lt;Expenses!$C$31,2,IF(Table1[[#This Row],[P/750]]&lt;Expenses!$C$32,3,4)))</f>
        <v>2</v>
      </c>
      <c r="AH709" s="37" t="s">
        <v>384</v>
      </c>
      <c r="AI709" s="11">
        <f>Table1[[#This Row],[Price]]/Table1[[#This Row],[Size (ml)]]*750</f>
        <v>24.970000000000002</v>
      </c>
      <c r="AJ709">
        <v>92</v>
      </c>
      <c r="AK709" s="10">
        <f>COUNTIF(UniqueID!A:A,Table1[[#This Row],[ID]])</f>
        <v>0</v>
      </c>
      <c r="AL709" s="10" t="str">
        <f>VLOOKUP(Table1[[#This Row],[Cellar Location]],Location!A:F,6,FALSE)</f>
        <v>W</v>
      </c>
      <c r="AN709" s="1">
        <v>44055</v>
      </c>
      <c r="AO709" s="10" t="str">
        <f>TEXT(Table1[[#This Row],[Purchased]],"mmmm")</f>
        <v>August</v>
      </c>
      <c r="AP709" s="10" t="str">
        <f>TEXT(Table1[[#This Row],[Purchased]],"yyyy")</f>
        <v>2020</v>
      </c>
      <c r="AQ709" s="1">
        <v>44137</v>
      </c>
    </row>
    <row r="710" spans="1:43" x14ac:dyDescent="0.25">
      <c r="A710" t="str">
        <f t="shared" si="42"/>
        <v>2015Tenuta Sant'AntonioAmarone della Valpolicella Selezione Antonio Castagnedi</v>
      </c>
      <c r="B710" s="37">
        <v>2015</v>
      </c>
      <c r="C710" s="37" t="s">
        <v>1182</v>
      </c>
      <c r="D710" s="37" t="s">
        <v>1183</v>
      </c>
      <c r="E710" s="67" t="s">
        <v>1194</v>
      </c>
      <c r="F710" s="37" t="s">
        <v>728</v>
      </c>
      <c r="G710" s="37" t="s">
        <v>799</v>
      </c>
      <c r="H710" s="37" t="s">
        <v>803</v>
      </c>
      <c r="I710" s="37">
        <v>1</v>
      </c>
      <c r="J710" s="107">
        <v>750</v>
      </c>
      <c r="K710" s="37" t="s">
        <v>1542</v>
      </c>
      <c r="L710" s="10">
        <f>COUNTIF(Drank!A:A,Table1[[#This Row],[ID]])</f>
        <v>0</v>
      </c>
      <c r="M710" t="s">
        <v>202</v>
      </c>
      <c r="N710" t="s">
        <v>207</v>
      </c>
      <c r="O710">
        <v>1</v>
      </c>
      <c r="P710" s="10">
        <v>2019</v>
      </c>
      <c r="Q710">
        <v>2030</v>
      </c>
      <c r="R710" s="10" t="str">
        <f>IF(IFERROR(VLOOKUP(A710,Drank!A:S,15,FALSE),"")=0,"",IFERROR(VLOOKUP(A710,Drank!A:S,15,FALSE),""))</f>
        <v/>
      </c>
      <c r="S710" s="10" t="str">
        <f>IF(IFERROR(VLOOKUP(A710,Drank!A:S,16,FALSE),"")=0,"",IFERROR(VLOOKUP(A710,Drank!A:S,16,FALSE),""))</f>
        <v/>
      </c>
      <c r="T710" s="10"/>
      <c r="U710" s="37">
        <v>93</v>
      </c>
      <c r="V710" s="18" t="str">
        <f>IF(IFERROR(VLOOKUP(A710,Drank!A:T,19,FALSE),"")=0,"",IFERROR(VLOOKUP(A710,Drank!A:T,19,FALSE),""))</f>
        <v/>
      </c>
      <c r="W710" s="1" t="str">
        <f>IF(IFERROR(VLOOKUP(A710,Drank!A:T,20,FALSE),"")=0,"",IFERROR(VLOOKUP(A710,Drank!A:T,20,FALSE),""))</f>
        <v/>
      </c>
      <c r="X710" s="10">
        <f>SUMIF(A:A,A710,I:I)</f>
        <v>4</v>
      </c>
      <c r="Y710" s="10">
        <f>IF(Table1[[#This Row],[Drank]]&gt;0,VLOOKUP(Table1[[#This Row],[ID]],Drank!A:P,16,FALSE),IF(Table1[[#This Row],[WALDD]]&gt;0,VLOOKUP(Table1[[#This Row],[ID]],Wine1!A:Q,17,FALSE),Table1[[#This Row],[EP]]))</f>
        <v>2030</v>
      </c>
      <c r="Z710" s="18">
        <f>IF(Table1[[#This Row],[My Rating]]="",IF(Table1[[#This Row],[WA Rating Clean]]="","",Table1[[#This Row],[WA Rating Clean]]),Table1[[#This Row],[My Rating]])</f>
        <v>93</v>
      </c>
      <c r="AA710" s="37">
        <v>2026</v>
      </c>
      <c r="AB710" s="128">
        <v>38.9</v>
      </c>
      <c r="AC710" s="2">
        <f t="shared" si="43"/>
        <v>38.9</v>
      </c>
      <c r="AD710" s="8">
        <v>0</v>
      </c>
      <c r="AE710" s="10">
        <f>IF(Table1[[#This Row],[P/750]]&lt;20,1,IF(Table1[[#This Row],[P/750]]&lt;50,2,3))</f>
        <v>2</v>
      </c>
      <c r="AF710" s="10">
        <f>IF(Table1[[#This Row],[P/750]]&lt;Expenses!$C$30,1,IF(Table1[[#This Row],[P/750]]&lt;Expenses!$C$31,2,IF(Table1[[#This Row],[P/750]]&lt;Expenses!$C$32,3,4)))</f>
        <v>3</v>
      </c>
      <c r="AH710" s="37" t="s">
        <v>1189</v>
      </c>
      <c r="AI710" s="11">
        <f>Table1[[#This Row],[Price]]/Table1[[#This Row],[Size (ml)]]*750</f>
        <v>38.9</v>
      </c>
      <c r="AJ710">
        <v>93</v>
      </c>
      <c r="AK710" s="10">
        <f>COUNTIF(UniqueID!A:A,Table1[[#This Row],[ID]])</f>
        <v>1</v>
      </c>
      <c r="AL710" s="10" t="str">
        <f>VLOOKUP(Table1[[#This Row],[Cellar Location]],Location!A:F,6,FALSE)</f>
        <v>S</v>
      </c>
      <c r="AN710" s="1">
        <v>43860</v>
      </c>
      <c r="AO710" s="37" t="str">
        <f>TEXT(Table1[[#This Row],[Purchased]],"mmmm")</f>
        <v>January</v>
      </c>
      <c r="AP710" s="10" t="str">
        <f>TEXT(Table1[[#This Row],[Purchased]],"yyyy")</f>
        <v>2020</v>
      </c>
      <c r="AQ710" s="10"/>
    </row>
    <row r="711" spans="1:43" x14ac:dyDescent="0.25">
      <c r="A711" t="str">
        <f t="shared" si="42"/>
        <v>1998Raymond-LafonRaymond-Lafon</v>
      </c>
      <c r="B711" s="8">
        <v>1998</v>
      </c>
      <c r="C711" s="37" t="s">
        <v>197</v>
      </c>
      <c r="D711" s="37" t="s">
        <v>197</v>
      </c>
      <c r="E711" s="69" t="s">
        <v>1215</v>
      </c>
      <c r="F711" s="37" t="s">
        <v>742</v>
      </c>
      <c r="G711" s="37" t="s">
        <v>748</v>
      </c>
      <c r="H711" s="37" t="s">
        <v>260</v>
      </c>
      <c r="I711" s="107">
        <v>1</v>
      </c>
      <c r="J711">
        <v>375</v>
      </c>
      <c r="K711" s="107" t="s">
        <v>628</v>
      </c>
      <c r="L711" s="37">
        <f>COUNTIF(Drank!A:A,Table1[[#This Row],[ID]])</f>
        <v>3</v>
      </c>
      <c r="M711" t="s">
        <v>201</v>
      </c>
      <c r="N711" t="s">
        <v>206</v>
      </c>
      <c r="O711">
        <v>1</v>
      </c>
      <c r="P711" s="37">
        <v>2018</v>
      </c>
      <c r="Q711">
        <v>2025</v>
      </c>
      <c r="R711" s="10" t="str">
        <f>IF(IFERROR(VLOOKUP(A711,Drank!A:S,15,FALSE),"")=0,"",IFERROR(VLOOKUP(A711,Drank!A:S,15,FALSE),""))</f>
        <v/>
      </c>
      <c r="S711" s="10">
        <f>IF(IFERROR(VLOOKUP(A711,Drank!A:S,16,FALSE),"")=0,"",IFERROR(VLOOKUP(A711,Drank!A:S,16,FALSE),""))</f>
        <v>2030</v>
      </c>
      <c r="T711" s="10"/>
      <c r="U711" s="37">
        <v>93</v>
      </c>
      <c r="V711" s="18">
        <f>IF(IFERROR(VLOOKUP(A711,Drank!A:T,19,FALSE),"")=0,"",IFERROR(VLOOKUP(A711,Drank!A:T,19,FALSE),""))</f>
        <v>92.666666666666671</v>
      </c>
      <c r="W711" s="1">
        <f>IF(IFERROR(VLOOKUP(A711,Drank!A:T,20,FALSE),"")=0,"",IFERROR(VLOOKUP(A711,Drank!A:T,20,FALSE),""))</f>
        <v>44002</v>
      </c>
      <c r="X711" s="10">
        <f>SUMIF(A:A,A711,I:I)</f>
        <v>7</v>
      </c>
      <c r="Y711" s="37">
        <f>IF(Table1[[#This Row],[Drank]]&gt;0,VLOOKUP(Table1[[#This Row],[ID]],Drank!A:P,16,FALSE),IF(Table1[[#This Row],[WALDD]]&gt;0,VLOOKUP(Table1[[#This Row],[ID]],Wine1!A:Q,17,FALSE),Table1[[#This Row],[EP]]))</f>
        <v>2030</v>
      </c>
      <c r="Z711" s="18">
        <f>IF(Table1[[#This Row],[My Rating]]="",IF(Table1[[#This Row],[WA Rating Clean]]="","",Table1[[#This Row],[WA Rating Clean]]),Table1[[#This Row],[My Rating]])</f>
        <v>92.666666666666671</v>
      </c>
      <c r="AA711" s="37">
        <v>2026</v>
      </c>
      <c r="AB711" s="128">
        <v>16.989999999999998</v>
      </c>
      <c r="AC711" s="2">
        <f t="shared" si="43"/>
        <v>16.989999999999998</v>
      </c>
      <c r="AD711" s="8">
        <v>2</v>
      </c>
      <c r="AE711" s="37">
        <f>IF(Table1[[#This Row],[P/750]]&lt;20,1,IF(Table1[[#This Row],[P/750]]&lt;50,2,3))</f>
        <v>2</v>
      </c>
      <c r="AF711" s="37">
        <f>IF(Table1[[#This Row],[P/750]]&lt;Expenses!$C$30,1,IF(Table1[[#This Row],[P/750]]&lt;Expenses!$C$31,2,IF(Table1[[#This Row],[P/750]]&lt;Expenses!$C$32,3,4)))</f>
        <v>3</v>
      </c>
      <c r="AH711" s="37" t="s">
        <v>385</v>
      </c>
      <c r="AI711" s="11">
        <f>Table1[[#This Row],[Price]]/Table1[[#This Row],[Size (ml)]]*750</f>
        <v>33.979999999999997</v>
      </c>
      <c r="AJ711">
        <v>93</v>
      </c>
      <c r="AK711" s="37">
        <f>COUNTIF(UniqueID!A:A,Table1[[#This Row],[ID]])</f>
        <v>1</v>
      </c>
      <c r="AL711" s="37" t="str">
        <f>VLOOKUP(Table1[[#This Row],[Cellar Location]],Location!A:F,6,FALSE)</f>
        <v>S</v>
      </c>
      <c r="AN711" s="37"/>
      <c r="AO711" s="37" t="str">
        <f>TEXT(Table1[[#This Row],[Purchased]],"mmmm")</f>
        <v>January</v>
      </c>
      <c r="AP711" s="10" t="str">
        <f>TEXT(Table1[[#This Row],[Purchased]],"yyyy")</f>
        <v>1900</v>
      </c>
      <c r="AQ711" s="10"/>
    </row>
    <row r="712" spans="1:43" x14ac:dyDescent="0.25">
      <c r="A712" s="37" t="str">
        <f t="shared" si="42"/>
        <v>2017Tenuta San GuidoGuidalberto</v>
      </c>
      <c r="B712" s="37">
        <v>2017</v>
      </c>
      <c r="C712" s="37" t="s">
        <v>91</v>
      </c>
      <c r="D712" s="37" t="s">
        <v>1236</v>
      </c>
      <c r="E712" s="67" t="s">
        <v>1455</v>
      </c>
      <c r="F712" s="37" t="s">
        <v>728</v>
      </c>
      <c r="G712" s="37" t="s">
        <v>790</v>
      </c>
      <c r="H712" s="37" t="s">
        <v>796</v>
      </c>
      <c r="I712" s="107">
        <v>1</v>
      </c>
      <c r="J712">
        <v>750</v>
      </c>
      <c r="K712" s="107" t="s">
        <v>1407</v>
      </c>
      <c r="L712" s="10">
        <f>COUNTIF(Drank!A:A,Table1[[#This Row],[ID]])</f>
        <v>1</v>
      </c>
      <c r="M712" t="s">
        <v>202</v>
      </c>
      <c r="N712" t="s">
        <v>207</v>
      </c>
      <c r="O712">
        <v>1</v>
      </c>
      <c r="P712" s="37">
        <v>2019</v>
      </c>
      <c r="Q712">
        <v>2028</v>
      </c>
      <c r="R712" s="10">
        <f>IF(IFERROR(VLOOKUP(A712,Drank!A:S,15,FALSE),"")=0,"",IFERROR(VLOOKUP(A712,Drank!A:S,15,FALSE),""))</f>
        <v>2025</v>
      </c>
      <c r="S712" s="10">
        <f>IF(IFERROR(VLOOKUP(A712,Drank!A:S,16,FALSE),"")=0,"",IFERROR(VLOOKUP(A712,Drank!A:S,16,FALSE),""))</f>
        <v>2030</v>
      </c>
      <c r="T712" s="10"/>
      <c r="U712" s="37" t="s">
        <v>29</v>
      </c>
      <c r="V712" s="18">
        <f>IF(IFERROR(VLOOKUP(A712,Drank!A:T,19,FALSE),"")=0,"",IFERROR(VLOOKUP(A712,Drank!A:T,19,FALSE),""))</f>
        <v>94</v>
      </c>
      <c r="W712" s="1">
        <f>IF(IFERROR(VLOOKUP(A712,Drank!A:T,20,FALSE),"")=0,"",IFERROR(VLOOKUP(A712,Drank!A:T,20,FALSE),""))</f>
        <v>44010</v>
      </c>
      <c r="X712" s="10">
        <f>SUMIF(A:A,A712,I:I)</f>
        <v>5</v>
      </c>
      <c r="Y712" s="10">
        <f>IF(Table1[[#This Row],[Drank]]&gt;0,VLOOKUP(Table1[[#This Row],[ID]],Drank!A:P,16,FALSE),IF(Table1[[#This Row],[WALDD]]&gt;0,VLOOKUP(Table1[[#This Row],[ID]],Wine1!A:Q,17,FALSE),Table1[[#This Row],[EP]]))</f>
        <v>2030</v>
      </c>
      <c r="Z712" s="18">
        <f>IF(Table1[[#This Row],[My Rating]]="",IF(Table1[[#This Row],[WA Rating Clean]]="","",Table1[[#This Row],[WA Rating Clean]]),Table1[[#This Row],[My Rating]])</f>
        <v>94</v>
      </c>
      <c r="AA712" s="37">
        <v>2026</v>
      </c>
      <c r="AB712" s="128">
        <v>48.89</v>
      </c>
      <c r="AC712" s="2">
        <f t="shared" si="43"/>
        <v>48.89</v>
      </c>
      <c r="AD712" s="8">
        <v>2</v>
      </c>
      <c r="AE712" s="10">
        <f>IF(Table1[[#This Row],[P/750]]&lt;20,1,IF(Table1[[#This Row],[P/750]]&lt;50,2,3))</f>
        <v>2</v>
      </c>
      <c r="AF712" s="10">
        <f>IF(Table1[[#This Row],[P/750]]&lt;Expenses!$C$30,1,IF(Table1[[#This Row],[P/750]]&lt;Expenses!$C$31,2,IF(Table1[[#This Row],[P/750]]&lt;Expenses!$C$32,3,4)))</f>
        <v>3</v>
      </c>
      <c r="AH712" s="37" t="s">
        <v>1128</v>
      </c>
      <c r="AI712" s="11">
        <f>Table1[[#This Row],[Price]]/Table1[[#This Row],[Size (ml)]]*750</f>
        <v>48.89</v>
      </c>
      <c r="AJ712">
        <v>92</v>
      </c>
      <c r="AK712" s="10">
        <f>COUNTIF(UniqueID!A:A,Table1[[#This Row],[ID]])</f>
        <v>0</v>
      </c>
      <c r="AL712" s="10" t="str">
        <f>VLOOKUP(Table1[[#This Row],[Cellar Location]],Location!A:F,6,FALSE)</f>
        <v>S</v>
      </c>
      <c r="AN712" s="1">
        <v>43966</v>
      </c>
      <c r="AO712" s="10" t="str">
        <f>TEXT(Table1[[#This Row],[Purchased]],"mmmm")</f>
        <v>May</v>
      </c>
      <c r="AP712" s="10" t="str">
        <f>TEXT(Table1[[#This Row],[Purchased]],"yyyy")</f>
        <v>2020</v>
      </c>
      <c r="AQ712" s="10"/>
    </row>
    <row r="713" spans="1:43" x14ac:dyDescent="0.25">
      <c r="A713" t="str">
        <f t="shared" si="42"/>
        <v>2010Chateau Sigalas RabaudLieutenant de Sigalas</v>
      </c>
      <c r="B713" s="37">
        <v>2010</v>
      </c>
      <c r="C713" s="37" t="s">
        <v>1337</v>
      </c>
      <c r="D713" s="37" t="s">
        <v>1338</v>
      </c>
      <c r="E713" s="67" t="s">
        <v>1339</v>
      </c>
      <c r="F713" s="67" t="s">
        <v>742</v>
      </c>
      <c r="G713" s="37" t="s">
        <v>748</v>
      </c>
      <c r="H713" s="37" t="s">
        <v>260</v>
      </c>
      <c r="I713" s="107">
        <v>1</v>
      </c>
      <c r="J713">
        <v>375</v>
      </c>
      <c r="K713" s="107" t="s">
        <v>1504</v>
      </c>
      <c r="L713" s="10">
        <f>COUNTIF(Drank!A:A,Table1[[#This Row],[ID]])</f>
        <v>1</v>
      </c>
      <c r="M713" t="s">
        <v>201</v>
      </c>
      <c r="N713" t="s">
        <v>206</v>
      </c>
      <c r="O713">
        <v>0</v>
      </c>
      <c r="P713" s="10"/>
      <c r="R713" s="10">
        <f>IF(IFERROR(VLOOKUP(A713,Drank!A:S,15,FALSE),"")=0,"",IFERROR(VLOOKUP(A713,Drank!A:S,15,FALSE),""))</f>
        <v>2021</v>
      </c>
      <c r="S713" s="10">
        <f>IF(IFERROR(VLOOKUP(A713,Drank!A:S,16,FALSE),"")=0,"",IFERROR(VLOOKUP(A713,Drank!A:S,16,FALSE),""))</f>
        <v>2030</v>
      </c>
      <c r="T713" s="10">
        <v>2028</v>
      </c>
      <c r="U713" s="37"/>
      <c r="V713" s="18">
        <f>IF(IFERROR(VLOOKUP(A713,Drank!A:T,19,FALSE),"")=0,"",IFERROR(VLOOKUP(A713,Drank!A:T,19,FALSE),""))</f>
        <v>88</v>
      </c>
      <c r="W713" s="1" t="str">
        <f>IF(IFERROR(VLOOKUP(A713,Drank!A:T,20,FALSE),"")=0,"",IFERROR(VLOOKUP(A713,Drank!A:T,20,FALSE),""))</f>
        <v/>
      </c>
      <c r="X713" s="10">
        <f>SUMIF(A:A,A713,I:I)</f>
        <v>9</v>
      </c>
      <c r="Y713" s="10">
        <f>IF(Table1[[#This Row],[Drank]]&gt;0,VLOOKUP(Table1[[#This Row],[ID]],Drank!A:P,16,FALSE),IF(Table1[[#This Row],[WALDD]]&gt;0,VLOOKUP(Table1[[#This Row],[ID]],Wine1!A:Q,17,FALSE),Table1[[#This Row],[EP]]))</f>
        <v>2030</v>
      </c>
      <c r="Z713" s="18">
        <f>IF(Table1[[#This Row],[My Rating]]="",IF(Table1[[#This Row],[WA Rating Clean]]="","",Table1[[#This Row],[WA Rating Clean]]),Table1[[#This Row],[My Rating]])</f>
        <v>88</v>
      </c>
      <c r="AA713" s="8">
        <v>2026</v>
      </c>
      <c r="AB713" s="128">
        <v>13.11</v>
      </c>
      <c r="AC713" s="2">
        <f t="shared" si="43"/>
        <v>13.11</v>
      </c>
      <c r="AD713" s="8">
        <v>2</v>
      </c>
      <c r="AE713" s="10">
        <f>IF(Table1[[#This Row],[P/750]]&lt;20,1,IF(Table1[[#This Row],[P/750]]&lt;50,2,3))</f>
        <v>2</v>
      </c>
      <c r="AF713" s="10">
        <f>IF(Table1[[#This Row],[P/750]]&lt;Expenses!$C$30,1,IF(Table1[[#This Row],[P/750]]&lt;Expenses!$C$31,2,IF(Table1[[#This Row],[P/750]]&lt;Expenses!$C$32,3,4)))</f>
        <v>2</v>
      </c>
      <c r="AH713" s="37" t="s">
        <v>385</v>
      </c>
      <c r="AI713" s="11">
        <f>Table1[[#This Row],[Price]]/Table1[[#This Row],[Size (ml)]]*750</f>
        <v>26.22</v>
      </c>
      <c r="AK713" s="10">
        <f>COUNTIF(UniqueID!A:A,Table1[[#This Row],[ID]])</f>
        <v>0</v>
      </c>
      <c r="AL713" s="10" t="str">
        <f>VLOOKUP(Table1[[#This Row],[Cellar Location]],Location!A:F,6,FALSE)</f>
        <v>S</v>
      </c>
      <c r="AN713" s="1">
        <v>43923</v>
      </c>
      <c r="AO713" s="10" t="str">
        <f>TEXT(Table1[[#This Row],[Purchased]],"mmmm")</f>
        <v>April</v>
      </c>
      <c r="AP713" s="10" t="str">
        <f>TEXT(Table1[[#This Row],[Purchased]],"yyyy")</f>
        <v>2020</v>
      </c>
      <c r="AQ713" s="10"/>
    </row>
    <row r="714" spans="1:43" x14ac:dyDescent="0.25">
      <c r="A714" t="str">
        <f t="shared" si="42"/>
        <v>2017Altos Las HormigasMalbec Appellation Gualtallary</v>
      </c>
      <c r="B714" s="37">
        <v>2017</v>
      </c>
      <c r="C714" s="37" t="s">
        <v>232</v>
      </c>
      <c r="D714" s="37" t="s">
        <v>233</v>
      </c>
      <c r="E714" s="67" t="s">
        <v>1207</v>
      </c>
      <c r="F714" s="37" t="s">
        <v>731</v>
      </c>
      <c r="G714" s="37" t="s">
        <v>732</v>
      </c>
      <c r="H714" s="37" t="s">
        <v>1190</v>
      </c>
      <c r="I714" s="107">
        <v>1</v>
      </c>
      <c r="J714">
        <v>750</v>
      </c>
      <c r="K714" s="107" t="s">
        <v>627</v>
      </c>
      <c r="L714" s="10">
        <f>COUNTIF(Drank!A:A,Table1[[#This Row],[ID]])</f>
        <v>1</v>
      </c>
      <c r="M714" t="s">
        <v>202</v>
      </c>
      <c r="N714" t="s">
        <v>207</v>
      </c>
      <c r="O714">
        <v>1</v>
      </c>
      <c r="P714" s="10">
        <v>2019</v>
      </c>
      <c r="Q714">
        <v>2030</v>
      </c>
      <c r="R714" s="10">
        <f>IF(IFERROR(VLOOKUP(A714,Drank!A:S,15,FALSE),"")=0,"",IFERROR(VLOOKUP(A714,Drank!A:S,15,FALSE),""))</f>
        <v>2022</v>
      </c>
      <c r="S714" s="10">
        <f>IF(IFERROR(VLOOKUP(A714,Drank!A:S,16,FALSE),"")=0,"",IFERROR(VLOOKUP(A714,Drank!A:S,16,FALSE),""))</f>
        <v>2030</v>
      </c>
      <c r="T714" s="10"/>
      <c r="U714" s="37" t="s">
        <v>1180</v>
      </c>
      <c r="V714" s="18">
        <f>IF(IFERROR(VLOOKUP(A714,Drank!A:T,19,FALSE),"")=0,"",IFERROR(VLOOKUP(A714,Drank!A:T,19,FALSE),""))</f>
        <v>94</v>
      </c>
      <c r="W714" s="1">
        <f>IF(IFERROR(VLOOKUP(A714,Drank!A:T,20,FALSE),"")=0,"",IFERROR(VLOOKUP(A714,Drank!A:T,20,FALSE),""))</f>
        <v>43953</v>
      </c>
      <c r="X714" s="10">
        <f>SUMIF(A:A,A714,I:I)</f>
        <v>38</v>
      </c>
      <c r="Y714" s="10">
        <f>IF(Table1[[#This Row],[Drank]]&gt;0,VLOOKUP(Table1[[#This Row],[ID]],Drank!A:P,16,FALSE),IF(Table1[[#This Row],[WALDD]]&gt;0,VLOOKUP(Table1[[#This Row],[ID]],Wine1!A:Q,17,FALSE),Table1[[#This Row],[EP]]))</f>
        <v>2030</v>
      </c>
      <c r="Z714" s="18">
        <f>IF(Table1[[#This Row],[My Rating]]="",IF(Table1[[#This Row],[WA Rating Clean]]="","",Table1[[#This Row],[WA Rating Clean]]),Table1[[#This Row],[My Rating]])</f>
        <v>94</v>
      </c>
      <c r="AA714" s="37">
        <v>2026</v>
      </c>
      <c r="AB714" s="128">
        <v>39.97</v>
      </c>
      <c r="AC714" s="2">
        <f t="shared" si="43"/>
        <v>39.97</v>
      </c>
      <c r="AD714" s="8">
        <v>2</v>
      </c>
      <c r="AE714" s="10">
        <f>IF(Table1[[#This Row],[P/750]]&lt;20,1,IF(Table1[[#This Row],[P/750]]&lt;50,2,3))</f>
        <v>2</v>
      </c>
      <c r="AF714" s="10">
        <f>IF(Table1[[#This Row],[P/750]]&lt;Expenses!$C$30,1,IF(Table1[[#This Row],[P/750]]&lt;Expenses!$C$31,2,IF(Table1[[#This Row],[P/750]]&lt;Expenses!$C$32,3,4)))</f>
        <v>3</v>
      </c>
      <c r="AH714" s="37" t="s">
        <v>1188</v>
      </c>
      <c r="AI714" s="11">
        <f>Table1[[#This Row],[Price]]/Table1[[#This Row],[Size (ml)]]*750</f>
        <v>39.97</v>
      </c>
      <c r="AJ714">
        <v>96</v>
      </c>
      <c r="AK714" s="10">
        <f>COUNTIF(UniqueID!A:A,Table1[[#This Row],[ID]])</f>
        <v>1</v>
      </c>
      <c r="AL714" s="10" t="str">
        <f>VLOOKUP(Table1[[#This Row],[Cellar Location]],Location!A:F,6,FALSE)</f>
        <v>S</v>
      </c>
      <c r="AN714" s="1">
        <v>43860</v>
      </c>
      <c r="AO714" s="37" t="str">
        <f>TEXT(Table1[[#This Row],[Purchased]],"mmmm")</f>
        <v>January</v>
      </c>
      <c r="AP714" s="10" t="str">
        <f>TEXT(Table1[[#This Row],[Purchased]],"yyyy")</f>
        <v>2020</v>
      </c>
      <c r="AQ714" s="10"/>
    </row>
    <row r="715" spans="1:43" x14ac:dyDescent="0.25">
      <c r="A715" t="str">
        <f t="shared" si="42"/>
        <v>2016Castello RomitorioIl Toro</v>
      </c>
      <c r="B715" s="8">
        <v>2016</v>
      </c>
      <c r="C715" s="37" t="s">
        <v>689</v>
      </c>
      <c r="D715" s="37" t="s">
        <v>846</v>
      </c>
      <c r="E715" s="69" t="s">
        <v>1271</v>
      </c>
      <c r="F715" s="37" t="s">
        <v>728</v>
      </c>
      <c r="G715" s="37" t="s">
        <v>790</v>
      </c>
      <c r="H715" s="37" t="s">
        <v>796</v>
      </c>
      <c r="I715" s="107">
        <v>1</v>
      </c>
      <c r="J715">
        <v>750</v>
      </c>
      <c r="K715" s="107" t="s">
        <v>927</v>
      </c>
      <c r="L715" s="10">
        <f>COUNTIF(Drank!A:A,Table1[[#This Row],[ID]])</f>
        <v>1</v>
      </c>
      <c r="M715" t="s">
        <v>202</v>
      </c>
      <c r="N715" t="s">
        <v>207</v>
      </c>
      <c r="O715">
        <v>1</v>
      </c>
      <c r="P715" s="10">
        <v>2019</v>
      </c>
      <c r="Q715">
        <v>2028</v>
      </c>
      <c r="R715" s="10">
        <f>IF(IFERROR(VLOOKUP(A715,Drank!A:S,15,FALSE),"")=0,"",IFERROR(VLOOKUP(A715,Drank!A:S,15,FALSE),""))</f>
        <v>2024</v>
      </c>
      <c r="S715" s="10">
        <f>IF(IFERROR(VLOOKUP(A715,Drank!A:S,16,FALSE),"")=0,"",IFERROR(VLOOKUP(A715,Drank!A:S,16,FALSE),""))</f>
        <v>2030</v>
      </c>
      <c r="T715" s="10"/>
      <c r="U715">
        <v>95</v>
      </c>
      <c r="V715" s="18">
        <f>IF(IFERROR(VLOOKUP(A715,Drank!A:T,19,FALSE),"")=0,"",IFERROR(VLOOKUP(A715,Drank!A:T,19,FALSE),""))</f>
        <v>93</v>
      </c>
      <c r="W715" s="1">
        <f>IF(IFERROR(VLOOKUP(A715,Drank!A:T,20,FALSE),"")=0,"",IFERROR(VLOOKUP(A715,Drank!A:T,20,FALSE),""))</f>
        <v>43842</v>
      </c>
      <c r="X715" s="10">
        <f>SUMIF(A:A,A715,I:I)</f>
        <v>3</v>
      </c>
      <c r="Y715" s="10">
        <f>IF(Table1[[#This Row],[Drank]]&gt;0,VLOOKUP(Table1[[#This Row],[ID]],Drank!A:P,16,FALSE),IF(Table1[[#This Row],[WALDD]]&gt;0,VLOOKUP(Table1[[#This Row],[ID]],Wine1!A:Q,17,FALSE),Table1[[#This Row],[EP]]))</f>
        <v>2030</v>
      </c>
      <c r="Z715" s="18">
        <f>IF(Table1[[#This Row],[My Rating]]="",IF(Table1[[#This Row],[WA Rating Clean]]="","",Table1[[#This Row],[WA Rating Clean]]),Table1[[#This Row],[My Rating]])</f>
        <v>93</v>
      </c>
      <c r="AA715" s="37">
        <v>2026</v>
      </c>
      <c r="AB715" s="128">
        <v>24.99</v>
      </c>
      <c r="AC715" s="2">
        <f t="shared" si="43"/>
        <v>24.99</v>
      </c>
      <c r="AD715" s="8">
        <v>2</v>
      </c>
      <c r="AE715" s="10">
        <f>IF(Table1[[#This Row],[P/750]]&lt;20,1,IF(Table1[[#This Row],[P/750]]&lt;50,2,3))</f>
        <v>2</v>
      </c>
      <c r="AF715" s="10">
        <f>IF(Table1[[#This Row],[P/750]]&lt;Expenses!$C$30,1,IF(Table1[[#This Row],[P/750]]&lt;Expenses!$C$31,2,IF(Table1[[#This Row],[P/750]]&lt;Expenses!$C$32,3,4)))</f>
        <v>2</v>
      </c>
      <c r="AH715" s="37" t="s">
        <v>1139</v>
      </c>
      <c r="AI715" s="11">
        <f>Table1[[#This Row],[Price]]/Table1[[#This Row],[Size (ml)]]*750</f>
        <v>24.989999999999995</v>
      </c>
      <c r="AJ715">
        <v>95</v>
      </c>
      <c r="AK715" s="10">
        <f>COUNTIF(UniqueID!A:A,Table1[[#This Row],[ID]])</f>
        <v>1</v>
      </c>
      <c r="AL715" s="37" t="str">
        <f>VLOOKUP(Table1[[#This Row],[Cellar Location]],Location!A:F,6,FALSE)</f>
        <v>S</v>
      </c>
      <c r="AN715" s="37"/>
      <c r="AO715" s="37" t="str">
        <f>TEXT(Table1[[#This Row],[Purchased]],"mmmm")</f>
        <v>January</v>
      </c>
      <c r="AP715" s="10" t="str">
        <f>TEXT(Table1[[#This Row],[Purchased]],"yyyy")</f>
        <v>1900</v>
      </c>
      <c r="AQ715" s="10"/>
    </row>
    <row r="716" spans="1:43" s="37" customFormat="1" x14ac:dyDescent="0.25">
      <c r="A716" s="37" t="str">
        <f t="shared" si="42"/>
        <v>2013CortonesiBrunello di Montalcino La Mannella</v>
      </c>
      <c r="B716" s="37">
        <v>2013</v>
      </c>
      <c r="C716" s="37" t="s">
        <v>72</v>
      </c>
      <c r="D716" s="25" t="s">
        <v>73</v>
      </c>
      <c r="E716" s="67" t="s">
        <v>1250</v>
      </c>
      <c r="F716" s="37" t="s">
        <v>728</v>
      </c>
      <c r="G716" s="37" t="s">
        <v>790</v>
      </c>
      <c r="H716" s="37" t="s">
        <v>19</v>
      </c>
      <c r="I716" s="107">
        <v>1</v>
      </c>
      <c r="J716" s="37">
        <v>750</v>
      </c>
      <c r="K716" s="107" t="s">
        <v>645</v>
      </c>
      <c r="L716" s="37">
        <f>COUNTIF(Drank!A:A,Table1[[#This Row],[ID]])</f>
        <v>1</v>
      </c>
      <c r="M716" s="37" t="s">
        <v>202</v>
      </c>
      <c r="N716" s="37" t="s">
        <v>207</v>
      </c>
      <c r="O716" s="37">
        <v>1</v>
      </c>
      <c r="P716" s="37">
        <v>2020</v>
      </c>
      <c r="Q716" s="37">
        <v>2033</v>
      </c>
      <c r="R716" s="37">
        <f>IF(IFERROR(VLOOKUP(A716,Drank!A:S,15,FALSE),"")=0,"",IFERROR(VLOOKUP(A716,Drank!A:S,15,FALSE),""))</f>
        <v>2024</v>
      </c>
      <c r="S716" s="37">
        <f>IF(IFERROR(VLOOKUP(A716,Drank!A:S,16,FALSE),"")=0,"",IFERROR(VLOOKUP(A716,Drank!A:S,16,FALSE),""))</f>
        <v>2030</v>
      </c>
      <c r="U716" s="37" t="s">
        <v>74</v>
      </c>
      <c r="V716" s="18">
        <f>IF(IFERROR(VLOOKUP(A716,Drank!A:T,19,FALSE),"")=0,"",IFERROR(VLOOKUP(A716,Drank!A:T,19,FALSE),""))</f>
        <v>93</v>
      </c>
      <c r="W716" s="1">
        <f>IF(IFERROR(VLOOKUP(A716,Drank!A:T,20,FALSE),"")=0,"",IFERROR(VLOOKUP(A716,Drank!A:T,20,FALSE),""))</f>
        <v>43924</v>
      </c>
      <c r="X716" s="37">
        <f>SUMIF(A:A,A716,I:I)</f>
        <v>5</v>
      </c>
      <c r="Y716" s="37">
        <f>IF(Table1[[#This Row],[Drank]]&gt;0,VLOOKUP(Table1[[#This Row],[ID]],Drank!A:P,16,FALSE),IF(Table1[[#This Row],[WALDD]]&gt;0,VLOOKUP(Table1[[#This Row],[ID]],Wine1!A:Q,17,FALSE),Table1[[#This Row],[EP]]))</f>
        <v>2030</v>
      </c>
      <c r="Z716" s="18">
        <f>IF(Table1[[#This Row],[My Rating]]="",IF(Table1[[#This Row],[WA Rating Clean]]="","",Table1[[#This Row],[WA Rating Clean]]),Table1[[#This Row],[My Rating]])</f>
        <v>93</v>
      </c>
      <c r="AA716" s="37">
        <v>2026</v>
      </c>
      <c r="AB716" s="128">
        <v>33.99</v>
      </c>
      <c r="AC716" s="2">
        <f t="shared" si="43"/>
        <v>33.99</v>
      </c>
      <c r="AD716" s="8">
        <v>2</v>
      </c>
      <c r="AE716" s="37">
        <f>IF(Table1[[#This Row],[P/750]]&lt;20,1,IF(Table1[[#This Row],[P/750]]&lt;50,2,3))</f>
        <v>2</v>
      </c>
      <c r="AF716" s="37">
        <f>IF(Table1[[#This Row],[P/750]]&lt;Expenses!$C$30,1,IF(Table1[[#This Row],[P/750]]&lt;Expenses!$C$31,2,IF(Table1[[#This Row],[P/750]]&lt;Expenses!$C$32,3,4)))</f>
        <v>3</v>
      </c>
      <c r="AH716" s="37" t="s">
        <v>1131</v>
      </c>
      <c r="AI716" s="11">
        <f>Table1[[#This Row],[Price]]/Table1[[#This Row],[Size (ml)]]*750</f>
        <v>33.99</v>
      </c>
      <c r="AJ716" s="37">
        <v>93</v>
      </c>
      <c r="AK716" s="37">
        <f>COUNTIF(UniqueID!A:A,Table1[[#This Row],[ID]])</f>
        <v>1</v>
      </c>
      <c r="AL716" s="37" t="str">
        <f>VLOOKUP(Table1[[#This Row],[Cellar Location]],Location!A:F,6,FALSE)</f>
        <v>S</v>
      </c>
      <c r="AO716" s="37" t="str">
        <f>TEXT(Table1[[#This Row],[Purchased]],"mmmm")</f>
        <v>January</v>
      </c>
      <c r="AP716" s="10" t="str">
        <f>TEXT(Table1[[#This Row],[Purchased]],"yyyy")</f>
        <v>1900</v>
      </c>
      <c r="AQ716" s="10"/>
    </row>
    <row r="717" spans="1:43" s="37" customFormat="1" x14ac:dyDescent="0.25">
      <c r="A717" s="37" t="str">
        <f t="shared" si="42"/>
        <v>2017Domaine du Grand MontmirailGigondas le Coteau de Mon Reve</v>
      </c>
      <c r="B717" s="37">
        <v>2017</v>
      </c>
      <c r="C717" s="37" t="s">
        <v>1387</v>
      </c>
      <c r="D717" s="37" t="s">
        <v>1388</v>
      </c>
      <c r="E717" s="67" t="s">
        <v>1360</v>
      </c>
      <c r="F717" s="37" t="s">
        <v>742</v>
      </c>
      <c r="G717" s="37" t="s">
        <v>759</v>
      </c>
      <c r="H717" s="37" t="s">
        <v>764</v>
      </c>
      <c r="I717" s="107">
        <v>1</v>
      </c>
      <c r="J717" s="37">
        <v>750</v>
      </c>
      <c r="K717" s="107" t="s">
        <v>661</v>
      </c>
      <c r="L717" s="10">
        <f>COUNTIF(Drank!A:A,Table1[[#This Row],[ID]])</f>
        <v>2</v>
      </c>
      <c r="M717" s="37" t="s">
        <v>202</v>
      </c>
      <c r="N717" s="37" t="s">
        <v>207</v>
      </c>
      <c r="O717" s="37">
        <v>1</v>
      </c>
      <c r="P717" s="10">
        <v>2020</v>
      </c>
      <c r="Q717" s="37">
        <v>2030</v>
      </c>
      <c r="R717" s="10">
        <f>IF(IFERROR(VLOOKUP(A717,Drank!A:S,15,FALSE),"")=0,"",IFERROR(VLOOKUP(A717,Drank!A:S,15,FALSE),""))</f>
        <v>2022</v>
      </c>
      <c r="S717" s="10">
        <f>IF(IFERROR(VLOOKUP(A717,Drank!A:S,16,FALSE),"")=0,"",IFERROR(VLOOKUP(A717,Drank!A:S,16,FALSE),""))</f>
        <v>2030</v>
      </c>
      <c r="T717" s="10"/>
      <c r="U717" s="37">
        <v>96</v>
      </c>
      <c r="V717" s="18">
        <f>IF(IFERROR(VLOOKUP(A717,Drank!A:T,19,FALSE),"")=0,"",IFERROR(VLOOKUP(A717,Drank!A:T,19,FALSE),""))</f>
        <v>93</v>
      </c>
      <c r="W717" s="1">
        <f>IF(IFERROR(VLOOKUP(A717,Drank!A:T,20,FALSE),"")=0,"",IFERROR(VLOOKUP(A717,Drank!A:T,20,FALSE),""))</f>
        <v>43976</v>
      </c>
      <c r="X717" s="10">
        <f>SUMIF(A:A,A717,I:I)</f>
        <v>10</v>
      </c>
      <c r="Y717" s="10">
        <f>IF(Table1[[#This Row],[Drank]]&gt;0,VLOOKUP(Table1[[#This Row],[ID]],Drank!A:P,16,FALSE),IF(Table1[[#This Row],[WALDD]]&gt;0,VLOOKUP(Table1[[#This Row],[ID]],Wine1!A:Q,17,FALSE),Table1[[#This Row],[EP]]))</f>
        <v>2030</v>
      </c>
      <c r="Z717" s="18">
        <f>IF(Table1[[#This Row],[My Rating]]="",IF(Table1[[#This Row],[WA Rating Clean]]="","",Table1[[#This Row],[WA Rating Clean]]),Table1[[#This Row],[My Rating]])</f>
        <v>93</v>
      </c>
      <c r="AA717" s="37">
        <v>2026</v>
      </c>
      <c r="AB717" s="128">
        <v>24.97</v>
      </c>
      <c r="AC717" s="2">
        <f t="shared" si="43"/>
        <v>24.97</v>
      </c>
      <c r="AD717" s="8">
        <v>2</v>
      </c>
      <c r="AE717" s="10">
        <f>IF(Table1[[#This Row],[P/750]]&lt;20,1,IF(Table1[[#This Row],[P/750]]&lt;50,2,3))</f>
        <v>2</v>
      </c>
      <c r="AF717" s="10">
        <f>IF(Table1[[#This Row],[P/750]]&lt;Expenses!$C$30,1,IF(Table1[[#This Row],[P/750]]&lt;Expenses!$C$31,2,IF(Table1[[#This Row],[P/750]]&lt;Expenses!$C$32,3,4)))</f>
        <v>2</v>
      </c>
      <c r="AH717" s="37" t="s">
        <v>384</v>
      </c>
      <c r="AI717" s="11">
        <f>Table1[[#This Row],[Price]]/Table1[[#This Row],[Size (ml)]]*750</f>
        <v>24.970000000000002</v>
      </c>
      <c r="AJ717" s="37">
        <v>96</v>
      </c>
      <c r="AK717" s="10">
        <f>COUNTIF(UniqueID!A:A,Table1[[#This Row],[ID]])</f>
        <v>0</v>
      </c>
      <c r="AL717" s="10" t="str">
        <f>VLOOKUP(Table1[[#This Row],[Cellar Location]],Location!A:F,6,FALSE)</f>
        <v>S</v>
      </c>
      <c r="AN717" s="1">
        <v>43948</v>
      </c>
      <c r="AO717" s="10" t="str">
        <f>TEXT(Table1[[#This Row],[Purchased]],"mmmm")</f>
        <v>April</v>
      </c>
      <c r="AP717" s="10" t="str">
        <f>TEXT(Table1[[#This Row],[Purchased]],"yyyy")</f>
        <v>2020</v>
      </c>
      <c r="AQ717" s="10"/>
    </row>
    <row r="718" spans="1:43" s="37" customFormat="1" x14ac:dyDescent="0.25">
      <c r="A718" s="37" t="str">
        <f t="shared" si="42"/>
        <v>2016Domaine du Grand TinelChateauneuf du Pape Cuvee Alexis Establet</v>
      </c>
      <c r="B718" s="37">
        <v>2016</v>
      </c>
      <c r="C718" s="37" t="s">
        <v>1168</v>
      </c>
      <c r="D718" s="37" t="s">
        <v>1169</v>
      </c>
      <c r="E718" s="67" t="s">
        <v>1248</v>
      </c>
      <c r="F718" s="37" t="s">
        <v>742</v>
      </c>
      <c r="G718" s="37" t="s">
        <v>759</v>
      </c>
      <c r="H718" s="9" t="s">
        <v>762</v>
      </c>
      <c r="I718" s="107">
        <v>1</v>
      </c>
      <c r="J718" s="37">
        <v>750</v>
      </c>
      <c r="K718" s="107" t="s">
        <v>1235</v>
      </c>
      <c r="L718" s="10">
        <f>COUNTIF(Drank!A:A,Table1[[#This Row],[ID]])</f>
        <v>0</v>
      </c>
      <c r="M718" s="37" t="s">
        <v>202</v>
      </c>
      <c r="N718" s="37" t="s">
        <v>207</v>
      </c>
      <c r="O718" s="37">
        <v>1</v>
      </c>
      <c r="P718" s="10">
        <v>2019</v>
      </c>
      <c r="Q718" s="37">
        <v>2030</v>
      </c>
      <c r="R718" s="10" t="str">
        <f>IF(IFERROR(VLOOKUP(A718,Drank!A:S,15,FALSE),"")=0,"",IFERROR(VLOOKUP(A718,Drank!A:S,15,FALSE),""))</f>
        <v/>
      </c>
      <c r="S718" s="10" t="str">
        <f>IF(IFERROR(VLOOKUP(A718,Drank!A:S,16,FALSE),"")=0,"",IFERROR(VLOOKUP(A718,Drank!A:S,16,FALSE),""))</f>
        <v/>
      </c>
      <c r="T718" s="10"/>
      <c r="U718" s="37" t="s">
        <v>1170</v>
      </c>
      <c r="V718" s="18" t="str">
        <f>IF(IFERROR(VLOOKUP(A718,Drank!A:T,19,FALSE),"")=0,"",IFERROR(VLOOKUP(A718,Drank!A:T,19,FALSE),""))</f>
        <v/>
      </c>
      <c r="W718" s="1" t="str">
        <f>IF(IFERROR(VLOOKUP(A718,Drank!A:T,20,FALSE),"")=0,"",IFERROR(VLOOKUP(A718,Drank!A:T,20,FALSE),""))</f>
        <v/>
      </c>
      <c r="X718" s="10">
        <f>SUMIF(A:A,A718,I:I)</f>
        <v>4</v>
      </c>
      <c r="Y718" s="10">
        <f>IF(Table1[[#This Row],[Drank]]&gt;0,VLOOKUP(Table1[[#This Row],[ID]],Drank!A:P,16,FALSE),IF(Table1[[#This Row],[WALDD]]&gt;0,VLOOKUP(Table1[[#This Row],[ID]],Wine1!A:Q,17,FALSE),Table1[[#This Row],[EP]]))</f>
        <v>2030</v>
      </c>
      <c r="Z718" s="18">
        <f>IF(Table1[[#This Row],[My Rating]]="",IF(Table1[[#This Row],[WA Rating Clean]]="","",Table1[[#This Row],[WA Rating Clean]]),Table1[[#This Row],[My Rating]])</f>
        <v>95</v>
      </c>
      <c r="AA718" s="37">
        <v>2026</v>
      </c>
      <c r="AB718" s="128">
        <v>39.99</v>
      </c>
      <c r="AC718" s="2">
        <f t="shared" si="43"/>
        <v>39.99</v>
      </c>
      <c r="AD718" s="8">
        <v>2</v>
      </c>
      <c r="AE718" s="10">
        <f>IF(Table1[[#This Row],[P/750]]&lt;20,1,IF(Table1[[#This Row],[P/750]]&lt;50,2,3))</f>
        <v>2</v>
      </c>
      <c r="AF718" s="10">
        <f>IF(Table1[[#This Row],[P/750]]&lt;Expenses!$C$30,1,IF(Table1[[#This Row],[P/750]]&lt;Expenses!$C$31,2,IF(Table1[[#This Row],[P/750]]&lt;Expenses!$C$32,3,4)))</f>
        <v>3</v>
      </c>
      <c r="AH718" s="37" t="s">
        <v>384</v>
      </c>
      <c r="AI718" s="11">
        <f>Table1[[#This Row],[Price]]/Table1[[#This Row],[Size (ml)]]*750</f>
        <v>39.99</v>
      </c>
      <c r="AJ718" s="37">
        <v>95</v>
      </c>
      <c r="AK718" s="10">
        <f>COUNTIF(UniqueID!A:A,Table1[[#This Row],[ID]])</f>
        <v>1</v>
      </c>
      <c r="AL718" s="10" t="str">
        <f>VLOOKUP(Table1[[#This Row],[Cellar Location]],Location!A:F,6,FALSE)</f>
        <v>S</v>
      </c>
      <c r="AN718" s="1">
        <v>43854</v>
      </c>
      <c r="AO718" s="37" t="str">
        <f>TEXT(Table1[[#This Row],[Purchased]],"mmmm")</f>
        <v>January</v>
      </c>
      <c r="AP718" s="10" t="str">
        <f>TEXT(Table1[[#This Row],[Purchased]],"yyyy")</f>
        <v>2020</v>
      </c>
      <c r="AQ718" s="10"/>
    </row>
    <row r="719" spans="1:43" s="37" customFormat="1" x14ac:dyDescent="0.25">
      <c r="A719" s="37" t="str">
        <f t="shared" si="42"/>
        <v>2013Marchesi di BaroloBarbaresco</v>
      </c>
      <c r="B719" s="37">
        <v>2013</v>
      </c>
      <c r="C719" s="37" t="s">
        <v>364</v>
      </c>
      <c r="D719" s="37" t="s">
        <v>249</v>
      </c>
      <c r="E719" s="67" t="s">
        <v>1206</v>
      </c>
      <c r="F719" s="37" t="s">
        <v>728</v>
      </c>
      <c r="G719" s="37" t="s">
        <v>778</v>
      </c>
      <c r="H719" s="37" t="s">
        <v>249</v>
      </c>
      <c r="I719" s="107">
        <v>1</v>
      </c>
      <c r="J719" s="37">
        <v>750</v>
      </c>
      <c r="K719" s="107" t="s">
        <v>650</v>
      </c>
      <c r="L719" s="37">
        <f>COUNTIF(Drank!A:A,Table1[[#This Row],[ID]])</f>
        <v>1</v>
      </c>
      <c r="M719" s="37" t="s">
        <v>202</v>
      </c>
      <c r="N719" s="37" t="s">
        <v>207</v>
      </c>
      <c r="O719" s="37">
        <v>1</v>
      </c>
      <c r="P719" s="37">
        <v>2017</v>
      </c>
      <c r="Q719" s="37">
        <v>2026</v>
      </c>
      <c r="R719" s="10">
        <f>IF(IFERROR(VLOOKUP(A719,Drank!A:S,15,FALSE),"")=0,"",IFERROR(VLOOKUP(A719,Drank!A:S,15,FALSE),""))</f>
        <v>2026</v>
      </c>
      <c r="S719" s="10">
        <f>IF(IFERROR(VLOOKUP(A719,Drank!A:S,16,FALSE),"")=0,"",IFERROR(VLOOKUP(A719,Drank!A:S,16,FALSE),""))</f>
        <v>2030</v>
      </c>
      <c r="T719" s="10"/>
      <c r="U719" s="37">
        <v>90</v>
      </c>
      <c r="V719" s="18">
        <f>IF(IFERROR(VLOOKUP(A719,Drank!A:T,19,FALSE),"")=0,"",IFERROR(VLOOKUP(A719,Drank!A:T,19,FALSE),""))</f>
        <v>91</v>
      </c>
      <c r="W719" s="1">
        <f>IF(IFERROR(VLOOKUP(A719,Drank!A:T,20,FALSE),"")=0,"",IFERROR(VLOOKUP(A719,Drank!A:T,20,FALSE),""))</f>
        <v>43647</v>
      </c>
      <c r="X719" s="10">
        <f>SUMIF(A:A,A719,I:I)</f>
        <v>1</v>
      </c>
      <c r="Y719" s="37">
        <f>IF(Table1[[#This Row],[Drank]]&gt;0,VLOOKUP(Table1[[#This Row],[ID]],Drank!A:P,16,FALSE),IF(Table1[[#This Row],[WALDD]]&gt;0,VLOOKUP(Table1[[#This Row],[ID]],Wine1!A:Q,17,FALSE),Table1[[#This Row],[EP]]))</f>
        <v>2030</v>
      </c>
      <c r="Z719" s="18">
        <f>IF(Table1[[#This Row],[My Rating]]="",IF(Table1[[#This Row],[WA Rating Clean]]="","",Table1[[#This Row],[WA Rating Clean]]),Table1[[#This Row],[My Rating]])</f>
        <v>91</v>
      </c>
      <c r="AA719" s="6">
        <v>2026</v>
      </c>
      <c r="AB719" s="128">
        <v>40</v>
      </c>
      <c r="AC719" s="2">
        <f t="shared" si="43"/>
        <v>40</v>
      </c>
      <c r="AD719" s="8">
        <v>2</v>
      </c>
      <c r="AE719" s="37">
        <f>IF(Table1[[#This Row],[P/750]]&lt;20,1,IF(Table1[[#This Row],[P/750]]&lt;50,2,3))</f>
        <v>2</v>
      </c>
      <c r="AF719" s="37">
        <f>IF(Table1[[#This Row],[P/750]]&lt;Expenses!$C$30,1,IF(Table1[[#This Row],[P/750]]&lt;Expenses!$C$31,2,IF(Table1[[#This Row],[P/750]]&lt;Expenses!$C$32,3,4)))</f>
        <v>3</v>
      </c>
      <c r="AH719" s="37" t="s">
        <v>1128</v>
      </c>
      <c r="AI719" s="11">
        <f>Table1[[#This Row],[Price]]/Table1[[#This Row],[Size (ml)]]*750</f>
        <v>40</v>
      </c>
      <c r="AJ719" s="37">
        <v>90</v>
      </c>
      <c r="AK719" s="37">
        <f>COUNTIF(UniqueID!A:A,Table1[[#This Row],[ID]])</f>
        <v>1</v>
      </c>
      <c r="AL719" s="37" t="str">
        <f>VLOOKUP(Table1[[#This Row],[Cellar Location]],Location!A:F,6,FALSE)</f>
        <v>S</v>
      </c>
      <c r="AO719" s="37" t="str">
        <f>TEXT(Table1[[#This Row],[Purchased]],"mmmm")</f>
        <v>January</v>
      </c>
      <c r="AP719" s="10" t="str">
        <f>TEXT(Table1[[#This Row],[Purchased]],"yyyy")</f>
        <v>1900</v>
      </c>
      <c r="AQ719" s="10"/>
    </row>
    <row r="720" spans="1:43" s="37" customFormat="1" x14ac:dyDescent="0.25">
      <c r="A720" s="37" t="str">
        <f t="shared" si="42"/>
        <v>2015MasiAmarone della Valpolicella Classico Costasera</v>
      </c>
      <c r="B720" s="37">
        <v>2015</v>
      </c>
      <c r="C720" s="25" t="s">
        <v>37</v>
      </c>
      <c r="D720" s="37" t="s">
        <v>53</v>
      </c>
      <c r="E720" s="64" t="s">
        <v>313</v>
      </c>
      <c r="F720" s="37" t="s">
        <v>728</v>
      </c>
      <c r="G720" s="37" t="s">
        <v>799</v>
      </c>
      <c r="H720" s="37" t="s">
        <v>800</v>
      </c>
      <c r="I720" s="107">
        <v>1</v>
      </c>
      <c r="J720" s="37">
        <v>750</v>
      </c>
      <c r="K720" s="107" t="s">
        <v>1406</v>
      </c>
      <c r="L720" s="37">
        <f>COUNTIF(Drank!A:A,Table1[[#This Row],[ID]])</f>
        <v>1</v>
      </c>
      <c r="M720" s="37" t="s">
        <v>202</v>
      </c>
      <c r="N720" s="37" t="s">
        <v>207</v>
      </c>
      <c r="O720" s="37">
        <v>1</v>
      </c>
      <c r="R720" s="10">
        <f>IF(IFERROR(VLOOKUP(A720,Drank!A:S,15,FALSE),"")=0,"",IFERROR(VLOOKUP(A720,Drank!A:S,15,FALSE),""))</f>
        <v>2030</v>
      </c>
      <c r="S720" s="10">
        <f>IF(IFERROR(VLOOKUP(A720,Drank!A:S,16,FALSE),"")=0,"",IFERROR(VLOOKUP(A720,Drank!A:S,16,FALSE),""))</f>
        <v>2030</v>
      </c>
      <c r="T720" s="10"/>
      <c r="V720" s="18">
        <f>IF(IFERROR(VLOOKUP(A720,Drank!A:T,19,FALSE),"")=0,"",IFERROR(VLOOKUP(A720,Drank!A:T,19,FALSE),""))</f>
        <v>94</v>
      </c>
      <c r="W720" s="1">
        <f>IF(IFERROR(VLOOKUP(A720,Drank!A:T,20,FALSE),"")=0,"",IFERROR(VLOOKUP(A720,Drank!A:T,20,FALSE),""))</f>
        <v>43918</v>
      </c>
      <c r="X720" s="10">
        <f>SUMIF(A:A,A720,I:I)</f>
        <v>11</v>
      </c>
      <c r="Y720" s="37">
        <f>IF(Table1[[#This Row],[Drank]]&gt;0,VLOOKUP(Table1[[#This Row],[ID]],Drank!A:P,16,FALSE),IF(Table1[[#This Row],[WALDD]]&gt;0,VLOOKUP(Table1[[#This Row],[ID]],Wine1!A:Q,17,FALSE),Table1[[#This Row],[EP]]))</f>
        <v>2030</v>
      </c>
      <c r="Z720" s="18">
        <f>IF(Table1[[#This Row],[My Rating]]="",IF(Table1[[#This Row],[WA Rating Clean]]="","",Table1[[#This Row],[WA Rating Clean]]),Table1[[#This Row],[My Rating]])</f>
        <v>94</v>
      </c>
      <c r="AA720" s="37">
        <v>2026</v>
      </c>
      <c r="AB720" s="128">
        <v>58.67</v>
      </c>
      <c r="AC720" s="2">
        <f t="shared" si="43"/>
        <v>58.67</v>
      </c>
      <c r="AD720" s="8">
        <v>2</v>
      </c>
      <c r="AE720" s="37">
        <f>IF(Table1[[#This Row],[P/750]]&lt;20,1,IF(Table1[[#This Row],[P/750]]&lt;50,2,3))</f>
        <v>3</v>
      </c>
      <c r="AF720" s="37">
        <f>IF(Table1[[#This Row],[P/750]]&lt;Expenses!$C$30,1,IF(Table1[[#This Row],[P/750]]&lt;Expenses!$C$31,2,IF(Table1[[#This Row],[P/750]]&lt;Expenses!$C$32,3,4)))</f>
        <v>3</v>
      </c>
      <c r="AH720" s="37" t="s">
        <v>1128</v>
      </c>
      <c r="AI720" s="11">
        <f>Table1[[#This Row],[Price]]/Table1[[#This Row],[Size (ml)]]*750</f>
        <v>58.67</v>
      </c>
      <c r="AK720" s="37">
        <f>COUNTIF(UniqueID!A:A,Table1[[#This Row],[ID]])</f>
        <v>0</v>
      </c>
      <c r="AL720" s="37" t="str">
        <f>VLOOKUP(Table1[[#This Row],[Cellar Location]],Location!A:F,6,FALSE)</f>
        <v>S</v>
      </c>
      <c r="AN720" s="1">
        <v>43966</v>
      </c>
      <c r="AO720" s="37" t="str">
        <f>TEXT(Table1[[#This Row],[Purchased]],"mmmm")</f>
        <v>May</v>
      </c>
      <c r="AP720" s="10" t="str">
        <f>TEXT(Table1[[#This Row],[Purchased]],"yyyy")</f>
        <v>2020</v>
      </c>
      <c r="AQ720" s="10"/>
    </row>
    <row r="721" spans="1:43" s="37" customFormat="1" x14ac:dyDescent="0.25">
      <c r="A721" s="37" t="str">
        <f t="shared" si="42"/>
        <v>2016Quinta do ValladoTouriga Nacional</v>
      </c>
      <c r="B721" s="8">
        <v>2016</v>
      </c>
      <c r="C721" s="30" t="s">
        <v>210</v>
      </c>
      <c r="D721" s="9" t="s">
        <v>211</v>
      </c>
      <c r="E721" s="68" t="s">
        <v>1221</v>
      </c>
      <c r="F721" s="9" t="s">
        <v>804</v>
      </c>
      <c r="G721" s="9" t="s">
        <v>805</v>
      </c>
      <c r="H721" s="9"/>
      <c r="I721" s="107">
        <v>1</v>
      </c>
      <c r="J721" s="37">
        <v>750</v>
      </c>
      <c r="K721" s="108" t="s">
        <v>591</v>
      </c>
      <c r="L721" s="37">
        <f>COUNTIF(Drank!A:A,Table1[[#This Row],[ID]])</f>
        <v>4</v>
      </c>
      <c r="M721" s="37" t="s">
        <v>202</v>
      </c>
      <c r="N721" s="37" t="s">
        <v>207</v>
      </c>
      <c r="O721" s="37">
        <v>1</v>
      </c>
      <c r="P721" s="37">
        <v>2020</v>
      </c>
      <c r="Q721" s="37">
        <v>2032</v>
      </c>
      <c r="R721" s="37">
        <f>IF(IFERROR(VLOOKUP(A721,Drank!A:S,15,FALSE),"")=0,"",IFERROR(VLOOKUP(A721,Drank!A:S,15,FALSE),""))</f>
        <v>2021</v>
      </c>
      <c r="S721" s="37">
        <f>IF(IFERROR(VLOOKUP(A721,Drank!A:S,16,FALSE),"")=0,"",IFERROR(VLOOKUP(A721,Drank!A:S,16,FALSE),""))</f>
        <v>2030</v>
      </c>
      <c r="U721" s="37">
        <v>93</v>
      </c>
      <c r="V721" s="18">
        <f>IF(IFERROR(VLOOKUP(A721,Drank!A:T,19,FALSE),"")=0,"",IFERROR(VLOOKUP(A721,Drank!A:T,19,FALSE),""))</f>
        <v>92</v>
      </c>
      <c r="W721" s="1">
        <f>IF(IFERROR(VLOOKUP(A721,Drank!A:T,20,FALSE),"")=0,"",IFERROR(VLOOKUP(A721,Drank!A:T,20,FALSE),""))</f>
        <v>43847</v>
      </c>
      <c r="X721" s="37">
        <f>SUMIF(A:A,A721,I:I)</f>
        <v>7</v>
      </c>
      <c r="Y721" s="37">
        <f>IF(Table1[[#This Row],[Drank]]&gt;0,VLOOKUP(Table1[[#This Row],[ID]],Drank!A:P,16,FALSE),IF(Table1[[#This Row],[WALDD]]&gt;0,VLOOKUP(Table1[[#This Row],[ID]],Wine1!A:Q,17,FALSE),Table1[[#This Row],[EP]]))</f>
        <v>2030</v>
      </c>
      <c r="Z721" s="18">
        <f>IF(Table1[[#This Row],[My Rating]]="",IF(Table1[[#This Row],[WA Rating Clean]]="","",Table1[[#This Row],[WA Rating Clean]]),Table1[[#This Row],[My Rating]])</f>
        <v>92</v>
      </c>
      <c r="AA721" s="37">
        <v>2026</v>
      </c>
      <c r="AB721" s="128">
        <v>24.99</v>
      </c>
      <c r="AC721" s="2">
        <f t="shared" si="43"/>
        <v>24.99</v>
      </c>
      <c r="AD721" s="8">
        <v>2</v>
      </c>
      <c r="AE721" s="37">
        <f>IF(Table1[[#This Row],[P/750]]&lt;20,1,IF(Table1[[#This Row],[P/750]]&lt;50,2,3))</f>
        <v>2</v>
      </c>
      <c r="AF721" s="37">
        <f>IF(Table1[[#This Row],[P/750]]&lt;Expenses!$C$30,1,IF(Table1[[#This Row],[P/750]]&lt;Expenses!$C$31,2,IF(Table1[[#This Row],[P/750]]&lt;Expenses!$C$32,3,4)))</f>
        <v>2</v>
      </c>
      <c r="AH721" s="37" t="s">
        <v>384</v>
      </c>
      <c r="AI721" s="11">
        <f>Table1[[#This Row],[Price]]/Table1[[#This Row],[Size (ml)]]*750</f>
        <v>24.989999999999995</v>
      </c>
      <c r="AJ721" s="37">
        <v>93</v>
      </c>
      <c r="AK721" s="37">
        <f>COUNTIF(UniqueID!A:A,Table1[[#This Row],[ID]])</f>
        <v>1</v>
      </c>
      <c r="AL721" s="37" t="str">
        <f>VLOOKUP(Table1[[#This Row],[Cellar Location]],Location!A:F,6,FALSE)</f>
        <v>S</v>
      </c>
      <c r="AO721" s="37" t="str">
        <f>TEXT(Table1[[#This Row],[Purchased]],"mmmm")</f>
        <v>January</v>
      </c>
      <c r="AP721" s="10" t="str">
        <f>TEXT(Table1[[#This Row],[Purchased]],"yyyy")</f>
        <v>1900</v>
      </c>
      <c r="AQ721" s="10"/>
    </row>
    <row r="722" spans="1:43" s="37" customFormat="1" x14ac:dyDescent="0.25">
      <c r="A722" s="37" t="str">
        <f t="shared" si="42"/>
        <v>2012San RusticoAmarone della Valpolicella Classico</v>
      </c>
      <c r="B722" s="37">
        <v>2012</v>
      </c>
      <c r="C722" s="37" t="s">
        <v>444</v>
      </c>
      <c r="D722" s="37" t="s">
        <v>26</v>
      </c>
      <c r="E722" s="69" t="s">
        <v>1252</v>
      </c>
      <c r="F722" s="37" t="s">
        <v>728</v>
      </c>
      <c r="G722" s="37" t="s">
        <v>799</v>
      </c>
      <c r="H722" s="37" t="s">
        <v>800</v>
      </c>
      <c r="I722" s="107">
        <v>1</v>
      </c>
      <c r="J722" s="37">
        <v>750</v>
      </c>
      <c r="K722" s="107" t="s">
        <v>650</v>
      </c>
      <c r="L722" s="37">
        <f>COUNTIF(Drank!A:A,Table1[[#This Row],[ID]])</f>
        <v>1</v>
      </c>
      <c r="M722" s="37" t="s">
        <v>202</v>
      </c>
      <c r="N722" s="37" t="s">
        <v>207</v>
      </c>
      <c r="O722" s="37">
        <v>1</v>
      </c>
      <c r="P722" s="10">
        <v>2019</v>
      </c>
      <c r="Q722" s="37">
        <v>2027</v>
      </c>
      <c r="R722" s="10">
        <f>IF(IFERROR(VLOOKUP(A722,Drank!A:S,15,FALSE),"")=0,"",IFERROR(VLOOKUP(A722,Drank!A:S,15,FALSE),""))</f>
        <v>2022</v>
      </c>
      <c r="S722" s="10">
        <f>IF(IFERROR(VLOOKUP(A722,Drank!A:S,16,FALSE),"")=0,"",IFERROR(VLOOKUP(A722,Drank!A:S,16,FALSE),""))</f>
        <v>2030</v>
      </c>
      <c r="T722" s="10"/>
      <c r="U722" s="37">
        <v>91</v>
      </c>
      <c r="V722" s="18">
        <f>IF(IFERROR(VLOOKUP(A722,Drank!A:T,19,FALSE),"")=0,"",IFERROR(VLOOKUP(A722,Drank!A:T,19,FALSE),""))</f>
        <v>91</v>
      </c>
      <c r="W722" s="1">
        <f>IF(IFERROR(VLOOKUP(A722,Drank!A:T,20,FALSE),"")=0,"",IFERROR(VLOOKUP(A722,Drank!A:T,20,FALSE),""))</f>
        <v>43834</v>
      </c>
      <c r="X722" s="10">
        <f>SUMIF(A:A,A722,I:I)</f>
        <v>5</v>
      </c>
      <c r="Y722" s="10">
        <f>IF(Table1[[#This Row],[Drank]]&gt;0,VLOOKUP(Table1[[#This Row],[ID]],Drank!A:P,16,FALSE),IF(Table1[[#This Row],[WALDD]]&gt;0,VLOOKUP(Table1[[#This Row],[ID]],Wine1!A:Q,17,FALSE),Table1[[#This Row],[EP]]))</f>
        <v>2030</v>
      </c>
      <c r="Z722" s="18">
        <f>IF(Table1[[#This Row],[My Rating]]="",IF(Table1[[#This Row],[WA Rating Clean]]="","",Table1[[#This Row],[WA Rating Clean]]),Table1[[#This Row],[My Rating]])</f>
        <v>91</v>
      </c>
      <c r="AA722" s="37">
        <v>2026</v>
      </c>
      <c r="AB722" s="128">
        <v>24.99</v>
      </c>
      <c r="AC722" s="2">
        <f t="shared" si="43"/>
        <v>24.99</v>
      </c>
      <c r="AD722" s="8">
        <v>2</v>
      </c>
      <c r="AE722" s="10">
        <f>IF(Table1[[#This Row],[P/750]]&lt;20,1,IF(Table1[[#This Row],[P/750]]&lt;50,2,3))</f>
        <v>2</v>
      </c>
      <c r="AF722" s="10">
        <f>IF(Table1[[#This Row],[P/750]]&lt;Expenses!$C$30,1,IF(Table1[[#This Row],[P/750]]&lt;Expenses!$C$31,2,IF(Table1[[#This Row],[P/750]]&lt;Expenses!$C$32,3,4)))</f>
        <v>2</v>
      </c>
      <c r="AH722" s="37" t="s">
        <v>384</v>
      </c>
      <c r="AI722" s="11">
        <f>Table1[[#This Row],[Price]]/Table1[[#This Row],[Size (ml)]]*750</f>
        <v>24.989999999999995</v>
      </c>
      <c r="AJ722" s="37">
        <v>91</v>
      </c>
      <c r="AK722" s="37">
        <f>COUNTIF(UniqueID!A:A,Table1[[#This Row],[ID]])</f>
        <v>1</v>
      </c>
      <c r="AL722" s="37" t="str">
        <f>VLOOKUP(Table1[[#This Row],[Cellar Location]],Location!A:F,6,FALSE)</f>
        <v>S</v>
      </c>
      <c r="AO722" s="37" t="str">
        <f>TEXT(Table1[[#This Row],[Purchased]],"mmmm")</f>
        <v>January</v>
      </c>
      <c r="AP722" s="10" t="str">
        <f>TEXT(Table1[[#This Row],[Purchased]],"yyyy")</f>
        <v>1900</v>
      </c>
      <c r="AQ722" s="10"/>
    </row>
    <row r="723" spans="1:43" s="37" customFormat="1" x14ac:dyDescent="0.25">
      <c r="A723" s="37" t="str">
        <f t="shared" si="42"/>
        <v>2014Telmo RodriguezPegaso Barrancos de Pizarra</v>
      </c>
      <c r="B723" s="37">
        <v>2014</v>
      </c>
      <c r="C723" s="37" t="s">
        <v>816</v>
      </c>
      <c r="D723" s="25" t="s">
        <v>432</v>
      </c>
      <c r="E723" s="67" t="s">
        <v>1248</v>
      </c>
      <c r="F723" s="37" t="s">
        <v>729</v>
      </c>
      <c r="G723" s="37" t="s">
        <v>1718</v>
      </c>
      <c r="H723" s="37" t="s">
        <v>817</v>
      </c>
      <c r="I723" s="107">
        <v>1</v>
      </c>
      <c r="J723" s="37">
        <v>750</v>
      </c>
      <c r="K723" s="107" t="s">
        <v>649</v>
      </c>
      <c r="L723" s="10">
        <f>COUNTIF(Drank!A:A,Table1[[#This Row],[ID]])</f>
        <v>0</v>
      </c>
      <c r="M723" s="37" t="s">
        <v>202</v>
      </c>
      <c r="N723" s="37" t="s">
        <v>207</v>
      </c>
      <c r="O723" s="37">
        <v>1</v>
      </c>
      <c r="P723" s="37">
        <v>2017</v>
      </c>
      <c r="Q723" s="37">
        <v>2030</v>
      </c>
      <c r="R723" s="10" t="str">
        <f>IF(IFERROR(VLOOKUP(A723,Drank!A:S,15,FALSE),"")=0,"",IFERROR(VLOOKUP(A723,Drank!A:S,15,FALSE),""))</f>
        <v/>
      </c>
      <c r="S723" s="10" t="str">
        <f>IF(IFERROR(VLOOKUP(A723,Drank!A:S,16,FALSE),"")=0,"",IFERROR(VLOOKUP(A723,Drank!A:S,16,FALSE),""))</f>
        <v/>
      </c>
      <c r="T723" s="10"/>
      <c r="U723" s="37">
        <v>95</v>
      </c>
      <c r="V723" s="18" t="str">
        <f>IF(IFERROR(VLOOKUP(A723,Drank!A:T,19,FALSE),"")=0,"",IFERROR(VLOOKUP(A723,Drank!A:T,19,FALSE),""))</f>
        <v/>
      </c>
      <c r="W723" s="1" t="str">
        <f>IF(IFERROR(VLOOKUP(A723,Drank!A:T,20,FALSE),"")=0,"",IFERROR(VLOOKUP(A723,Drank!A:T,20,FALSE),""))</f>
        <v/>
      </c>
      <c r="X723" s="10">
        <f>SUMIF(A:A,A723,I:I)</f>
        <v>6</v>
      </c>
      <c r="Y723" s="10">
        <f>IF(Table1[[#This Row],[Drank]]&gt;0,VLOOKUP(Table1[[#This Row],[ID]],Drank!A:P,16,FALSE),IF(Table1[[#This Row],[WALDD]]&gt;0,VLOOKUP(Table1[[#This Row],[ID]],Wine1!A:Q,17,FALSE),Table1[[#This Row],[EP]]))</f>
        <v>2030</v>
      </c>
      <c r="Z723" s="18">
        <f>IF(Table1[[#This Row],[My Rating]]="",IF(Table1[[#This Row],[WA Rating Clean]]="","",Table1[[#This Row],[WA Rating Clean]]),Table1[[#This Row],[My Rating]])</f>
        <v>95</v>
      </c>
      <c r="AA723" s="37">
        <v>2026</v>
      </c>
      <c r="AB723" s="128">
        <v>25</v>
      </c>
      <c r="AC723" s="2">
        <f t="shared" si="43"/>
        <v>25</v>
      </c>
      <c r="AD723" s="8">
        <v>2</v>
      </c>
      <c r="AE723" s="37">
        <f>IF(Table1[[#This Row],[P/750]]&lt;20,1,IF(Table1[[#This Row],[P/750]]&lt;50,2,3))</f>
        <v>2</v>
      </c>
      <c r="AF723" s="37">
        <f>IF(Table1[[#This Row],[P/750]]&lt;Expenses!$C$30,1,IF(Table1[[#This Row],[P/750]]&lt;Expenses!$C$31,2,IF(Table1[[#This Row],[P/750]]&lt;Expenses!$C$32,3,4)))</f>
        <v>2</v>
      </c>
      <c r="AH723" s="37" t="s">
        <v>385</v>
      </c>
      <c r="AI723" s="11">
        <f>Table1[[#This Row],[Price]]/Table1[[#This Row],[Size (ml)]]*750</f>
        <v>25</v>
      </c>
      <c r="AJ723" s="37">
        <v>95</v>
      </c>
      <c r="AK723" s="37">
        <f>COUNTIF(UniqueID!A:A,Table1[[#This Row],[ID]])</f>
        <v>1</v>
      </c>
      <c r="AL723" s="37" t="str">
        <f>VLOOKUP(Table1[[#This Row],[Cellar Location]],Location!A:F,6,FALSE)</f>
        <v>S</v>
      </c>
      <c r="AO723" s="37" t="str">
        <f>TEXT(Table1[[#This Row],[Purchased]],"mmmm")</f>
        <v>January</v>
      </c>
      <c r="AP723" s="10" t="str">
        <f>TEXT(Table1[[#This Row],[Purchased]],"yyyy")</f>
        <v>1900</v>
      </c>
      <c r="AQ723" s="10"/>
    </row>
    <row r="724" spans="1:43" s="37" customFormat="1" x14ac:dyDescent="0.25">
      <c r="A724" s="37" t="str">
        <f t="shared" si="42"/>
        <v>2013Tenuta CarrettaRoero Riserva Bric Paradiso</v>
      </c>
      <c r="B724" s="37">
        <v>2013</v>
      </c>
      <c r="C724" s="25" t="s">
        <v>452</v>
      </c>
      <c r="D724" s="37" t="s">
        <v>453</v>
      </c>
      <c r="E724" s="67" t="s">
        <v>1206</v>
      </c>
      <c r="F724" s="37" t="s">
        <v>728</v>
      </c>
      <c r="G724" s="37" t="s">
        <v>778</v>
      </c>
      <c r="H724" s="37" t="s">
        <v>773</v>
      </c>
      <c r="I724" s="107">
        <v>1</v>
      </c>
      <c r="J724" s="37">
        <v>750</v>
      </c>
      <c r="K724" s="108" t="s">
        <v>591</v>
      </c>
      <c r="L724" s="10">
        <f>COUNTIF(Drank!A:A,Table1[[#This Row],[ID]])</f>
        <v>1</v>
      </c>
      <c r="M724" s="37" t="s">
        <v>202</v>
      </c>
      <c r="N724" s="37" t="s">
        <v>207</v>
      </c>
      <c r="O724" s="37">
        <v>1</v>
      </c>
      <c r="P724" s="10">
        <v>2018</v>
      </c>
      <c r="Q724" s="37">
        <v>2028</v>
      </c>
      <c r="R724" s="10">
        <f>IF(IFERROR(VLOOKUP(A724,Drank!A:S,15,FALSE),"")=0,"",IFERROR(VLOOKUP(A724,Drank!A:S,15,FALSE),""))</f>
        <v>2022</v>
      </c>
      <c r="S724" s="10">
        <f>IF(IFERROR(VLOOKUP(A724,Drank!A:S,16,FALSE),"")=0,"",IFERROR(VLOOKUP(A724,Drank!A:S,16,FALSE),""))</f>
        <v>2030</v>
      </c>
      <c r="T724" s="10"/>
      <c r="U724" s="37" t="s">
        <v>196</v>
      </c>
      <c r="V724" s="18">
        <f>IF(IFERROR(VLOOKUP(A724,Drank!A:T,19,FALSE),"")=0,"",IFERROR(VLOOKUP(A724,Drank!A:T,19,FALSE),""))</f>
        <v>94</v>
      </c>
      <c r="W724" s="1">
        <f>IF(IFERROR(VLOOKUP(A724,Drank!A:T,20,FALSE),"")=0,"",IFERROR(VLOOKUP(A724,Drank!A:T,20,FALSE),""))</f>
        <v>43849</v>
      </c>
      <c r="X724" s="10">
        <f>SUMIF(A:A,A724,I:I)</f>
        <v>5</v>
      </c>
      <c r="Y724" s="10">
        <f>IF(Table1[[#This Row],[Drank]]&gt;0,VLOOKUP(Table1[[#This Row],[ID]],Drank!A:P,16,FALSE),IF(Table1[[#This Row],[WALDD]]&gt;0,VLOOKUP(Table1[[#This Row],[ID]],Wine1!A:Q,17,FALSE),Table1[[#This Row],[EP]]))</f>
        <v>2030</v>
      </c>
      <c r="Z724" s="18">
        <f>IF(Table1[[#This Row],[My Rating]]="",IF(Table1[[#This Row],[WA Rating Clean]]="","",Table1[[#This Row],[WA Rating Clean]]),Table1[[#This Row],[My Rating]])</f>
        <v>94</v>
      </c>
      <c r="AA724" s="37">
        <v>2026</v>
      </c>
      <c r="AB724" s="128">
        <v>26</v>
      </c>
      <c r="AC724" s="2">
        <f t="shared" si="43"/>
        <v>26</v>
      </c>
      <c r="AD724" s="8">
        <v>2</v>
      </c>
      <c r="AE724" s="10">
        <f>IF(Table1[[#This Row],[P/750]]&lt;20,1,IF(Table1[[#This Row],[P/750]]&lt;50,2,3))</f>
        <v>2</v>
      </c>
      <c r="AF724" s="10">
        <f>IF(Table1[[#This Row],[P/750]]&lt;Expenses!$C$30,1,IF(Table1[[#This Row],[P/750]]&lt;Expenses!$C$31,2,IF(Table1[[#This Row],[P/750]]&lt;Expenses!$C$32,3,4)))</f>
        <v>2</v>
      </c>
      <c r="AH724" s="37" t="s">
        <v>385</v>
      </c>
      <c r="AI724" s="11">
        <f>Table1[[#This Row],[Price]]/Table1[[#This Row],[Size (ml)]]*750</f>
        <v>26</v>
      </c>
      <c r="AJ724" s="37">
        <v>91</v>
      </c>
      <c r="AK724" s="37">
        <f>COUNTIF(UniqueID!A:A,Table1[[#This Row],[ID]])</f>
        <v>1</v>
      </c>
      <c r="AL724" s="37" t="str">
        <f>VLOOKUP(Table1[[#This Row],[Cellar Location]],Location!A:F,6,FALSE)</f>
        <v>S</v>
      </c>
      <c r="AO724" s="37" t="str">
        <f>TEXT(Table1[[#This Row],[Purchased]],"mmmm")</f>
        <v>January</v>
      </c>
      <c r="AP724" s="10" t="str">
        <f>TEXT(Table1[[#This Row],[Purchased]],"yyyy")</f>
        <v>1900</v>
      </c>
      <c r="AQ724" s="10"/>
    </row>
    <row r="725" spans="1:43" x14ac:dyDescent="0.25">
      <c r="A725" t="str">
        <f t="shared" si="42"/>
        <v>2015Tenuta di NozzoleChianti Classico Riserva Nozzole</v>
      </c>
      <c r="B725" s="37">
        <v>2015</v>
      </c>
      <c r="C725" s="37" t="s">
        <v>100</v>
      </c>
      <c r="D725" s="37" t="s">
        <v>101</v>
      </c>
      <c r="E725" s="69" t="s">
        <v>399</v>
      </c>
      <c r="F725" s="37" t="s">
        <v>728</v>
      </c>
      <c r="G725" s="37" t="s">
        <v>790</v>
      </c>
      <c r="H725" s="37" t="s">
        <v>792</v>
      </c>
      <c r="I725" s="107">
        <v>1</v>
      </c>
      <c r="J725" s="37">
        <v>750</v>
      </c>
      <c r="K725" s="107" t="s">
        <v>644</v>
      </c>
      <c r="L725" s="37">
        <f>COUNTIF(Drank!A:A,Table1[[#This Row],[ID]])</f>
        <v>6</v>
      </c>
      <c r="M725" t="s">
        <v>202</v>
      </c>
      <c r="N725" t="s">
        <v>207</v>
      </c>
      <c r="O725">
        <v>1</v>
      </c>
      <c r="P725" s="37">
        <v>2018</v>
      </c>
      <c r="Q725">
        <v>2028</v>
      </c>
      <c r="R725" s="10">
        <f>IF(IFERROR(VLOOKUP(A725,Drank!A:S,15,FALSE),"")=0,"",IFERROR(VLOOKUP(A725,Drank!A:S,15,FALSE),""))</f>
        <v>2020</v>
      </c>
      <c r="S725" s="10">
        <f>IF(IFERROR(VLOOKUP(A725,Drank!A:S,16,FALSE),"")=0,"",IFERROR(VLOOKUP(A725,Drank!A:S,16,FALSE),""))</f>
        <v>2030</v>
      </c>
      <c r="T725" s="10"/>
      <c r="U725">
        <v>92</v>
      </c>
      <c r="V725" s="18">
        <f>IF(IFERROR(VLOOKUP(A725,Drank!A:T,19,FALSE),"")=0,"",IFERROR(VLOOKUP(A725,Drank!A:T,19,FALSE),""))</f>
        <v>91</v>
      </c>
      <c r="W725" s="1">
        <f>IF(IFERROR(VLOOKUP(A725,Drank!A:T,20,FALSE),"")=0,"",IFERROR(VLOOKUP(A725,Drank!A:T,20,FALSE),""))</f>
        <v>43779</v>
      </c>
      <c r="X725" s="10">
        <f>SUMIF(A:A,A725,I:I)</f>
        <v>4</v>
      </c>
      <c r="Y725" s="37">
        <f>IF(Table1[[#This Row],[Drank]]&gt;0,VLOOKUP(Table1[[#This Row],[ID]],Drank!A:P,16,FALSE),IF(Table1[[#This Row],[WALDD]]&gt;0,VLOOKUP(Table1[[#This Row],[ID]],Wine1!A:Q,17,FALSE),Table1[[#This Row],[EP]]))</f>
        <v>2030</v>
      </c>
      <c r="Z725" s="18">
        <f>IF(Table1[[#This Row],[My Rating]]="",IF(Table1[[#This Row],[WA Rating Clean]]="","",Table1[[#This Row],[WA Rating Clean]]),Table1[[#This Row],[My Rating]])</f>
        <v>91</v>
      </c>
      <c r="AA725" s="8">
        <v>2026</v>
      </c>
      <c r="AB725" s="128">
        <v>19.79</v>
      </c>
      <c r="AC725" s="2">
        <f t="shared" si="43"/>
        <v>19.79</v>
      </c>
      <c r="AD725" s="8">
        <v>2</v>
      </c>
      <c r="AE725" s="37">
        <f>IF(Table1[[#This Row],[P/750]]&lt;20,1,IF(Table1[[#This Row],[P/750]]&lt;50,2,3))</f>
        <v>1</v>
      </c>
      <c r="AF725" s="37">
        <f>IF(Table1[[#This Row],[P/750]]&lt;Expenses!$C$30,1,IF(Table1[[#This Row],[P/750]]&lt;Expenses!$C$31,2,IF(Table1[[#This Row],[P/750]]&lt;Expenses!$C$32,3,4)))</f>
        <v>2</v>
      </c>
      <c r="AH725" s="25" t="s">
        <v>1128</v>
      </c>
      <c r="AI725" s="11">
        <f>Table1[[#This Row],[Price]]/Table1[[#This Row],[Size (ml)]]*750</f>
        <v>19.79</v>
      </c>
      <c r="AJ725">
        <v>92</v>
      </c>
      <c r="AK725" s="37">
        <f>COUNTIF(UniqueID!A:A,Table1[[#This Row],[ID]])</f>
        <v>1</v>
      </c>
      <c r="AL725" s="37" t="str">
        <f>VLOOKUP(Table1[[#This Row],[Cellar Location]],Location!A:F,6,FALSE)</f>
        <v>S</v>
      </c>
      <c r="AN725" s="37"/>
      <c r="AO725" s="37" t="str">
        <f>TEXT(Table1[[#This Row],[Purchased]],"mmmm")</f>
        <v>January</v>
      </c>
      <c r="AP725" s="10" t="str">
        <f>TEXT(Table1[[#This Row],[Purchased]],"yyyy")</f>
        <v>1900</v>
      </c>
      <c r="AQ725" s="10"/>
    </row>
    <row r="726" spans="1:43" s="37" customFormat="1" x14ac:dyDescent="0.25">
      <c r="A726" s="37" t="str">
        <f t="shared" si="42"/>
        <v>2016Tenuta San GuidoGuidalberto</v>
      </c>
      <c r="B726" s="37">
        <v>2016</v>
      </c>
      <c r="C726" s="37" t="s">
        <v>91</v>
      </c>
      <c r="D726" s="37" t="s">
        <v>1236</v>
      </c>
      <c r="E726" s="67" t="s">
        <v>1455</v>
      </c>
      <c r="F726" s="37" t="s">
        <v>728</v>
      </c>
      <c r="G726" s="37" t="s">
        <v>790</v>
      </c>
      <c r="H726" s="37" t="s">
        <v>796</v>
      </c>
      <c r="I726" s="107">
        <v>1</v>
      </c>
      <c r="J726" s="37">
        <v>750</v>
      </c>
      <c r="K726" s="107" t="s">
        <v>1313</v>
      </c>
      <c r="L726" s="10">
        <f>COUNTIF(Drank!A:A,Table1[[#This Row],[ID]])</f>
        <v>1</v>
      </c>
      <c r="M726" s="37" t="s">
        <v>202</v>
      </c>
      <c r="N726" s="37" t="s">
        <v>207</v>
      </c>
      <c r="O726" s="37">
        <v>1</v>
      </c>
      <c r="P726" s="37">
        <v>2019</v>
      </c>
      <c r="Q726" s="37">
        <v>2030</v>
      </c>
      <c r="R726" s="10">
        <f>IF(IFERROR(VLOOKUP(A726,Drank!A:S,15,FALSE),"")=0,"",IFERROR(VLOOKUP(A726,Drank!A:S,15,FALSE),""))</f>
        <v>2025</v>
      </c>
      <c r="S726" s="10">
        <f>IF(IFERROR(VLOOKUP(A726,Drank!A:S,16,FALSE),"")=0,"",IFERROR(VLOOKUP(A726,Drank!A:S,16,FALSE),""))</f>
        <v>2030</v>
      </c>
      <c r="T726" s="10"/>
      <c r="U726" s="37" t="s">
        <v>17</v>
      </c>
      <c r="V726" s="18">
        <f>IF(IFERROR(VLOOKUP(A726,Drank!A:T,19,FALSE),"")=0,"",IFERROR(VLOOKUP(A726,Drank!A:T,19,FALSE),""))</f>
        <v>93</v>
      </c>
      <c r="W726" s="1">
        <f>IF(IFERROR(VLOOKUP(A726,Drank!A:T,20,FALSE),"")=0,"",IFERROR(VLOOKUP(A726,Drank!A:T,20,FALSE),""))</f>
        <v>43866</v>
      </c>
      <c r="X726" s="10">
        <f>SUMIF(A:A,A726,I:I)</f>
        <v>6</v>
      </c>
      <c r="Y726" s="10">
        <f>IF(Table1[[#This Row],[Drank]]&gt;0,VLOOKUP(Table1[[#This Row],[ID]],Drank!A:P,16,FALSE),IF(Table1[[#This Row],[WALDD]]&gt;0,VLOOKUP(Table1[[#This Row],[ID]],Wine1!A:Q,17,FALSE),Table1[[#This Row],[EP]]))</f>
        <v>2030</v>
      </c>
      <c r="Z726" s="18">
        <f>IF(Table1[[#This Row],[My Rating]]="",IF(Table1[[#This Row],[WA Rating Clean]]="","",Table1[[#This Row],[WA Rating Clean]]),Table1[[#This Row],[My Rating]])</f>
        <v>93</v>
      </c>
      <c r="AA726" s="37">
        <v>2026</v>
      </c>
      <c r="AB726" s="128">
        <v>44.25</v>
      </c>
      <c r="AC726" s="2">
        <f t="shared" si="43"/>
        <v>44.25</v>
      </c>
      <c r="AD726" s="8">
        <v>2</v>
      </c>
      <c r="AE726" s="10">
        <f>IF(Table1[[#This Row],[P/750]]&lt;20,1,IF(Table1[[#This Row],[P/750]]&lt;50,2,3))</f>
        <v>2</v>
      </c>
      <c r="AF726" s="10">
        <f>IF(Table1[[#This Row],[P/750]]&lt;Expenses!$C$30,1,IF(Table1[[#This Row],[P/750]]&lt;Expenses!$C$31,2,IF(Table1[[#This Row],[P/750]]&lt;Expenses!$C$32,3,4)))</f>
        <v>3</v>
      </c>
      <c r="AH726" s="37" t="s">
        <v>1238</v>
      </c>
      <c r="AI726" s="11">
        <f>Table1[[#This Row],[Price]]/Table1[[#This Row],[Size (ml)]]*750</f>
        <v>44.25</v>
      </c>
      <c r="AJ726" s="37">
        <v>94</v>
      </c>
      <c r="AK726" s="10">
        <f>COUNTIF(UniqueID!A:A,Table1[[#This Row],[ID]])</f>
        <v>1</v>
      </c>
      <c r="AL726" s="10" t="str">
        <f>VLOOKUP(Table1[[#This Row],[Cellar Location]],Location!A:F,6,FALSE)</f>
        <v>S</v>
      </c>
      <c r="AN726" s="1">
        <v>43869</v>
      </c>
      <c r="AO726" s="37" t="str">
        <f>TEXT(Table1[[#This Row],[Purchased]],"mmmm")</f>
        <v>February</v>
      </c>
      <c r="AP726" s="10" t="str">
        <f>TEXT(Table1[[#This Row],[Purchased]],"yyyy")</f>
        <v>2020</v>
      </c>
      <c r="AQ726" s="10"/>
    </row>
    <row r="727" spans="1:43" x14ac:dyDescent="0.25">
      <c r="A727" s="8" t="str">
        <f t="shared" si="42"/>
        <v>2018Castello RomitorioRomiToro</v>
      </c>
      <c r="B727" s="37">
        <v>2018</v>
      </c>
      <c r="C727" s="37" t="s">
        <v>689</v>
      </c>
      <c r="D727" s="37" t="s">
        <v>1511</v>
      </c>
      <c r="E727" s="69" t="s">
        <v>1271</v>
      </c>
      <c r="F727" s="37" t="s">
        <v>728</v>
      </c>
      <c r="G727" s="37" t="s">
        <v>790</v>
      </c>
      <c r="H727" s="37" t="s">
        <v>796</v>
      </c>
      <c r="I727" s="107">
        <v>1</v>
      </c>
      <c r="J727" s="37">
        <v>750</v>
      </c>
      <c r="K727" s="107" t="s">
        <v>1405</v>
      </c>
      <c r="L727" s="10">
        <f>COUNTIF(Drank!A:A,Table1[[#This Row],[ID]])</f>
        <v>1</v>
      </c>
      <c r="M727" t="s">
        <v>202</v>
      </c>
      <c r="N727" t="s">
        <v>207</v>
      </c>
      <c r="O727">
        <v>1</v>
      </c>
      <c r="P727" s="10">
        <v>2021</v>
      </c>
      <c r="Q727">
        <v>2030</v>
      </c>
      <c r="R727" s="10">
        <f>IF(IFERROR(VLOOKUP(A727,Drank!A:S,15,FALSE),"")=0,"",IFERROR(VLOOKUP(A727,Drank!A:S,15,FALSE),""))</f>
        <v>2026</v>
      </c>
      <c r="S727" s="10">
        <f>IF(IFERROR(VLOOKUP(A727,Drank!A:S,16,FALSE),"")=0,"",IFERROR(VLOOKUP(A727,Drank!A:S,16,FALSE),""))</f>
        <v>2030</v>
      </c>
      <c r="T727" s="10"/>
      <c r="U727" t="s">
        <v>74</v>
      </c>
      <c r="V727" s="18">
        <f>IF(IFERROR(VLOOKUP(A727,Drank!A:T,19,FALSE),"")=0,"",IFERROR(VLOOKUP(A727,Drank!A:T,19,FALSE),""))</f>
        <v>91</v>
      </c>
      <c r="W727" s="1">
        <f>IF(IFERROR(VLOOKUP(A727,Drank!A:T,20,FALSE),"")=0,"",IFERROR(VLOOKUP(A727,Drank!A:T,20,FALSE),""))</f>
        <v>44053</v>
      </c>
      <c r="X727" s="10">
        <f>SUMIF(A:A,A727,I:I)</f>
        <v>5</v>
      </c>
      <c r="Y727" s="10">
        <f>IF(Table1[[#This Row],[Drank]]&gt;0,VLOOKUP(Table1[[#This Row],[ID]],Drank!A:P,16,FALSE),IF(Table1[[#This Row],[WALDD]]&gt;0,VLOOKUP(Table1[[#This Row],[ID]],Wine1!A:Q,17,FALSE),Table1[[#This Row],[EP]]))</f>
        <v>2030</v>
      </c>
      <c r="Z727" s="18">
        <f>IF(Table1[[#This Row],[My Rating]]="",IF(Table1[[#This Row],[WA Rating Clean]]="","",Table1[[#This Row],[WA Rating Clean]]),Table1[[#This Row],[My Rating]])</f>
        <v>91</v>
      </c>
      <c r="AA727" s="37">
        <v>2026</v>
      </c>
      <c r="AB727" s="128">
        <v>19.54</v>
      </c>
      <c r="AC727" s="2">
        <f t="shared" si="43"/>
        <v>19.54</v>
      </c>
      <c r="AD727" s="8">
        <v>2</v>
      </c>
      <c r="AE727" s="10">
        <f>IF(Table1[[#This Row],[P/750]]&lt;20,1,IF(Table1[[#This Row],[P/750]]&lt;50,2,3))</f>
        <v>1</v>
      </c>
      <c r="AF727" s="10">
        <f>IF(Table1[[#This Row],[P/750]]&lt;Expenses!$C$30,1,IF(Table1[[#This Row],[P/750]]&lt;Expenses!$C$31,2,IF(Table1[[#This Row],[P/750]]&lt;Expenses!$C$32,3,4)))</f>
        <v>2</v>
      </c>
      <c r="AH727" s="37" t="s">
        <v>384</v>
      </c>
      <c r="AI727" s="11">
        <f>Table1[[#This Row],[Price]]/Table1[[#This Row],[Size (ml)]]*750</f>
        <v>19.54</v>
      </c>
      <c r="AJ727">
        <v>93</v>
      </c>
      <c r="AK727" s="10">
        <f>COUNTIF(UniqueID!A:A,Table1[[#This Row],[ID]])</f>
        <v>0</v>
      </c>
      <c r="AL727" s="10" t="str">
        <f>VLOOKUP(Table1[[#This Row],[Cellar Location]],Location!A:F,6,FALSE)</f>
        <v>S</v>
      </c>
      <c r="AN727" s="1">
        <v>44026</v>
      </c>
      <c r="AO727" s="10" t="str">
        <f>TEXT(Table1[[#This Row],[Purchased]],"mmmm")</f>
        <v>July</v>
      </c>
      <c r="AP727" s="10" t="str">
        <f>TEXT(Table1[[#This Row],[Purchased]],"yyyy")</f>
        <v>2020</v>
      </c>
      <c r="AQ727" s="10"/>
    </row>
    <row r="728" spans="1:43" x14ac:dyDescent="0.25">
      <c r="A728" t="str">
        <f t="shared" si="42"/>
        <v>2013BrancaiaIlatraia</v>
      </c>
      <c r="B728" s="37">
        <v>2013</v>
      </c>
      <c r="C728" s="37" t="s">
        <v>140</v>
      </c>
      <c r="D728" s="37" t="s">
        <v>372</v>
      </c>
      <c r="E728" s="67" t="s">
        <v>1637</v>
      </c>
      <c r="F728" s="37" t="s">
        <v>728</v>
      </c>
      <c r="G728" s="37" t="s">
        <v>790</v>
      </c>
      <c r="H728" s="37" t="s">
        <v>794</v>
      </c>
      <c r="I728" s="8">
        <v>1</v>
      </c>
      <c r="J728" s="107">
        <v>750</v>
      </c>
      <c r="K728" s="8" t="s">
        <v>1852</v>
      </c>
      <c r="L728" s="37">
        <f>COUNTIF(Drank!A:A,Table1[[#This Row],[ID]])</f>
        <v>1</v>
      </c>
      <c r="M728" t="s">
        <v>202</v>
      </c>
      <c r="N728" t="s">
        <v>207</v>
      </c>
      <c r="O728">
        <v>1</v>
      </c>
      <c r="P728" s="37">
        <v>2017</v>
      </c>
      <c r="Q728">
        <v>2030</v>
      </c>
      <c r="R728" s="10">
        <f>IF(IFERROR(VLOOKUP(A728,Drank!A:S,15,FALSE),"")=0,"",IFERROR(VLOOKUP(A728,Drank!A:S,15,FALSE),""))</f>
        <v>2027</v>
      </c>
      <c r="S728" s="10">
        <f>IF(IFERROR(VLOOKUP(A728,Drank!A:S,16,FALSE),"")=0,"",IFERROR(VLOOKUP(A728,Drank!A:S,16,FALSE),""))</f>
        <v>2030</v>
      </c>
      <c r="T728" s="10"/>
      <c r="U728">
        <v>97</v>
      </c>
      <c r="V728" s="18">
        <f>IF(IFERROR(VLOOKUP(A728,Drank!A:T,19,FALSE),"")=0,"",IFERROR(VLOOKUP(A728,Drank!A:T,19,FALSE),""))</f>
        <v>92</v>
      </c>
      <c r="W728" s="1">
        <f>IF(IFERROR(VLOOKUP(A728,Drank!A:T,20,FALSE),"")=0,"",IFERROR(VLOOKUP(A728,Drank!A:T,20,FALSE),""))</f>
        <v>44067</v>
      </c>
      <c r="X728" s="10">
        <f>SUMIF(A:A,A728,I:I)</f>
        <v>8</v>
      </c>
      <c r="Y728" s="37">
        <f>IF(Table1[[#This Row],[Drank]]&gt;0,VLOOKUP(Table1[[#This Row],[ID]],Drank!A:P,16,FALSE),IF(Table1[[#This Row],[WALDD]]&gt;0,VLOOKUP(Table1[[#This Row],[ID]],Wine1!A:Q,17,FALSE),Table1[[#This Row],[EP]]))</f>
        <v>2030</v>
      </c>
      <c r="Z728" s="18">
        <f>IF(Table1[[#This Row],[My Rating]]="",IF(Table1[[#This Row],[WA Rating Clean]]="","",Table1[[#This Row],[WA Rating Clean]]),Table1[[#This Row],[My Rating]])</f>
        <v>92</v>
      </c>
      <c r="AA728" s="8">
        <v>2026</v>
      </c>
      <c r="AB728" s="128">
        <v>50.69</v>
      </c>
      <c r="AC728" s="2">
        <f t="shared" si="43"/>
        <v>50.69</v>
      </c>
      <c r="AD728" s="8">
        <v>2</v>
      </c>
      <c r="AE728" s="37">
        <f>IF(Table1[[#This Row],[P/750]]&lt;20,1,IF(Table1[[#This Row],[P/750]]&lt;50,2,3))</f>
        <v>3</v>
      </c>
      <c r="AF728" s="37">
        <f>IF(Table1[[#This Row],[P/750]]&lt;Expenses!$C$30,1,IF(Table1[[#This Row],[P/750]]&lt;Expenses!$C$31,2,IF(Table1[[#This Row],[P/750]]&lt;Expenses!$C$32,3,4)))</f>
        <v>3</v>
      </c>
      <c r="AH728" s="37" t="s">
        <v>1128</v>
      </c>
      <c r="AI728" s="11">
        <f>Table1[[#This Row],[Price]]/Table1[[#This Row],[Size (ml)]]*750</f>
        <v>50.690000000000005</v>
      </c>
      <c r="AJ728">
        <v>97</v>
      </c>
      <c r="AK728" s="37">
        <f>COUNTIF(UniqueID!A:A,Table1[[#This Row],[ID]])</f>
        <v>1</v>
      </c>
      <c r="AL728" s="37" t="str">
        <f>VLOOKUP(Table1[[#This Row],[Cellar Location]],Location!A:F,6,FALSE)</f>
        <v>S</v>
      </c>
      <c r="AN728" s="1">
        <v>44070</v>
      </c>
      <c r="AO728" s="37" t="str">
        <f>TEXT(Table1[[#This Row],[Purchased]],"mmmm")</f>
        <v>August</v>
      </c>
      <c r="AP728" s="10" t="str">
        <f>TEXT(Table1[[#This Row],[Purchased]],"yyyy")</f>
        <v>2020</v>
      </c>
      <c r="AQ728" s="10"/>
    </row>
    <row r="729" spans="1:43" x14ac:dyDescent="0.25">
      <c r="A729" t="str">
        <f t="shared" si="42"/>
        <v>2013Mazzei Chianti Classico Gran Selezione Castello Fonterutoli</v>
      </c>
      <c r="B729" s="37">
        <v>2013</v>
      </c>
      <c r="C729" s="9" t="s">
        <v>1380</v>
      </c>
      <c r="D729" s="9" t="s">
        <v>1379</v>
      </c>
      <c r="E729" s="67" t="s">
        <v>1381</v>
      </c>
      <c r="F729" s="37" t="s">
        <v>728</v>
      </c>
      <c r="G729" s="37" t="s">
        <v>790</v>
      </c>
      <c r="H729" s="9" t="s">
        <v>792</v>
      </c>
      <c r="I729" s="107">
        <v>1</v>
      </c>
      <c r="J729" s="37">
        <v>750</v>
      </c>
      <c r="K729" s="107" t="s">
        <v>1196</v>
      </c>
      <c r="L729" s="10">
        <f>COUNTIF(Drank!A:A,Table1[[#This Row],[ID]])</f>
        <v>1</v>
      </c>
      <c r="M729" t="s">
        <v>202</v>
      </c>
      <c r="N729" t="s">
        <v>207</v>
      </c>
      <c r="O729">
        <v>1</v>
      </c>
      <c r="P729" s="37">
        <v>2017</v>
      </c>
      <c r="Q729">
        <v>2030</v>
      </c>
      <c r="R729" s="10">
        <f>IF(IFERROR(VLOOKUP(A729,Drank!A:S,15,FALSE),"")=0,"",IFERROR(VLOOKUP(A729,Drank!A:S,15,FALSE),""))</f>
        <v>2026</v>
      </c>
      <c r="S729" s="10">
        <f>IF(IFERROR(VLOOKUP(A729,Drank!A:S,16,FALSE),"")=0,"",IFERROR(VLOOKUP(A729,Drank!A:S,16,FALSE),""))</f>
        <v>2032</v>
      </c>
      <c r="T729" s="10"/>
      <c r="U729">
        <v>94</v>
      </c>
      <c r="V729" s="18">
        <f>IF(IFERROR(VLOOKUP(A729,Drank!A:T,19,FALSE),"")=0,"",IFERROR(VLOOKUP(A729,Drank!A:T,19,FALSE),""))</f>
        <v>93</v>
      </c>
      <c r="W729" s="1">
        <f>IF(IFERROR(VLOOKUP(A729,Drank!A:T,20,FALSE),"")=0,"",IFERROR(VLOOKUP(A729,Drank!A:T,20,FALSE),""))</f>
        <v>44017</v>
      </c>
      <c r="X729" s="10">
        <f>SUMIF(A:A,A729,I:I)</f>
        <v>3</v>
      </c>
      <c r="Y729" s="10">
        <f>IF(Table1[[#This Row],[Drank]]&gt;0,VLOOKUP(Table1[[#This Row],[ID]],Drank!A:P,16,FALSE),IF(Table1[[#This Row],[WALDD]]&gt;0,VLOOKUP(Table1[[#This Row],[ID]],Wine1!A:Q,17,FALSE),Table1[[#This Row],[EP]]))</f>
        <v>2032</v>
      </c>
      <c r="Z729" s="18">
        <f>IF(Table1[[#This Row],[My Rating]]="",IF(Table1[[#This Row],[WA Rating Clean]]="","",Table1[[#This Row],[WA Rating Clean]]),Table1[[#This Row],[My Rating]])</f>
        <v>93</v>
      </c>
      <c r="AA729" s="37">
        <v>2026</v>
      </c>
      <c r="AB729" s="128">
        <v>35.840000000000003</v>
      </c>
      <c r="AC729" s="2">
        <f t="shared" si="43"/>
        <v>35.840000000000003</v>
      </c>
      <c r="AD729" s="8">
        <v>2</v>
      </c>
      <c r="AE729" s="10">
        <f>IF(Table1[[#This Row],[P/750]]&lt;20,1,IF(Table1[[#This Row],[P/750]]&lt;50,2,3))</f>
        <v>2</v>
      </c>
      <c r="AF729" s="10">
        <f>IF(Table1[[#This Row],[P/750]]&lt;Expenses!$C$30,1,IF(Table1[[#This Row],[P/750]]&lt;Expenses!$C$31,2,IF(Table1[[#This Row],[P/750]]&lt;Expenses!$C$32,3,4)))</f>
        <v>3</v>
      </c>
      <c r="AH729" s="25" t="s">
        <v>384</v>
      </c>
      <c r="AI729" s="11">
        <f>Table1[[#This Row],[Price]]/Table1[[#This Row],[Size (ml)]]*750</f>
        <v>35.840000000000003</v>
      </c>
      <c r="AJ729">
        <v>94</v>
      </c>
      <c r="AK729" s="10">
        <f>COUNTIF(UniqueID!A:A,Table1[[#This Row],[ID]])</f>
        <v>0</v>
      </c>
      <c r="AL729" s="10" t="str">
        <f>VLOOKUP(Table1[[#This Row],[Cellar Location]],Location!A:F,6,FALSE)</f>
        <v>S</v>
      </c>
      <c r="AN729" s="1">
        <v>43947</v>
      </c>
      <c r="AO729" s="10" t="str">
        <f>TEXT(Table1[[#This Row],[Purchased]],"mmmm")</f>
        <v>April</v>
      </c>
      <c r="AP729" s="10" t="str">
        <f>TEXT(Table1[[#This Row],[Purchased]],"yyyy")</f>
        <v>2020</v>
      </c>
      <c r="AQ729" s="10"/>
    </row>
    <row r="730" spans="1:43" x14ac:dyDescent="0.25">
      <c r="A730" t="str">
        <f t="shared" si="42"/>
        <v>2014AllegriniAmarone della Valpolicella Classico</v>
      </c>
      <c r="B730" s="37">
        <v>2014</v>
      </c>
      <c r="C730" s="9" t="s">
        <v>111</v>
      </c>
      <c r="D730" s="9" t="s">
        <v>26</v>
      </c>
      <c r="E730" s="65" t="s">
        <v>313</v>
      </c>
      <c r="F730" s="37" t="s">
        <v>728</v>
      </c>
      <c r="G730" s="37" t="s">
        <v>799</v>
      </c>
      <c r="H730" s="37" t="s">
        <v>800</v>
      </c>
      <c r="I730" s="37">
        <v>1</v>
      </c>
      <c r="J730" s="37">
        <v>750</v>
      </c>
      <c r="K730" s="8" t="s">
        <v>11</v>
      </c>
      <c r="L730" s="37">
        <f>COUNTIF(Drank!A:A,Table1[[#This Row],[ID]])</f>
        <v>1</v>
      </c>
      <c r="M730" t="s">
        <v>202</v>
      </c>
      <c r="N730" t="s">
        <v>207</v>
      </c>
      <c r="O730">
        <v>1</v>
      </c>
      <c r="P730" s="37">
        <v>2019</v>
      </c>
      <c r="Q730">
        <v>2030</v>
      </c>
      <c r="R730" s="10">
        <f>IF(IFERROR(VLOOKUP(A730,Drank!A:S,15,FALSE),"")=0,"",IFERROR(VLOOKUP(A730,Drank!A:S,15,FALSE),""))</f>
        <v>2025</v>
      </c>
      <c r="S730" s="10">
        <f>IF(IFERROR(VLOOKUP(A730,Drank!A:S,16,FALSE),"")=0,"",IFERROR(VLOOKUP(A730,Drank!A:S,16,FALSE),""))</f>
        <v>2032</v>
      </c>
      <c r="T730" s="10"/>
      <c r="U730">
        <v>91</v>
      </c>
      <c r="V730" s="18">
        <f>IF(IFERROR(VLOOKUP(A730,Drank!A:T,19,FALSE),"")=0,"",IFERROR(VLOOKUP(A730,Drank!A:T,19,FALSE),""))</f>
        <v>94</v>
      </c>
      <c r="W730" s="1">
        <f>IF(IFERROR(VLOOKUP(A730,Drank!A:T,20,FALSE),"")=0,"",IFERROR(VLOOKUP(A730,Drank!A:T,20,FALSE),""))</f>
        <v>43681</v>
      </c>
      <c r="X730" s="10">
        <f>SUMIF(A:A,A730,I:I)</f>
        <v>2</v>
      </c>
      <c r="Y730" s="37">
        <f>IF(Table1[[#This Row],[Drank]]&gt;0,VLOOKUP(Table1[[#This Row],[ID]],Drank!A:P,16,FALSE),IF(Table1[[#This Row],[WALDD]]&gt;0,VLOOKUP(Table1[[#This Row],[ID]],Wine1!A:Q,17,FALSE),Table1[[#This Row],[EP]]))</f>
        <v>2032</v>
      </c>
      <c r="Z730" s="18">
        <f>IF(Table1[[#This Row],[My Rating]]="",IF(Table1[[#This Row],[WA Rating Clean]]="","",Table1[[#This Row],[WA Rating Clean]]),Table1[[#This Row],[My Rating]])</f>
        <v>94</v>
      </c>
      <c r="AA730" s="37">
        <v>2026</v>
      </c>
      <c r="AB730" s="128">
        <v>67.489999999999995</v>
      </c>
      <c r="AC730" s="2">
        <f t="shared" si="43"/>
        <v>67.489999999999995</v>
      </c>
      <c r="AD730" s="8">
        <v>0</v>
      </c>
      <c r="AE730" s="37">
        <f>IF(Table1[[#This Row],[P/750]]&lt;20,1,IF(Table1[[#This Row],[P/750]]&lt;50,2,3))</f>
        <v>3</v>
      </c>
      <c r="AF730" s="37">
        <f>IF(Table1[[#This Row],[P/750]]&lt;Expenses!$C$30,1,IF(Table1[[#This Row],[P/750]]&lt;Expenses!$C$31,2,IF(Table1[[#This Row],[P/750]]&lt;Expenses!$C$32,3,4)))</f>
        <v>4</v>
      </c>
      <c r="AG730">
        <v>2</v>
      </c>
      <c r="AH730" s="25" t="s">
        <v>1128</v>
      </c>
      <c r="AI730" s="11">
        <f>Table1[[#This Row],[Price]]/Table1[[#This Row],[Size (ml)]]*750</f>
        <v>67.489999999999995</v>
      </c>
      <c r="AJ730">
        <v>91</v>
      </c>
      <c r="AK730" s="37">
        <f>COUNTIF(UniqueID!A:A,Table1[[#This Row],[ID]])</f>
        <v>1</v>
      </c>
      <c r="AL730" s="37" t="str">
        <f>VLOOKUP(Table1[[#This Row],[Cellar Location]],Location!A:F,6,FALSE)</f>
        <v>K</v>
      </c>
      <c r="AN730" s="37"/>
      <c r="AO730" s="37" t="str">
        <f>TEXT(Table1[[#This Row],[Purchased]],"mmmm")</f>
        <v>January</v>
      </c>
      <c r="AP730" s="10" t="str">
        <f>TEXT(Table1[[#This Row],[Purchased]],"yyyy")</f>
        <v>1900</v>
      </c>
      <c r="AQ730" s="10"/>
    </row>
    <row r="731" spans="1:43" s="37" customFormat="1" x14ac:dyDescent="0.25">
      <c r="A731" s="37" t="str">
        <f t="shared" si="42"/>
        <v>2013Castello RomitorioBrunello di Montalcino</v>
      </c>
      <c r="B731" s="37">
        <v>2013</v>
      </c>
      <c r="C731" s="37" t="s">
        <v>689</v>
      </c>
      <c r="D731" s="37" t="s">
        <v>19</v>
      </c>
      <c r="E731" s="67" t="s">
        <v>1250</v>
      </c>
      <c r="F731" s="37" t="s">
        <v>728</v>
      </c>
      <c r="G731" s="37" t="s">
        <v>790</v>
      </c>
      <c r="H731" s="37" t="s">
        <v>19</v>
      </c>
      <c r="I731" s="107">
        <v>1</v>
      </c>
      <c r="J731" s="37">
        <v>750</v>
      </c>
      <c r="K731" s="107" t="s">
        <v>716</v>
      </c>
      <c r="L731" s="10">
        <f>COUNTIF(Drank!A:A,Table1[[#This Row],[ID]])</f>
        <v>1</v>
      </c>
      <c r="M731" s="37" t="s">
        <v>202</v>
      </c>
      <c r="N731" s="37" t="s">
        <v>207</v>
      </c>
      <c r="O731" s="37">
        <v>1</v>
      </c>
      <c r="P731" s="10">
        <v>2020</v>
      </c>
      <c r="Q731" s="37">
        <v>2030</v>
      </c>
      <c r="R731" s="10">
        <f>IF(IFERROR(VLOOKUP(A731,Drank!A:S,15,FALSE),"")=0,"",IFERROR(VLOOKUP(A731,Drank!A:S,15,FALSE),""))</f>
        <v>2026</v>
      </c>
      <c r="S731" s="10">
        <f>IF(IFERROR(VLOOKUP(A731,Drank!A:S,16,FALSE),"")=0,"",IFERROR(VLOOKUP(A731,Drank!A:S,16,FALSE),""))</f>
        <v>2032</v>
      </c>
      <c r="T731" s="10"/>
      <c r="U731" s="37" t="s">
        <v>74</v>
      </c>
      <c r="V731" s="18">
        <f>IF(IFERROR(VLOOKUP(A731,Drank!A:T,19,FALSE),"")=0,"",IFERROR(VLOOKUP(A731,Drank!A:T,19,FALSE),""))</f>
        <v>92</v>
      </c>
      <c r="W731" s="1">
        <f>IF(IFERROR(VLOOKUP(A731,Drank!A:T,20,FALSE),"")=0,"",IFERROR(VLOOKUP(A731,Drank!A:T,20,FALSE),""))</f>
        <v>43925</v>
      </c>
      <c r="X731" s="10">
        <f>SUMIF(A:A,A731,I:I)</f>
        <v>2</v>
      </c>
      <c r="Y731" s="10">
        <f>IF(Table1[[#This Row],[Drank]]&gt;0,VLOOKUP(Table1[[#This Row],[ID]],Drank!A:P,16,FALSE),IF(Table1[[#This Row],[WALDD]]&gt;0,VLOOKUP(Table1[[#This Row],[ID]],Wine1!A:Q,17,FALSE),Table1[[#This Row],[EP]]))</f>
        <v>2032</v>
      </c>
      <c r="Z731" s="18">
        <f>IF(Table1[[#This Row],[My Rating]]="",IF(Table1[[#This Row],[WA Rating Clean]]="","",Table1[[#This Row],[WA Rating Clean]]),Table1[[#This Row],[My Rating]])</f>
        <v>92</v>
      </c>
      <c r="AA731" s="37">
        <v>2026</v>
      </c>
      <c r="AB731" s="128">
        <v>42.99</v>
      </c>
      <c r="AC731" s="2">
        <f t="shared" si="43"/>
        <v>42.99</v>
      </c>
      <c r="AD731" s="8">
        <v>2</v>
      </c>
      <c r="AE731" s="10">
        <f>IF(Table1[[#This Row],[P/750]]&lt;20,1,IF(Table1[[#This Row],[P/750]]&lt;50,2,3))</f>
        <v>2</v>
      </c>
      <c r="AF731" s="10">
        <f>IF(Table1[[#This Row],[P/750]]&lt;Expenses!$C$30,1,IF(Table1[[#This Row],[P/750]]&lt;Expenses!$C$31,2,IF(Table1[[#This Row],[P/750]]&lt;Expenses!$C$32,3,4)))</f>
        <v>3</v>
      </c>
      <c r="AH731" s="37" t="s">
        <v>384</v>
      </c>
      <c r="AI731" s="11">
        <f>Table1[[#This Row],[Price]]/Table1[[#This Row],[Size (ml)]]*750</f>
        <v>42.99</v>
      </c>
      <c r="AJ731" s="37">
        <v>93</v>
      </c>
      <c r="AK731" s="37">
        <f>COUNTIF(UniqueID!A:A,Table1[[#This Row],[ID]])</f>
        <v>1</v>
      </c>
      <c r="AL731" s="37" t="str">
        <f>VLOOKUP(Table1[[#This Row],[Cellar Location]],Location!A:F,6,FALSE)</f>
        <v>S</v>
      </c>
      <c r="AN731" s="1">
        <v>43814</v>
      </c>
      <c r="AO731" s="37" t="str">
        <f>TEXT(Table1[[#This Row],[Purchased]],"mmmm")</f>
        <v>December</v>
      </c>
      <c r="AP731" s="10" t="str">
        <f>TEXT(Table1[[#This Row],[Purchased]],"yyyy")</f>
        <v>2019</v>
      </c>
      <c r="AQ731" s="10"/>
    </row>
    <row r="732" spans="1:43" s="37" customFormat="1" x14ac:dyDescent="0.25">
      <c r="A732" s="37" t="str">
        <f t="shared" si="42"/>
        <v>2016Foley JohnsonCabernet Sauvignon Estate</v>
      </c>
      <c r="B732" s="37">
        <v>2016</v>
      </c>
      <c r="C732" s="9" t="s">
        <v>194</v>
      </c>
      <c r="D732" s="9" t="s">
        <v>195</v>
      </c>
      <c r="E732" s="64" t="s">
        <v>32</v>
      </c>
      <c r="F732" s="37" t="s">
        <v>727</v>
      </c>
      <c r="G732" s="37" t="s">
        <v>806</v>
      </c>
      <c r="H732" s="37" t="s">
        <v>832</v>
      </c>
      <c r="I732" s="37">
        <v>1</v>
      </c>
      <c r="J732" s="37">
        <v>750</v>
      </c>
      <c r="K732" s="8" t="s">
        <v>8</v>
      </c>
      <c r="L732" s="37">
        <f>COUNTIF(Drank!A:A,Table1[[#This Row],[ID]])</f>
        <v>1</v>
      </c>
      <c r="M732" s="37" t="s">
        <v>202</v>
      </c>
      <c r="N732" s="37" t="s">
        <v>207</v>
      </c>
      <c r="O732" s="37">
        <v>1</v>
      </c>
      <c r="P732" s="37">
        <v>2019</v>
      </c>
      <c r="Q732" s="37">
        <v>2032</v>
      </c>
      <c r="R732" s="37">
        <f>IF(IFERROR(VLOOKUP(A732,Drank!A:S,15,FALSE),"")=0,"",IFERROR(VLOOKUP(A732,Drank!A:S,15,FALSE),""))</f>
        <v>2022</v>
      </c>
      <c r="S732" s="37">
        <f>IF(IFERROR(VLOOKUP(A732,Drank!A:S,16,FALSE),"")=0,"",IFERROR(VLOOKUP(A732,Drank!A:S,16,FALSE),""))</f>
        <v>2032</v>
      </c>
      <c r="U732" s="37">
        <v>92</v>
      </c>
      <c r="V732" s="18">
        <f>IF(IFERROR(VLOOKUP(A732,Drank!A:T,19,FALSE),"")=0,"",IFERROR(VLOOKUP(A732,Drank!A:T,19,FALSE),""))</f>
        <v>90</v>
      </c>
      <c r="W732" s="1">
        <f>IF(IFERROR(VLOOKUP(A732,Drank!A:T,20,FALSE),"")=0,"",IFERROR(VLOOKUP(A732,Drank!A:T,20,FALSE),""))</f>
        <v>43527</v>
      </c>
      <c r="X732" s="37">
        <f>SUMIF(A:A,A732,I:I)</f>
        <v>3</v>
      </c>
      <c r="Y732" s="37">
        <f>IF(Table1[[#This Row],[Drank]]&gt;0,VLOOKUP(Table1[[#This Row],[ID]],Drank!A:P,16,FALSE),IF(Table1[[#This Row],[WALDD]]&gt;0,VLOOKUP(Table1[[#This Row],[ID]],Wine1!A:Q,17,FALSE),Table1[[#This Row],[EP]]))</f>
        <v>2032</v>
      </c>
      <c r="Z732" s="18">
        <f>IF(Table1[[#This Row],[My Rating]]="",IF(Table1[[#This Row],[WA Rating Clean]]="","",Table1[[#This Row],[WA Rating Clean]]),Table1[[#This Row],[My Rating]])</f>
        <v>90</v>
      </c>
      <c r="AA732" s="37">
        <v>2026</v>
      </c>
      <c r="AB732" s="128">
        <v>30.3</v>
      </c>
      <c r="AC732" s="2">
        <f t="shared" si="43"/>
        <v>30.3</v>
      </c>
      <c r="AD732" s="8">
        <v>0</v>
      </c>
      <c r="AE732" s="37">
        <f>IF(Table1[[#This Row],[P/750]]&lt;20,1,IF(Table1[[#This Row],[P/750]]&lt;50,2,3))</f>
        <v>2</v>
      </c>
      <c r="AF732" s="37">
        <f>IF(Table1[[#This Row],[P/750]]&lt;Expenses!$C$30,1,IF(Table1[[#This Row],[P/750]]&lt;Expenses!$C$31,2,IF(Table1[[#This Row],[P/750]]&lt;Expenses!$C$32,3,4)))</f>
        <v>3</v>
      </c>
      <c r="AH732" s="37" t="s">
        <v>385</v>
      </c>
      <c r="AI732" s="11">
        <f>Table1[[#This Row],[Price]]/Table1[[#This Row],[Size (ml)]]*750</f>
        <v>30.299999999999997</v>
      </c>
      <c r="AJ732" s="37">
        <v>92</v>
      </c>
      <c r="AK732" s="37">
        <f>COUNTIF(UniqueID!A:A,Table1[[#This Row],[ID]])</f>
        <v>1</v>
      </c>
      <c r="AL732" s="37" t="str">
        <f>VLOOKUP(Table1[[#This Row],[Cellar Location]],Location!A:F,6,FALSE)</f>
        <v>K</v>
      </c>
      <c r="AO732" s="37" t="str">
        <f>TEXT(Table1[[#This Row],[Purchased]],"mmmm")</f>
        <v>January</v>
      </c>
      <c r="AP732" s="10" t="str">
        <f>TEXT(Table1[[#This Row],[Purchased]],"yyyy")</f>
        <v>1900</v>
      </c>
      <c r="AQ732" s="10"/>
    </row>
    <row r="733" spans="1:43" s="37" customFormat="1" x14ac:dyDescent="0.25">
      <c r="A733" s="37" t="str">
        <f t="shared" ref="A733:A796" si="44">CONCATENATE(B733,C733,D733)</f>
        <v>2014Casanova di NeriBrunello di Montalcino</v>
      </c>
      <c r="B733" s="37">
        <v>2014</v>
      </c>
      <c r="C733" s="37" t="s">
        <v>18</v>
      </c>
      <c r="D733" s="37" t="s">
        <v>19</v>
      </c>
      <c r="E733" s="64" t="s">
        <v>280</v>
      </c>
      <c r="F733" s="37" t="s">
        <v>728</v>
      </c>
      <c r="G733" s="37" t="s">
        <v>790</v>
      </c>
      <c r="H733" s="37" t="s">
        <v>19</v>
      </c>
      <c r="I733" s="107">
        <v>1</v>
      </c>
      <c r="J733" s="37">
        <v>750</v>
      </c>
      <c r="K733" s="107" t="s">
        <v>1313</v>
      </c>
      <c r="L733" s="10">
        <f>COUNTIF(Drank!A:A,Table1[[#This Row],[ID]])</f>
        <v>0</v>
      </c>
      <c r="M733" s="37" t="s">
        <v>202</v>
      </c>
      <c r="N733" s="37" t="s">
        <v>207</v>
      </c>
      <c r="O733" s="37">
        <v>1</v>
      </c>
      <c r="P733" s="10">
        <v>2020</v>
      </c>
      <c r="Q733" s="37">
        <v>2033</v>
      </c>
      <c r="R733" s="10" t="str">
        <f>IF(IFERROR(VLOOKUP(A733,Drank!A:S,15,FALSE),"")=0,"",IFERROR(VLOOKUP(A733,Drank!A:S,15,FALSE),""))</f>
        <v/>
      </c>
      <c r="S733" s="10" t="str">
        <f>IF(IFERROR(VLOOKUP(A733,Drank!A:S,16,FALSE),"")=0,"",IFERROR(VLOOKUP(A733,Drank!A:S,16,FALSE),""))</f>
        <v/>
      </c>
      <c r="T733" s="10"/>
      <c r="U733" s="37">
        <v>92</v>
      </c>
      <c r="V733" s="18" t="str">
        <f>IF(IFERROR(VLOOKUP(A733,Drank!A:T,19,FALSE),"")=0,"",IFERROR(VLOOKUP(A733,Drank!A:T,19,FALSE),""))</f>
        <v/>
      </c>
      <c r="W733" s="1" t="str">
        <f>IF(IFERROR(VLOOKUP(A733,Drank!A:T,20,FALSE),"")=0,"",IFERROR(VLOOKUP(A733,Drank!A:T,20,FALSE),""))</f>
        <v/>
      </c>
      <c r="X733" s="10">
        <f>SUMIF(A:A,A733,I:I)</f>
        <v>4</v>
      </c>
      <c r="Y733" s="10">
        <f>IF(Table1[[#This Row],[Drank]]&gt;0,VLOOKUP(Table1[[#This Row],[ID]],Drank!A:P,16,FALSE),IF(Table1[[#This Row],[WALDD]]&gt;0,VLOOKUP(Table1[[#This Row],[ID]],Wine1!A:Q,17,FALSE),Table1[[#This Row],[EP]]))</f>
        <v>2033</v>
      </c>
      <c r="Z733" s="18">
        <f>IF(Table1[[#This Row],[My Rating]]="",IF(Table1[[#This Row],[WA Rating Clean]]="","",Table1[[#This Row],[WA Rating Clean]]),Table1[[#This Row],[My Rating]])</f>
        <v>92</v>
      </c>
      <c r="AA733" s="37">
        <v>2026</v>
      </c>
      <c r="AB733" s="128">
        <v>53.99</v>
      </c>
      <c r="AC733" s="2">
        <f t="shared" ref="AC733:AC796" si="45">AB733*I733</f>
        <v>53.99</v>
      </c>
      <c r="AD733" s="8">
        <v>2</v>
      </c>
      <c r="AE733" s="10">
        <f>IF(Table1[[#This Row],[P/750]]&lt;20,1,IF(Table1[[#This Row],[P/750]]&lt;50,2,3))</f>
        <v>3</v>
      </c>
      <c r="AF733" s="10">
        <f>IF(Table1[[#This Row],[P/750]]&lt;Expenses!$C$30,1,IF(Table1[[#This Row],[P/750]]&lt;Expenses!$C$31,2,IF(Table1[[#This Row],[P/750]]&lt;Expenses!$C$32,3,4)))</f>
        <v>3</v>
      </c>
      <c r="AH733" s="37" t="s">
        <v>1128</v>
      </c>
      <c r="AI733" s="11">
        <f>Table1[[#This Row],[Price]]/Table1[[#This Row],[Size (ml)]]*750</f>
        <v>53.99</v>
      </c>
      <c r="AJ733" s="37">
        <v>92</v>
      </c>
      <c r="AK733" s="37">
        <f>COUNTIF(UniqueID!A:A,Table1[[#This Row],[ID]])</f>
        <v>1</v>
      </c>
      <c r="AL733" s="37" t="str">
        <f>VLOOKUP(Table1[[#This Row],[Cellar Location]],Location!A:F,6,FALSE)</f>
        <v>S</v>
      </c>
      <c r="AN733" s="1">
        <v>43879</v>
      </c>
      <c r="AO733" s="37" t="str">
        <f>TEXT(Table1[[#This Row],[Purchased]],"mmmm")</f>
        <v>February</v>
      </c>
      <c r="AP733" s="10" t="str">
        <f>TEXT(Table1[[#This Row],[Purchased]],"yyyy")</f>
        <v>2020</v>
      </c>
      <c r="AQ733" s="10"/>
    </row>
    <row r="734" spans="1:43" s="37" customFormat="1" x14ac:dyDescent="0.25">
      <c r="A734" s="37" t="str">
        <f t="shared" si="44"/>
        <v>2015CortonesiBrunello di Montalcino La Mannella</v>
      </c>
      <c r="B734" s="37">
        <v>2015</v>
      </c>
      <c r="C734" s="37" t="s">
        <v>72</v>
      </c>
      <c r="D734" s="25" t="s">
        <v>73</v>
      </c>
      <c r="E734" s="67" t="s">
        <v>1250</v>
      </c>
      <c r="F734" s="37" t="s">
        <v>728</v>
      </c>
      <c r="G734" s="37" t="s">
        <v>790</v>
      </c>
      <c r="H734" s="37" t="s">
        <v>19</v>
      </c>
      <c r="I734" s="107">
        <v>1</v>
      </c>
      <c r="J734" s="37">
        <v>750</v>
      </c>
      <c r="K734" s="107" t="s">
        <v>1195</v>
      </c>
      <c r="L734" s="10">
        <f>COUNTIF(Drank!A:A,Table1[[#This Row],[ID]])</f>
        <v>1</v>
      </c>
      <c r="M734" s="37" t="s">
        <v>202</v>
      </c>
      <c r="N734" s="37" t="s">
        <v>207</v>
      </c>
      <c r="O734" s="37">
        <v>1</v>
      </c>
      <c r="P734" s="37">
        <v>2021</v>
      </c>
      <c r="Q734" s="37">
        <v>2035</v>
      </c>
      <c r="R734" s="10">
        <f>IF(IFERROR(VLOOKUP(A734,Drank!A:S,15,FALSE),"")=0,"",IFERROR(VLOOKUP(A734,Drank!A:S,15,FALSE),""))</f>
        <v>2026</v>
      </c>
      <c r="S734" s="10">
        <f>IF(IFERROR(VLOOKUP(A734,Drank!A:S,16,FALSE),"")=0,"",IFERROR(VLOOKUP(A734,Drank!A:S,16,FALSE),""))</f>
        <v>2033</v>
      </c>
      <c r="T734" s="10"/>
      <c r="U734" s="37">
        <v>94</v>
      </c>
      <c r="V734" s="18">
        <f>IF(IFERROR(VLOOKUP(A734,Drank!A:T,19,FALSE),"")=0,"",IFERROR(VLOOKUP(A734,Drank!A:T,19,FALSE),""))</f>
        <v>94</v>
      </c>
      <c r="W734" s="1">
        <f>IF(IFERROR(VLOOKUP(A734,Drank!A:T,20,FALSE),"")=0,"",IFERROR(VLOOKUP(A734,Drank!A:T,20,FALSE),""))</f>
        <v>43995</v>
      </c>
      <c r="X734" s="10">
        <f>SUMIF(A:A,A734,I:I)</f>
        <v>23</v>
      </c>
      <c r="Y734" s="10">
        <f>IF(Table1[[#This Row],[Drank]]&gt;0,VLOOKUP(Table1[[#This Row],[ID]],Drank!A:P,16,FALSE),IF(Table1[[#This Row],[WALDD]]&gt;0,VLOOKUP(Table1[[#This Row],[ID]],Wine1!A:Q,17,FALSE),Table1[[#This Row],[EP]]))</f>
        <v>2033</v>
      </c>
      <c r="Z734" s="18">
        <f>IF(Table1[[#This Row],[My Rating]]="",IF(Table1[[#This Row],[WA Rating Clean]]="","",Table1[[#This Row],[WA Rating Clean]]),Table1[[#This Row],[My Rating]])</f>
        <v>94</v>
      </c>
      <c r="AA734" s="37">
        <v>2026</v>
      </c>
      <c r="AB734" s="128">
        <v>36.92</v>
      </c>
      <c r="AC734" s="2">
        <f t="shared" si="45"/>
        <v>36.92</v>
      </c>
      <c r="AD734" s="8">
        <v>2</v>
      </c>
      <c r="AE734" s="10">
        <f>IF(Table1[[#This Row],[P/750]]&lt;20,1,IF(Table1[[#This Row],[P/750]]&lt;50,2,3))</f>
        <v>2</v>
      </c>
      <c r="AF734" s="10">
        <f>IF(Table1[[#This Row],[P/750]]&lt;Expenses!$C$30,1,IF(Table1[[#This Row],[P/750]]&lt;Expenses!$C$31,2,IF(Table1[[#This Row],[P/750]]&lt;Expenses!$C$32,3,4)))</f>
        <v>3</v>
      </c>
      <c r="AH734" s="37" t="s">
        <v>384</v>
      </c>
      <c r="AI734" s="11">
        <f>Table1[[#This Row],[Price]]/Table1[[#This Row],[Size (ml)]]*750</f>
        <v>36.92</v>
      </c>
      <c r="AJ734" s="37">
        <v>94</v>
      </c>
      <c r="AK734" s="10">
        <f>COUNTIF(UniqueID!A:A,Table1[[#This Row],[ID]])</f>
        <v>0</v>
      </c>
      <c r="AL734" s="10" t="str">
        <f>VLOOKUP(Table1[[#This Row],[Cellar Location]],Location!A:F,6,FALSE)</f>
        <v>S</v>
      </c>
      <c r="AN734" s="1">
        <v>43984</v>
      </c>
      <c r="AO734" s="10" t="str">
        <f>TEXT(Table1[[#This Row],[Purchased]],"mmmm")</f>
        <v>June</v>
      </c>
      <c r="AP734" s="10" t="str">
        <f>TEXT(Table1[[#This Row],[Purchased]],"yyyy")</f>
        <v>2020</v>
      </c>
      <c r="AQ734" s="10"/>
    </row>
    <row r="735" spans="1:43" s="37" customFormat="1" x14ac:dyDescent="0.25">
      <c r="A735" s="37" t="str">
        <f t="shared" si="44"/>
        <v>2004BertaniAmarone della Valpolicella</v>
      </c>
      <c r="B735" s="37">
        <v>2004</v>
      </c>
      <c r="C735" s="37" t="s">
        <v>9</v>
      </c>
      <c r="D735" s="37" t="s">
        <v>10</v>
      </c>
      <c r="E735" s="64" t="s">
        <v>264</v>
      </c>
      <c r="F735" s="37" t="s">
        <v>728</v>
      </c>
      <c r="G735" s="37" t="s">
        <v>799</v>
      </c>
      <c r="H735" s="37" t="s">
        <v>800</v>
      </c>
      <c r="I735" s="37">
        <v>1</v>
      </c>
      <c r="J735" s="37">
        <v>750</v>
      </c>
      <c r="K735" s="8" t="s">
        <v>11</v>
      </c>
      <c r="L735" s="37">
        <f>COUNTIF(Drank!A:A,Table1[[#This Row],[ID]])</f>
        <v>0</v>
      </c>
      <c r="M735" s="37" t="s">
        <v>202</v>
      </c>
      <c r="N735" s="37" t="s">
        <v>207</v>
      </c>
      <c r="O735" s="37">
        <v>1</v>
      </c>
      <c r="P735" s="37">
        <v>2014</v>
      </c>
      <c r="Q735" s="37">
        <v>2034</v>
      </c>
      <c r="R735" s="37" t="str">
        <f>IF(IFERROR(VLOOKUP(A735,Drank!A:S,15,FALSE),"")=0,"",IFERROR(VLOOKUP(A735,Drank!A:S,15,FALSE),""))</f>
        <v/>
      </c>
      <c r="S735" s="37" t="str">
        <f>IF(IFERROR(VLOOKUP(A735,Drank!A:S,16,FALSE),"")=0,"",IFERROR(VLOOKUP(A735,Drank!A:S,16,FALSE),""))</f>
        <v/>
      </c>
      <c r="U735" s="37">
        <v>94</v>
      </c>
      <c r="V735" s="18" t="str">
        <f>IF(IFERROR(VLOOKUP(A735,Drank!A:T,19,FALSE),"")=0,"",IFERROR(VLOOKUP(A735,Drank!A:T,19,FALSE),""))</f>
        <v/>
      </c>
      <c r="W735" s="1" t="str">
        <f>IF(IFERROR(VLOOKUP(A735,Drank!A:T,20,FALSE),"")=0,"",IFERROR(VLOOKUP(A735,Drank!A:T,20,FALSE),""))</f>
        <v/>
      </c>
      <c r="X735" s="37">
        <f>SUMIF(A:A,A735,I:I)</f>
        <v>1</v>
      </c>
      <c r="Y735" s="37">
        <f>IF(Table1[[#This Row],[Drank]]&gt;0,VLOOKUP(Table1[[#This Row],[ID]],Drank!A:P,16,FALSE),IF(Table1[[#This Row],[WALDD]]&gt;0,VLOOKUP(Table1[[#This Row],[ID]],Wine1!A:Q,17,FALSE),Table1[[#This Row],[EP]]))</f>
        <v>2034</v>
      </c>
      <c r="Z735" s="18">
        <f>IF(Table1[[#This Row],[My Rating]]="",IF(Table1[[#This Row],[WA Rating Clean]]="","",Table1[[#This Row],[WA Rating Clean]]),Table1[[#This Row],[My Rating]])</f>
        <v>94</v>
      </c>
      <c r="AA735" s="37">
        <v>2026</v>
      </c>
      <c r="AB735" s="134">
        <v>120</v>
      </c>
      <c r="AC735" s="2">
        <f t="shared" si="45"/>
        <v>120</v>
      </c>
      <c r="AD735" s="8">
        <v>0</v>
      </c>
      <c r="AE735" s="37">
        <f>IF(Table1[[#This Row],[P/750]]&lt;20,1,IF(Table1[[#This Row],[P/750]]&lt;50,2,3))</f>
        <v>3</v>
      </c>
      <c r="AF735" s="37">
        <f>IF(Table1[[#This Row],[P/750]]&lt;Expenses!$C$30,1,IF(Table1[[#This Row],[P/750]]&lt;Expenses!$C$31,2,IF(Table1[[#This Row],[P/750]]&lt;Expenses!$C$32,3,4)))</f>
        <v>4</v>
      </c>
      <c r="AH735" s="37" t="s">
        <v>384</v>
      </c>
      <c r="AI735" s="11">
        <f>Table1[[#This Row],[Price]]/Table1[[#This Row],[Size (ml)]]*750</f>
        <v>120</v>
      </c>
      <c r="AJ735" s="37">
        <v>94</v>
      </c>
      <c r="AK735" s="37">
        <f>COUNTIF(UniqueID!A:A,Table1[[#This Row],[ID]])</f>
        <v>1</v>
      </c>
      <c r="AL735" s="37" t="str">
        <f>VLOOKUP(Table1[[#This Row],[Cellar Location]],Location!A:F,6,FALSE)</f>
        <v>K</v>
      </c>
      <c r="AO735" s="37" t="str">
        <f>TEXT(Table1[[#This Row],[Purchased]],"mmmm")</f>
        <v>January</v>
      </c>
      <c r="AP735" s="10" t="str">
        <f>TEXT(Table1[[#This Row],[Purchased]],"yyyy")</f>
        <v>1900</v>
      </c>
      <c r="AQ735" s="10"/>
    </row>
    <row r="736" spans="1:43" s="37" customFormat="1" x14ac:dyDescent="0.25">
      <c r="A736" s="37" t="str">
        <f t="shared" si="44"/>
        <v>2010Raymond-LafonRaymond-Lafon</v>
      </c>
      <c r="B736" s="37">
        <v>2010</v>
      </c>
      <c r="C736" s="37" t="s">
        <v>197</v>
      </c>
      <c r="D736" s="37" t="s">
        <v>197</v>
      </c>
      <c r="E736" s="69" t="s">
        <v>274</v>
      </c>
      <c r="F736" s="37" t="s">
        <v>742</v>
      </c>
      <c r="G736" s="37" t="s">
        <v>748</v>
      </c>
      <c r="H736" s="37" t="s">
        <v>260</v>
      </c>
      <c r="I736" s="107">
        <v>1</v>
      </c>
      <c r="J736" s="37">
        <v>375</v>
      </c>
      <c r="K736" s="107" t="s">
        <v>628</v>
      </c>
      <c r="L736" s="37">
        <f>COUNTIF(Drank!A:A,Table1[[#This Row],[ID]])</f>
        <v>5</v>
      </c>
      <c r="M736" s="37" t="s">
        <v>201</v>
      </c>
      <c r="N736" s="37" t="s">
        <v>206</v>
      </c>
      <c r="O736" s="37">
        <v>1</v>
      </c>
      <c r="R736" s="37">
        <f>IF(IFERROR(VLOOKUP(A736,Drank!A:S,15,FALSE),"")=0,"",IFERROR(VLOOKUP(A736,Drank!A:S,15,FALSE),""))</f>
        <v>2024</v>
      </c>
      <c r="S736" s="37">
        <f>IF(IFERROR(VLOOKUP(A736,Drank!A:S,16,FALSE),"")=0,"",IFERROR(VLOOKUP(A736,Drank!A:S,16,FALSE),""))</f>
        <v>2035</v>
      </c>
      <c r="U736" s="37">
        <v>93</v>
      </c>
      <c r="V736" s="18">
        <f>IF(IFERROR(VLOOKUP(A736,Drank!A:T,19,FALSE),"")=0,"",IFERROR(VLOOKUP(A736,Drank!A:T,19,FALSE),""))</f>
        <v>92.8</v>
      </c>
      <c r="W736" s="1">
        <f>IF(IFERROR(VLOOKUP(A736,Drank!A:T,20,FALSE),"")=0,"",IFERROR(VLOOKUP(A736,Drank!A:T,20,FALSE),""))</f>
        <v>43708</v>
      </c>
      <c r="X736" s="37">
        <f>SUMIF(A:A,A736,I:I)</f>
        <v>4</v>
      </c>
      <c r="Y736" s="37">
        <f>IF(Table1[[#This Row],[Drank]]&gt;0,VLOOKUP(Table1[[#This Row],[ID]],Drank!A:P,16,FALSE),IF(Table1[[#This Row],[WALDD]]&gt;0,VLOOKUP(Table1[[#This Row],[ID]],Wine1!A:Q,17,FALSE),Table1[[#This Row],[EP]]))</f>
        <v>2035</v>
      </c>
      <c r="Z736" s="18">
        <f>IF(Table1[[#This Row],[My Rating]]="",IF(Table1[[#This Row],[WA Rating Clean]]="","",Table1[[#This Row],[WA Rating Clean]]),Table1[[#This Row],[My Rating]])</f>
        <v>92.8</v>
      </c>
      <c r="AA736" s="8">
        <v>2026</v>
      </c>
      <c r="AB736" s="128">
        <v>22.99</v>
      </c>
      <c r="AC736" s="2">
        <f t="shared" si="45"/>
        <v>22.99</v>
      </c>
      <c r="AD736" s="8">
        <v>2</v>
      </c>
      <c r="AE736" s="37">
        <f>IF(Table1[[#This Row],[P/750]]&lt;20,1,IF(Table1[[#This Row],[P/750]]&lt;50,2,3))</f>
        <v>2</v>
      </c>
      <c r="AF736" s="37">
        <f>IF(Table1[[#This Row],[P/750]]&lt;Expenses!$C$30,1,IF(Table1[[#This Row],[P/750]]&lt;Expenses!$C$31,2,IF(Table1[[#This Row],[P/750]]&lt;Expenses!$C$32,3,4)))</f>
        <v>3</v>
      </c>
      <c r="AH736" s="37" t="s">
        <v>384</v>
      </c>
      <c r="AI736" s="11">
        <f>Table1[[#This Row],[Price]]/Table1[[#This Row],[Size (ml)]]*750</f>
        <v>45.98</v>
      </c>
      <c r="AJ736" s="37">
        <v>93</v>
      </c>
      <c r="AK736" s="37">
        <f>COUNTIF(UniqueID!A:A,Table1[[#This Row],[ID]])</f>
        <v>1</v>
      </c>
      <c r="AL736" s="37" t="str">
        <f>VLOOKUP(Table1[[#This Row],[Cellar Location]],Location!A:F,6,FALSE)</f>
        <v>S</v>
      </c>
      <c r="AO736" s="37" t="str">
        <f>TEXT(Table1[[#This Row],[Purchased]],"mmmm")</f>
        <v>January</v>
      </c>
      <c r="AP736" s="10" t="str">
        <f>TEXT(Table1[[#This Row],[Purchased]],"yyyy")</f>
        <v>1900</v>
      </c>
      <c r="AQ736" s="10"/>
    </row>
    <row r="737" spans="1:43" s="37" customFormat="1" x14ac:dyDescent="0.25">
      <c r="A737" s="37" t="str">
        <f t="shared" si="44"/>
        <v>2015OdderoBarolo</v>
      </c>
      <c r="B737" s="37">
        <v>2015</v>
      </c>
      <c r="C737" s="37" t="s">
        <v>1173</v>
      </c>
      <c r="D737" s="37" t="s">
        <v>268</v>
      </c>
      <c r="E737" s="37" t="s">
        <v>1206</v>
      </c>
      <c r="F737" s="37" t="s">
        <v>728</v>
      </c>
      <c r="G737" s="37" t="s">
        <v>778</v>
      </c>
      <c r="H737" s="37" t="s">
        <v>268</v>
      </c>
      <c r="I737" s="107">
        <v>1</v>
      </c>
      <c r="J737" s="37">
        <v>375</v>
      </c>
      <c r="K737" s="107" t="s">
        <v>1234</v>
      </c>
      <c r="L737" s="10">
        <f>COUNTIF(Drank!A:A,Table1[[#This Row],[ID]])</f>
        <v>2</v>
      </c>
      <c r="M737" s="37" t="s">
        <v>202</v>
      </c>
      <c r="N737" s="37" t="s">
        <v>207</v>
      </c>
      <c r="O737" s="37">
        <v>1</v>
      </c>
      <c r="P737" s="37">
        <v>2020</v>
      </c>
      <c r="Q737" s="37">
        <v>2035</v>
      </c>
      <c r="R737" s="10">
        <f>IF(IFERROR(VLOOKUP(A737,Drank!A:S,15,FALSE),"")=0,"",IFERROR(VLOOKUP(A737,Drank!A:S,15,FALSE),""))</f>
        <v>2022</v>
      </c>
      <c r="S737" s="10">
        <f>IF(IFERROR(VLOOKUP(A737,Drank!A:S,16,FALSE),"")=0,"",IFERROR(VLOOKUP(A737,Drank!A:S,16,FALSE),""))</f>
        <v>2035</v>
      </c>
      <c r="T737" s="10"/>
      <c r="U737" s="37" t="s">
        <v>74</v>
      </c>
      <c r="V737" s="18">
        <f>IF(IFERROR(VLOOKUP(A737,Drank!A:T,19,FALSE),"")=0,"",IFERROR(VLOOKUP(A737,Drank!A:T,19,FALSE),""))</f>
        <v>93</v>
      </c>
      <c r="W737" s="1">
        <f>IF(IFERROR(VLOOKUP(A737,Drank!A:T,20,FALSE),"")=0,"",IFERROR(VLOOKUP(A737,Drank!A:T,20,FALSE),""))</f>
        <v>43905</v>
      </c>
      <c r="X737" s="10">
        <f>SUMIF(A:A,A737,I:I)</f>
        <v>22</v>
      </c>
      <c r="Y737" s="10">
        <f>IF(Table1[[#This Row],[Drank]]&gt;0,VLOOKUP(Table1[[#This Row],[ID]],Drank!A:P,16,FALSE),IF(Table1[[#This Row],[WALDD]]&gt;0,VLOOKUP(Table1[[#This Row],[ID]],Wine1!A:Q,17,FALSE),Table1[[#This Row],[EP]]))</f>
        <v>2035</v>
      </c>
      <c r="Z737" s="18">
        <f>IF(Table1[[#This Row],[My Rating]]="",IF(Table1[[#This Row],[WA Rating Clean]]="","",Table1[[#This Row],[WA Rating Clean]]),Table1[[#This Row],[My Rating]])</f>
        <v>93</v>
      </c>
      <c r="AA737" s="8">
        <v>2026</v>
      </c>
      <c r="AB737" s="128">
        <v>26.48</v>
      </c>
      <c r="AC737" s="2">
        <f t="shared" si="45"/>
        <v>26.48</v>
      </c>
      <c r="AD737" s="8">
        <v>2</v>
      </c>
      <c r="AE737" s="10">
        <f>IF(Table1[[#This Row],[P/750]]&lt;20,1,IF(Table1[[#This Row],[P/750]]&lt;50,2,3))</f>
        <v>3</v>
      </c>
      <c r="AF737" s="10">
        <f>IF(Table1[[#This Row],[P/750]]&lt;Expenses!$C$30,1,IF(Table1[[#This Row],[P/750]]&lt;Expenses!$C$31,2,IF(Table1[[#This Row],[P/750]]&lt;Expenses!$C$32,3,4)))</f>
        <v>3</v>
      </c>
      <c r="AH737" s="37" t="s">
        <v>1175</v>
      </c>
      <c r="AI737" s="11">
        <f>Table1[[#This Row],[Price]]/Table1[[#This Row],[Size (ml)]]*750</f>
        <v>52.96</v>
      </c>
      <c r="AJ737" s="37">
        <v>93</v>
      </c>
      <c r="AK737" s="10">
        <f>COUNTIF(UniqueID!A:A,Table1[[#This Row],[ID]])</f>
        <v>1</v>
      </c>
      <c r="AL737" s="10" t="str">
        <f>VLOOKUP(Table1[[#This Row],[Cellar Location]],Location!A:F,6,FALSE)</f>
        <v>S</v>
      </c>
      <c r="AN737" s="1">
        <v>43858</v>
      </c>
      <c r="AO737" s="37" t="str">
        <f>TEXT(Table1[[#This Row],[Purchased]],"mmmm")</f>
        <v>January</v>
      </c>
      <c r="AP737" s="10" t="str">
        <f>TEXT(Table1[[#This Row],[Purchased]],"yyyy")</f>
        <v>2020</v>
      </c>
      <c r="AQ737" s="10"/>
    </row>
    <row r="738" spans="1:43" s="37" customFormat="1" x14ac:dyDescent="0.25">
      <c r="A738" s="37" t="str">
        <f t="shared" si="44"/>
        <v>2015OdderoBarolo</v>
      </c>
      <c r="B738" s="37">
        <v>2015</v>
      </c>
      <c r="C738" s="37" t="s">
        <v>1173</v>
      </c>
      <c r="D738" s="37" t="s">
        <v>268</v>
      </c>
      <c r="E738" s="37" t="s">
        <v>1206</v>
      </c>
      <c r="F738" s="37" t="s">
        <v>728</v>
      </c>
      <c r="G738" s="37" t="s">
        <v>778</v>
      </c>
      <c r="H738" s="37" t="s">
        <v>268</v>
      </c>
      <c r="I738" s="107">
        <v>1</v>
      </c>
      <c r="J738" s="37">
        <v>750</v>
      </c>
      <c r="K738" s="107" t="s">
        <v>1235</v>
      </c>
      <c r="L738" s="10">
        <f>COUNTIF(Drank!A:A,Table1[[#This Row],[ID]])</f>
        <v>2</v>
      </c>
      <c r="M738" s="37" t="s">
        <v>202</v>
      </c>
      <c r="N738" s="37" t="s">
        <v>207</v>
      </c>
      <c r="O738" s="37">
        <v>1</v>
      </c>
      <c r="P738" s="37">
        <v>2020</v>
      </c>
      <c r="Q738" s="37">
        <v>2035</v>
      </c>
      <c r="R738" s="10">
        <f>IF(IFERROR(VLOOKUP(A738,Drank!A:S,15,FALSE),"")=0,"",IFERROR(VLOOKUP(A738,Drank!A:S,15,FALSE),""))</f>
        <v>2022</v>
      </c>
      <c r="S738" s="10">
        <f>IF(IFERROR(VLOOKUP(A738,Drank!A:S,16,FALSE),"")=0,"",IFERROR(VLOOKUP(A738,Drank!A:S,16,FALSE),""))</f>
        <v>2035</v>
      </c>
      <c r="T738" s="10"/>
      <c r="U738" s="37" t="s">
        <v>74</v>
      </c>
      <c r="V738" s="18">
        <f>IF(IFERROR(VLOOKUP(A738,Drank!A:T,19,FALSE),"")=0,"",IFERROR(VLOOKUP(A738,Drank!A:T,19,FALSE),""))</f>
        <v>93</v>
      </c>
      <c r="W738" s="1">
        <f>IF(IFERROR(VLOOKUP(A738,Drank!A:T,20,FALSE),"")=0,"",IFERROR(VLOOKUP(A738,Drank!A:T,20,FALSE),""))</f>
        <v>43905</v>
      </c>
      <c r="X738" s="10">
        <f>SUMIF(A:A,A738,I:I)</f>
        <v>22</v>
      </c>
      <c r="Y738" s="10">
        <f>IF(Table1[[#This Row],[Drank]]&gt;0,VLOOKUP(Table1[[#This Row],[ID]],Drank!A:P,16,FALSE),IF(Table1[[#This Row],[WALDD]]&gt;0,VLOOKUP(Table1[[#This Row],[ID]],Wine1!A:Q,17,FALSE),Table1[[#This Row],[EP]]))</f>
        <v>2035</v>
      </c>
      <c r="Z738" s="18">
        <f>IF(Table1[[#This Row],[My Rating]]="",IF(Table1[[#This Row],[WA Rating Clean]]="","",Table1[[#This Row],[WA Rating Clean]]),Table1[[#This Row],[My Rating]])</f>
        <v>93</v>
      </c>
      <c r="AA738" s="8">
        <v>2026</v>
      </c>
      <c r="AB738" s="128">
        <v>40.229999999999997</v>
      </c>
      <c r="AC738" s="2">
        <f t="shared" si="45"/>
        <v>40.229999999999997</v>
      </c>
      <c r="AD738" s="8">
        <v>2</v>
      </c>
      <c r="AE738" s="10">
        <f>IF(Table1[[#This Row],[P/750]]&lt;20,1,IF(Table1[[#This Row],[P/750]]&lt;50,2,3))</f>
        <v>2</v>
      </c>
      <c r="AF738" s="10">
        <f>IF(Table1[[#This Row],[P/750]]&lt;Expenses!$C$30,1,IF(Table1[[#This Row],[P/750]]&lt;Expenses!$C$31,2,IF(Table1[[#This Row],[P/750]]&lt;Expenses!$C$32,3,4)))</f>
        <v>3</v>
      </c>
      <c r="AH738" s="37" t="s">
        <v>1174</v>
      </c>
      <c r="AI738" s="11">
        <f>Table1[[#This Row],[Price]]/Table1[[#This Row],[Size (ml)]]*750</f>
        <v>40.229999999999997</v>
      </c>
      <c r="AJ738" s="37">
        <v>93</v>
      </c>
      <c r="AK738" s="10">
        <f>COUNTIF(UniqueID!A:A,Table1[[#This Row],[ID]])</f>
        <v>1</v>
      </c>
      <c r="AL738" s="10" t="str">
        <f>VLOOKUP(Table1[[#This Row],[Cellar Location]],Location!A:F,6,FALSE)</f>
        <v>S</v>
      </c>
      <c r="AN738" s="1">
        <v>43858</v>
      </c>
      <c r="AO738" s="37" t="str">
        <f>TEXT(Table1[[#This Row],[Purchased]],"mmmm")</f>
        <v>January</v>
      </c>
      <c r="AP738" s="10" t="str">
        <f>TEXT(Table1[[#This Row],[Purchased]],"yyyy")</f>
        <v>2020</v>
      </c>
      <c r="AQ738" s="10"/>
    </row>
    <row r="739" spans="1:43" s="37" customFormat="1" x14ac:dyDescent="0.25">
      <c r="A739" s="37" t="str">
        <f t="shared" si="44"/>
        <v>2016Produttori del BarbarescoBarbaresco</v>
      </c>
      <c r="B739" s="37">
        <v>2016</v>
      </c>
      <c r="C739" s="37" t="s">
        <v>248</v>
      </c>
      <c r="D739" s="37" t="s">
        <v>249</v>
      </c>
      <c r="E739" s="67" t="s">
        <v>1206</v>
      </c>
      <c r="F739" s="37" t="s">
        <v>728</v>
      </c>
      <c r="G739" s="37" t="s">
        <v>778</v>
      </c>
      <c r="H739" s="37" t="s">
        <v>249</v>
      </c>
      <c r="I739" s="107">
        <v>1</v>
      </c>
      <c r="J739" s="37">
        <v>750</v>
      </c>
      <c r="K739" s="107" t="s">
        <v>1408</v>
      </c>
      <c r="L739" s="37">
        <f>COUNTIF(Drank!A:A,Table1[[#This Row],[ID]])</f>
        <v>2</v>
      </c>
      <c r="M739" s="37" t="s">
        <v>202</v>
      </c>
      <c r="N739" s="37" t="s">
        <v>207</v>
      </c>
      <c r="O739" s="37">
        <v>1</v>
      </c>
      <c r="P739" s="37">
        <v>2022</v>
      </c>
      <c r="Q739" s="37">
        <v>2040</v>
      </c>
      <c r="R739" s="10">
        <f>IF(IFERROR(VLOOKUP(A739,Drank!A:S,15,FALSE),"")=0,"",IFERROR(VLOOKUP(A739,Drank!A:S,15,FALSE),""))</f>
        <v>2021</v>
      </c>
      <c r="S739" s="10">
        <f>IF(IFERROR(VLOOKUP(A739,Drank!A:S,16,FALSE),"")=0,"",IFERROR(VLOOKUP(A739,Drank!A:S,16,FALSE),""))</f>
        <v>2032</v>
      </c>
      <c r="T739" s="10"/>
      <c r="U739" s="37">
        <v>95</v>
      </c>
      <c r="V739" s="18">
        <f>IF(IFERROR(VLOOKUP(A739,Drank!A:T,19,FALSE),"")=0,"",IFERROR(VLOOKUP(A739,Drank!A:T,19,FALSE),""))</f>
        <v>95.5</v>
      </c>
      <c r="W739" s="1">
        <f>IF(IFERROR(VLOOKUP(A739,Drank!A:T,20,FALSE),"")=0,"",IFERROR(VLOOKUP(A739,Drank!A:T,20,FALSE),""))</f>
        <v>44079</v>
      </c>
      <c r="X739" s="10">
        <f>SUMIF(A:A,A739,I:I)</f>
        <v>41</v>
      </c>
      <c r="Y739" s="37">
        <f>IF(Table1[[#This Row],[Drank]]&gt;0,VLOOKUP(Table1[[#This Row],[ID]],Drank!A:P,16,FALSE),IF(Table1[[#This Row],[WALDD]]&gt;0,VLOOKUP(Table1[[#This Row],[ID]],Wine1!A:Q,17,FALSE),Table1[[#This Row],[EP]]))</f>
        <v>2032</v>
      </c>
      <c r="Z739" s="18">
        <f>IF(Table1[[#This Row],[My Rating]]="",IF(Table1[[#This Row],[WA Rating Clean]]="","",Table1[[#This Row],[WA Rating Clean]]),Table1[[#This Row],[My Rating]])</f>
        <v>95.5</v>
      </c>
      <c r="AA739" s="8">
        <v>2026</v>
      </c>
      <c r="AB739" s="128">
        <v>46.94</v>
      </c>
      <c r="AC739" s="2">
        <f t="shared" si="45"/>
        <v>46.94</v>
      </c>
      <c r="AD739" s="8">
        <v>2</v>
      </c>
      <c r="AE739" s="37">
        <f>IF(Table1[[#This Row],[P/750]]&lt;20,1,IF(Table1[[#This Row],[P/750]]&lt;50,2,3))</f>
        <v>2</v>
      </c>
      <c r="AF739" s="37">
        <f>IF(Table1[[#This Row],[P/750]]&lt;Expenses!$C$30,1,IF(Table1[[#This Row],[P/750]]&lt;Expenses!$C$31,2,IF(Table1[[#This Row],[P/750]]&lt;Expenses!$C$32,3,4)))</f>
        <v>3</v>
      </c>
      <c r="AH739" s="37" t="s">
        <v>1128</v>
      </c>
      <c r="AI739" s="11">
        <f>Table1[[#This Row],[Price]]/Table1[[#This Row],[Size (ml)]]*750</f>
        <v>46.94</v>
      </c>
      <c r="AJ739" s="37">
        <v>95</v>
      </c>
      <c r="AK739" s="37">
        <f>COUNTIF(UniqueID!A:A,Table1[[#This Row],[ID]])</f>
        <v>1</v>
      </c>
      <c r="AL739" s="37" t="str">
        <f>VLOOKUP(Table1[[#This Row],[Cellar Location]],Location!A:F,6,FALSE)</f>
        <v>S</v>
      </c>
      <c r="AN739" s="1">
        <v>43966</v>
      </c>
      <c r="AO739" s="37" t="str">
        <f>TEXT(Table1[[#This Row],[Purchased]],"mmmm")</f>
        <v>May</v>
      </c>
      <c r="AP739" s="10" t="str">
        <f>TEXT(Table1[[#This Row],[Purchased]],"yyyy")</f>
        <v>2020</v>
      </c>
      <c r="AQ739" s="10"/>
    </row>
    <row r="740" spans="1:43" s="37" customFormat="1" x14ac:dyDescent="0.25">
      <c r="A740" s="37" t="str">
        <f t="shared" si="44"/>
        <v>2016Xavier VignonChateauneuf du Pape Cuvee Anonyme</v>
      </c>
      <c r="B740" s="37">
        <v>2016</v>
      </c>
      <c r="C740" s="37" t="s">
        <v>405</v>
      </c>
      <c r="D740" s="37" t="s">
        <v>454</v>
      </c>
      <c r="E740" s="69" t="s">
        <v>1267</v>
      </c>
      <c r="F740" s="37" t="s">
        <v>742</v>
      </c>
      <c r="G740" s="37" t="s">
        <v>759</v>
      </c>
      <c r="H740" s="9" t="s">
        <v>762</v>
      </c>
      <c r="I740" s="107">
        <v>1</v>
      </c>
      <c r="J740" s="37">
        <v>750</v>
      </c>
      <c r="K740" s="107" t="s">
        <v>641</v>
      </c>
      <c r="L740" s="10">
        <f>COUNTIF(Drank!A:A,Table1[[#This Row],[ID]])</f>
        <v>0</v>
      </c>
      <c r="M740" s="37" t="s">
        <v>202</v>
      </c>
      <c r="N740" s="37" t="s">
        <v>207</v>
      </c>
      <c r="O740" s="37">
        <v>1</v>
      </c>
      <c r="P740" s="10">
        <v>2020</v>
      </c>
      <c r="Q740" s="37">
        <v>2035</v>
      </c>
      <c r="R740" s="10" t="str">
        <f>IF(IFERROR(VLOOKUP(A740,Drank!A:S,15,FALSE),"")=0,"",IFERROR(VLOOKUP(A740,Drank!A:S,15,FALSE),""))</f>
        <v/>
      </c>
      <c r="S740" s="10" t="str">
        <f>IF(IFERROR(VLOOKUP(A740,Drank!A:S,16,FALSE),"")=0,"",IFERROR(VLOOKUP(A740,Drank!A:S,16,FALSE),""))</f>
        <v/>
      </c>
      <c r="T740" s="10"/>
      <c r="U740" s="37">
        <v>95</v>
      </c>
      <c r="V740" s="18" t="str">
        <f>IF(IFERROR(VLOOKUP(A740,Drank!A:T,19,FALSE),"")=0,"",IFERROR(VLOOKUP(A740,Drank!A:T,19,FALSE),""))</f>
        <v/>
      </c>
      <c r="W740" s="1" t="str">
        <f>IF(IFERROR(VLOOKUP(A740,Drank!A:T,20,FALSE),"")=0,"",IFERROR(VLOOKUP(A740,Drank!A:T,20,FALSE),""))</f>
        <v/>
      </c>
      <c r="X740" s="10">
        <f>SUMIF(A:A,A740,I:I)</f>
        <v>4</v>
      </c>
      <c r="Y740" s="10">
        <f>IF(Table1[[#This Row],[Drank]]&gt;0,VLOOKUP(Table1[[#This Row],[ID]],Drank!A:P,16,FALSE),IF(Table1[[#This Row],[WALDD]]&gt;0,VLOOKUP(Table1[[#This Row],[ID]],Wine1!A:Q,17,FALSE),Table1[[#This Row],[EP]]))</f>
        <v>2035</v>
      </c>
      <c r="Z740" s="18">
        <f>IF(Table1[[#This Row],[My Rating]]="",IF(Table1[[#This Row],[WA Rating Clean]]="","",Table1[[#This Row],[WA Rating Clean]]),Table1[[#This Row],[My Rating]])</f>
        <v>95</v>
      </c>
      <c r="AA740" s="37">
        <v>2026</v>
      </c>
      <c r="AB740" s="128">
        <v>39.99</v>
      </c>
      <c r="AC740" s="2">
        <f t="shared" si="45"/>
        <v>39.99</v>
      </c>
      <c r="AD740" s="8">
        <v>2</v>
      </c>
      <c r="AE740" s="10">
        <f>IF(Table1[[#This Row],[P/750]]&lt;20,1,IF(Table1[[#This Row],[P/750]]&lt;50,2,3))</f>
        <v>2</v>
      </c>
      <c r="AF740" s="10">
        <f>IF(Table1[[#This Row],[P/750]]&lt;Expenses!$C$30,1,IF(Table1[[#This Row],[P/750]]&lt;Expenses!$C$31,2,IF(Table1[[#This Row],[P/750]]&lt;Expenses!$C$32,3,4)))</f>
        <v>3</v>
      </c>
      <c r="AH740" s="37" t="s">
        <v>385</v>
      </c>
      <c r="AI740" s="11">
        <f>Table1[[#This Row],[Price]]/Table1[[#This Row],[Size (ml)]]*750</f>
        <v>39.99</v>
      </c>
      <c r="AJ740" s="37">
        <v>95</v>
      </c>
      <c r="AK740" s="37">
        <f>COUNTIF(UniqueID!A:A,Table1[[#This Row],[ID]])</f>
        <v>1</v>
      </c>
      <c r="AL740" s="37" t="str">
        <f>VLOOKUP(Table1[[#This Row],[Cellar Location]],Location!A:F,6,FALSE)</f>
        <v>S</v>
      </c>
      <c r="AO740" s="37" t="str">
        <f>TEXT(Table1[[#This Row],[Purchased]],"mmmm")</f>
        <v>January</v>
      </c>
      <c r="AP740" s="10" t="str">
        <f>TEXT(Table1[[#This Row],[Purchased]],"yyyy")</f>
        <v>1900</v>
      </c>
      <c r="AQ740" s="10"/>
    </row>
    <row r="741" spans="1:43" s="37" customFormat="1" x14ac:dyDescent="0.25">
      <c r="A741" s="37" t="str">
        <f t="shared" si="44"/>
        <v>2016GrattamaccoBolgheri Superiore l'Alberello</v>
      </c>
      <c r="B741" s="37">
        <v>2016</v>
      </c>
      <c r="C741" s="37" t="s">
        <v>1802</v>
      </c>
      <c r="D741" s="37" t="s">
        <v>1334</v>
      </c>
      <c r="E741" s="67" t="s">
        <v>1335</v>
      </c>
      <c r="F741" s="67" t="s">
        <v>728</v>
      </c>
      <c r="G741" s="37" t="s">
        <v>790</v>
      </c>
      <c r="H741" s="37" t="s">
        <v>1336</v>
      </c>
      <c r="I741" s="8">
        <v>1</v>
      </c>
      <c r="J741" s="38">
        <v>750</v>
      </c>
      <c r="K741" s="38" t="s">
        <v>1572</v>
      </c>
      <c r="L741" s="10">
        <f>COUNTIF(Drank!A:A,Table1[[#This Row],[ID]])</f>
        <v>0</v>
      </c>
      <c r="M741" s="37" t="s">
        <v>202</v>
      </c>
      <c r="N741" s="37" t="s">
        <v>207</v>
      </c>
      <c r="O741" s="37">
        <v>1</v>
      </c>
      <c r="P741" s="10">
        <v>2020</v>
      </c>
      <c r="Q741" s="37">
        <v>2035</v>
      </c>
      <c r="R741" s="10" t="str">
        <f>IF(IFERROR(VLOOKUP(A741,Drank!A:S,15,FALSE),"")=0,"",IFERROR(VLOOKUP(A741,Drank!A:S,15,FALSE),""))</f>
        <v/>
      </c>
      <c r="S741" s="10" t="str">
        <f>IF(IFERROR(VLOOKUP(A741,Drank!A:S,16,FALSE),"")=0,"",IFERROR(VLOOKUP(A741,Drank!A:S,16,FALSE),""))</f>
        <v/>
      </c>
      <c r="T741" s="10"/>
      <c r="U741" s="37">
        <v>96</v>
      </c>
      <c r="V741" s="18" t="str">
        <f>IF(IFERROR(VLOOKUP(A741,Drank!A:T,19,FALSE),"")=0,"",IFERROR(VLOOKUP(A741,Drank!A:T,19,FALSE),""))</f>
        <v/>
      </c>
      <c r="W741" s="1" t="str">
        <f>IF(IFERROR(VLOOKUP(A741,Drank!A:T,20,FALSE),"")=0,"",IFERROR(VLOOKUP(A741,Drank!A:T,20,FALSE),""))</f>
        <v/>
      </c>
      <c r="X741" s="10">
        <f>SUMIF(A:A,A741,I:I)</f>
        <v>9</v>
      </c>
      <c r="Y741" s="10">
        <f>IF(Table1[[#This Row],[Drank]]&gt;0,VLOOKUP(Table1[[#This Row],[ID]],Drank!A:P,16,FALSE),IF(Table1[[#This Row],[WALDD]]&gt;0,VLOOKUP(Table1[[#This Row],[ID]],Wine1!A:Q,17,FALSE),Table1[[#This Row],[EP]]))</f>
        <v>2035</v>
      </c>
      <c r="Z741" s="18">
        <f>IF(Table1[[#This Row],[My Rating]]="",IF(Table1[[#This Row],[WA Rating Clean]]="","",Table1[[#This Row],[WA Rating Clean]]),Table1[[#This Row],[My Rating]])</f>
        <v>96</v>
      </c>
      <c r="AA741" s="8">
        <v>2026</v>
      </c>
      <c r="AB741" s="128">
        <v>60.09</v>
      </c>
      <c r="AC741" s="2">
        <f t="shared" si="45"/>
        <v>60.09</v>
      </c>
      <c r="AD741" s="8">
        <v>1</v>
      </c>
      <c r="AE741" s="10">
        <f>IF(Table1[[#This Row],[P/750]]&lt;20,1,IF(Table1[[#This Row],[P/750]]&lt;50,2,3))</f>
        <v>3</v>
      </c>
      <c r="AF741" s="10">
        <f>IF(Table1[[#This Row],[P/750]]&lt;Expenses!$C$30,1,IF(Table1[[#This Row],[P/750]]&lt;Expenses!$C$31,2,IF(Table1[[#This Row],[P/750]]&lt;Expenses!$C$32,3,4)))</f>
        <v>3</v>
      </c>
      <c r="AH741" s="37" t="s">
        <v>1572</v>
      </c>
      <c r="AI741" s="11">
        <f>Table1[[#This Row],[Price]]/Table1[[#This Row],[Size (ml)]]*750</f>
        <v>60.090000000000011</v>
      </c>
      <c r="AJ741" s="37">
        <v>96</v>
      </c>
      <c r="AK741" s="10">
        <f>COUNTIF(UniqueID!A:A,Table1[[#This Row],[ID]])</f>
        <v>0</v>
      </c>
      <c r="AL741" s="10" t="str">
        <f>VLOOKUP(Table1[[#This Row],[Cellar Location]],Location!A:F,6,FALSE)</f>
        <v>W</v>
      </c>
      <c r="AN741" s="1">
        <v>44064</v>
      </c>
      <c r="AO741" s="10" t="str">
        <f>TEXT(Table1[[#This Row],[Purchased]],"mmmm")</f>
        <v>August</v>
      </c>
      <c r="AP741" s="10" t="str">
        <f>TEXT(Table1[[#This Row],[Purchased]],"yyyy")</f>
        <v>2020</v>
      </c>
      <c r="AQ741" s="1">
        <v>44114</v>
      </c>
    </row>
    <row r="742" spans="1:43" s="37" customFormat="1" x14ac:dyDescent="0.25">
      <c r="A742" s="37" t="str">
        <f t="shared" si="44"/>
        <v>2015PrunottoBarolo Bussia</v>
      </c>
      <c r="B742" s="37">
        <v>2015</v>
      </c>
      <c r="C742" s="37" t="s">
        <v>33</v>
      </c>
      <c r="D742" s="37" t="s">
        <v>34</v>
      </c>
      <c r="E742" s="67" t="s">
        <v>1206</v>
      </c>
      <c r="F742" s="37" t="s">
        <v>728</v>
      </c>
      <c r="G742" s="37" t="s">
        <v>778</v>
      </c>
      <c r="H742" s="37" t="s">
        <v>1304</v>
      </c>
      <c r="I742" s="107">
        <v>1</v>
      </c>
      <c r="J742" s="37">
        <v>750</v>
      </c>
      <c r="K742" s="107" t="s">
        <v>1315</v>
      </c>
      <c r="L742" s="37">
        <f>COUNTIF(Drank!A:A,Table1[[#This Row],[ID]])</f>
        <v>0</v>
      </c>
      <c r="M742" s="37" t="s">
        <v>202</v>
      </c>
      <c r="N742" s="37" t="s">
        <v>207</v>
      </c>
      <c r="O742" s="37">
        <v>1</v>
      </c>
      <c r="P742" s="37">
        <v>2020</v>
      </c>
      <c r="Q742" s="37">
        <v>2038</v>
      </c>
      <c r="R742" s="37" t="str">
        <f>IF(IFERROR(VLOOKUP(A742,Drank!A:S,15,FALSE),"")=0,"",IFERROR(VLOOKUP(A742,Drank!A:S,15,FALSE),""))</f>
        <v/>
      </c>
      <c r="S742" s="37" t="str">
        <f>IF(IFERROR(VLOOKUP(A742,Drank!A:S,16,FALSE),"")=0,"",IFERROR(VLOOKUP(A742,Drank!A:S,16,FALSE),""))</f>
        <v/>
      </c>
      <c r="U742" s="37">
        <v>94</v>
      </c>
      <c r="V742" s="18" t="str">
        <f>IF(IFERROR(VLOOKUP(A742,Drank!A:T,19,FALSE),"")=0,"",IFERROR(VLOOKUP(A742,Drank!A:T,19,FALSE),""))</f>
        <v/>
      </c>
      <c r="W742" s="1" t="str">
        <f>IF(IFERROR(VLOOKUP(A742,Drank!A:T,20,FALSE),"")=0,"",IFERROR(VLOOKUP(A742,Drank!A:T,20,FALSE),""))</f>
        <v/>
      </c>
      <c r="X742" s="37">
        <f>SUMIF(A:A,A742,I:I)</f>
        <v>2</v>
      </c>
      <c r="Y742" s="37">
        <f>IF(Table1[[#This Row],[Drank]]&gt;0,VLOOKUP(Table1[[#This Row],[ID]],Drank!A:P,16,FALSE),IF(Table1[[#This Row],[WALDD]]&gt;0,VLOOKUP(Table1[[#This Row],[ID]],Wine1!A:Q,17,FALSE),Table1[[#This Row],[EP]]))</f>
        <v>2038</v>
      </c>
      <c r="Z742" s="18">
        <f>IF(Table1[[#This Row],[My Rating]]="",IF(Table1[[#This Row],[WA Rating Clean]]="","",Table1[[#This Row],[WA Rating Clean]]),Table1[[#This Row],[My Rating]])</f>
        <v>94</v>
      </c>
      <c r="AA742" s="6">
        <v>2026</v>
      </c>
      <c r="AB742" s="128">
        <v>86.32</v>
      </c>
      <c r="AC742" s="2">
        <f t="shared" si="45"/>
        <v>86.32</v>
      </c>
      <c r="AD742" s="8">
        <v>2</v>
      </c>
      <c r="AE742" s="37">
        <f>IF(Table1[[#This Row],[P/750]]&lt;20,1,IF(Table1[[#This Row],[P/750]]&lt;50,2,3))</f>
        <v>3</v>
      </c>
      <c r="AF742" s="37">
        <f>IF(Table1[[#This Row],[P/750]]&lt;Expenses!$C$30,1,IF(Table1[[#This Row],[P/750]]&lt;Expenses!$C$31,2,IF(Table1[[#This Row],[P/750]]&lt;Expenses!$C$32,3,4)))</f>
        <v>4</v>
      </c>
      <c r="AH742" s="37" t="s">
        <v>1305</v>
      </c>
      <c r="AI742" s="11">
        <f>Table1[[#This Row],[Price]]/Table1[[#This Row],[Size (ml)]]*750</f>
        <v>86.32</v>
      </c>
      <c r="AJ742" s="37">
        <v>94</v>
      </c>
      <c r="AK742" s="37">
        <f>COUNTIF(UniqueID!A:A,Table1[[#This Row],[ID]])</f>
        <v>0</v>
      </c>
      <c r="AL742" s="37" t="str">
        <f>VLOOKUP(Table1[[#This Row],[Cellar Location]],Location!A:F,6,FALSE)</f>
        <v>S</v>
      </c>
      <c r="AN742" s="1">
        <v>43880</v>
      </c>
      <c r="AO742" s="37" t="str">
        <f>TEXT(Table1[[#This Row],[Purchased]],"mmmm")</f>
        <v>February</v>
      </c>
      <c r="AP742" s="10" t="str">
        <f>TEXT(Table1[[#This Row],[Purchased]],"yyyy")</f>
        <v>2020</v>
      </c>
      <c r="AQ742" s="10"/>
    </row>
    <row r="743" spans="1:43" s="37" customFormat="1" x14ac:dyDescent="0.25">
      <c r="A743" s="37" t="str">
        <f t="shared" si="44"/>
        <v>2009Chateau La Tour BlancheLa Tour Blanche</v>
      </c>
      <c r="B743" s="37">
        <v>2009</v>
      </c>
      <c r="C743" s="37" t="s">
        <v>1208</v>
      </c>
      <c r="D743" s="37" t="s">
        <v>216</v>
      </c>
      <c r="E743" s="69" t="s">
        <v>1215</v>
      </c>
      <c r="F743" s="37" t="s">
        <v>742</v>
      </c>
      <c r="G743" s="37" t="s">
        <v>748</v>
      </c>
      <c r="H743" s="37" t="s">
        <v>260</v>
      </c>
      <c r="I743" s="107">
        <v>1</v>
      </c>
      <c r="J743" s="37">
        <v>375</v>
      </c>
      <c r="K743" s="107" t="s">
        <v>628</v>
      </c>
      <c r="L743" s="37">
        <f>COUNTIF(Drank!A:A,Table1[[#This Row],[ID]])</f>
        <v>4</v>
      </c>
      <c r="M743" s="37" t="s">
        <v>201</v>
      </c>
      <c r="N743" s="37" t="s">
        <v>206</v>
      </c>
      <c r="O743" s="37">
        <v>1</v>
      </c>
      <c r="P743" s="37">
        <v>2019</v>
      </c>
      <c r="Q743" s="37">
        <v>2042</v>
      </c>
      <c r="R743" s="37">
        <f>IF(IFERROR(VLOOKUP(A743,Drank!A:S,15,FALSE),"")=0,"",IFERROR(VLOOKUP(A743,Drank!A:S,15,FALSE),""))</f>
        <v>2020</v>
      </c>
      <c r="S743" s="37">
        <f>IF(IFERROR(VLOOKUP(A743,Drank!A:S,16,FALSE),"")=0,"",IFERROR(VLOOKUP(A743,Drank!A:S,16,FALSE),""))</f>
        <v>2040</v>
      </c>
      <c r="U743" s="37">
        <v>93</v>
      </c>
      <c r="V743" s="18">
        <f>IF(IFERROR(VLOOKUP(A743,Drank!A:T,19,FALSE),"")=0,"",IFERROR(VLOOKUP(A743,Drank!A:T,19,FALSE),""))</f>
        <v>92.25</v>
      </c>
      <c r="W743" s="1">
        <f>IF(IFERROR(VLOOKUP(A743,Drank!A:T,20,FALSE),"")=0,"",IFERROR(VLOOKUP(A743,Drank!A:T,20,FALSE),""))</f>
        <v>43646</v>
      </c>
      <c r="X743" s="37">
        <f>SUMIF(A:A,A743,I:I)</f>
        <v>9</v>
      </c>
      <c r="Y743" s="37">
        <f>IF(Table1[[#This Row],[Drank]]&gt;0,VLOOKUP(Table1[[#This Row],[ID]],Drank!A:P,16,FALSE),IF(Table1[[#This Row],[WALDD]]&gt;0,VLOOKUP(Table1[[#This Row],[ID]],Wine1!A:Q,17,FALSE),Table1[[#This Row],[EP]]))</f>
        <v>2040</v>
      </c>
      <c r="Z743" s="18">
        <f>IF(Table1[[#This Row],[My Rating]]="",IF(Table1[[#This Row],[WA Rating Clean]]="","",Table1[[#This Row],[WA Rating Clean]]),Table1[[#This Row],[My Rating]])</f>
        <v>92.25</v>
      </c>
      <c r="AA743" s="37">
        <v>2026</v>
      </c>
      <c r="AB743" s="128">
        <v>20.99</v>
      </c>
      <c r="AC743" s="2">
        <f t="shared" si="45"/>
        <v>20.99</v>
      </c>
      <c r="AD743" s="8">
        <v>2</v>
      </c>
      <c r="AE743" s="37">
        <f>IF(Table1[[#This Row],[P/750]]&lt;20,1,IF(Table1[[#This Row],[P/750]]&lt;50,2,3))</f>
        <v>2</v>
      </c>
      <c r="AF743" s="37">
        <f>IF(Table1[[#This Row],[P/750]]&lt;Expenses!$C$30,1,IF(Table1[[#This Row],[P/750]]&lt;Expenses!$C$31,2,IF(Table1[[#This Row],[P/750]]&lt;Expenses!$C$32,3,4)))</f>
        <v>3</v>
      </c>
      <c r="AH743" s="37" t="s">
        <v>385</v>
      </c>
      <c r="AI743" s="11">
        <f>Table1[[#This Row],[Price]]/Table1[[#This Row],[Size (ml)]]*750</f>
        <v>41.98</v>
      </c>
      <c r="AJ743" s="37">
        <v>93</v>
      </c>
      <c r="AK743" s="37">
        <f>COUNTIF(UniqueID!A:A,Table1[[#This Row],[ID]])</f>
        <v>1</v>
      </c>
      <c r="AL743" s="37" t="str">
        <f>VLOOKUP(Table1[[#This Row],[Cellar Location]],Location!A:F,6,FALSE)</f>
        <v>S</v>
      </c>
      <c r="AO743" s="37" t="str">
        <f>TEXT(Table1[[#This Row],[Purchased]],"mmmm")</f>
        <v>January</v>
      </c>
      <c r="AP743" s="10" t="str">
        <f>TEXT(Table1[[#This Row],[Purchased]],"yyyy")</f>
        <v>1900</v>
      </c>
      <c r="AQ743" s="10"/>
    </row>
    <row r="744" spans="1:43" s="37" customFormat="1" x14ac:dyDescent="0.25">
      <c r="A744" s="37" t="str">
        <f t="shared" si="44"/>
        <v>2015Doisy-VedrinesDoisy-Vedrines</v>
      </c>
      <c r="B744" s="37">
        <v>2015</v>
      </c>
      <c r="C744" s="37" t="s">
        <v>843</v>
      </c>
      <c r="D744" s="37" t="s">
        <v>843</v>
      </c>
      <c r="E744" s="69" t="s">
        <v>1261</v>
      </c>
      <c r="F744" s="37" t="s">
        <v>742</v>
      </c>
      <c r="G744" s="37" t="s">
        <v>748</v>
      </c>
      <c r="H744" s="37" t="s">
        <v>753</v>
      </c>
      <c r="I744" s="37">
        <v>1</v>
      </c>
      <c r="J744" s="37">
        <v>375</v>
      </c>
      <c r="K744" s="8" t="s">
        <v>658</v>
      </c>
      <c r="L744" s="10">
        <f>COUNTIF(Drank!A:A,Table1[[#This Row],[ID]])</f>
        <v>0</v>
      </c>
      <c r="M744" s="37" t="s">
        <v>201</v>
      </c>
      <c r="N744" s="37" t="s">
        <v>206</v>
      </c>
      <c r="O744" s="37">
        <v>1</v>
      </c>
      <c r="P744" s="10">
        <v>2019</v>
      </c>
      <c r="Q744" s="37">
        <v>2040</v>
      </c>
      <c r="R744" s="10" t="str">
        <f>IF(IFERROR(VLOOKUP(A744,Drank!A:S,15,FALSE),"")=0,"",IFERROR(VLOOKUP(A744,Drank!A:S,15,FALSE),""))</f>
        <v/>
      </c>
      <c r="S744" s="10" t="str">
        <f>IF(IFERROR(VLOOKUP(A744,Drank!A:S,16,FALSE),"")=0,"",IFERROR(VLOOKUP(A744,Drank!A:S,16,FALSE),""))</f>
        <v/>
      </c>
      <c r="T744" s="10"/>
      <c r="U744" s="37" t="s">
        <v>853</v>
      </c>
      <c r="V744" s="18" t="str">
        <f>IF(IFERROR(VLOOKUP(A744,Drank!A:T,19,FALSE),"")=0,"",IFERROR(VLOOKUP(A744,Drank!A:T,19,FALSE),""))</f>
        <v/>
      </c>
      <c r="W744" s="1" t="str">
        <f>IF(IFERROR(VLOOKUP(A744,Drank!A:T,20,FALSE),"")=0,"",IFERROR(VLOOKUP(A744,Drank!A:T,20,FALSE),""))</f>
        <v/>
      </c>
      <c r="X744" s="10">
        <f>SUMIF(A:A,A744,I:I)</f>
        <v>4</v>
      </c>
      <c r="Y744" s="10">
        <f>IF(Table1[[#This Row],[Drank]]&gt;0,VLOOKUP(Table1[[#This Row],[ID]],Drank!A:P,16,FALSE),IF(Table1[[#This Row],[WALDD]]&gt;0,VLOOKUP(Table1[[#This Row],[ID]],Wine1!A:Q,17,FALSE),Table1[[#This Row],[EP]]))</f>
        <v>2040</v>
      </c>
      <c r="Z744" s="18">
        <f>IF(Table1[[#This Row],[My Rating]]="",IF(Table1[[#This Row],[WA Rating Clean]]="","",Table1[[#This Row],[WA Rating Clean]]),Table1[[#This Row],[My Rating]])</f>
        <v>92</v>
      </c>
      <c r="AA744" s="37">
        <v>2026</v>
      </c>
      <c r="AB744" s="128">
        <v>22.99</v>
      </c>
      <c r="AC744" s="2">
        <f t="shared" si="45"/>
        <v>22.99</v>
      </c>
      <c r="AD744" s="8">
        <v>0</v>
      </c>
      <c r="AE744" s="10">
        <f>IF(Table1[[#This Row],[P/750]]&lt;20,1,IF(Table1[[#This Row],[P/750]]&lt;50,2,3))</f>
        <v>2</v>
      </c>
      <c r="AF744" s="10">
        <f>IF(Table1[[#This Row],[P/750]]&lt;Expenses!$C$30,1,IF(Table1[[#This Row],[P/750]]&lt;Expenses!$C$31,2,IF(Table1[[#This Row],[P/750]]&lt;Expenses!$C$32,3,4)))</f>
        <v>3</v>
      </c>
      <c r="AH744" s="37" t="s">
        <v>1139</v>
      </c>
      <c r="AI744" s="11">
        <f>Table1[[#This Row],[Price]]/Table1[[#This Row],[Size (ml)]]*750</f>
        <v>45.98</v>
      </c>
      <c r="AJ744" s="37">
        <v>92</v>
      </c>
      <c r="AK744" s="10">
        <f>COUNTIF(UniqueID!A:A,Table1[[#This Row],[ID]])</f>
        <v>1</v>
      </c>
      <c r="AL744" s="37" t="str">
        <f>VLOOKUP(Table1[[#This Row],[Cellar Location]],Location!A:F,6,FALSE)</f>
        <v>C</v>
      </c>
      <c r="AO744" s="37" t="str">
        <f>TEXT(Table1[[#This Row],[Purchased]],"mmmm")</f>
        <v>January</v>
      </c>
      <c r="AP744" s="10" t="str">
        <f>TEXT(Table1[[#This Row],[Purchased]],"yyyy")</f>
        <v>1900</v>
      </c>
      <c r="AQ744" s="10"/>
    </row>
    <row r="745" spans="1:43" s="37" customFormat="1" x14ac:dyDescent="0.25">
      <c r="A745" s="37" t="str">
        <f t="shared" si="44"/>
        <v>2016CoutetCoutet</v>
      </c>
      <c r="B745" s="37">
        <v>2016</v>
      </c>
      <c r="C745" s="37" t="s">
        <v>847</v>
      </c>
      <c r="D745" s="37" t="s">
        <v>847</v>
      </c>
      <c r="E745" s="64" t="s">
        <v>260</v>
      </c>
      <c r="F745" s="37" t="s">
        <v>742</v>
      </c>
      <c r="G745" s="37" t="s">
        <v>748</v>
      </c>
      <c r="H745" s="37" t="s">
        <v>753</v>
      </c>
      <c r="I745" s="37">
        <v>1</v>
      </c>
      <c r="J745" s="37">
        <v>375</v>
      </c>
      <c r="K745" s="8" t="s">
        <v>658</v>
      </c>
      <c r="L745" s="10">
        <f>COUNTIF(Drank!A:A,Table1[[#This Row],[ID]])</f>
        <v>0</v>
      </c>
      <c r="M745" s="37" t="s">
        <v>201</v>
      </c>
      <c r="N745" s="37" t="s">
        <v>206</v>
      </c>
      <c r="O745" s="37">
        <v>1</v>
      </c>
      <c r="P745" s="10">
        <v>2021</v>
      </c>
      <c r="Q745" s="37">
        <v>2044</v>
      </c>
      <c r="R745" s="10" t="str">
        <f>IF(IFERROR(VLOOKUP(A745,Drank!A:S,15,FALSE),"")=0,"",IFERROR(VLOOKUP(A745,Drank!A:S,15,FALSE),""))</f>
        <v/>
      </c>
      <c r="S745" s="10" t="str">
        <f>IF(IFERROR(VLOOKUP(A745,Drank!A:S,16,FALSE),"")=0,"",IFERROR(VLOOKUP(A745,Drank!A:S,16,FALSE),""))</f>
        <v/>
      </c>
      <c r="T745" s="10"/>
      <c r="U745" s="37">
        <v>95</v>
      </c>
      <c r="V745" s="18" t="str">
        <f>IF(IFERROR(VLOOKUP(A745,Drank!A:T,19,FALSE),"")=0,"",IFERROR(VLOOKUP(A745,Drank!A:T,19,FALSE),""))</f>
        <v/>
      </c>
      <c r="W745" s="1" t="str">
        <f>IF(IFERROR(VLOOKUP(A745,Drank!A:T,20,FALSE),"")=0,"",IFERROR(VLOOKUP(A745,Drank!A:T,20,FALSE),""))</f>
        <v/>
      </c>
      <c r="X745" s="10">
        <f>SUMIF(A:A,A745,I:I)</f>
        <v>3</v>
      </c>
      <c r="Y745" s="10">
        <f>IF(Table1[[#This Row],[Drank]]&gt;0,VLOOKUP(Table1[[#This Row],[ID]],Drank!A:P,16,FALSE),IF(Table1[[#This Row],[WALDD]]&gt;0,VLOOKUP(Table1[[#This Row],[ID]],Wine1!A:Q,17,FALSE),Table1[[#This Row],[EP]]))</f>
        <v>2044</v>
      </c>
      <c r="Z745" s="18">
        <f>IF(Table1[[#This Row],[My Rating]]="",IF(Table1[[#This Row],[WA Rating Clean]]="","",Table1[[#This Row],[WA Rating Clean]]),Table1[[#This Row],[My Rating]])</f>
        <v>95</v>
      </c>
      <c r="AA745" s="37">
        <v>2026</v>
      </c>
      <c r="AB745" s="128">
        <v>21.99</v>
      </c>
      <c r="AC745" s="2">
        <f t="shared" si="45"/>
        <v>21.99</v>
      </c>
      <c r="AD745" s="8">
        <v>0</v>
      </c>
      <c r="AE745" s="10">
        <f>IF(Table1[[#This Row],[P/750]]&lt;20,1,IF(Table1[[#This Row],[P/750]]&lt;50,2,3))</f>
        <v>2</v>
      </c>
      <c r="AF745" s="10">
        <f>IF(Table1[[#This Row],[P/750]]&lt;Expenses!$C$30,1,IF(Table1[[#This Row],[P/750]]&lt;Expenses!$C$31,2,IF(Table1[[#This Row],[P/750]]&lt;Expenses!$C$32,3,4)))</f>
        <v>3</v>
      </c>
      <c r="AH745" s="37" t="s">
        <v>1139</v>
      </c>
      <c r="AI745" s="11">
        <f>Table1[[#This Row],[Price]]/Table1[[#This Row],[Size (ml)]]*750</f>
        <v>43.98</v>
      </c>
      <c r="AJ745" s="37">
        <v>95</v>
      </c>
      <c r="AK745" s="10">
        <f>COUNTIF(UniqueID!A:A,Table1[[#This Row],[ID]])</f>
        <v>1</v>
      </c>
      <c r="AL745" s="37" t="str">
        <f>VLOOKUP(Table1[[#This Row],[Cellar Location]],Location!A:F,6,FALSE)</f>
        <v>C</v>
      </c>
      <c r="AO745" s="37" t="str">
        <f>TEXT(Table1[[#This Row],[Purchased]],"mmmm")</f>
        <v>January</v>
      </c>
      <c r="AP745" s="10" t="str">
        <f>TEXT(Table1[[#This Row],[Purchased]],"yyyy")</f>
        <v>1900</v>
      </c>
      <c r="AQ745" s="10"/>
    </row>
    <row r="746" spans="1:43" s="37" customFormat="1" x14ac:dyDescent="0.25">
      <c r="A746" s="37" t="str">
        <f t="shared" si="44"/>
        <v>2016Clos du RoyClos du Roy</v>
      </c>
      <c r="B746" s="37">
        <v>2016</v>
      </c>
      <c r="C746" s="37" t="s">
        <v>854</v>
      </c>
      <c r="D746" s="37" t="s">
        <v>854</v>
      </c>
      <c r="E746" s="37" t="s">
        <v>1198</v>
      </c>
      <c r="F746" s="37" t="s">
        <v>742</v>
      </c>
      <c r="G746" s="37" t="s">
        <v>748</v>
      </c>
      <c r="H746" s="37" t="s">
        <v>856</v>
      </c>
      <c r="I746" s="107">
        <v>1</v>
      </c>
      <c r="J746" s="37">
        <v>750</v>
      </c>
      <c r="K746" s="107" t="s">
        <v>1145</v>
      </c>
      <c r="L746" s="10">
        <f>COUNTIF(Drank!A:A,Table1[[#This Row],[ID]])</f>
        <v>1</v>
      </c>
      <c r="M746" s="37" t="s">
        <v>202</v>
      </c>
      <c r="N746" s="37" t="s">
        <v>207</v>
      </c>
      <c r="O746" s="37">
        <v>1</v>
      </c>
      <c r="P746" s="10">
        <v>2021</v>
      </c>
      <c r="Q746" s="37">
        <v>2038</v>
      </c>
      <c r="R746" s="10" t="str">
        <f>IF(IFERROR(VLOOKUP(A746,Drank!A:S,15,FALSE),"")=0,"",IFERROR(VLOOKUP(A746,Drank!A:S,15,FALSE),""))</f>
        <v/>
      </c>
      <c r="S746" s="10">
        <f>IF(IFERROR(VLOOKUP(A746,Drank!A:S,16,FALSE),"")=0,"",IFERROR(VLOOKUP(A746,Drank!A:S,16,FALSE),""))</f>
        <v>2045</v>
      </c>
      <c r="T746" s="10"/>
      <c r="U746" s="37" t="s">
        <v>855</v>
      </c>
      <c r="V746" s="18">
        <f>IF(IFERROR(VLOOKUP(A746,Drank!A:T,19,FALSE),"")=0,"",IFERROR(VLOOKUP(A746,Drank!A:T,19,FALSE),""))</f>
        <v>91</v>
      </c>
      <c r="W746" s="1">
        <f>IF(IFERROR(VLOOKUP(A746,Drank!A:T,20,FALSE),"")=0,"",IFERROR(VLOOKUP(A746,Drank!A:T,20,FALSE),""))</f>
        <v>43830</v>
      </c>
      <c r="X746" s="10">
        <f>SUMIF(A:A,A746,I:I)</f>
        <v>15</v>
      </c>
      <c r="Y746" s="10">
        <f>IF(Table1[[#This Row],[Drank]]&gt;0,VLOOKUP(Table1[[#This Row],[ID]],Drank!A:P,16,FALSE),IF(Table1[[#This Row],[WALDD]]&gt;0,VLOOKUP(Table1[[#This Row],[ID]],Wine1!A:Q,17,FALSE),Table1[[#This Row],[EP]]))</f>
        <v>2045</v>
      </c>
      <c r="Z746" s="18">
        <f>IF(Table1[[#This Row],[My Rating]]="",IF(Table1[[#This Row],[WA Rating Clean]]="","",Table1[[#This Row],[WA Rating Clean]]),Table1[[#This Row],[My Rating]])</f>
        <v>91</v>
      </c>
      <c r="AA746" s="37">
        <v>2026</v>
      </c>
      <c r="AB746" s="128">
        <v>17.91</v>
      </c>
      <c r="AC746" s="2">
        <f t="shared" si="45"/>
        <v>17.91</v>
      </c>
      <c r="AD746" s="8">
        <v>2</v>
      </c>
      <c r="AE746" s="10">
        <f>IF(Table1[[#This Row],[P/750]]&lt;20,1,IF(Table1[[#This Row],[P/750]]&lt;50,2,3))</f>
        <v>1</v>
      </c>
      <c r="AF746" s="10">
        <f>IF(Table1[[#This Row],[P/750]]&lt;Expenses!$C$30,1,IF(Table1[[#This Row],[P/750]]&lt;Expenses!$C$31,2,IF(Table1[[#This Row],[P/750]]&lt;Expenses!$C$32,3,4)))</f>
        <v>2</v>
      </c>
      <c r="AH746" s="37" t="s">
        <v>1128</v>
      </c>
      <c r="AI746" s="11">
        <f>Table1[[#This Row],[Price]]/Table1[[#This Row],[Size (ml)]]*750</f>
        <v>17.91</v>
      </c>
      <c r="AJ746" s="37">
        <v>92</v>
      </c>
      <c r="AK746" s="10">
        <f>COUNTIF(UniqueID!A:A,Table1[[#This Row],[ID]])</f>
        <v>1</v>
      </c>
      <c r="AL746" s="37" t="str">
        <f>VLOOKUP(Table1[[#This Row],[Cellar Location]],Location!A:F,6,FALSE)</f>
        <v>S</v>
      </c>
      <c r="AN746" s="1">
        <v>43830</v>
      </c>
      <c r="AO746" s="37" t="str">
        <f>TEXT(Table1[[#This Row],[Purchased]],"mmmm")</f>
        <v>December</v>
      </c>
      <c r="AP746" s="10" t="str">
        <f>TEXT(Table1[[#This Row],[Purchased]],"yyyy")</f>
        <v>2019</v>
      </c>
      <c r="AQ746" s="10"/>
    </row>
    <row r="747" spans="1:43" s="37" customFormat="1" x14ac:dyDescent="0.25">
      <c r="A747" s="37" t="str">
        <f t="shared" si="44"/>
        <v>2016FelsinaFontalloro</v>
      </c>
      <c r="B747" s="37">
        <v>2016</v>
      </c>
      <c r="C747" s="37" t="s">
        <v>795</v>
      </c>
      <c r="D747" s="37" t="s">
        <v>387</v>
      </c>
      <c r="E747" s="67" t="s">
        <v>1250</v>
      </c>
      <c r="F747" s="37" t="s">
        <v>728</v>
      </c>
      <c r="G747" s="37" t="s">
        <v>790</v>
      </c>
      <c r="H747" s="37" t="s">
        <v>796</v>
      </c>
      <c r="I747" s="107">
        <v>1</v>
      </c>
      <c r="J747" s="37">
        <v>750</v>
      </c>
      <c r="K747" s="107" t="s">
        <v>927</v>
      </c>
      <c r="L747" s="10">
        <f>COUNTIF(Drank!A:A,Table1[[#This Row],[ID]])</f>
        <v>1</v>
      </c>
      <c r="M747" s="37" t="s">
        <v>202</v>
      </c>
      <c r="N747" s="37" t="s">
        <v>207</v>
      </c>
      <c r="O747" s="37">
        <v>1</v>
      </c>
      <c r="P747" s="10">
        <v>2021</v>
      </c>
      <c r="Q747" s="37">
        <v>2045</v>
      </c>
      <c r="R747" s="10" t="str">
        <f>IF(IFERROR(VLOOKUP(A747,Drank!A:S,15,FALSE),"")=0,"",IFERROR(VLOOKUP(A747,Drank!A:S,15,FALSE),""))</f>
        <v/>
      </c>
      <c r="S747" s="10" t="str">
        <f>IF(IFERROR(VLOOKUP(A747,Drank!A:S,16,FALSE),"")=0,"",IFERROR(VLOOKUP(A747,Drank!A:S,16,FALSE),""))</f>
        <v/>
      </c>
      <c r="T747" s="10"/>
      <c r="U747" s="37" t="s">
        <v>852</v>
      </c>
      <c r="V747" s="18">
        <f>IF(IFERROR(VLOOKUP(A747,Drank!A:T,19,FALSE),"")=0,"",IFERROR(VLOOKUP(A747,Drank!A:T,19,FALSE),""))</f>
        <v>94</v>
      </c>
      <c r="W747" s="1">
        <f>IF(IFERROR(VLOOKUP(A747,Drank!A:T,20,FALSE),"")=0,"",IFERROR(VLOOKUP(A747,Drank!A:T,20,FALSE),""))</f>
        <v>44074</v>
      </c>
      <c r="X747" s="10">
        <f>SUMIF(A:A,A747,I:I)</f>
        <v>6</v>
      </c>
      <c r="Y747" s="10">
        <f>IF(Table1[[#This Row],[Drank]]&gt;0,VLOOKUP(Table1[[#This Row],[ID]],Drank!A:P,16,FALSE),IF(Table1[[#This Row],[WALDD]]&gt;0,VLOOKUP(Table1[[#This Row],[ID]],Wine1!A:Q,17,FALSE),Table1[[#This Row],[EP]]))</f>
        <v>0</v>
      </c>
      <c r="Z747" s="18">
        <f>IF(Table1[[#This Row],[My Rating]]="",IF(Table1[[#This Row],[WA Rating Clean]]="","",Table1[[#This Row],[WA Rating Clean]]),Table1[[#This Row],[My Rating]])</f>
        <v>94</v>
      </c>
      <c r="AA747" s="6">
        <v>2026</v>
      </c>
      <c r="AB747" s="128">
        <v>69.989999999999995</v>
      </c>
      <c r="AC747" s="2">
        <f t="shared" si="45"/>
        <v>69.989999999999995</v>
      </c>
      <c r="AD747" s="8">
        <v>2</v>
      </c>
      <c r="AE747" s="10">
        <f>IF(Table1[[#This Row],[P/750]]&lt;20,1,IF(Table1[[#This Row],[P/750]]&lt;50,2,3))</f>
        <v>3</v>
      </c>
      <c r="AF747" s="10">
        <f>IF(Table1[[#This Row],[P/750]]&lt;Expenses!$C$30,1,IF(Table1[[#This Row],[P/750]]&lt;Expenses!$C$31,2,IF(Table1[[#This Row],[P/750]]&lt;Expenses!$C$32,3,4)))</f>
        <v>4</v>
      </c>
      <c r="AH747" s="37" t="s">
        <v>1139</v>
      </c>
      <c r="AI747" s="11">
        <f>Table1[[#This Row],[Price]]/Table1[[#This Row],[Size (ml)]]*750</f>
        <v>69.989999999999995</v>
      </c>
      <c r="AJ747" s="37">
        <v>98</v>
      </c>
      <c r="AK747" s="10">
        <f>COUNTIF(UniqueID!A:A,Table1[[#This Row],[ID]])</f>
        <v>0</v>
      </c>
      <c r="AL747" s="37" t="str">
        <f>VLOOKUP(Table1[[#This Row],[Cellar Location]],Location!A:F,6,FALSE)</f>
        <v>S</v>
      </c>
      <c r="AO747" s="37" t="str">
        <f>TEXT(Table1[[#This Row],[Purchased]],"mmmm")</f>
        <v>January</v>
      </c>
      <c r="AP747" s="10" t="str">
        <f>TEXT(Table1[[#This Row],[Purchased]],"yyyy")</f>
        <v>1900</v>
      </c>
      <c r="AQ747" s="10"/>
    </row>
    <row r="748" spans="1:43" s="37" customFormat="1" x14ac:dyDescent="0.25">
      <c r="A748" s="37" t="str">
        <f t="shared" si="44"/>
        <v>2016Doisy-VedrinesPetit-Vedrines</v>
      </c>
      <c r="B748" s="37">
        <v>2016</v>
      </c>
      <c r="C748" s="37" t="s">
        <v>843</v>
      </c>
      <c r="D748" s="37" t="s">
        <v>1686</v>
      </c>
      <c r="E748" s="69" t="s">
        <v>1688</v>
      </c>
      <c r="F748" s="37" t="s">
        <v>742</v>
      </c>
      <c r="G748" s="37" t="s">
        <v>748</v>
      </c>
      <c r="H748" s="37" t="s">
        <v>260</v>
      </c>
      <c r="I748" s="8">
        <v>1</v>
      </c>
      <c r="J748" s="38">
        <v>375</v>
      </c>
      <c r="K748" s="38" t="s">
        <v>1687</v>
      </c>
      <c r="L748" s="10">
        <f>COUNTIF(Drank!A:A,Table1[[#This Row],[ID]])</f>
        <v>0</v>
      </c>
      <c r="M748" s="37" t="s">
        <v>201</v>
      </c>
      <c r="N748" s="37" t="s">
        <v>206</v>
      </c>
      <c r="O748" s="37">
        <v>0</v>
      </c>
      <c r="R748" s="10" t="str">
        <f>IF(IFERROR(VLOOKUP(A748,Drank!A:S,15,FALSE),"")=0,"",IFERROR(VLOOKUP(A748,Drank!A:S,15,FALSE),""))</f>
        <v/>
      </c>
      <c r="S748" s="10" t="str">
        <f>IF(IFERROR(VLOOKUP(A748,Drank!A:S,16,FALSE),"")=0,"",IFERROR(VLOOKUP(A748,Drank!A:S,16,FALSE),""))</f>
        <v/>
      </c>
      <c r="T748" s="10"/>
      <c r="V748" s="18" t="str">
        <f>IF(IFERROR(VLOOKUP(A748,Drank!A:T,19,FALSE),"")=0,"",IFERROR(VLOOKUP(A748,Drank!A:T,19,FALSE),""))</f>
        <v/>
      </c>
      <c r="W748" s="1" t="str">
        <f>IF(IFERROR(VLOOKUP(A748,Drank!A:T,20,FALSE),"")=0,"",IFERROR(VLOOKUP(A748,Drank!A:T,20,FALSE),""))</f>
        <v/>
      </c>
      <c r="X748" s="10">
        <f>SUMIF(A:A,A748,I:I)</f>
        <v>24</v>
      </c>
      <c r="Y748" s="10">
        <f>IF(Table1[[#This Row],[Drank]]&gt;0,VLOOKUP(Table1[[#This Row],[ID]],Drank!A:P,16,FALSE),IF(Table1[[#This Row],[WALDD]]&gt;0,VLOOKUP(Table1[[#This Row],[ID]],Wine1!A:Q,17,FALSE),Table1[[#This Row],[EP]]))</f>
        <v>0</v>
      </c>
      <c r="Z748" s="18" t="str">
        <f>IF(Table1[[#This Row],[My Rating]]="",IF(Table1[[#This Row],[WA Rating Clean]]="","",Table1[[#This Row],[WA Rating Clean]]),Table1[[#This Row],[My Rating]])</f>
        <v/>
      </c>
      <c r="AA748" s="8">
        <v>2027</v>
      </c>
      <c r="AB748" s="128">
        <v>16.399999999999999</v>
      </c>
      <c r="AC748" s="2">
        <f t="shared" si="45"/>
        <v>16.399999999999999</v>
      </c>
      <c r="AD748" s="8">
        <v>1</v>
      </c>
      <c r="AE748" s="10">
        <f>IF(Table1[[#This Row],[P/750]]&lt;20,1,IF(Table1[[#This Row],[P/750]]&lt;50,2,3))</f>
        <v>2</v>
      </c>
      <c r="AF748" s="10">
        <f>IF(Table1[[#This Row],[P/750]]&lt;Expenses!$C$30,1,IF(Table1[[#This Row],[P/750]]&lt;Expenses!$C$31,2,IF(Table1[[#This Row],[P/750]]&lt;Expenses!$C$32,3,4)))</f>
        <v>3</v>
      </c>
      <c r="AH748" s="37" t="s">
        <v>1189</v>
      </c>
      <c r="AI748" s="11">
        <f>Table1[[#This Row],[Price]]/Table1[[#This Row],[Size (ml)]]*750</f>
        <v>32.799999999999997</v>
      </c>
      <c r="AK748" s="10">
        <f>COUNTIF(UniqueID!A:A,Table1[[#This Row],[ID]])</f>
        <v>0</v>
      </c>
      <c r="AL748" s="10" t="str">
        <f>VLOOKUP(Table1[[#This Row],[Cellar Location]],Location!A:F,6,FALSE)</f>
        <v>W</v>
      </c>
      <c r="AN748" s="1">
        <v>44061</v>
      </c>
      <c r="AO748" s="10" t="str">
        <f>TEXT(Table1[[#This Row],[Purchased]],"mmmm")</f>
        <v>August</v>
      </c>
      <c r="AP748" s="10" t="str">
        <f>TEXT(Table1[[#This Row],[Purchased]],"yyyy")</f>
        <v>2020</v>
      </c>
      <c r="AQ748" s="1">
        <v>44137</v>
      </c>
    </row>
    <row r="749" spans="1:43" s="37" customFormat="1" x14ac:dyDescent="0.25">
      <c r="A749" s="37" t="str">
        <f t="shared" si="44"/>
        <v>2006LÃ³pez de HerediaViÃ±a Tondonia Reserva</v>
      </c>
      <c r="B749" s="37">
        <v>2006</v>
      </c>
      <c r="C749" s="37" t="s">
        <v>219</v>
      </c>
      <c r="D749" s="37" t="s">
        <v>220</v>
      </c>
      <c r="E749" s="64" t="s">
        <v>277</v>
      </c>
      <c r="F749" s="37" t="s">
        <v>729</v>
      </c>
      <c r="G749" s="37" t="s">
        <v>823</v>
      </c>
      <c r="H749" s="37" t="s">
        <v>825</v>
      </c>
      <c r="I749" s="37">
        <v>1</v>
      </c>
      <c r="J749" s="107">
        <v>750</v>
      </c>
      <c r="K749" s="8" t="s">
        <v>1832</v>
      </c>
      <c r="L749" s="37">
        <f>COUNTIF(Drank!A:A,Table1[[#This Row],[ID]])</f>
        <v>2</v>
      </c>
      <c r="M749" s="37" t="s">
        <v>202</v>
      </c>
      <c r="N749" s="37" t="s">
        <v>207</v>
      </c>
      <c r="O749" s="37">
        <v>1</v>
      </c>
      <c r="P749" s="37">
        <v>2018</v>
      </c>
      <c r="Q749" s="37">
        <v>2028</v>
      </c>
      <c r="R749" s="37">
        <f>IF(IFERROR(VLOOKUP(A749,Drank!A:S,15,FALSE),"")=0,"",IFERROR(VLOOKUP(A749,Drank!A:S,15,FALSE),""))</f>
        <v>2019</v>
      </c>
      <c r="S749" s="37">
        <f>IF(IFERROR(VLOOKUP(A749,Drank!A:S,16,FALSE),"")=0,"",IFERROR(VLOOKUP(A749,Drank!A:S,16,FALSE),""))</f>
        <v>2024</v>
      </c>
      <c r="U749" s="37">
        <v>95</v>
      </c>
      <c r="V749" s="18">
        <f>IF(IFERROR(VLOOKUP(A749,Drank!A:T,19,FALSE),"")=0,"",IFERROR(VLOOKUP(A749,Drank!A:T,19,FALSE),""))</f>
        <v>94.5</v>
      </c>
      <c r="W749" s="1">
        <f>IF(IFERROR(VLOOKUP(A749,Drank!A:T,20,FALSE),"")=0,"",IFERROR(VLOOKUP(A749,Drank!A:T,20,FALSE),""))</f>
        <v>43609</v>
      </c>
      <c r="X749" s="37">
        <f>SUMIF(A:A,A749,I:I)</f>
        <v>3</v>
      </c>
      <c r="Y749" s="37">
        <f>IF(Table1[[#This Row],[Drank]]&gt;0,VLOOKUP(Table1[[#This Row],[ID]],Drank!A:P,16,FALSE),IF(Table1[[#This Row],[WALDD]]&gt;0,VLOOKUP(Table1[[#This Row],[ID]],Wine1!A:Q,17,FALSE),Table1[[#This Row],[EP]]))</f>
        <v>2024</v>
      </c>
      <c r="Z749" s="18">
        <f>IF(Table1[[#This Row],[My Rating]]="",IF(Table1[[#This Row],[WA Rating Clean]]="","",Table1[[#This Row],[WA Rating Clean]]),Table1[[#This Row],[My Rating]])</f>
        <v>94.5</v>
      </c>
      <c r="AA749" s="37">
        <v>2027</v>
      </c>
      <c r="AB749" s="128">
        <v>39.99</v>
      </c>
      <c r="AC749" s="2">
        <f t="shared" si="45"/>
        <v>39.99</v>
      </c>
      <c r="AD749" s="8">
        <v>0</v>
      </c>
      <c r="AE749" s="37">
        <f>IF(Table1[[#This Row],[P/750]]&lt;20,1,IF(Table1[[#This Row],[P/750]]&lt;50,2,3))</f>
        <v>2</v>
      </c>
      <c r="AF749" s="37">
        <f>IF(Table1[[#This Row],[P/750]]&lt;Expenses!$C$30,1,IF(Table1[[#This Row],[P/750]]&lt;Expenses!$C$31,2,IF(Table1[[#This Row],[P/750]]&lt;Expenses!$C$32,3,4)))</f>
        <v>3</v>
      </c>
      <c r="AH749" s="37" t="s">
        <v>1139</v>
      </c>
      <c r="AI749" s="11">
        <f>Table1[[#This Row],[Price]]/Table1[[#This Row],[Size (ml)]]*750</f>
        <v>39.99</v>
      </c>
      <c r="AJ749" s="37">
        <v>95</v>
      </c>
      <c r="AK749" s="37">
        <f>COUNTIF(UniqueID!A:A,Table1[[#This Row],[ID]])</f>
        <v>1</v>
      </c>
      <c r="AL749" s="37" t="str">
        <f>VLOOKUP(Table1[[#This Row],[Cellar Location]],Location!A:F,6,FALSE)</f>
        <v>S</v>
      </c>
      <c r="AO749" s="37" t="str">
        <f>TEXT(Table1[[#This Row],[Purchased]],"mmmm")</f>
        <v>January</v>
      </c>
      <c r="AP749" s="10" t="str">
        <f>TEXT(Table1[[#This Row],[Purchased]],"yyyy")</f>
        <v>1900</v>
      </c>
      <c r="AQ749" s="10"/>
    </row>
    <row r="750" spans="1:43" s="37" customFormat="1" x14ac:dyDescent="0.25">
      <c r="A750" s="37" t="str">
        <f t="shared" si="44"/>
        <v>2014Leeuwin EstateArt Series Chardonnay</v>
      </c>
      <c r="B750" s="37">
        <v>2014</v>
      </c>
      <c r="C750" s="9" t="s">
        <v>349</v>
      </c>
      <c r="D750" s="9" t="s">
        <v>350</v>
      </c>
      <c r="E750" s="65" t="s">
        <v>259</v>
      </c>
      <c r="F750" s="37" t="s">
        <v>736</v>
      </c>
      <c r="G750" s="37" t="s">
        <v>740</v>
      </c>
      <c r="H750" s="37" t="s">
        <v>741</v>
      </c>
      <c r="I750" s="107">
        <v>1</v>
      </c>
      <c r="J750" s="37">
        <v>750</v>
      </c>
      <c r="K750" s="107" t="s">
        <v>650</v>
      </c>
      <c r="L750" s="37">
        <f>COUNTIF(Drank!A:A,Table1[[#This Row],[ID]])</f>
        <v>1</v>
      </c>
      <c r="M750" s="37" t="s">
        <v>201</v>
      </c>
      <c r="N750" s="37" t="s">
        <v>207</v>
      </c>
      <c r="O750" s="37">
        <v>1</v>
      </c>
      <c r="P750" s="37">
        <v>2017</v>
      </c>
      <c r="Q750" s="37">
        <v>2025</v>
      </c>
      <c r="R750" s="10">
        <f>IF(IFERROR(VLOOKUP(A750,Drank!A:S,15,FALSE),"")=0,"",IFERROR(VLOOKUP(A750,Drank!A:S,15,FALSE),""))</f>
        <v>2021</v>
      </c>
      <c r="S750" s="10">
        <f>IF(IFERROR(VLOOKUP(A750,Drank!A:S,16,FALSE),"")=0,"",IFERROR(VLOOKUP(A750,Drank!A:S,16,FALSE),""))</f>
        <v>2025</v>
      </c>
      <c r="T750" s="10"/>
      <c r="U750" s="37">
        <v>96</v>
      </c>
      <c r="V750" s="18">
        <f>IF(IFERROR(VLOOKUP(A750,Drank!A:T,19,FALSE),"")=0,"",IFERROR(VLOOKUP(A750,Drank!A:T,19,FALSE),""))</f>
        <v>94</v>
      </c>
      <c r="W750" s="1">
        <f>IF(IFERROR(VLOOKUP(A750,Drank!A:T,20,FALSE),"")=0,"",IFERROR(VLOOKUP(A750,Drank!A:T,20,FALSE),""))</f>
        <v>43625</v>
      </c>
      <c r="X750" s="10">
        <f>SUMIF(A:A,A750,I:I)</f>
        <v>2</v>
      </c>
      <c r="Y750" s="37">
        <f>IF(Table1[[#This Row],[Drank]]&gt;0,VLOOKUP(Table1[[#This Row],[ID]],Drank!A:P,16,FALSE),IF(Table1[[#This Row],[WALDD]]&gt;0,VLOOKUP(Table1[[#This Row],[ID]],Wine1!A:Q,17,FALSE),Table1[[#This Row],[EP]]))</f>
        <v>2025</v>
      </c>
      <c r="Z750" s="18">
        <f>IF(Table1[[#This Row],[My Rating]]="",IF(Table1[[#This Row],[WA Rating Clean]]="","",Table1[[#This Row],[WA Rating Clean]]),Table1[[#This Row],[My Rating]])</f>
        <v>94</v>
      </c>
      <c r="AA750" s="6">
        <v>2027</v>
      </c>
      <c r="AB750" s="128">
        <v>65</v>
      </c>
      <c r="AC750" s="2">
        <f t="shared" si="45"/>
        <v>65</v>
      </c>
      <c r="AD750" s="8">
        <v>2</v>
      </c>
      <c r="AE750" s="37">
        <f>IF(Table1[[#This Row],[P/750]]&lt;20,1,IF(Table1[[#This Row],[P/750]]&lt;50,2,3))</f>
        <v>3</v>
      </c>
      <c r="AF750" s="37">
        <f>IF(Table1[[#This Row],[P/750]]&lt;Expenses!$C$30,1,IF(Table1[[#This Row],[P/750]]&lt;Expenses!$C$31,2,IF(Table1[[#This Row],[P/750]]&lt;Expenses!$C$32,3,4)))</f>
        <v>4</v>
      </c>
      <c r="AH750" s="37" t="s">
        <v>385</v>
      </c>
      <c r="AI750" s="11">
        <f>Table1[[#This Row],[Price]]/Table1[[#This Row],[Size (ml)]]*750</f>
        <v>65</v>
      </c>
      <c r="AJ750" s="37">
        <v>96</v>
      </c>
      <c r="AK750" s="37">
        <f>COUNTIF(UniqueID!A:A,Table1[[#This Row],[ID]])</f>
        <v>1</v>
      </c>
      <c r="AL750" s="37" t="str">
        <f>VLOOKUP(Table1[[#This Row],[Cellar Location]],Location!A:F,6,FALSE)</f>
        <v>S</v>
      </c>
      <c r="AO750" s="37" t="str">
        <f>TEXT(Table1[[#This Row],[Purchased]],"mmmm")</f>
        <v>January</v>
      </c>
      <c r="AP750" s="10" t="str">
        <f>TEXT(Table1[[#This Row],[Purchased]],"yyyy")</f>
        <v>1900</v>
      </c>
      <c r="AQ750" s="10"/>
    </row>
    <row r="751" spans="1:43" s="37" customFormat="1" x14ac:dyDescent="0.25">
      <c r="A751" s="37" t="str">
        <f t="shared" si="44"/>
        <v>2017AaltoAalto</v>
      </c>
      <c r="B751" s="37">
        <v>2017</v>
      </c>
      <c r="C751" s="37" t="s">
        <v>1184</v>
      </c>
      <c r="D751" s="37" t="s">
        <v>1184</v>
      </c>
      <c r="E751" s="67" t="s">
        <v>1220</v>
      </c>
      <c r="F751" s="37" t="s">
        <v>729</v>
      </c>
      <c r="G751" s="37" t="s">
        <v>1718</v>
      </c>
      <c r="H751" s="37" t="s">
        <v>818</v>
      </c>
      <c r="I751" s="8">
        <v>1</v>
      </c>
      <c r="J751" s="38">
        <v>750</v>
      </c>
      <c r="K751" s="38" t="s">
        <v>435</v>
      </c>
      <c r="L751" s="10">
        <f>COUNTIF(Drank!A:A,Table1[[#This Row],[ID]])</f>
        <v>0</v>
      </c>
      <c r="M751" s="37" t="s">
        <v>202</v>
      </c>
      <c r="N751" s="37" t="s">
        <v>207</v>
      </c>
      <c r="O751" s="37">
        <v>1</v>
      </c>
      <c r="P751" s="10">
        <v>2020</v>
      </c>
      <c r="Q751" s="37">
        <v>2025</v>
      </c>
      <c r="R751" s="10" t="str">
        <f>IF(IFERROR(VLOOKUP(A751,Drank!A:S,15,FALSE),"")=0,"",IFERROR(VLOOKUP(A751,Drank!A:S,15,FALSE),""))</f>
        <v/>
      </c>
      <c r="S751" s="10" t="str">
        <f>IF(IFERROR(VLOOKUP(A751,Drank!A:S,16,FALSE),"")=0,"",IFERROR(VLOOKUP(A751,Drank!A:S,16,FALSE),""))</f>
        <v/>
      </c>
      <c r="T751" s="10"/>
      <c r="U751" s="37">
        <v>94</v>
      </c>
      <c r="V751" s="18" t="str">
        <f>IF(IFERROR(VLOOKUP(A751,Drank!A:T,19,FALSE),"")=0,"",IFERROR(VLOOKUP(A751,Drank!A:T,19,FALSE),""))</f>
        <v/>
      </c>
      <c r="W751" s="1" t="str">
        <f>IF(IFERROR(VLOOKUP(A751,Drank!A:T,20,FALSE),"")=0,"",IFERROR(VLOOKUP(A751,Drank!A:T,20,FALSE),""))</f>
        <v/>
      </c>
      <c r="X751" s="10">
        <f>SUMIF(A:A,A751,I:I)</f>
        <v>5</v>
      </c>
      <c r="Y751" s="10">
        <f>IF(Table1[[#This Row],[Drank]]&gt;0,VLOOKUP(Table1[[#This Row],[ID]],Drank!A:P,16,FALSE),IF(Table1[[#This Row],[WALDD]]&gt;0,VLOOKUP(Table1[[#This Row],[ID]],Wine1!A:Q,17,FALSE),Table1[[#This Row],[EP]]))</f>
        <v>2025</v>
      </c>
      <c r="Z751" s="18">
        <f>IF(Table1[[#This Row],[My Rating]]="",IF(Table1[[#This Row],[WA Rating Clean]]="","",Table1[[#This Row],[WA Rating Clean]]),Table1[[#This Row],[My Rating]])</f>
        <v>94</v>
      </c>
      <c r="AA751" s="37">
        <v>2027</v>
      </c>
      <c r="AB751" s="128">
        <v>44.99</v>
      </c>
      <c r="AC751" s="2">
        <f t="shared" si="45"/>
        <v>44.99</v>
      </c>
      <c r="AD751" s="8">
        <v>1</v>
      </c>
      <c r="AE751" s="10">
        <f>IF(Table1[[#This Row],[P/750]]&lt;20,1,IF(Table1[[#This Row],[P/750]]&lt;50,2,3))</f>
        <v>2</v>
      </c>
      <c r="AF751" s="10">
        <f>IF(Table1[[#This Row],[P/750]]&lt;Expenses!$C$30,1,IF(Table1[[#This Row],[P/750]]&lt;Expenses!$C$31,2,IF(Table1[[#This Row],[P/750]]&lt;Expenses!$C$32,3,4)))</f>
        <v>3</v>
      </c>
      <c r="AH751" s="37" t="s">
        <v>1744</v>
      </c>
      <c r="AI751" s="11">
        <f>Table1[[#This Row],[Price]]/Table1[[#This Row],[Size (ml)]]*750</f>
        <v>44.99</v>
      </c>
      <c r="AJ751" s="37">
        <v>94</v>
      </c>
      <c r="AK751" s="10">
        <f>COUNTIF(UniqueID!A:A,Table1[[#This Row],[ID]])</f>
        <v>0</v>
      </c>
      <c r="AL751" s="10" t="str">
        <f>VLOOKUP(Table1[[#This Row],[Cellar Location]],Location!A:F,6,FALSE)</f>
        <v>W</v>
      </c>
      <c r="AN751" s="1">
        <v>44063</v>
      </c>
      <c r="AO751" s="10" t="str">
        <f>TEXT(Table1[[#This Row],[Purchased]],"mmmm")</f>
        <v>August</v>
      </c>
      <c r="AP751" s="10" t="str">
        <f>TEXT(Table1[[#This Row],[Purchased]],"yyyy")</f>
        <v>2020</v>
      </c>
      <c r="AQ751" s="1">
        <v>44114</v>
      </c>
    </row>
    <row r="752" spans="1:43" s="37" customFormat="1" x14ac:dyDescent="0.25">
      <c r="A752" s="37" t="str">
        <f t="shared" si="44"/>
        <v>2009Hermanos Perez PascuasEl Pedrosal Reserva</v>
      </c>
      <c r="B752" s="37">
        <v>2009</v>
      </c>
      <c r="C752" s="9" t="s">
        <v>1543</v>
      </c>
      <c r="D752" s="9" t="s">
        <v>1544</v>
      </c>
      <c r="E752" s="69" t="s">
        <v>276</v>
      </c>
      <c r="F752" s="37" t="s">
        <v>729</v>
      </c>
      <c r="G752" s="37" t="s">
        <v>1718</v>
      </c>
      <c r="H752" s="37" t="s">
        <v>818</v>
      </c>
      <c r="I752" s="78">
        <v>1</v>
      </c>
      <c r="J752" s="37">
        <v>750</v>
      </c>
      <c r="K752" s="78" t="s">
        <v>1545</v>
      </c>
      <c r="L752" s="10">
        <f>COUNTIF(Drank!A:A,Table1[[#This Row],[ID]])</f>
        <v>2</v>
      </c>
      <c r="M752" s="37" t="s">
        <v>202</v>
      </c>
      <c r="N752" s="37" t="s">
        <v>207</v>
      </c>
      <c r="O752" s="37">
        <v>1</v>
      </c>
      <c r="P752" s="37">
        <v>2020</v>
      </c>
      <c r="Q752" s="37">
        <v>2029</v>
      </c>
      <c r="R752" s="10">
        <f>IF(IFERROR(VLOOKUP(A752,Drank!A:S,15,FALSE),"")=0,"",IFERROR(VLOOKUP(A752,Drank!A:S,15,FALSE),""))</f>
        <v>2020</v>
      </c>
      <c r="S752" s="10">
        <f>IF(IFERROR(VLOOKUP(A752,Drank!A:S,16,FALSE),"")=0,"",IFERROR(VLOOKUP(A752,Drank!A:S,16,FALSE),""))</f>
        <v>2027</v>
      </c>
      <c r="T752" s="10"/>
      <c r="U752" s="37">
        <v>95</v>
      </c>
      <c r="V752" s="18">
        <f>IF(IFERROR(VLOOKUP(A752,Drank!A:T,19,FALSE),"")=0,"",IFERROR(VLOOKUP(A752,Drank!A:T,19,FALSE),""))</f>
        <v>94.5</v>
      </c>
      <c r="W752" s="1">
        <f>IF(IFERROR(VLOOKUP(A752,Drank!A:T,20,FALSE),"")=0,"",IFERROR(VLOOKUP(A752,Drank!A:T,20,FALSE),""))</f>
        <v>44079</v>
      </c>
      <c r="X752" s="10">
        <f>SUMIF(A:A,A752,I:I)</f>
        <v>17</v>
      </c>
      <c r="Y752" s="10">
        <f>IF(Table1[[#This Row],[Drank]]&gt;0,VLOOKUP(Table1[[#This Row],[ID]],Drank!A:P,16,FALSE),IF(Table1[[#This Row],[WALDD]]&gt;0,VLOOKUP(Table1[[#This Row],[ID]],Wine1!A:Q,17,FALSE),Table1[[#This Row],[EP]]))</f>
        <v>2027</v>
      </c>
      <c r="Z752" s="18">
        <f>IF(Table1[[#This Row],[My Rating]]="",IF(Table1[[#This Row],[WA Rating Clean]]="","",Table1[[#This Row],[WA Rating Clean]]),Table1[[#This Row],[My Rating]])</f>
        <v>94.5</v>
      </c>
      <c r="AA752" s="37">
        <v>2027</v>
      </c>
      <c r="AB752" s="128">
        <v>29.61</v>
      </c>
      <c r="AC752" s="2">
        <f t="shared" si="45"/>
        <v>29.61</v>
      </c>
      <c r="AD752" s="8"/>
      <c r="AE752" s="10">
        <f>IF(Table1[[#This Row],[P/750]]&lt;20,1,IF(Table1[[#This Row],[P/750]]&lt;50,2,3))</f>
        <v>2</v>
      </c>
      <c r="AF752" s="10">
        <f>IF(Table1[[#This Row],[P/750]]&lt;Expenses!$C$30,1,IF(Table1[[#This Row],[P/750]]&lt;Expenses!$C$31,2,IF(Table1[[#This Row],[P/750]]&lt;Expenses!$C$32,3,4)))</f>
        <v>2</v>
      </c>
      <c r="AH752" s="37" t="s">
        <v>1545</v>
      </c>
      <c r="AI752" s="11">
        <f>Table1[[#This Row],[Price]]/Table1[[#This Row],[Size (ml)]]*750</f>
        <v>29.61</v>
      </c>
      <c r="AJ752" s="37">
        <v>95</v>
      </c>
      <c r="AK752" s="10">
        <f>COUNTIF(UniqueID!A:A,Table1[[#This Row],[ID]])</f>
        <v>0</v>
      </c>
      <c r="AL752" s="10" t="str">
        <f>VLOOKUP(Table1[[#This Row],[Cellar Location]],Location!A:F,6,FALSE)</f>
        <v>W</v>
      </c>
      <c r="AN752" s="1">
        <v>44065</v>
      </c>
      <c r="AO752" s="10" t="str">
        <f>TEXT(Table1[[#This Row],[Purchased]],"mmmm")</f>
        <v>August</v>
      </c>
      <c r="AP752" s="10" t="str">
        <f>TEXT(Table1[[#This Row],[Purchased]],"yyyy")</f>
        <v>2020</v>
      </c>
      <c r="AQ752" s="10"/>
    </row>
    <row r="753" spans="1:43" s="37" customFormat="1" x14ac:dyDescent="0.25">
      <c r="A753" s="37" t="str">
        <f t="shared" si="44"/>
        <v>2012Bodegas Castilejo de RobledoAltos de Valdoso Reserva</v>
      </c>
      <c r="B753" s="8">
        <v>2012</v>
      </c>
      <c r="C753" s="37" t="s">
        <v>1565</v>
      </c>
      <c r="D753" s="32" t="s">
        <v>1566</v>
      </c>
      <c r="E753" s="67" t="s">
        <v>1220</v>
      </c>
      <c r="F753" s="37" t="s">
        <v>729</v>
      </c>
      <c r="G753" s="37" t="s">
        <v>1718</v>
      </c>
      <c r="H753" s="37" t="s">
        <v>818</v>
      </c>
      <c r="I753" s="37">
        <v>1</v>
      </c>
      <c r="J753" s="38">
        <v>750</v>
      </c>
      <c r="K753" s="38" t="s">
        <v>384</v>
      </c>
      <c r="L753" s="10">
        <f>COUNTIF(Drank!A:A,Table1[[#This Row],[ID]])</f>
        <v>0</v>
      </c>
      <c r="M753" s="37" t="s">
        <v>202</v>
      </c>
      <c r="N753" s="37" t="s">
        <v>207</v>
      </c>
      <c r="O753" s="37">
        <v>0</v>
      </c>
      <c r="R753" s="10" t="str">
        <f>IF(IFERROR(VLOOKUP(A753,Drank!A:S,15,FALSE),"")=0,"",IFERROR(VLOOKUP(A753,Drank!A:S,15,FALSE),""))</f>
        <v/>
      </c>
      <c r="S753" s="10" t="str">
        <f>IF(IFERROR(VLOOKUP(A753,Drank!A:S,16,FALSE),"")=0,"",IFERROR(VLOOKUP(A753,Drank!A:S,16,FALSE),""))</f>
        <v/>
      </c>
      <c r="T753" s="10">
        <v>2027</v>
      </c>
      <c r="V753" s="18" t="str">
        <f>IF(IFERROR(VLOOKUP(A753,Drank!A:T,19,FALSE),"")=0,"",IFERROR(VLOOKUP(A753,Drank!A:T,19,FALSE),""))</f>
        <v/>
      </c>
      <c r="W753" s="1" t="str">
        <f>IF(IFERROR(VLOOKUP(A753,Drank!A:T,20,FALSE),"")=0,"",IFERROR(VLOOKUP(A753,Drank!A:T,20,FALSE),""))</f>
        <v/>
      </c>
      <c r="X753" s="10">
        <f>SUMIF(A:A,A753,I:I)</f>
        <v>4</v>
      </c>
      <c r="Y753" s="10">
        <f>IF(Table1[[#This Row],[Drank]]&gt;0,VLOOKUP(Table1[[#This Row],[ID]],Drank!A:P,16,FALSE),IF(Table1[[#This Row],[WALDD]]&gt;0,VLOOKUP(Table1[[#This Row],[ID]],Wine1!A:Q,17,FALSE),Table1[[#This Row],[EP]]))</f>
        <v>2027</v>
      </c>
      <c r="Z753" s="18" t="str">
        <f>IF(Table1[[#This Row],[My Rating]]="",IF(Table1[[#This Row],[WA Rating Clean]]="","",Table1[[#This Row],[WA Rating Clean]]),Table1[[#This Row],[My Rating]])</f>
        <v/>
      </c>
      <c r="AA753" s="37">
        <v>2027</v>
      </c>
      <c r="AB753" s="4">
        <v>21.72</v>
      </c>
      <c r="AC753" s="2">
        <f t="shared" si="45"/>
        <v>21.72</v>
      </c>
      <c r="AD753" s="8">
        <v>1</v>
      </c>
      <c r="AE753" s="10">
        <f>IF(Table1[[#This Row],[P/750]]&lt;20,1,IF(Table1[[#This Row],[P/750]]&lt;50,2,3))</f>
        <v>2</v>
      </c>
      <c r="AF753" s="10">
        <f>IF(Table1[[#This Row],[P/750]]&lt;Expenses!$C$30,1,IF(Table1[[#This Row],[P/750]]&lt;Expenses!$C$31,2,IF(Table1[[#This Row],[P/750]]&lt;Expenses!$C$32,3,4)))</f>
        <v>2</v>
      </c>
      <c r="AH753" s="37" t="s">
        <v>384</v>
      </c>
      <c r="AI753" s="11">
        <f>Table1[[#This Row],[Price]]/Table1[[#This Row],[Size (ml)]]*750</f>
        <v>21.72</v>
      </c>
      <c r="AK753" s="10">
        <f>COUNTIF(UniqueID!A:A,Table1[[#This Row],[ID]])</f>
        <v>0</v>
      </c>
      <c r="AL753" s="10" t="str">
        <f>VLOOKUP(Table1[[#This Row],[Cellar Location]],Location!A:F,6,FALSE)</f>
        <v>W</v>
      </c>
      <c r="AN753" s="1">
        <v>44049</v>
      </c>
      <c r="AO753" s="10" t="str">
        <f>TEXT(Table1[[#This Row],[Purchased]],"mmmm")</f>
        <v>August</v>
      </c>
      <c r="AP753" s="10" t="str">
        <f>TEXT(Table1[[#This Row],[Purchased]],"yyyy")</f>
        <v>2020</v>
      </c>
      <c r="AQ753" s="1">
        <v>44137</v>
      </c>
    </row>
    <row r="754" spans="1:43" s="37" customFormat="1" x14ac:dyDescent="0.25">
      <c r="A754" s="37" t="str">
        <f t="shared" si="44"/>
        <v>2016Domaine La Grangette Saint JosephGigondas la Grangette des Garrigues</v>
      </c>
      <c r="B754" s="37">
        <v>2016</v>
      </c>
      <c r="C754" s="37" t="s">
        <v>420</v>
      </c>
      <c r="D754" s="37" t="s">
        <v>421</v>
      </c>
      <c r="E754" s="69" t="s">
        <v>1225</v>
      </c>
      <c r="F754" s="37" t="s">
        <v>742</v>
      </c>
      <c r="G754" s="37" t="s">
        <v>759</v>
      </c>
      <c r="H754" s="37" t="s">
        <v>764</v>
      </c>
      <c r="I754" s="107">
        <v>1</v>
      </c>
      <c r="J754" s="37">
        <v>750</v>
      </c>
      <c r="K754" s="107" t="s">
        <v>594</v>
      </c>
      <c r="L754" s="37">
        <f>COUNTIF(Drank!A:A,Table1[[#This Row],[ID]])</f>
        <v>1</v>
      </c>
      <c r="M754" s="37" t="s">
        <v>202</v>
      </c>
      <c r="N754" s="37" t="s">
        <v>207</v>
      </c>
      <c r="O754" s="37">
        <v>1</v>
      </c>
      <c r="P754" s="37">
        <v>2018</v>
      </c>
      <c r="Q754" s="37">
        <v>2028</v>
      </c>
      <c r="R754" s="10">
        <f>IF(IFERROR(VLOOKUP(A754,Drank!A:S,15,FALSE),"")=0,"",IFERROR(VLOOKUP(A754,Drank!A:S,15,FALSE),""))</f>
        <v>2021</v>
      </c>
      <c r="S754" s="10">
        <f>IF(IFERROR(VLOOKUP(A754,Drank!A:S,16,FALSE),"")=0,"",IFERROR(VLOOKUP(A754,Drank!A:S,16,FALSE),""))</f>
        <v>2027</v>
      </c>
      <c r="T754" s="10"/>
      <c r="U754" s="37">
        <v>94</v>
      </c>
      <c r="V754" s="18">
        <f>IF(IFERROR(VLOOKUP(A754,Drank!A:T,19,FALSE),"")=0,"",IFERROR(VLOOKUP(A754,Drank!A:T,19,FALSE),""))</f>
        <v>92</v>
      </c>
      <c r="W754" s="1">
        <f>IF(IFERROR(VLOOKUP(A754,Drank!A:T,20,FALSE),"")=0,"",IFERROR(VLOOKUP(A754,Drank!A:T,20,FALSE),""))</f>
        <v>43834</v>
      </c>
      <c r="X754" s="10">
        <f>SUMIF(A:A,A754,I:I)</f>
        <v>11</v>
      </c>
      <c r="Y754" s="37">
        <f>IF(Table1[[#This Row],[Drank]]&gt;0,VLOOKUP(Table1[[#This Row],[ID]],Drank!A:P,16,FALSE),IF(Table1[[#This Row],[WALDD]]&gt;0,VLOOKUP(Table1[[#This Row],[ID]],Wine1!A:Q,17,FALSE),Table1[[#This Row],[EP]]))</f>
        <v>2027</v>
      </c>
      <c r="Z754" s="18">
        <f>IF(Table1[[#This Row],[My Rating]]="",IF(Table1[[#This Row],[WA Rating Clean]]="","",Table1[[#This Row],[WA Rating Clean]]),Table1[[#This Row],[My Rating]])</f>
        <v>92</v>
      </c>
      <c r="AA754" s="37">
        <v>2027</v>
      </c>
      <c r="AB754" s="4">
        <v>22</v>
      </c>
      <c r="AC754" s="2">
        <f t="shared" si="45"/>
        <v>22</v>
      </c>
      <c r="AD754" s="8">
        <v>2</v>
      </c>
      <c r="AE754" s="37">
        <f>IF(Table1[[#This Row],[P/750]]&lt;20,1,IF(Table1[[#This Row],[P/750]]&lt;50,2,3))</f>
        <v>2</v>
      </c>
      <c r="AF754" s="37">
        <f>IF(Table1[[#This Row],[P/750]]&lt;Expenses!$C$30,1,IF(Table1[[#This Row],[P/750]]&lt;Expenses!$C$31,2,IF(Table1[[#This Row],[P/750]]&lt;Expenses!$C$32,3,4)))</f>
        <v>2</v>
      </c>
      <c r="AH754" s="37" t="s">
        <v>384</v>
      </c>
      <c r="AI754" s="11">
        <f>Table1[[#This Row],[Price]]/Table1[[#This Row],[Size (ml)]]*750</f>
        <v>22</v>
      </c>
      <c r="AJ754" s="37">
        <v>94</v>
      </c>
      <c r="AK754" s="37">
        <f>COUNTIF(UniqueID!A:A,Table1[[#This Row],[ID]])</f>
        <v>1</v>
      </c>
      <c r="AL754" s="37" t="str">
        <f>VLOOKUP(Table1[[#This Row],[Cellar Location]],Location!A:F,6,FALSE)</f>
        <v>S</v>
      </c>
      <c r="AO754" s="37" t="str">
        <f>TEXT(Table1[[#This Row],[Purchased]],"mmmm")</f>
        <v>January</v>
      </c>
      <c r="AP754" s="10" t="str">
        <f>TEXT(Table1[[#This Row],[Purchased]],"yyyy")</f>
        <v>1900</v>
      </c>
      <c r="AQ754" s="10"/>
    </row>
    <row r="755" spans="1:43" s="37" customFormat="1" x14ac:dyDescent="0.25">
      <c r="A755" s="37" t="str">
        <f t="shared" si="44"/>
        <v>2013Eighty FourPetit Sirah</v>
      </c>
      <c r="B755" s="37">
        <v>2013</v>
      </c>
      <c r="C755" s="37" t="s">
        <v>318</v>
      </c>
      <c r="D755" s="37" t="s">
        <v>319</v>
      </c>
      <c r="E755" s="68" t="s">
        <v>1332</v>
      </c>
      <c r="F755" s="9" t="s">
        <v>727</v>
      </c>
      <c r="G755" s="9" t="s">
        <v>806</v>
      </c>
      <c r="H755" s="9" t="s">
        <v>832</v>
      </c>
      <c r="I755" s="107">
        <v>1</v>
      </c>
      <c r="J755" s="37">
        <v>750</v>
      </c>
      <c r="K755" s="107" t="s">
        <v>1405</v>
      </c>
      <c r="L755" s="10">
        <f>COUNTIF(Drank!A:A,Table1[[#This Row],[ID]])</f>
        <v>1</v>
      </c>
      <c r="M755" s="37" t="s">
        <v>202</v>
      </c>
      <c r="N755" s="37" t="s">
        <v>207</v>
      </c>
      <c r="O755" s="37">
        <v>0</v>
      </c>
      <c r="R755" s="10">
        <f>IF(IFERROR(VLOOKUP(A755,Drank!A:S,15,FALSE),"")=0,"",IFERROR(VLOOKUP(A755,Drank!A:S,15,FALSE),""))</f>
        <v>2023</v>
      </c>
      <c r="S755" s="10">
        <f>IF(IFERROR(VLOOKUP(A755,Drank!A:S,16,FALSE),"")=0,"",IFERROR(VLOOKUP(A755,Drank!A:S,16,FALSE),""))</f>
        <v>2027</v>
      </c>
      <c r="T755" s="10">
        <v>2027</v>
      </c>
      <c r="V755" s="18">
        <f>IF(IFERROR(VLOOKUP(A755,Drank!A:T,19,FALSE),"")=0,"",IFERROR(VLOOKUP(A755,Drank!A:T,19,FALSE),""))</f>
        <v>93</v>
      </c>
      <c r="W755" s="1">
        <f>IF(IFERROR(VLOOKUP(A755,Drank!A:T,20,FALSE),"")=0,"",IFERROR(VLOOKUP(A755,Drank!A:T,20,FALSE),""))</f>
        <v>44051</v>
      </c>
      <c r="X755" s="10">
        <f>SUMIF(A:A,A755,I:I)</f>
        <v>3</v>
      </c>
      <c r="Y755" s="10">
        <f>IF(Table1[[#This Row],[Drank]]&gt;0,VLOOKUP(Table1[[#This Row],[ID]],Drank!A:P,16,FALSE),IF(Table1[[#This Row],[WALDD]]&gt;0,VLOOKUP(Table1[[#This Row],[ID]],Wine1!A:Q,17,FALSE),Table1[[#This Row],[EP]]))</f>
        <v>2027</v>
      </c>
      <c r="Z755" s="18">
        <f>IF(Table1[[#This Row],[My Rating]]="",IF(Table1[[#This Row],[WA Rating Clean]]="","",Table1[[#This Row],[WA Rating Clean]]),Table1[[#This Row],[My Rating]])</f>
        <v>93</v>
      </c>
      <c r="AA755" s="37">
        <v>2027</v>
      </c>
      <c r="AB755" s="4">
        <v>38.229999999999997</v>
      </c>
      <c r="AC755" s="2">
        <f t="shared" si="45"/>
        <v>38.229999999999997</v>
      </c>
      <c r="AD755" s="8">
        <v>2</v>
      </c>
      <c r="AE755" s="10">
        <f>IF(Table1[[#This Row],[P/750]]&lt;20,1,IF(Table1[[#This Row],[P/750]]&lt;50,2,3))</f>
        <v>2</v>
      </c>
      <c r="AF755" s="10">
        <f>IF(Table1[[#This Row],[P/750]]&lt;Expenses!$C$30,1,IF(Table1[[#This Row],[P/750]]&lt;Expenses!$C$31,2,IF(Table1[[#This Row],[P/750]]&lt;Expenses!$C$32,3,4)))</f>
        <v>3</v>
      </c>
      <c r="AH755" s="37" t="s">
        <v>385</v>
      </c>
      <c r="AI755" s="11">
        <f>Table1[[#This Row],[Price]]/Table1[[#This Row],[Size (ml)]]*750</f>
        <v>38.229999999999997</v>
      </c>
      <c r="AK755" s="10">
        <f>COUNTIF(UniqueID!A:A,Table1[[#This Row],[ID]])</f>
        <v>0</v>
      </c>
      <c r="AL755" s="10" t="str">
        <f>VLOOKUP(Table1[[#This Row],[Cellar Location]],Location!A:F,6,FALSE)</f>
        <v>S</v>
      </c>
      <c r="AN755" s="1">
        <v>43923</v>
      </c>
      <c r="AO755" s="10" t="str">
        <f>TEXT(Table1[[#This Row],[Purchased]],"mmmm")</f>
        <v>April</v>
      </c>
      <c r="AP755" s="10" t="str">
        <f>TEXT(Table1[[#This Row],[Purchased]],"yyyy")</f>
        <v>2020</v>
      </c>
      <c r="AQ755" s="10"/>
    </row>
    <row r="756" spans="1:43" s="37" customFormat="1" x14ac:dyDescent="0.25">
      <c r="A756" s="37" t="str">
        <f t="shared" si="44"/>
        <v>2005MontevetranoMontevetrano</v>
      </c>
      <c r="B756" s="37">
        <v>2005</v>
      </c>
      <c r="C756" s="37" t="s">
        <v>1125</v>
      </c>
      <c r="D756" s="37" t="s">
        <v>1125</v>
      </c>
      <c r="E756" s="64" t="s">
        <v>1201</v>
      </c>
      <c r="F756" s="37" t="s">
        <v>728</v>
      </c>
      <c r="G756" s="37" t="s">
        <v>771</v>
      </c>
      <c r="H756" s="37" t="s">
        <v>1127</v>
      </c>
      <c r="I756" s="107">
        <v>1</v>
      </c>
      <c r="J756" s="37">
        <v>750</v>
      </c>
      <c r="K756" s="107" t="s">
        <v>1150</v>
      </c>
      <c r="L756" s="10">
        <f>COUNTIF(Drank!A:A,Table1[[#This Row],[ID]])</f>
        <v>0</v>
      </c>
      <c r="M756" s="37" t="s">
        <v>202</v>
      </c>
      <c r="N756" s="37" t="s">
        <v>207</v>
      </c>
      <c r="O756" s="37">
        <v>1</v>
      </c>
      <c r="P756" s="10">
        <v>2017</v>
      </c>
      <c r="Q756" s="37">
        <v>2027</v>
      </c>
      <c r="R756" s="10" t="str">
        <f>IF(IFERROR(VLOOKUP(A756,Drank!A:S,15,FALSE),"")=0,"",IFERROR(VLOOKUP(A756,Drank!A:S,15,FALSE),""))</f>
        <v/>
      </c>
      <c r="S756" s="10" t="str">
        <f>IF(IFERROR(VLOOKUP(A756,Drank!A:S,16,FALSE),"")=0,"",IFERROR(VLOOKUP(A756,Drank!A:S,16,FALSE),""))</f>
        <v/>
      </c>
      <c r="T756" s="10"/>
      <c r="U756" s="37">
        <v>92</v>
      </c>
      <c r="V756" s="18" t="str">
        <f>IF(IFERROR(VLOOKUP(A756,Drank!A:T,19,FALSE),"")=0,"",IFERROR(VLOOKUP(A756,Drank!A:T,19,FALSE),""))</f>
        <v/>
      </c>
      <c r="W756" s="1" t="str">
        <f>IF(IFERROR(VLOOKUP(A756,Drank!A:T,20,FALSE),"")=0,"",IFERROR(VLOOKUP(A756,Drank!A:T,20,FALSE),""))</f>
        <v/>
      </c>
      <c r="X756" s="10">
        <f>SUMIF(A:A,A756,I:I)</f>
        <v>2</v>
      </c>
      <c r="Y756" s="10">
        <f>IF(Table1[[#This Row],[Drank]]&gt;0,VLOOKUP(Table1[[#This Row],[ID]],Drank!A:P,16,FALSE),IF(Table1[[#This Row],[WALDD]]&gt;0,VLOOKUP(Table1[[#This Row],[ID]],Wine1!A:Q,17,FALSE),Table1[[#This Row],[EP]]))</f>
        <v>2027</v>
      </c>
      <c r="Z756" s="18">
        <f>IF(Table1[[#This Row],[My Rating]]="",IF(Table1[[#This Row],[WA Rating Clean]]="","",Table1[[#This Row],[WA Rating Clean]]),Table1[[#This Row],[My Rating]])</f>
        <v>92</v>
      </c>
      <c r="AA756" s="37">
        <v>2027</v>
      </c>
      <c r="AB756" s="4">
        <v>59.99</v>
      </c>
      <c r="AC756" s="2">
        <f t="shared" si="45"/>
        <v>59.99</v>
      </c>
      <c r="AD756" s="8">
        <v>2</v>
      </c>
      <c r="AE756" s="10">
        <f>IF(Table1[[#This Row],[P/750]]&lt;20,1,IF(Table1[[#This Row],[P/750]]&lt;50,2,3))</f>
        <v>3</v>
      </c>
      <c r="AF756" s="10">
        <f>IF(Table1[[#This Row],[P/750]]&lt;Expenses!$C$30,1,IF(Table1[[#This Row],[P/750]]&lt;Expenses!$C$31,2,IF(Table1[[#This Row],[P/750]]&lt;Expenses!$C$32,3,4)))</f>
        <v>3</v>
      </c>
      <c r="AH756" s="37" t="s">
        <v>415</v>
      </c>
      <c r="AI756" s="11">
        <f>Table1[[#This Row],[Price]]/Table1[[#This Row],[Size (ml)]]*750</f>
        <v>59.989999999999995</v>
      </c>
      <c r="AJ756" s="37">
        <v>92</v>
      </c>
      <c r="AK756" s="10">
        <f>COUNTIF(UniqueID!A:A,Table1[[#This Row],[ID]])</f>
        <v>1</v>
      </c>
      <c r="AL756" s="10" t="str">
        <f>VLOOKUP(Table1[[#This Row],[Cellar Location]],Location!A:F,6,FALSE)</f>
        <v>S</v>
      </c>
      <c r="AN756" s="1">
        <v>43832</v>
      </c>
      <c r="AO756" s="37" t="str">
        <f>TEXT(Table1[[#This Row],[Purchased]],"mmmm")</f>
        <v>January</v>
      </c>
      <c r="AP756" s="10" t="str">
        <f>TEXT(Table1[[#This Row],[Purchased]],"yyyy")</f>
        <v>2020</v>
      </c>
      <c r="AQ756" s="10"/>
    </row>
    <row r="757" spans="1:43" s="37" customFormat="1" x14ac:dyDescent="0.25">
      <c r="A757" s="37" t="str">
        <f t="shared" si="44"/>
        <v>2013Palazzo WineRed Blend Right Bank Reserve</v>
      </c>
      <c r="B757" s="37">
        <v>2013</v>
      </c>
      <c r="C757" s="9" t="s">
        <v>87</v>
      </c>
      <c r="D757" s="35" t="s">
        <v>88</v>
      </c>
      <c r="E757" s="64" t="s">
        <v>282</v>
      </c>
      <c r="F757" s="37" t="s">
        <v>727</v>
      </c>
      <c r="G757" s="37" t="s">
        <v>806</v>
      </c>
      <c r="H757" s="37" t="s">
        <v>832</v>
      </c>
      <c r="I757" s="107">
        <v>1</v>
      </c>
      <c r="J757" s="37">
        <v>750</v>
      </c>
      <c r="K757" s="107" t="s">
        <v>655</v>
      </c>
      <c r="L757" s="37">
        <f>COUNTIF(Drank!A:A,Table1[[#This Row],[ID]])</f>
        <v>1</v>
      </c>
      <c r="M757" s="37" t="s">
        <v>202</v>
      </c>
      <c r="N757" s="37" t="s">
        <v>207</v>
      </c>
      <c r="O757" s="37">
        <v>1</v>
      </c>
      <c r="R757" s="37">
        <f>IF(IFERROR(VLOOKUP(A757,Drank!A:S,15,FALSE),"")=0,"",IFERROR(VLOOKUP(A757,Drank!A:S,15,FALSE),""))</f>
        <v>2023</v>
      </c>
      <c r="S757" s="37">
        <f>IF(IFERROR(VLOOKUP(A757,Drank!A:S,16,FALSE),"")=0,"",IFERROR(VLOOKUP(A757,Drank!A:S,16,FALSE),""))</f>
        <v>2027</v>
      </c>
      <c r="V757" s="18">
        <f>IF(IFERROR(VLOOKUP(A757,Drank!A:T,19,FALSE),"")=0,"",IFERROR(VLOOKUP(A757,Drank!A:T,19,FALSE),""))</f>
        <v>91</v>
      </c>
      <c r="W757" s="1">
        <f>IF(IFERROR(VLOOKUP(A757,Drank!A:T,20,FALSE),"")=0,"",IFERROR(VLOOKUP(A757,Drank!A:T,20,FALSE),""))</f>
        <v>43498</v>
      </c>
      <c r="X757" s="37">
        <f>SUMIF(A:A,A757,I:I)</f>
        <v>3</v>
      </c>
      <c r="Y757" s="37">
        <f>IF(Table1[[#This Row],[Drank]]&gt;0,VLOOKUP(Table1[[#This Row],[ID]],Drank!A:P,16,FALSE),IF(Table1[[#This Row],[WALDD]]&gt;0,VLOOKUP(Table1[[#This Row],[ID]],Wine1!A:Q,17,FALSE),Table1[[#This Row],[EP]]))</f>
        <v>2027</v>
      </c>
      <c r="Z757" s="18">
        <f>IF(Table1[[#This Row],[My Rating]]="",IF(Table1[[#This Row],[WA Rating Clean]]="","",Table1[[#This Row],[WA Rating Clean]]),Table1[[#This Row],[My Rating]])</f>
        <v>91</v>
      </c>
      <c r="AA757" s="8">
        <v>2027</v>
      </c>
      <c r="AB757" s="2">
        <v>49.99</v>
      </c>
      <c r="AC757" s="2">
        <f t="shared" si="45"/>
        <v>49.99</v>
      </c>
      <c r="AD757" s="8">
        <v>2</v>
      </c>
      <c r="AE757" s="37">
        <f>IF(Table1[[#This Row],[P/750]]&lt;20,1,IF(Table1[[#This Row],[P/750]]&lt;50,2,3))</f>
        <v>2</v>
      </c>
      <c r="AF757" s="37">
        <f>IF(Table1[[#This Row],[P/750]]&lt;Expenses!$C$30,1,IF(Table1[[#This Row],[P/750]]&lt;Expenses!$C$31,2,IF(Table1[[#This Row],[P/750]]&lt;Expenses!$C$32,3,4)))</f>
        <v>3</v>
      </c>
      <c r="AH757" s="37" t="s">
        <v>384</v>
      </c>
      <c r="AI757" s="11">
        <f>Table1[[#This Row],[Price]]/Table1[[#This Row],[Size (ml)]]*750</f>
        <v>49.990000000000009</v>
      </c>
      <c r="AK757" s="37">
        <f>COUNTIF(UniqueID!A:A,Table1[[#This Row],[ID]])</f>
        <v>1</v>
      </c>
      <c r="AL757" s="37" t="str">
        <f>VLOOKUP(Table1[[#This Row],[Cellar Location]],Location!A:F,6,FALSE)</f>
        <v>S</v>
      </c>
      <c r="AO757" s="37" t="str">
        <f>TEXT(Table1[[#This Row],[Purchased]],"mmmm")</f>
        <v>January</v>
      </c>
      <c r="AP757" s="10" t="str">
        <f>TEXT(Table1[[#This Row],[Purchased]],"yyyy")</f>
        <v>1900</v>
      </c>
      <c r="AQ757" s="10"/>
    </row>
    <row r="758" spans="1:43" s="37" customFormat="1" x14ac:dyDescent="0.25">
      <c r="A758" s="37" t="str">
        <f t="shared" si="44"/>
        <v>2007TalentiBrunello di Montalcino</v>
      </c>
      <c r="B758" s="37">
        <v>2007</v>
      </c>
      <c r="C758" s="37" t="s">
        <v>410</v>
      </c>
      <c r="D758" s="37" t="s">
        <v>19</v>
      </c>
      <c r="E758" s="64" t="s">
        <v>280</v>
      </c>
      <c r="F758" s="37" t="s">
        <v>728</v>
      </c>
      <c r="G758" s="37" t="s">
        <v>790</v>
      </c>
      <c r="H758" s="37" t="s">
        <v>19</v>
      </c>
      <c r="I758" s="107">
        <v>1</v>
      </c>
      <c r="J758" s="37">
        <v>750</v>
      </c>
      <c r="K758" s="107" t="s">
        <v>644</v>
      </c>
      <c r="L758" s="37">
        <f>COUNTIF(Drank!A:A,Table1[[#This Row],[ID]])</f>
        <v>1</v>
      </c>
      <c r="M758" s="37" t="s">
        <v>202</v>
      </c>
      <c r="N758" s="37" t="s">
        <v>207</v>
      </c>
      <c r="O758" s="37">
        <v>1</v>
      </c>
      <c r="P758" s="37">
        <v>2015</v>
      </c>
      <c r="Q758" s="37">
        <v>2027</v>
      </c>
      <c r="R758" s="10">
        <f>IF(IFERROR(VLOOKUP(A758,Drank!A:S,15,FALSE),"")=0,"",IFERROR(VLOOKUP(A758,Drank!A:S,15,FALSE),""))</f>
        <v>2024</v>
      </c>
      <c r="S758" s="10">
        <f>IF(IFERROR(VLOOKUP(A758,Drank!A:S,16,FALSE),"")=0,"",IFERROR(VLOOKUP(A758,Drank!A:S,16,FALSE),""))</f>
        <v>2027</v>
      </c>
      <c r="T758" s="10"/>
      <c r="U758" s="37">
        <v>94</v>
      </c>
      <c r="V758" s="18">
        <f>IF(IFERROR(VLOOKUP(A758,Drank!A:T,19,FALSE),"")=0,"",IFERROR(VLOOKUP(A758,Drank!A:T,19,FALSE),""))</f>
        <v>92</v>
      </c>
      <c r="W758" s="1">
        <f>IF(IFERROR(VLOOKUP(A758,Drank!A:T,20,FALSE),"")=0,"",IFERROR(VLOOKUP(A758,Drank!A:T,20,FALSE),""))</f>
        <v>43793</v>
      </c>
      <c r="X758" s="10">
        <f>SUMIF(A:A,A758,I:I)</f>
        <v>2</v>
      </c>
      <c r="Y758" s="37">
        <f>IF(Table1[[#This Row],[Drank]]&gt;0,VLOOKUP(Table1[[#This Row],[ID]],Drank!A:P,16,FALSE),IF(Table1[[#This Row],[WALDD]]&gt;0,VLOOKUP(Table1[[#This Row],[ID]],Wine1!A:Q,17,FALSE),Table1[[#This Row],[EP]]))</f>
        <v>2027</v>
      </c>
      <c r="Z758" s="18">
        <f>IF(Table1[[#This Row],[My Rating]]="",IF(Table1[[#This Row],[WA Rating Clean]]="","",Table1[[#This Row],[WA Rating Clean]]),Table1[[#This Row],[My Rating]])</f>
        <v>92</v>
      </c>
      <c r="AA758" s="6">
        <v>2027</v>
      </c>
      <c r="AB758" s="4">
        <v>50</v>
      </c>
      <c r="AC758" s="2">
        <f t="shared" si="45"/>
        <v>50</v>
      </c>
      <c r="AD758" s="8">
        <v>2</v>
      </c>
      <c r="AE758" s="37">
        <f>IF(Table1[[#This Row],[P/750]]&lt;20,1,IF(Table1[[#This Row],[P/750]]&lt;50,2,3))</f>
        <v>3</v>
      </c>
      <c r="AF758" s="37">
        <f>IF(Table1[[#This Row],[P/750]]&lt;Expenses!$C$30,1,IF(Table1[[#This Row],[P/750]]&lt;Expenses!$C$31,2,IF(Table1[[#This Row],[P/750]]&lt;Expenses!$C$32,3,4)))</f>
        <v>3</v>
      </c>
      <c r="AH758" s="37" t="s">
        <v>415</v>
      </c>
      <c r="AI758" s="11">
        <f>Table1[[#This Row],[Price]]/Table1[[#This Row],[Size (ml)]]*750</f>
        <v>50</v>
      </c>
      <c r="AJ758" s="37">
        <v>94</v>
      </c>
      <c r="AK758" s="37">
        <f>COUNTIF(UniqueID!A:A,Table1[[#This Row],[ID]])</f>
        <v>1</v>
      </c>
      <c r="AL758" s="37" t="str">
        <f>VLOOKUP(Table1[[#This Row],[Cellar Location]],Location!A:F,6,FALSE)</f>
        <v>S</v>
      </c>
      <c r="AO758" s="37" t="str">
        <f>TEXT(Table1[[#This Row],[Purchased]],"mmmm")</f>
        <v>January</v>
      </c>
      <c r="AP758" s="10" t="str">
        <f>TEXT(Table1[[#This Row],[Purchased]],"yyyy")</f>
        <v>1900</v>
      </c>
      <c r="AQ758" s="10"/>
    </row>
    <row r="759" spans="1:43" s="37" customFormat="1" x14ac:dyDescent="0.25">
      <c r="A759" s="37" t="str">
        <f t="shared" si="44"/>
        <v>2011Tenuta VitanzaBrunello di Montalcino Riserva Firma</v>
      </c>
      <c r="B759" s="37">
        <v>2011</v>
      </c>
      <c r="C759" s="9" t="s">
        <v>214</v>
      </c>
      <c r="D759" s="9" t="s">
        <v>215</v>
      </c>
      <c r="E759" s="68" t="s">
        <v>1250</v>
      </c>
      <c r="F759" s="37" t="s">
        <v>728</v>
      </c>
      <c r="G759" s="37" t="s">
        <v>790</v>
      </c>
      <c r="H759" s="37" t="s">
        <v>19</v>
      </c>
      <c r="I759" s="107">
        <v>1</v>
      </c>
      <c r="J759" s="37">
        <v>750</v>
      </c>
      <c r="K759" s="107" t="s">
        <v>1196</v>
      </c>
      <c r="L759" s="10">
        <f>COUNTIF(Drank!A:A,Table1[[#This Row],[ID]])</f>
        <v>1</v>
      </c>
      <c r="M759" s="37" t="s">
        <v>202</v>
      </c>
      <c r="N759" s="37" t="s">
        <v>207</v>
      </c>
      <c r="O759" s="37">
        <v>1</v>
      </c>
      <c r="P759" s="37">
        <v>2017</v>
      </c>
      <c r="Q759" s="37">
        <v>2027</v>
      </c>
      <c r="R759" s="10">
        <f>IF(IFERROR(VLOOKUP(A759,Drank!A:S,15,FALSE),"")=0,"",IFERROR(VLOOKUP(A759,Drank!A:S,15,FALSE),""))</f>
        <v>2023</v>
      </c>
      <c r="S759" s="10">
        <f>IF(IFERROR(VLOOKUP(A759,Drank!A:S,16,FALSE),"")=0,"",IFERROR(VLOOKUP(A759,Drank!A:S,16,FALSE),""))</f>
        <v>2027</v>
      </c>
      <c r="T759" s="10"/>
      <c r="U759" s="37">
        <v>91</v>
      </c>
      <c r="V759" s="18">
        <f>IF(IFERROR(VLOOKUP(A759,Drank!A:T,19,FALSE),"")=0,"",IFERROR(VLOOKUP(A759,Drank!A:T,19,FALSE),""))</f>
        <v>90</v>
      </c>
      <c r="W759" s="1">
        <f>IF(IFERROR(VLOOKUP(A759,Drank!A:T,20,FALSE),"")=0,"",IFERROR(VLOOKUP(A759,Drank!A:T,20,FALSE),""))</f>
        <v>44052</v>
      </c>
      <c r="X759" s="10">
        <f>SUMIF(A:A,A759,I:I)</f>
        <v>3</v>
      </c>
      <c r="Y759" s="10">
        <f>IF(Table1[[#This Row],[Drank]]&gt;0,VLOOKUP(Table1[[#This Row],[ID]],Drank!A:P,16,FALSE),IF(Table1[[#This Row],[WALDD]]&gt;0,VLOOKUP(Table1[[#This Row],[ID]],Wine1!A:Q,17,FALSE),Table1[[#This Row],[EP]]))</f>
        <v>2027</v>
      </c>
      <c r="Z759" s="18">
        <f>IF(Table1[[#This Row],[My Rating]]="",IF(Table1[[#This Row],[WA Rating Clean]]="","",Table1[[#This Row],[WA Rating Clean]]),Table1[[#This Row],[My Rating]])</f>
        <v>90</v>
      </c>
      <c r="AA759" s="37">
        <v>2027</v>
      </c>
      <c r="AB759" s="4">
        <v>32.58</v>
      </c>
      <c r="AC759" s="2">
        <f t="shared" si="45"/>
        <v>32.58</v>
      </c>
      <c r="AD759" s="8">
        <v>2</v>
      </c>
      <c r="AE759" s="10">
        <f>IF(Table1[[#This Row],[P/750]]&lt;20,1,IF(Table1[[#This Row],[P/750]]&lt;50,2,3))</f>
        <v>2</v>
      </c>
      <c r="AF759" s="10">
        <f>IF(Table1[[#This Row],[P/750]]&lt;Expenses!$C$30,1,IF(Table1[[#This Row],[P/750]]&lt;Expenses!$C$31,2,IF(Table1[[#This Row],[P/750]]&lt;Expenses!$C$32,3,4)))</f>
        <v>3</v>
      </c>
      <c r="AH759" s="37" t="s">
        <v>384</v>
      </c>
      <c r="AI759" s="11">
        <f>Table1[[#This Row],[Price]]/Table1[[#This Row],[Size (ml)]]*750</f>
        <v>32.58</v>
      </c>
      <c r="AJ759" s="37">
        <v>91</v>
      </c>
      <c r="AK759" s="10">
        <f>COUNTIF(UniqueID!A:A,Table1[[#This Row],[ID]])</f>
        <v>0</v>
      </c>
      <c r="AL759" s="10" t="str">
        <f>VLOOKUP(Table1[[#This Row],[Cellar Location]],Location!A:F,6,FALSE)</f>
        <v>S</v>
      </c>
      <c r="AN759" s="1">
        <v>43941</v>
      </c>
      <c r="AO759" s="10" t="str">
        <f>TEXT(Table1[[#This Row],[Purchased]],"mmmm")</f>
        <v>April</v>
      </c>
      <c r="AP759" s="10" t="str">
        <f>TEXT(Table1[[#This Row],[Purchased]],"yyyy")</f>
        <v>2020</v>
      </c>
      <c r="AQ759" s="10"/>
    </row>
    <row r="760" spans="1:43" s="37" customFormat="1" x14ac:dyDescent="0.25">
      <c r="A760" s="37" t="str">
        <f t="shared" si="44"/>
        <v>2009Hermanos Perez PascuasEl Pedrosal Reserva</v>
      </c>
      <c r="B760" s="37">
        <v>2009</v>
      </c>
      <c r="C760" s="9" t="s">
        <v>1543</v>
      </c>
      <c r="D760" s="9" t="s">
        <v>1544</v>
      </c>
      <c r="E760" s="69" t="s">
        <v>276</v>
      </c>
      <c r="F760" s="37" t="s">
        <v>729</v>
      </c>
      <c r="G760" s="37" t="s">
        <v>1718</v>
      </c>
      <c r="H760" s="37" t="s">
        <v>818</v>
      </c>
      <c r="I760" s="78">
        <v>1</v>
      </c>
      <c r="J760" s="37">
        <v>750</v>
      </c>
      <c r="K760" s="78" t="s">
        <v>1545</v>
      </c>
      <c r="L760" s="10">
        <f>COUNTIF(Drank!A:A,Table1[[#This Row],[ID]])</f>
        <v>2</v>
      </c>
      <c r="M760" s="37" t="s">
        <v>202</v>
      </c>
      <c r="N760" s="37" t="s">
        <v>207</v>
      </c>
      <c r="O760" s="37">
        <v>1</v>
      </c>
      <c r="P760" s="37">
        <v>2020</v>
      </c>
      <c r="Q760" s="37">
        <v>2029</v>
      </c>
      <c r="R760" s="10">
        <f>IF(IFERROR(VLOOKUP(A760,Drank!A:S,15,FALSE),"")=0,"",IFERROR(VLOOKUP(A760,Drank!A:S,15,FALSE),""))</f>
        <v>2020</v>
      </c>
      <c r="S760" s="10">
        <f>IF(IFERROR(VLOOKUP(A760,Drank!A:S,16,FALSE),"")=0,"",IFERROR(VLOOKUP(A760,Drank!A:S,16,FALSE),""))</f>
        <v>2027</v>
      </c>
      <c r="T760" s="10"/>
      <c r="U760" s="37">
        <v>95</v>
      </c>
      <c r="V760" s="18">
        <f>IF(IFERROR(VLOOKUP(A760,Drank!A:T,19,FALSE),"")=0,"",IFERROR(VLOOKUP(A760,Drank!A:T,19,FALSE),""))</f>
        <v>94.5</v>
      </c>
      <c r="W760" s="1">
        <f>IF(IFERROR(VLOOKUP(A760,Drank!A:T,20,FALSE),"")=0,"",IFERROR(VLOOKUP(A760,Drank!A:T,20,FALSE),""))</f>
        <v>44079</v>
      </c>
      <c r="X760" s="10">
        <f>SUMIF(A:A,A760,I:I)</f>
        <v>17</v>
      </c>
      <c r="Y760" s="10">
        <f>IF(Table1[[#This Row],[Drank]]&gt;0,VLOOKUP(Table1[[#This Row],[ID]],Drank!A:P,16,FALSE),IF(Table1[[#This Row],[WALDD]]&gt;0,VLOOKUP(Table1[[#This Row],[ID]],Wine1!A:Q,17,FALSE),Table1[[#This Row],[EP]]))</f>
        <v>2027</v>
      </c>
      <c r="Z760" s="18">
        <f>IF(Table1[[#This Row],[My Rating]]="",IF(Table1[[#This Row],[WA Rating Clean]]="","",Table1[[#This Row],[WA Rating Clean]]),Table1[[#This Row],[My Rating]])</f>
        <v>94.5</v>
      </c>
      <c r="AA760" s="37">
        <v>2027</v>
      </c>
      <c r="AB760" s="4">
        <v>29.32</v>
      </c>
      <c r="AC760" s="2">
        <f t="shared" si="45"/>
        <v>29.32</v>
      </c>
      <c r="AD760" s="8">
        <v>2</v>
      </c>
      <c r="AE760" s="10">
        <f>IF(Table1[[#This Row],[P/750]]&lt;20,1,IF(Table1[[#This Row],[P/750]]&lt;50,2,3))</f>
        <v>2</v>
      </c>
      <c r="AF760" s="10">
        <f>IF(Table1[[#This Row],[P/750]]&lt;Expenses!$C$30,1,IF(Table1[[#This Row],[P/750]]&lt;Expenses!$C$31,2,IF(Table1[[#This Row],[P/750]]&lt;Expenses!$C$32,3,4)))</f>
        <v>2</v>
      </c>
      <c r="AH760" s="37" t="s">
        <v>1545</v>
      </c>
      <c r="AI760" s="11">
        <f>Table1[[#This Row],[Price]]/Table1[[#This Row],[Size (ml)]]*750</f>
        <v>29.32</v>
      </c>
      <c r="AJ760" s="37">
        <v>95</v>
      </c>
      <c r="AK760" s="10">
        <f>COUNTIF(UniqueID!A:A,Table1[[#This Row],[ID]])</f>
        <v>0</v>
      </c>
      <c r="AL760" s="10" t="str">
        <f>VLOOKUP(Table1[[#This Row],[Cellar Location]],Location!A:F,6,FALSE)</f>
        <v>W</v>
      </c>
      <c r="AN760" s="1">
        <v>44040</v>
      </c>
      <c r="AO760" s="10" t="str">
        <f>TEXT(Table1[[#This Row],[Purchased]],"mmmm")</f>
        <v>July</v>
      </c>
      <c r="AP760" s="10" t="str">
        <f>TEXT(Table1[[#This Row],[Purchased]],"yyyy")</f>
        <v>2020</v>
      </c>
      <c r="AQ760" s="10"/>
    </row>
    <row r="761" spans="1:43" s="37" customFormat="1" x14ac:dyDescent="0.25">
      <c r="A761" s="37" t="str">
        <f t="shared" si="44"/>
        <v>2015Hacienda MonasterioRibera del Duero</v>
      </c>
      <c r="B761" s="37">
        <v>2015</v>
      </c>
      <c r="C761" s="37" t="s">
        <v>107</v>
      </c>
      <c r="D761" s="9" t="s">
        <v>1457</v>
      </c>
      <c r="E761" s="66" t="s">
        <v>1793</v>
      </c>
      <c r="F761" s="37" t="s">
        <v>729</v>
      </c>
      <c r="G761" s="37" t="s">
        <v>1718</v>
      </c>
      <c r="H761" s="37" t="s">
        <v>818</v>
      </c>
      <c r="I761" s="37">
        <v>1</v>
      </c>
      <c r="J761" s="38">
        <v>750</v>
      </c>
      <c r="K761" s="38" t="s">
        <v>1526</v>
      </c>
      <c r="L761" s="10">
        <f>COUNTIF(Drank!A:A,Table1[[#This Row],[ID]])</f>
        <v>0</v>
      </c>
      <c r="M761" s="37" t="s">
        <v>202</v>
      </c>
      <c r="N761" s="37" t="s">
        <v>207</v>
      </c>
      <c r="O761" s="37">
        <v>1</v>
      </c>
      <c r="P761" s="37">
        <v>2018</v>
      </c>
      <c r="Q761" s="37">
        <v>2028</v>
      </c>
      <c r="R761" s="10" t="str">
        <f>IF(IFERROR(VLOOKUP(A761,Drank!A:S,15,FALSE),"")=0,"",IFERROR(VLOOKUP(A761,Drank!A:S,15,FALSE),""))</f>
        <v/>
      </c>
      <c r="S761" s="10" t="str">
        <f>IF(IFERROR(VLOOKUP(A761,Drank!A:S,16,FALSE),"")=0,"",IFERROR(VLOOKUP(A761,Drank!A:S,16,FALSE),""))</f>
        <v/>
      </c>
      <c r="T761" s="10"/>
      <c r="U761" s="37">
        <v>94</v>
      </c>
      <c r="V761" s="18" t="str">
        <f>IF(IFERROR(VLOOKUP(A761,Drank!A:T,19,FALSE),"")=0,"",IFERROR(VLOOKUP(A761,Drank!A:T,19,FALSE),""))</f>
        <v/>
      </c>
      <c r="W761" s="1" t="str">
        <f>IF(IFERROR(VLOOKUP(A761,Drank!A:T,20,FALSE),"")=0,"",IFERROR(VLOOKUP(A761,Drank!A:T,20,FALSE),""))</f>
        <v/>
      </c>
      <c r="X761" s="10">
        <f>SUMIF(A:A,A761,I:I)</f>
        <v>3</v>
      </c>
      <c r="Y761" s="10">
        <f>IF(Table1[[#This Row],[Drank]]&gt;0,VLOOKUP(Table1[[#This Row],[ID]],Drank!A:P,16,FALSE),IF(Table1[[#This Row],[WALDD]]&gt;0,VLOOKUP(Table1[[#This Row],[ID]],Wine1!A:Q,17,FALSE),Table1[[#This Row],[EP]]))</f>
        <v>2028</v>
      </c>
      <c r="Z761" s="18">
        <f>IF(Table1[[#This Row],[My Rating]]="",IF(Table1[[#This Row],[WA Rating Clean]]="","",Table1[[#This Row],[WA Rating Clean]]),Table1[[#This Row],[My Rating]])</f>
        <v>94</v>
      </c>
      <c r="AA761" s="37">
        <v>2027</v>
      </c>
      <c r="AB761" s="4">
        <v>49.52</v>
      </c>
      <c r="AC761" s="2">
        <f t="shared" si="45"/>
        <v>49.52</v>
      </c>
      <c r="AD761" s="8">
        <v>1</v>
      </c>
      <c r="AE761" s="10">
        <f>IF(Table1[[#This Row],[P/750]]&lt;20,1,IF(Table1[[#This Row],[P/750]]&lt;50,2,3))</f>
        <v>2</v>
      </c>
      <c r="AF761" s="10">
        <f>IF(Table1[[#This Row],[P/750]]&lt;Expenses!$C$30,1,IF(Table1[[#This Row],[P/750]]&lt;Expenses!$C$31,2,IF(Table1[[#This Row],[P/750]]&lt;Expenses!$C$32,3,4)))</f>
        <v>3</v>
      </c>
      <c r="AH761" s="37" t="s">
        <v>1478</v>
      </c>
      <c r="AI761" s="11">
        <f>Table1[[#This Row],[Price]]/Table1[[#This Row],[Size (ml)]]*750</f>
        <v>49.519999999999996</v>
      </c>
      <c r="AJ761" s="37">
        <v>94</v>
      </c>
      <c r="AK761" s="10">
        <f>COUNTIF(UniqueID!A:A,Table1[[#This Row],[ID]])</f>
        <v>0</v>
      </c>
      <c r="AL761" s="10" t="str">
        <f>VLOOKUP(Table1[[#This Row],[Cellar Location]],Location!A:F,6,FALSE)</f>
        <v>W</v>
      </c>
      <c r="AN761" s="1">
        <v>44064</v>
      </c>
      <c r="AO761" s="10" t="str">
        <f>TEXT(Table1[[#This Row],[Purchased]],"mmmm")</f>
        <v>August</v>
      </c>
      <c r="AP761" s="10" t="str">
        <f>TEXT(Table1[[#This Row],[Purchased]],"yyyy")</f>
        <v>2020</v>
      </c>
      <c r="AQ761" s="1">
        <v>44114</v>
      </c>
    </row>
    <row r="762" spans="1:43" s="37" customFormat="1" x14ac:dyDescent="0.25">
      <c r="A762" s="37" t="str">
        <f t="shared" si="44"/>
        <v>2017Vintage LongbottomHenry's Drive Shiraz</v>
      </c>
      <c r="B762" s="8">
        <v>2017</v>
      </c>
      <c r="C762" s="37" t="s">
        <v>1547</v>
      </c>
      <c r="D762" s="32" t="s">
        <v>1548</v>
      </c>
      <c r="E762" s="69" t="s">
        <v>1549</v>
      </c>
      <c r="F762" s="37" t="s">
        <v>736</v>
      </c>
      <c r="G762" s="37" t="s">
        <v>737</v>
      </c>
      <c r="I762" s="37">
        <v>1</v>
      </c>
      <c r="J762" s="38">
        <v>750</v>
      </c>
      <c r="K762" s="38" t="s">
        <v>384</v>
      </c>
      <c r="L762" s="10">
        <f>COUNTIF(Drank!A:A,Table1[[#This Row],[ID]])</f>
        <v>0</v>
      </c>
      <c r="M762" s="37" t="s">
        <v>202</v>
      </c>
      <c r="N762" s="37" t="s">
        <v>207</v>
      </c>
      <c r="O762" s="37">
        <v>1</v>
      </c>
      <c r="P762" s="37">
        <v>2019</v>
      </c>
      <c r="Q762" s="37">
        <v>2028</v>
      </c>
      <c r="R762" s="10" t="str">
        <f>IF(IFERROR(VLOOKUP(A762,Drank!A:S,15,FALSE),"")=0,"",IFERROR(VLOOKUP(A762,Drank!A:S,15,FALSE),""))</f>
        <v/>
      </c>
      <c r="S762" s="10" t="str">
        <f>IF(IFERROR(VLOOKUP(A762,Drank!A:S,16,FALSE),"")=0,"",IFERROR(VLOOKUP(A762,Drank!A:S,16,FALSE),""))</f>
        <v/>
      </c>
      <c r="T762" s="10"/>
      <c r="U762" s="37">
        <v>92</v>
      </c>
      <c r="V762" s="18" t="str">
        <f>IF(IFERROR(VLOOKUP(A762,Drank!A:T,19,FALSE),"")=0,"",IFERROR(VLOOKUP(A762,Drank!A:T,19,FALSE),""))</f>
        <v/>
      </c>
      <c r="W762" s="1" t="str">
        <f>IF(IFERROR(VLOOKUP(A762,Drank!A:T,20,FALSE),"")=0,"",IFERROR(VLOOKUP(A762,Drank!A:T,20,FALSE),""))</f>
        <v/>
      </c>
      <c r="X762" s="10">
        <f>SUMIF(A:A,A762,I:I)</f>
        <v>4</v>
      </c>
      <c r="Y762" s="10">
        <f>IF(Table1[[#This Row],[Drank]]&gt;0,VLOOKUP(Table1[[#This Row],[ID]],Drank!A:P,16,FALSE),IF(Table1[[#This Row],[WALDD]]&gt;0,VLOOKUP(Table1[[#This Row],[ID]],Wine1!A:Q,17,FALSE),Table1[[#This Row],[EP]]))</f>
        <v>2028</v>
      </c>
      <c r="Z762" s="18">
        <f>IF(Table1[[#This Row],[My Rating]]="",IF(Table1[[#This Row],[WA Rating Clean]]="","",Table1[[#This Row],[WA Rating Clean]]),Table1[[#This Row],[My Rating]])</f>
        <v>92</v>
      </c>
      <c r="AA762" s="37">
        <v>2027</v>
      </c>
      <c r="AB762" s="4">
        <v>21.72</v>
      </c>
      <c r="AC762" s="2">
        <f t="shared" si="45"/>
        <v>21.72</v>
      </c>
      <c r="AD762" s="8">
        <v>1</v>
      </c>
      <c r="AE762" s="10">
        <f>IF(Table1[[#This Row],[P/750]]&lt;20,1,IF(Table1[[#This Row],[P/750]]&lt;50,2,3))</f>
        <v>2</v>
      </c>
      <c r="AF762" s="10">
        <f>IF(Table1[[#This Row],[P/750]]&lt;Expenses!$C$30,1,IF(Table1[[#This Row],[P/750]]&lt;Expenses!$C$31,2,IF(Table1[[#This Row],[P/750]]&lt;Expenses!$C$32,3,4)))</f>
        <v>2</v>
      </c>
      <c r="AH762" s="37" t="s">
        <v>384</v>
      </c>
      <c r="AI762" s="11">
        <f>Table1[[#This Row],[Price]]/Table1[[#This Row],[Size (ml)]]*750</f>
        <v>21.72</v>
      </c>
      <c r="AJ762" s="37">
        <v>92</v>
      </c>
      <c r="AK762" s="10">
        <f>COUNTIF(UniqueID!A:A,Table1[[#This Row],[ID]])</f>
        <v>0</v>
      </c>
      <c r="AL762" s="10" t="str">
        <f>VLOOKUP(Table1[[#This Row],[Cellar Location]],Location!A:F,6,FALSE)</f>
        <v>W</v>
      </c>
      <c r="AN762" s="1">
        <v>44036</v>
      </c>
      <c r="AO762" s="10" t="str">
        <f>TEXT(Table1[[#This Row],[Purchased]],"mmmm")</f>
        <v>July</v>
      </c>
      <c r="AP762" s="10" t="str">
        <f>TEXT(Table1[[#This Row],[Purchased]],"yyyy")</f>
        <v>2020</v>
      </c>
      <c r="AQ762" s="1">
        <v>44138</v>
      </c>
    </row>
    <row r="763" spans="1:43" s="37" customFormat="1" x14ac:dyDescent="0.25">
      <c r="A763" s="37" t="str">
        <f t="shared" si="44"/>
        <v>2017Domaine BelleCrozes Hermitage Cuvee Louis Belle</v>
      </c>
      <c r="B763" s="8">
        <v>2017</v>
      </c>
      <c r="C763" s="37" t="s">
        <v>1567</v>
      </c>
      <c r="D763" s="32" t="s">
        <v>1568</v>
      </c>
      <c r="E763" s="67" t="s">
        <v>1431</v>
      </c>
      <c r="F763" s="37" t="s">
        <v>742</v>
      </c>
      <c r="G763" s="37" t="s">
        <v>1569</v>
      </c>
      <c r="H763" s="37" t="s">
        <v>1626</v>
      </c>
      <c r="I763" s="37">
        <v>1</v>
      </c>
      <c r="J763" s="38">
        <v>750</v>
      </c>
      <c r="K763" s="38" t="s">
        <v>384</v>
      </c>
      <c r="L763" s="10">
        <f>COUNTIF(Drank!A:A,Table1[[#This Row],[ID]])</f>
        <v>0</v>
      </c>
      <c r="M763" s="37" t="s">
        <v>202</v>
      </c>
      <c r="N763" s="37" t="s">
        <v>207</v>
      </c>
      <c r="O763" s="37">
        <v>1</v>
      </c>
      <c r="P763" s="37">
        <v>2020</v>
      </c>
      <c r="Q763" s="37">
        <v>2028</v>
      </c>
      <c r="R763" s="10" t="str">
        <f>IF(IFERROR(VLOOKUP(A763,Drank!A:S,15,FALSE),"")=0,"",IFERROR(VLOOKUP(A763,Drank!A:S,15,FALSE),""))</f>
        <v/>
      </c>
      <c r="S763" s="10" t="str">
        <f>IF(IFERROR(VLOOKUP(A763,Drank!A:S,16,FALSE),"")=0,"",IFERROR(VLOOKUP(A763,Drank!A:S,16,FALSE),""))</f>
        <v/>
      </c>
      <c r="T763" s="10"/>
      <c r="U763" s="37">
        <v>92</v>
      </c>
      <c r="V763" s="18" t="str">
        <f>IF(IFERROR(VLOOKUP(A763,Drank!A:T,19,FALSE),"")=0,"",IFERROR(VLOOKUP(A763,Drank!A:T,19,FALSE),""))</f>
        <v/>
      </c>
      <c r="W763" s="1" t="str">
        <f>IF(IFERROR(VLOOKUP(A763,Drank!A:T,20,FALSE),"")=0,"",IFERROR(VLOOKUP(A763,Drank!A:T,20,FALSE),""))</f>
        <v/>
      </c>
      <c r="X763" s="10">
        <f>SUMIF(A:A,A763,I:I)</f>
        <v>4</v>
      </c>
      <c r="Y763" s="10">
        <f>IF(Table1[[#This Row],[Drank]]&gt;0,VLOOKUP(Table1[[#This Row],[ID]],Drank!A:P,16,FALSE),IF(Table1[[#This Row],[WALDD]]&gt;0,VLOOKUP(Table1[[#This Row],[ID]],Wine1!A:Q,17,FALSE),Table1[[#This Row],[EP]]))</f>
        <v>2028</v>
      </c>
      <c r="Z763" s="18">
        <f>IF(Table1[[#This Row],[My Rating]]="",IF(Table1[[#This Row],[WA Rating Clean]]="","",Table1[[#This Row],[WA Rating Clean]]),Table1[[#This Row],[My Rating]])</f>
        <v>92</v>
      </c>
      <c r="AA763" s="37">
        <v>2027</v>
      </c>
      <c r="AB763" s="4">
        <v>27.15</v>
      </c>
      <c r="AC763" s="2">
        <f t="shared" si="45"/>
        <v>27.15</v>
      </c>
      <c r="AD763" s="8">
        <v>1</v>
      </c>
      <c r="AE763" s="10">
        <f>IF(Table1[[#This Row],[P/750]]&lt;20,1,IF(Table1[[#This Row],[P/750]]&lt;50,2,3))</f>
        <v>2</v>
      </c>
      <c r="AF763" s="10">
        <f>IF(Table1[[#This Row],[P/750]]&lt;Expenses!$C$30,1,IF(Table1[[#This Row],[P/750]]&lt;Expenses!$C$31,2,IF(Table1[[#This Row],[P/750]]&lt;Expenses!$C$32,3,4)))</f>
        <v>2</v>
      </c>
      <c r="AH763" s="37" t="s">
        <v>384</v>
      </c>
      <c r="AI763" s="11">
        <f>Table1[[#This Row],[Price]]/Table1[[#This Row],[Size (ml)]]*750</f>
        <v>27.15</v>
      </c>
      <c r="AJ763" s="37">
        <v>92</v>
      </c>
      <c r="AK763" s="10">
        <f>COUNTIF(UniqueID!A:A,Table1[[#This Row],[ID]])</f>
        <v>0</v>
      </c>
      <c r="AL763" s="10" t="str">
        <f>VLOOKUP(Table1[[#This Row],[Cellar Location]],Location!A:F,6,FALSE)</f>
        <v>W</v>
      </c>
      <c r="AN763" s="1">
        <v>44050</v>
      </c>
      <c r="AO763" s="10" t="str">
        <f>TEXT(Table1[[#This Row],[Purchased]],"mmmm")</f>
        <v>August</v>
      </c>
      <c r="AP763" s="10" t="str">
        <f>TEXT(Table1[[#This Row],[Purchased]],"yyyy")</f>
        <v>2020</v>
      </c>
      <c r="AQ763" s="1">
        <v>44137</v>
      </c>
    </row>
    <row r="764" spans="1:43" s="37" customFormat="1" x14ac:dyDescent="0.25">
      <c r="A764" s="37" t="str">
        <f t="shared" si="44"/>
        <v>2015MazzeiCastello di Fonterutoli Concerto</v>
      </c>
      <c r="B764" s="37">
        <v>2015</v>
      </c>
      <c r="C764" s="37" t="s">
        <v>1166</v>
      </c>
      <c r="D764" s="37" t="s">
        <v>1580</v>
      </c>
      <c r="E764" s="67" t="s">
        <v>1581</v>
      </c>
      <c r="F764" s="37" t="s">
        <v>728</v>
      </c>
      <c r="G764" s="37" t="s">
        <v>790</v>
      </c>
      <c r="H764" s="37" t="s">
        <v>796</v>
      </c>
      <c r="I764" s="8">
        <v>1</v>
      </c>
      <c r="J764" s="38">
        <v>750</v>
      </c>
      <c r="K764" s="38" t="s">
        <v>384</v>
      </c>
      <c r="L764" s="10">
        <f>COUNTIF(Drank!A:A,Table1[[#This Row],[ID]])</f>
        <v>0</v>
      </c>
      <c r="M764" s="37" t="s">
        <v>202</v>
      </c>
      <c r="N764" s="37" t="s">
        <v>207</v>
      </c>
      <c r="P764" s="10">
        <v>2017</v>
      </c>
      <c r="Q764" s="37">
        <v>2028</v>
      </c>
      <c r="R764" s="10" t="str">
        <f>IF(IFERROR(VLOOKUP(A764,Drank!A:S,15,FALSE),"")=0,"",IFERROR(VLOOKUP(A764,Drank!A:S,15,FALSE),""))</f>
        <v/>
      </c>
      <c r="S764" s="10" t="str">
        <f>IF(IFERROR(VLOOKUP(A764,Drank!A:S,16,FALSE),"")=0,"",IFERROR(VLOOKUP(A764,Drank!A:S,16,FALSE),""))</f>
        <v/>
      </c>
      <c r="T764" s="10"/>
      <c r="U764" s="37">
        <v>92</v>
      </c>
      <c r="V764" s="18" t="str">
        <f>IF(IFERROR(VLOOKUP(A764,Drank!A:T,19,FALSE),"")=0,"",IFERROR(VLOOKUP(A764,Drank!A:T,19,FALSE),""))</f>
        <v/>
      </c>
      <c r="W764" s="1" t="str">
        <f>IF(IFERROR(VLOOKUP(A764,Drank!A:T,20,FALSE),"")=0,"",IFERROR(VLOOKUP(A764,Drank!A:T,20,FALSE),""))</f>
        <v/>
      </c>
      <c r="X764" s="10">
        <f>SUMIF(A:A,A764,I:I)</f>
        <v>4</v>
      </c>
      <c r="Y764" s="10">
        <f>IF(Table1[[#This Row],[Drank]]&gt;0,VLOOKUP(Table1[[#This Row],[ID]],Drank!A:P,16,FALSE),IF(Table1[[#This Row],[WALDD]]&gt;0,VLOOKUP(Table1[[#This Row],[ID]],Wine1!A:Q,17,FALSE),Table1[[#This Row],[EP]]))</f>
        <v>2028</v>
      </c>
      <c r="Z764" s="18">
        <f>IF(Table1[[#This Row],[My Rating]]="",IF(Table1[[#This Row],[WA Rating Clean]]="","",Table1[[#This Row],[WA Rating Clean]]),Table1[[#This Row],[My Rating]])</f>
        <v>92</v>
      </c>
      <c r="AA764" s="37">
        <v>2027</v>
      </c>
      <c r="AB764" s="4">
        <v>48.87</v>
      </c>
      <c r="AC764" s="2">
        <f t="shared" si="45"/>
        <v>48.87</v>
      </c>
      <c r="AD764" s="8">
        <v>1</v>
      </c>
      <c r="AE764" s="10">
        <f>IF(Table1[[#This Row],[P/750]]&lt;20,1,IF(Table1[[#This Row],[P/750]]&lt;50,2,3))</f>
        <v>2</v>
      </c>
      <c r="AF764" s="10">
        <f>IF(Table1[[#This Row],[P/750]]&lt;Expenses!$C$30,1,IF(Table1[[#This Row],[P/750]]&lt;Expenses!$C$31,2,IF(Table1[[#This Row],[P/750]]&lt;Expenses!$C$32,3,4)))</f>
        <v>3</v>
      </c>
      <c r="AH764" s="37" t="s">
        <v>384</v>
      </c>
      <c r="AI764" s="11">
        <f>Table1[[#This Row],[Price]]/Table1[[#This Row],[Size (ml)]]*750</f>
        <v>48.87</v>
      </c>
      <c r="AJ764" s="37">
        <v>92</v>
      </c>
      <c r="AK764" s="10">
        <f>COUNTIF(UniqueID!A:A,Table1[[#This Row],[ID]])</f>
        <v>0</v>
      </c>
      <c r="AL764" s="10" t="str">
        <f>VLOOKUP(Table1[[#This Row],[Cellar Location]],Location!A:F,6,FALSE)</f>
        <v>W</v>
      </c>
      <c r="AN764" s="1">
        <v>44057</v>
      </c>
      <c r="AO764" s="10" t="str">
        <f>TEXT(Table1[[#This Row],[Purchased]],"mmmm")</f>
        <v>August</v>
      </c>
      <c r="AP764" s="10" t="str">
        <f>TEXT(Table1[[#This Row],[Purchased]],"yyyy")</f>
        <v>2020</v>
      </c>
      <c r="AQ764" s="1">
        <v>44137</v>
      </c>
    </row>
    <row r="765" spans="1:43" s="37" customFormat="1" x14ac:dyDescent="0.25">
      <c r="A765" s="37" t="str">
        <f t="shared" si="44"/>
        <v>2008Tua RitaGiusto di Notri</v>
      </c>
      <c r="B765" s="37">
        <v>2008</v>
      </c>
      <c r="C765" s="37" t="s">
        <v>859</v>
      </c>
      <c r="D765" s="37" t="s">
        <v>860</v>
      </c>
      <c r="E765" s="67" t="s">
        <v>1563</v>
      </c>
      <c r="F765" s="37" t="s">
        <v>728</v>
      </c>
      <c r="G765" s="37" t="s">
        <v>790</v>
      </c>
      <c r="H765" s="37" t="s">
        <v>796</v>
      </c>
      <c r="I765" s="8">
        <v>1</v>
      </c>
      <c r="J765" s="38">
        <v>750</v>
      </c>
      <c r="K765" s="38" t="s">
        <v>1564</v>
      </c>
      <c r="L765" s="10">
        <f>COUNTIF(Drank!A:A,Table1[[#This Row],[ID]])</f>
        <v>0</v>
      </c>
      <c r="M765" s="37" t="s">
        <v>202</v>
      </c>
      <c r="N765" s="37" t="s">
        <v>207</v>
      </c>
      <c r="O765" s="37">
        <v>1</v>
      </c>
      <c r="P765" s="10">
        <v>2016</v>
      </c>
      <c r="Q765" s="37">
        <v>2028</v>
      </c>
      <c r="R765" s="10" t="str">
        <f>IF(IFERROR(VLOOKUP(A765,Drank!A:S,15,FALSE),"")=0,"",IFERROR(VLOOKUP(A765,Drank!A:S,15,FALSE),""))</f>
        <v/>
      </c>
      <c r="S765" s="10" t="str">
        <f>IF(IFERROR(VLOOKUP(A765,Drank!A:S,16,FALSE),"")=0,"",IFERROR(VLOOKUP(A765,Drank!A:S,16,FALSE),""))</f>
        <v/>
      </c>
      <c r="T765" s="10"/>
      <c r="U765" s="37">
        <v>94</v>
      </c>
      <c r="V765" s="18" t="str">
        <f>IF(IFERROR(VLOOKUP(A765,Drank!A:T,19,FALSE),"")=0,"",IFERROR(VLOOKUP(A765,Drank!A:T,19,FALSE),""))</f>
        <v/>
      </c>
      <c r="W765" s="1" t="str">
        <f>IF(IFERROR(VLOOKUP(A765,Drank!A:T,20,FALSE),"")=0,"",IFERROR(VLOOKUP(A765,Drank!A:T,20,FALSE),""))</f>
        <v/>
      </c>
      <c r="X765" s="10">
        <f>SUMIF(A:A,A765,I:I)</f>
        <v>12</v>
      </c>
      <c r="Y765" s="10">
        <f>IF(Table1[[#This Row],[Drank]]&gt;0,VLOOKUP(Table1[[#This Row],[ID]],Drank!A:P,16,FALSE),IF(Table1[[#This Row],[WALDD]]&gt;0,VLOOKUP(Table1[[#This Row],[ID]],Wine1!A:Q,17,FALSE),Table1[[#This Row],[EP]]))</f>
        <v>2028</v>
      </c>
      <c r="Z765" s="18">
        <f>IF(Table1[[#This Row],[My Rating]]="",IF(Table1[[#This Row],[WA Rating Clean]]="","",Table1[[#This Row],[WA Rating Clean]]),Table1[[#This Row],[My Rating]])</f>
        <v>94</v>
      </c>
      <c r="AA765" s="37">
        <v>2027</v>
      </c>
      <c r="AB765" s="4">
        <v>54.41</v>
      </c>
      <c r="AC765" s="2">
        <f t="shared" si="45"/>
        <v>54.41</v>
      </c>
      <c r="AD765" s="8">
        <v>1</v>
      </c>
      <c r="AE765" s="10">
        <f>IF(Table1[[#This Row],[P/750]]&lt;20,1,IF(Table1[[#This Row],[P/750]]&lt;50,2,3))</f>
        <v>3</v>
      </c>
      <c r="AF765" s="10">
        <f>IF(Table1[[#This Row],[P/750]]&lt;Expenses!$C$30,1,IF(Table1[[#This Row],[P/750]]&lt;Expenses!$C$31,2,IF(Table1[[#This Row],[P/750]]&lt;Expenses!$C$32,3,4)))</f>
        <v>3</v>
      </c>
      <c r="AH765" s="37" t="s">
        <v>1564</v>
      </c>
      <c r="AI765" s="11">
        <f>Table1[[#This Row],[Price]]/Table1[[#This Row],[Size (ml)]]*750</f>
        <v>54.41</v>
      </c>
      <c r="AJ765" s="37">
        <v>94</v>
      </c>
      <c r="AK765" s="10">
        <f>COUNTIF(UniqueID!A:A,Table1[[#This Row],[ID]])</f>
        <v>0</v>
      </c>
      <c r="AL765" s="10" t="str">
        <f>VLOOKUP(Table1[[#This Row],[Cellar Location]],Location!A:F,6,FALSE)</f>
        <v>W</v>
      </c>
      <c r="AN765" s="1">
        <v>44045</v>
      </c>
      <c r="AO765" s="10" t="str">
        <f>TEXT(Table1[[#This Row],[Purchased]],"mmmm")</f>
        <v>August</v>
      </c>
      <c r="AP765" s="10" t="str">
        <f>TEXT(Table1[[#This Row],[Purchased]],"yyyy")</f>
        <v>2020</v>
      </c>
      <c r="AQ765" s="1">
        <v>44094</v>
      </c>
    </row>
    <row r="766" spans="1:43" s="37" customFormat="1" x14ac:dyDescent="0.25">
      <c r="A766" s="37" t="str">
        <f t="shared" si="44"/>
        <v>2015Giuseppe CampagnolaAmarone della Valpolicella Classico Vigneti Vallata di Marano</v>
      </c>
      <c r="B766" s="37">
        <v>2015</v>
      </c>
      <c r="C766" s="37" t="s">
        <v>311</v>
      </c>
      <c r="D766" s="37" t="s">
        <v>592</v>
      </c>
      <c r="E766" s="64" t="s">
        <v>313</v>
      </c>
      <c r="F766" s="37" t="s">
        <v>728</v>
      </c>
      <c r="G766" s="37" t="s">
        <v>799</v>
      </c>
      <c r="H766" s="37" t="s">
        <v>800</v>
      </c>
      <c r="I766" s="8">
        <v>1</v>
      </c>
      <c r="J766" s="38">
        <v>750</v>
      </c>
      <c r="K766" s="38" t="s">
        <v>384</v>
      </c>
      <c r="L766" s="10">
        <f>COUNTIF(Drank!A:A,Table1[[#This Row],[ID]])</f>
        <v>1</v>
      </c>
      <c r="M766" s="37" t="s">
        <v>202</v>
      </c>
      <c r="N766" s="37" t="s">
        <v>207</v>
      </c>
      <c r="O766" s="37">
        <v>1</v>
      </c>
      <c r="P766" s="10">
        <v>2019</v>
      </c>
      <c r="Q766" s="37">
        <v>2028</v>
      </c>
      <c r="R766" s="10">
        <f>IF(IFERROR(VLOOKUP(A766,Drank!A:S,15,FALSE),"")=0,"",IFERROR(VLOOKUP(A766,Drank!A:S,15,FALSE),""))</f>
        <v>2025</v>
      </c>
      <c r="S766" s="10">
        <f>IF(IFERROR(VLOOKUP(A766,Drank!A:S,16,FALSE),"")=0,"",IFERROR(VLOOKUP(A766,Drank!A:S,16,FALSE),""))</f>
        <v>2028</v>
      </c>
      <c r="T766" s="10"/>
      <c r="U766" s="37">
        <v>91</v>
      </c>
      <c r="V766" s="18">
        <f>IF(IFERROR(VLOOKUP(A766,Drank!A:T,19,FALSE),"")=0,"",IFERROR(VLOOKUP(A766,Drank!A:T,19,FALSE),""))</f>
        <v>92</v>
      </c>
      <c r="W766" s="1">
        <f>IF(IFERROR(VLOOKUP(A766,Drank!A:T,20,FALSE),"")=0,"",IFERROR(VLOOKUP(A766,Drank!A:T,20,FALSE),""))</f>
        <v>43890</v>
      </c>
      <c r="X766" s="10">
        <f>SUMIF(A:A,A766,I:I)</f>
        <v>8</v>
      </c>
      <c r="Y766" s="10">
        <f>IF(Table1[[#This Row],[Drank]]&gt;0,VLOOKUP(Table1[[#This Row],[ID]],Drank!A:P,16,FALSE),IF(Table1[[#This Row],[WALDD]]&gt;0,VLOOKUP(Table1[[#This Row],[ID]],Wine1!A:Q,17,FALSE),Table1[[#This Row],[EP]]))</f>
        <v>2028</v>
      </c>
      <c r="Z766" s="18">
        <f>IF(Table1[[#This Row],[My Rating]]="",IF(Table1[[#This Row],[WA Rating Clean]]="","",Table1[[#This Row],[WA Rating Clean]]),Table1[[#This Row],[My Rating]])</f>
        <v>92</v>
      </c>
      <c r="AA766" s="37">
        <v>2027</v>
      </c>
      <c r="AB766" s="4">
        <v>32.58</v>
      </c>
      <c r="AC766" s="2">
        <f t="shared" si="45"/>
        <v>32.58</v>
      </c>
      <c r="AD766" s="8">
        <v>1</v>
      </c>
      <c r="AE766" s="10">
        <f>IF(Table1[[#This Row],[P/750]]&lt;20,1,IF(Table1[[#This Row],[P/750]]&lt;50,2,3))</f>
        <v>2</v>
      </c>
      <c r="AF766" s="10">
        <f>IF(Table1[[#This Row],[P/750]]&lt;Expenses!$C$30,1,IF(Table1[[#This Row],[P/750]]&lt;Expenses!$C$31,2,IF(Table1[[#This Row],[P/750]]&lt;Expenses!$C$32,3,4)))</f>
        <v>3</v>
      </c>
      <c r="AH766" s="37" t="s">
        <v>384</v>
      </c>
      <c r="AI766" s="11">
        <f>Table1[[#This Row],[Price]]/Table1[[#This Row],[Size (ml)]]*750</f>
        <v>32.58</v>
      </c>
      <c r="AJ766" s="37">
        <v>91</v>
      </c>
      <c r="AK766" s="10">
        <f>COUNTIF(UniqueID!A:A,Table1[[#This Row],[ID]])</f>
        <v>1</v>
      </c>
      <c r="AL766" s="10" t="str">
        <f>VLOOKUP(Table1[[#This Row],[Cellar Location]],Location!A:F,6,FALSE)</f>
        <v>W</v>
      </c>
      <c r="AN766" s="1">
        <v>44063</v>
      </c>
      <c r="AO766" s="10" t="str">
        <f>TEXT(Table1[[#This Row],[Purchased]],"mmmm")</f>
        <v>August</v>
      </c>
      <c r="AP766" s="10" t="str">
        <f>TEXT(Table1[[#This Row],[Purchased]],"yyyy")</f>
        <v>2020</v>
      </c>
      <c r="AQ766" s="1">
        <v>44137</v>
      </c>
    </row>
    <row r="767" spans="1:43" s="37" customFormat="1" x14ac:dyDescent="0.25">
      <c r="A767" s="37" t="str">
        <f t="shared" si="44"/>
        <v>2013Elia PalazzesiBrunello di Montalcino</v>
      </c>
      <c r="B767" s="37">
        <v>2013</v>
      </c>
      <c r="C767" s="37" t="s">
        <v>440</v>
      </c>
      <c r="D767" s="37" t="s">
        <v>19</v>
      </c>
      <c r="E767" s="67" t="s">
        <v>1250</v>
      </c>
      <c r="F767" s="37" t="s">
        <v>728</v>
      </c>
      <c r="G767" s="37" t="s">
        <v>790</v>
      </c>
      <c r="H767" s="37" t="s">
        <v>19</v>
      </c>
      <c r="I767" s="107">
        <v>1</v>
      </c>
      <c r="J767" s="37">
        <v>750</v>
      </c>
      <c r="K767" s="107" t="s">
        <v>648</v>
      </c>
      <c r="L767" s="37">
        <f>COUNTIF(Drank!A:A,Table1[[#This Row],[ID]])</f>
        <v>1</v>
      </c>
      <c r="M767" s="37" t="s">
        <v>202</v>
      </c>
      <c r="N767" s="37" t="s">
        <v>207</v>
      </c>
      <c r="O767" s="37">
        <v>1</v>
      </c>
      <c r="P767" s="10">
        <v>2020</v>
      </c>
      <c r="Q767" s="37">
        <v>2030</v>
      </c>
      <c r="R767" s="10">
        <f>IF(IFERROR(VLOOKUP(A767,Drank!A:S,15,FALSE),"")=0,"",IFERROR(VLOOKUP(A767,Drank!A:S,15,FALSE),""))</f>
        <v>2025</v>
      </c>
      <c r="S767" s="10">
        <f>IF(IFERROR(VLOOKUP(A767,Drank!A:S,16,FALSE),"")=0,"",IFERROR(VLOOKUP(A767,Drank!A:S,16,FALSE),""))</f>
        <v>2028</v>
      </c>
      <c r="T767" s="10"/>
      <c r="U767" s="37">
        <v>89</v>
      </c>
      <c r="V767" s="18">
        <f>IF(IFERROR(VLOOKUP(A767,Drank!A:T,19,FALSE),"")=0,"",IFERROR(VLOOKUP(A767,Drank!A:T,19,FALSE),""))</f>
        <v>89</v>
      </c>
      <c r="W767" s="1">
        <f>IF(IFERROR(VLOOKUP(A767,Drank!A:T,20,FALSE),"")=0,"",IFERROR(VLOOKUP(A767,Drank!A:T,20,FALSE),""))</f>
        <v>43884</v>
      </c>
      <c r="X767" s="10">
        <f>SUMIF(A:A,A767,I:I)</f>
        <v>3</v>
      </c>
      <c r="Y767" s="10">
        <f>IF(Table1[[#This Row],[Drank]]&gt;0,VLOOKUP(Table1[[#This Row],[ID]],Drank!A:P,16,FALSE),IF(Table1[[#This Row],[WALDD]]&gt;0,VLOOKUP(Table1[[#This Row],[ID]],Wine1!A:Q,17,FALSE),Table1[[#This Row],[EP]]))</f>
        <v>2028</v>
      </c>
      <c r="Z767" s="18">
        <f>IF(Table1[[#This Row],[My Rating]]="",IF(Table1[[#This Row],[WA Rating Clean]]="","",Table1[[#This Row],[WA Rating Clean]]),Table1[[#This Row],[My Rating]])</f>
        <v>89</v>
      </c>
      <c r="AA767" s="37">
        <v>2027</v>
      </c>
      <c r="AB767" s="4">
        <v>29.99</v>
      </c>
      <c r="AC767" s="2">
        <f t="shared" si="45"/>
        <v>29.99</v>
      </c>
      <c r="AD767" s="8">
        <v>2</v>
      </c>
      <c r="AE767" s="37">
        <f>IF(Table1[[#This Row],[P/750]]&lt;20,1,IF(Table1[[#This Row],[P/750]]&lt;50,2,3))</f>
        <v>2</v>
      </c>
      <c r="AF767" s="37">
        <f>IF(Table1[[#This Row],[P/750]]&lt;Expenses!$C$30,1,IF(Table1[[#This Row],[P/750]]&lt;Expenses!$C$31,2,IF(Table1[[#This Row],[P/750]]&lt;Expenses!$C$32,3,4)))</f>
        <v>3</v>
      </c>
      <c r="AH767" s="37" t="s">
        <v>384</v>
      </c>
      <c r="AI767" s="11">
        <f>Table1[[#This Row],[Price]]/Table1[[#This Row],[Size (ml)]]*750</f>
        <v>29.99</v>
      </c>
      <c r="AJ767" s="37">
        <v>89</v>
      </c>
      <c r="AK767" s="37">
        <f>COUNTIF(UniqueID!A:A,Table1[[#This Row],[ID]])</f>
        <v>1</v>
      </c>
      <c r="AL767" s="37" t="str">
        <f>VLOOKUP(Table1[[#This Row],[Cellar Location]],Location!A:F,6,FALSE)</f>
        <v>S</v>
      </c>
      <c r="AO767" s="37" t="str">
        <f>TEXT(Table1[[#This Row],[Purchased]],"mmmm")</f>
        <v>January</v>
      </c>
      <c r="AP767" s="10" t="str">
        <f>TEXT(Table1[[#This Row],[Purchased]],"yyyy")</f>
        <v>1900</v>
      </c>
      <c r="AQ767" s="10"/>
    </row>
    <row r="768" spans="1:43" s="37" customFormat="1" x14ac:dyDescent="0.25">
      <c r="A768" s="37" t="str">
        <f t="shared" si="44"/>
        <v>2014FontanafreddaBarolo Serralunga d'Alba</v>
      </c>
      <c r="B768" s="37">
        <v>2014</v>
      </c>
      <c r="C768" s="37" t="s">
        <v>428</v>
      </c>
      <c r="D768" s="37" t="s">
        <v>584</v>
      </c>
      <c r="E768" s="67" t="s">
        <v>1206</v>
      </c>
      <c r="F768" s="37" t="s">
        <v>728</v>
      </c>
      <c r="G768" s="37" t="s">
        <v>778</v>
      </c>
      <c r="H768" s="37" t="s">
        <v>783</v>
      </c>
      <c r="I768" s="107">
        <v>1</v>
      </c>
      <c r="J768" s="37">
        <v>1500</v>
      </c>
      <c r="K768" s="107" t="s">
        <v>625</v>
      </c>
      <c r="L768" s="37">
        <f>COUNTIF(Drank!A:A,Table1[[#This Row],[ID]])</f>
        <v>0</v>
      </c>
      <c r="M768" s="37" t="s">
        <v>202</v>
      </c>
      <c r="N768" s="37" t="s">
        <v>207</v>
      </c>
      <c r="O768" s="37">
        <v>1</v>
      </c>
      <c r="P768" s="10">
        <v>2019</v>
      </c>
      <c r="Q768" s="37">
        <v>2028</v>
      </c>
      <c r="R768" s="10" t="str">
        <f>IF(IFERROR(VLOOKUP(A768,Drank!A:S,15,FALSE),"")=0,"",IFERROR(VLOOKUP(A768,Drank!A:S,15,FALSE),""))</f>
        <v/>
      </c>
      <c r="S768" s="10" t="str">
        <f>IF(IFERROR(VLOOKUP(A768,Drank!A:S,16,FALSE),"")=0,"",IFERROR(VLOOKUP(A768,Drank!A:S,16,FALSE),""))</f>
        <v/>
      </c>
      <c r="T768" s="10"/>
      <c r="U768" s="37">
        <v>89</v>
      </c>
      <c r="V768" s="18" t="str">
        <f>IF(IFERROR(VLOOKUP(A768,Drank!A:T,19,FALSE),"")=0,"",IFERROR(VLOOKUP(A768,Drank!A:T,19,FALSE),""))</f>
        <v/>
      </c>
      <c r="W768" s="1" t="str">
        <f>IF(IFERROR(VLOOKUP(A768,Drank!A:T,20,FALSE),"")=0,"",IFERROR(VLOOKUP(A768,Drank!A:T,20,FALSE),""))</f>
        <v/>
      </c>
      <c r="X768" s="10">
        <f>SUMIF(A:A,A768,I:I)</f>
        <v>2</v>
      </c>
      <c r="Y768" s="10">
        <f>IF(Table1[[#This Row],[Drank]]&gt;0,VLOOKUP(Table1[[#This Row],[ID]],Drank!A:P,16,FALSE),IF(Table1[[#This Row],[WALDD]]&gt;0,VLOOKUP(Table1[[#This Row],[ID]],Wine1!A:Q,17,FALSE),Table1[[#This Row],[EP]]))</f>
        <v>2028</v>
      </c>
      <c r="Z768" s="18">
        <f>IF(Table1[[#This Row],[My Rating]]="",IF(Table1[[#This Row],[WA Rating Clean]]="","",Table1[[#This Row],[WA Rating Clean]]),Table1[[#This Row],[My Rating]])</f>
        <v>89</v>
      </c>
      <c r="AA768" s="37">
        <v>2027</v>
      </c>
      <c r="AB768" s="4">
        <v>65.989999999999995</v>
      </c>
      <c r="AC768" s="2">
        <f t="shared" si="45"/>
        <v>65.989999999999995</v>
      </c>
      <c r="AD768" s="8">
        <v>2</v>
      </c>
      <c r="AE768" s="10">
        <f>IF(Table1[[#This Row],[P/750]]&lt;20,1,IF(Table1[[#This Row],[P/750]]&lt;50,2,3))</f>
        <v>2</v>
      </c>
      <c r="AF768" s="10">
        <f>IF(Table1[[#This Row],[P/750]]&lt;Expenses!$C$30,1,IF(Table1[[#This Row],[P/750]]&lt;Expenses!$C$31,2,IF(Table1[[#This Row],[P/750]]&lt;Expenses!$C$32,3,4)))</f>
        <v>3</v>
      </c>
      <c r="AH768" s="37" t="s">
        <v>1130</v>
      </c>
      <c r="AI768" s="11">
        <f>Table1[[#This Row],[Price]]/Table1[[#This Row],[Size (ml)]]*750</f>
        <v>32.994999999999997</v>
      </c>
      <c r="AJ768" s="37">
        <v>89</v>
      </c>
      <c r="AK768" s="37">
        <f>COUNTIF(UniqueID!A:A,Table1[[#This Row],[ID]])</f>
        <v>1</v>
      </c>
      <c r="AL768" s="37" t="str">
        <f>VLOOKUP(Table1[[#This Row],[Cellar Location]],Location!A:F,6,FALSE)</f>
        <v>S</v>
      </c>
      <c r="AO768" s="37" t="str">
        <f>TEXT(Table1[[#This Row],[Purchased]],"mmmm")</f>
        <v>January</v>
      </c>
      <c r="AP768" s="10" t="str">
        <f>TEXT(Table1[[#This Row],[Purchased]],"yyyy")</f>
        <v>1900</v>
      </c>
      <c r="AQ768" s="10"/>
    </row>
    <row r="769" spans="1:43" s="37" customFormat="1" x14ac:dyDescent="0.25">
      <c r="A769" s="37" t="str">
        <f t="shared" si="44"/>
        <v>2012Le GodeBrunello di Montalcino Riserva</v>
      </c>
      <c r="B769" s="37">
        <v>2012</v>
      </c>
      <c r="C769" s="37" t="s">
        <v>245</v>
      </c>
      <c r="D769" s="37" t="s">
        <v>13</v>
      </c>
      <c r="E769" s="64" t="s">
        <v>280</v>
      </c>
      <c r="F769" s="37" t="s">
        <v>728</v>
      </c>
      <c r="G769" s="37" t="s">
        <v>790</v>
      </c>
      <c r="H769" s="37" t="s">
        <v>19</v>
      </c>
      <c r="I769" s="37">
        <v>1</v>
      </c>
      <c r="J769" s="107">
        <v>750</v>
      </c>
      <c r="K769" s="8" t="s">
        <v>1832</v>
      </c>
      <c r="L769" s="37">
        <f>COUNTIF(Drank!A:A,Table1[[#This Row],[ID]])</f>
        <v>0</v>
      </c>
      <c r="M769" s="37" t="s">
        <v>202</v>
      </c>
      <c r="N769" s="37" t="s">
        <v>207</v>
      </c>
      <c r="O769" s="37">
        <v>1</v>
      </c>
      <c r="P769" s="37">
        <v>2019</v>
      </c>
      <c r="Q769" s="37">
        <v>2028</v>
      </c>
      <c r="R769" s="37" t="str">
        <f>IF(IFERROR(VLOOKUP(A769,Drank!A:S,15,FALSE),"")=0,"",IFERROR(VLOOKUP(A769,Drank!A:S,15,FALSE),""))</f>
        <v/>
      </c>
      <c r="S769" s="37" t="str">
        <f>IF(IFERROR(VLOOKUP(A769,Drank!A:S,16,FALSE),"")=0,"",IFERROR(VLOOKUP(A769,Drank!A:S,16,FALSE),""))</f>
        <v/>
      </c>
      <c r="U769" s="37">
        <v>91</v>
      </c>
      <c r="V769" s="18" t="str">
        <f>IF(IFERROR(VLOOKUP(A769,Drank!A:T,19,FALSE),"")=0,"",IFERROR(VLOOKUP(A769,Drank!A:T,19,FALSE),""))</f>
        <v/>
      </c>
      <c r="W769" s="1" t="str">
        <f>IF(IFERROR(VLOOKUP(A769,Drank!A:T,20,FALSE),"")=0,"",IFERROR(VLOOKUP(A769,Drank!A:T,20,FALSE),""))</f>
        <v/>
      </c>
      <c r="X769" s="37">
        <f>SUMIF(A:A,A769,I:I)</f>
        <v>2</v>
      </c>
      <c r="Y769" s="37">
        <f>IF(Table1[[#This Row],[Drank]]&gt;0,VLOOKUP(Table1[[#This Row],[ID]],Drank!A:P,16,FALSE),IF(Table1[[#This Row],[WALDD]]&gt;0,VLOOKUP(Table1[[#This Row],[ID]],Wine1!A:Q,17,FALSE),Table1[[#This Row],[EP]]))</f>
        <v>2028</v>
      </c>
      <c r="Z769" s="18">
        <f>IF(Table1[[#This Row],[My Rating]]="",IF(Table1[[#This Row],[WA Rating Clean]]="","",Table1[[#This Row],[WA Rating Clean]]),Table1[[#This Row],[My Rating]])</f>
        <v>91</v>
      </c>
      <c r="AA769" s="8">
        <v>2027</v>
      </c>
      <c r="AB769" s="4">
        <v>54.99</v>
      </c>
      <c r="AC769" s="2">
        <f t="shared" si="45"/>
        <v>54.99</v>
      </c>
      <c r="AD769" s="8">
        <v>0</v>
      </c>
      <c r="AE769" s="37">
        <f>IF(Table1[[#This Row],[P/750]]&lt;20,1,IF(Table1[[#This Row],[P/750]]&lt;50,2,3))</f>
        <v>3</v>
      </c>
      <c r="AF769" s="37">
        <f>IF(Table1[[#This Row],[P/750]]&lt;Expenses!$C$30,1,IF(Table1[[#This Row],[P/750]]&lt;Expenses!$C$31,2,IF(Table1[[#This Row],[P/750]]&lt;Expenses!$C$32,3,4)))</f>
        <v>3</v>
      </c>
      <c r="AH769" s="37" t="s">
        <v>384</v>
      </c>
      <c r="AI769" s="11">
        <f>Table1[[#This Row],[Price]]/Table1[[#This Row],[Size (ml)]]*750</f>
        <v>54.989999999999995</v>
      </c>
      <c r="AJ769" s="37">
        <v>91</v>
      </c>
      <c r="AK769" s="37">
        <f>COUNTIF(UniqueID!A:A,Table1[[#This Row],[ID]])</f>
        <v>1</v>
      </c>
      <c r="AL769" s="37" t="str">
        <f>VLOOKUP(Table1[[#This Row],[Cellar Location]],Location!A:F,6,FALSE)</f>
        <v>S</v>
      </c>
      <c r="AO769" s="37" t="str">
        <f>TEXT(Table1[[#This Row],[Purchased]],"mmmm")</f>
        <v>January</v>
      </c>
      <c r="AP769" s="10" t="str">
        <f>TEXT(Table1[[#This Row],[Purchased]],"yyyy")</f>
        <v>1900</v>
      </c>
      <c r="AQ769" s="10"/>
    </row>
    <row r="770" spans="1:43" s="37" customFormat="1" x14ac:dyDescent="0.25">
      <c r="A770" s="37" t="str">
        <f t="shared" si="44"/>
        <v>2012Poggio AnticoBrunello di Montalcino</v>
      </c>
      <c r="B770" s="37">
        <v>2012</v>
      </c>
      <c r="C770" s="37" t="s">
        <v>223</v>
      </c>
      <c r="D770" s="37" t="s">
        <v>19</v>
      </c>
      <c r="E770" s="64" t="s">
        <v>280</v>
      </c>
      <c r="F770" s="37" t="s">
        <v>728</v>
      </c>
      <c r="G770" s="37" t="s">
        <v>790</v>
      </c>
      <c r="H770" s="37" t="s">
        <v>19</v>
      </c>
      <c r="I770" s="107">
        <v>1</v>
      </c>
      <c r="J770" s="37">
        <v>750</v>
      </c>
      <c r="K770" s="107" t="s">
        <v>594</v>
      </c>
      <c r="L770" s="37">
        <f>COUNTIF(Drank!A:A,Table1[[#This Row],[ID]])</f>
        <v>0</v>
      </c>
      <c r="M770" s="37" t="s">
        <v>202</v>
      </c>
      <c r="N770" s="37" t="s">
        <v>207</v>
      </c>
      <c r="O770" s="37">
        <v>1</v>
      </c>
      <c r="P770" s="37">
        <v>2017</v>
      </c>
      <c r="Q770" s="37">
        <v>2028</v>
      </c>
      <c r="R770" s="37" t="str">
        <f>IF(IFERROR(VLOOKUP(A770,Drank!A:S,15,FALSE),"")=0,"",IFERROR(VLOOKUP(A770,Drank!A:S,15,FALSE),""))</f>
        <v/>
      </c>
      <c r="S770" s="37" t="str">
        <f>IF(IFERROR(VLOOKUP(A770,Drank!A:S,16,FALSE),"")=0,"",IFERROR(VLOOKUP(A770,Drank!A:S,16,FALSE),""))</f>
        <v/>
      </c>
      <c r="U770" s="37">
        <v>93</v>
      </c>
      <c r="V770" s="18" t="str">
        <f>IF(IFERROR(VLOOKUP(A770,Drank!A:T,19,FALSE),"")=0,"",IFERROR(VLOOKUP(A770,Drank!A:T,19,FALSE),""))</f>
        <v/>
      </c>
      <c r="W770" s="1" t="str">
        <f>IF(IFERROR(VLOOKUP(A770,Drank!A:T,20,FALSE),"")=0,"",IFERROR(VLOOKUP(A770,Drank!A:T,20,FALSE),""))</f>
        <v/>
      </c>
      <c r="X770" s="37">
        <f>SUMIF(A:A,A770,I:I)</f>
        <v>1</v>
      </c>
      <c r="Y770" s="37">
        <f>IF(Table1[[#This Row],[Drank]]&gt;0,VLOOKUP(Table1[[#This Row],[ID]],Drank!A:P,16,FALSE),IF(Table1[[#This Row],[WALDD]]&gt;0,VLOOKUP(Table1[[#This Row],[ID]],Wine1!A:Q,17,FALSE),Table1[[#This Row],[EP]]))</f>
        <v>2028</v>
      </c>
      <c r="Z770" s="18">
        <f>IF(Table1[[#This Row],[My Rating]]="",IF(Table1[[#This Row],[WA Rating Clean]]="","",Table1[[#This Row],[WA Rating Clean]]),Table1[[#This Row],[My Rating]])</f>
        <v>93</v>
      </c>
      <c r="AA770" s="6">
        <v>2027</v>
      </c>
      <c r="AB770" s="4">
        <v>54.99</v>
      </c>
      <c r="AC770" s="2">
        <f t="shared" si="45"/>
        <v>54.99</v>
      </c>
      <c r="AD770" s="8">
        <v>2</v>
      </c>
      <c r="AE770" s="37">
        <f>IF(Table1[[#This Row],[P/750]]&lt;20,1,IF(Table1[[#This Row],[P/750]]&lt;50,2,3))</f>
        <v>3</v>
      </c>
      <c r="AF770" s="37">
        <f>IF(Table1[[#This Row],[P/750]]&lt;Expenses!$C$30,1,IF(Table1[[#This Row],[P/750]]&lt;Expenses!$C$31,2,IF(Table1[[#This Row],[P/750]]&lt;Expenses!$C$32,3,4)))</f>
        <v>3</v>
      </c>
      <c r="AH770" s="37" t="s">
        <v>1139</v>
      </c>
      <c r="AI770" s="11">
        <f>Table1[[#This Row],[Price]]/Table1[[#This Row],[Size (ml)]]*750</f>
        <v>54.989999999999995</v>
      </c>
      <c r="AJ770" s="37">
        <v>93</v>
      </c>
      <c r="AK770" s="37">
        <f>COUNTIF(UniqueID!A:A,Table1[[#This Row],[ID]])</f>
        <v>1</v>
      </c>
      <c r="AL770" s="37" t="str">
        <f>VLOOKUP(Table1[[#This Row],[Cellar Location]],Location!A:F,6,FALSE)</f>
        <v>S</v>
      </c>
      <c r="AO770" s="37" t="str">
        <f>TEXT(Table1[[#This Row],[Purchased]],"mmmm")</f>
        <v>January</v>
      </c>
      <c r="AP770" s="10" t="str">
        <f>TEXT(Table1[[#This Row],[Purchased]],"yyyy")</f>
        <v>1900</v>
      </c>
      <c r="AQ770" s="10"/>
    </row>
    <row r="771" spans="1:43" s="37" customFormat="1" x14ac:dyDescent="0.25">
      <c r="A771" s="37" t="str">
        <f t="shared" si="44"/>
        <v>2014Produttori del BarbarescoBarbaresco</v>
      </c>
      <c r="B771" s="37">
        <v>2014</v>
      </c>
      <c r="C771" s="9" t="s">
        <v>248</v>
      </c>
      <c r="D771" s="9" t="s">
        <v>249</v>
      </c>
      <c r="E771" s="67" t="s">
        <v>1206</v>
      </c>
      <c r="F771" s="37" t="s">
        <v>728</v>
      </c>
      <c r="G771" s="37" t="s">
        <v>778</v>
      </c>
      <c r="H771" s="37" t="s">
        <v>249</v>
      </c>
      <c r="I771" s="107">
        <v>1</v>
      </c>
      <c r="J771" s="37">
        <v>750</v>
      </c>
      <c r="K771" s="107" t="s">
        <v>619</v>
      </c>
      <c r="L771" s="37">
        <f>COUNTIF(Drank!A:A,Table1[[#This Row],[ID]])</f>
        <v>2</v>
      </c>
      <c r="M771" s="37" t="s">
        <v>202</v>
      </c>
      <c r="N771" s="37" t="s">
        <v>207</v>
      </c>
      <c r="O771" s="37">
        <v>1</v>
      </c>
      <c r="P771" s="37">
        <v>2018</v>
      </c>
      <c r="Q771" s="37">
        <v>2030</v>
      </c>
      <c r="R771" s="37">
        <f>IF(IFERROR(VLOOKUP(A771,Drank!A:S,15,FALSE),"")=0,"",IFERROR(VLOOKUP(A771,Drank!A:S,15,FALSE),""))</f>
        <v>2019</v>
      </c>
      <c r="S771" s="37">
        <f>IF(IFERROR(VLOOKUP(A771,Drank!A:S,16,FALSE),"")=0,"",IFERROR(VLOOKUP(A771,Drank!A:S,16,FALSE),""))</f>
        <v>2028</v>
      </c>
      <c r="U771" s="37">
        <v>94</v>
      </c>
      <c r="V771" s="18">
        <f>IF(IFERROR(VLOOKUP(A771,Drank!A:T,19,FALSE),"")=0,"",IFERROR(VLOOKUP(A771,Drank!A:T,19,FALSE),""))</f>
        <v>93</v>
      </c>
      <c r="W771" s="1">
        <f>IF(IFERROR(VLOOKUP(A771,Drank!A:T,20,FALSE),"")=0,"",IFERROR(VLOOKUP(A771,Drank!A:T,20,FALSE),""))</f>
        <v>43632</v>
      </c>
      <c r="X771" s="37">
        <f>SUMIF(A:A,A771,I:I)</f>
        <v>2</v>
      </c>
      <c r="Y771" s="37">
        <f>IF(Table1[[#This Row],[Drank]]&gt;0,VLOOKUP(Table1[[#This Row],[ID]],Drank!A:P,16,FALSE),IF(Table1[[#This Row],[WALDD]]&gt;0,VLOOKUP(Table1[[#This Row],[ID]],Wine1!A:Q,17,FALSE),Table1[[#This Row],[EP]]))</f>
        <v>2028</v>
      </c>
      <c r="Z771" s="18">
        <f>IF(Table1[[#This Row],[My Rating]]="",IF(Table1[[#This Row],[WA Rating Clean]]="","",Table1[[#This Row],[WA Rating Clean]]),Table1[[#This Row],[My Rating]])</f>
        <v>93</v>
      </c>
      <c r="AA771" s="37">
        <v>2027</v>
      </c>
      <c r="AB771" s="4">
        <v>39.99</v>
      </c>
      <c r="AC771" s="2">
        <f t="shared" si="45"/>
        <v>39.99</v>
      </c>
      <c r="AD771" s="8">
        <v>2</v>
      </c>
      <c r="AE771" s="37">
        <f>IF(Table1[[#This Row],[P/750]]&lt;20,1,IF(Table1[[#This Row],[P/750]]&lt;50,2,3))</f>
        <v>2</v>
      </c>
      <c r="AF771" s="37">
        <f>IF(Table1[[#This Row],[P/750]]&lt;Expenses!$C$30,1,IF(Table1[[#This Row],[P/750]]&lt;Expenses!$C$31,2,IF(Table1[[#This Row],[P/750]]&lt;Expenses!$C$32,3,4)))</f>
        <v>3</v>
      </c>
      <c r="AH771" s="37" t="s">
        <v>1128</v>
      </c>
      <c r="AI771" s="11">
        <f>Table1[[#This Row],[Price]]/Table1[[#This Row],[Size (ml)]]*750</f>
        <v>39.99</v>
      </c>
      <c r="AJ771" s="37">
        <v>94</v>
      </c>
      <c r="AK771" s="37">
        <f>COUNTIF(UniqueID!A:A,Table1[[#This Row],[ID]])</f>
        <v>1</v>
      </c>
      <c r="AL771" s="37" t="str">
        <f>VLOOKUP(Table1[[#This Row],[Cellar Location]],Location!A:F,6,FALSE)</f>
        <v>S</v>
      </c>
      <c r="AO771" s="37" t="str">
        <f>TEXT(Table1[[#This Row],[Purchased]],"mmmm")</f>
        <v>January</v>
      </c>
      <c r="AP771" s="10" t="str">
        <f>TEXT(Table1[[#This Row],[Purchased]],"yyyy")</f>
        <v>1900</v>
      </c>
      <c r="AQ771" s="10"/>
    </row>
    <row r="772" spans="1:43" s="37" customFormat="1" x14ac:dyDescent="0.25">
      <c r="A772" s="37" t="str">
        <f t="shared" si="44"/>
        <v>2009PrunottoBarolo Bussia</v>
      </c>
      <c r="B772" s="37">
        <v>2009</v>
      </c>
      <c r="C772" s="37" t="s">
        <v>33</v>
      </c>
      <c r="D772" s="37" t="s">
        <v>34</v>
      </c>
      <c r="E772" s="67" t="s">
        <v>1206</v>
      </c>
      <c r="F772" s="37" t="s">
        <v>728</v>
      </c>
      <c r="G772" s="37" t="s">
        <v>778</v>
      </c>
      <c r="H772" s="37" t="s">
        <v>780</v>
      </c>
      <c r="I772" s="37">
        <v>1</v>
      </c>
      <c r="J772" s="37">
        <v>750</v>
      </c>
      <c r="K772" s="8" t="s">
        <v>8</v>
      </c>
      <c r="L772" s="37">
        <f>COUNTIF(Drank!A:A,Table1[[#This Row],[ID]])</f>
        <v>0</v>
      </c>
      <c r="M772" s="37" t="s">
        <v>202</v>
      </c>
      <c r="N772" s="37" t="s">
        <v>207</v>
      </c>
      <c r="O772" s="37">
        <v>1</v>
      </c>
      <c r="P772" s="37">
        <v>2015</v>
      </c>
      <c r="Q772" s="37">
        <v>2028</v>
      </c>
      <c r="R772" s="37" t="str">
        <f>IF(IFERROR(VLOOKUP(A772,Drank!A:S,15,FALSE),"")=0,"",IFERROR(VLOOKUP(A772,Drank!A:S,15,FALSE),""))</f>
        <v/>
      </c>
      <c r="S772" s="37" t="str">
        <f>IF(IFERROR(VLOOKUP(A772,Drank!A:S,16,FALSE),"")=0,"",IFERROR(VLOOKUP(A772,Drank!A:S,16,FALSE),""))</f>
        <v/>
      </c>
      <c r="U772" s="37">
        <v>96</v>
      </c>
      <c r="V772" s="18" t="str">
        <f>IF(IFERROR(VLOOKUP(A772,Drank!A:T,19,FALSE),"")=0,"",IFERROR(VLOOKUP(A772,Drank!A:T,19,FALSE),""))</f>
        <v/>
      </c>
      <c r="W772" s="1" t="str">
        <f>IF(IFERROR(VLOOKUP(A772,Drank!A:T,20,FALSE),"")=0,"",IFERROR(VLOOKUP(A772,Drank!A:T,20,FALSE),""))</f>
        <v/>
      </c>
      <c r="X772" s="37">
        <f>SUMIF(A:A,A772,I:I)</f>
        <v>1</v>
      </c>
      <c r="Y772" s="37">
        <f>IF(Table1[[#This Row],[Drank]]&gt;0,VLOOKUP(Table1[[#This Row],[ID]],Drank!A:P,16,FALSE),IF(Table1[[#This Row],[WALDD]]&gt;0,VLOOKUP(Table1[[#This Row],[ID]],Wine1!A:Q,17,FALSE),Table1[[#This Row],[EP]]))</f>
        <v>2028</v>
      </c>
      <c r="Z772" s="18">
        <f>IF(Table1[[#This Row],[My Rating]]="",IF(Table1[[#This Row],[WA Rating Clean]]="","",Table1[[#This Row],[WA Rating Clean]]),Table1[[#This Row],[My Rating]])</f>
        <v>96</v>
      </c>
      <c r="AA772" s="37">
        <v>2027</v>
      </c>
      <c r="AB772" s="3">
        <v>74</v>
      </c>
      <c r="AC772" s="2">
        <f t="shared" si="45"/>
        <v>74</v>
      </c>
      <c r="AD772" s="8">
        <v>0</v>
      </c>
      <c r="AE772" s="37">
        <f>IF(Table1[[#This Row],[P/750]]&lt;20,1,IF(Table1[[#This Row],[P/750]]&lt;50,2,3))</f>
        <v>3</v>
      </c>
      <c r="AF772" s="37">
        <f>IF(Table1[[#This Row],[P/750]]&lt;Expenses!$C$30,1,IF(Table1[[#This Row],[P/750]]&lt;Expenses!$C$31,2,IF(Table1[[#This Row],[P/750]]&lt;Expenses!$C$32,3,4)))</f>
        <v>4</v>
      </c>
      <c r="AH772" s="37" t="s">
        <v>1128</v>
      </c>
      <c r="AI772" s="11">
        <f>Table1[[#This Row],[Price]]/Table1[[#This Row],[Size (ml)]]*750</f>
        <v>74</v>
      </c>
      <c r="AJ772" s="37">
        <v>96</v>
      </c>
      <c r="AK772" s="37">
        <f>COUNTIF(UniqueID!A:A,Table1[[#This Row],[ID]])</f>
        <v>1</v>
      </c>
      <c r="AL772" s="37" t="str">
        <f>VLOOKUP(Table1[[#This Row],[Cellar Location]],Location!A:F,6,FALSE)</f>
        <v>K</v>
      </c>
      <c r="AO772" s="37" t="str">
        <f>TEXT(Table1[[#This Row],[Purchased]],"mmmm")</f>
        <v>January</v>
      </c>
      <c r="AP772" s="10" t="str">
        <f>TEXT(Table1[[#This Row],[Purchased]],"yyyy")</f>
        <v>1900</v>
      </c>
      <c r="AQ772" s="10"/>
    </row>
    <row r="773" spans="1:43" s="37" customFormat="1" x14ac:dyDescent="0.25">
      <c r="A773" s="37" t="str">
        <f t="shared" si="44"/>
        <v>2016Yves CheronGigondas La Grand Comtadine Heritiers Cheron-Misset</v>
      </c>
      <c r="B773" s="37">
        <v>2016</v>
      </c>
      <c r="C773" s="37" t="s">
        <v>413</v>
      </c>
      <c r="D773" s="25" t="s">
        <v>414</v>
      </c>
      <c r="E773" s="67" t="s">
        <v>1249</v>
      </c>
      <c r="F773" s="37" t="s">
        <v>742</v>
      </c>
      <c r="G773" s="37" t="s">
        <v>759</v>
      </c>
      <c r="H773" s="37" t="s">
        <v>764</v>
      </c>
      <c r="I773" s="107">
        <v>1</v>
      </c>
      <c r="J773" s="9">
        <v>750</v>
      </c>
      <c r="K773" s="107" t="s">
        <v>645</v>
      </c>
      <c r="L773" s="37">
        <f>COUNTIF(Drank!A:A,Table1[[#This Row],[ID]])</f>
        <v>1</v>
      </c>
      <c r="M773" s="37" t="s">
        <v>202</v>
      </c>
      <c r="N773" s="37" t="s">
        <v>207</v>
      </c>
      <c r="O773" s="37">
        <v>1</v>
      </c>
      <c r="P773" s="37">
        <v>2018</v>
      </c>
      <c r="Q773" s="37">
        <v>2028</v>
      </c>
      <c r="R773" s="10">
        <f>IF(IFERROR(VLOOKUP(A773,Drank!A:S,15,FALSE),"")=0,"",IFERROR(VLOOKUP(A773,Drank!A:S,15,FALSE),""))</f>
        <v>2022</v>
      </c>
      <c r="S773" s="10">
        <f>IF(IFERROR(VLOOKUP(A773,Drank!A:S,16,FALSE),"")=0,"",IFERROR(VLOOKUP(A773,Drank!A:S,16,FALSE),""))</f>
        <v>2028</v>
      </c>
      <c r="T773" s="10"/>
      <c r="U773" s="37">
        <v>93</v>
      </c>
      <c r="V773" s="18">
        <f>IF(IFERROR(VLOOKUP(A773,Drank!A:T,19,FALSE),"")=0,"",IFERROR(VLOOKUP(A773,Drank!A:T,19,FALSE),""))</f>
        <v>92</v>
      </c>
      <c r="W773" s="1">
        <f>IF(IFERROR(VLOOKUP(A773,Drank!A:T,20,FALSE),"")=0,"",IFERROR(VLOOKUP(A773,Drank!A:T,20,FALSE),""))</f>
        <v>43897</v>
      </c>
      <c r="X773" s="10">
        <f>SUMIF(A:A,A773,I:I)</f>
        <v>5</v>
      </c>
      <c r="Y773" s="37">
        <f>IF(Table1[[#This Row],[Drank]]&gt;0,VLOOKUP(Table1[[#This Row],[ID]],Drank!A:P,16,FALSE),IF(Table1[[#This Row],[WALDD]]&gt;0,VLOOKUP(Table1[[#This Row],[ID]],Wine1!A:Q,17,FALSE),Table1[[#This Row],[EP]]))</f>
        <v>2028</v>
      </c>
      <c r="Z773" s="18">
        <f>IF(Table1[[#This Row],[My Rating]]="",IF(Table1[[#This Row],[WA Rating Clean]]="","",Table1[[#This Row],[WA Rating Clean]]),Table1[[#This Row],[My Rating]])</f>
        <v>92</v>
      </c>
      <c r="AA773" s="37">
        <v>2027</v>
      </c>
      <c r="AB773" s="4">
        <v>23</v>
      </c>
      <c r="AC773" s="2">
        <f t="shared" si="45"/>
        <v>23</v>
      </c>
      <c r="AD773" s="8">
        <v>2</v>
      </c>
      <c r="AE773" s="37">
        <f>IF(Table1[[#This Row],[P/750]]&lt;20,1,IF(Table1[[#This Row],[P/750]]&lt;50,2,3))</f>
        <v>2</v>
      </c>
      <c r="AF773" s="37">
        <f>IF(Table1[[#This Row],[P/750]]&lt;Expenses!$C$30,1,IF(Table1[[#This Row],[P/750]]&lt;Expenses!$C$31,2,IF(Table1[[#This Row],[P/750]]&lt;Expenses!$C$32,3,4)))</f>
        <v>2</v>
      </c>
      <c r="AH773" s="37" t="s">
        <v>384</v>
      </c>
      <c r="AI773" s="11">
        <f>Table1[[#This Row],[Price]]/Table1[[#This Row],[Size (ml)]]*750</f>
        <v>23</v>
      </c>
      <c r="AJ773" s="37">
        <v>93</v>
      </c>
      <c r="AK773" s="37">
        <f>COUNTIF(UniqueID!A:A,Table1[[#This Row],[ID]])</f>
        <v>1</v>
      </c>
      <c r="AL773" s="37" t="str">
        <f>VLOOKUP(Table1[[#This Row],[Cellar Location]],Location!A:F,6,FALSE)</f>
        <v>S</v>
      </c>
      <c r="AO773" s="37" t="str">
        <f>TEXT(Table1[[#This Row],[Purchased]],"mmmm")</f>
        <v>January</v>
      </c>
      <c r="AP773" s="10" t="str">
        <f>TEXT(Table1[[#This Row],[Purchased]],"yyyy")</f>
        <v>1900</v>
      </c>
      <c r="AQ773" s="10"/>
    </row>
    <row r="774" spans="1:43" s="37" customFormat="1" x14ac:dyDescent="0.25">
      <c r="A774" s="37" t="str">
        <f t="shared" si="44"/>
        <v>Schloss VollradsRiesling Spatlese</v>
      </c>
      <c r="C774" s="37" t="s">
        <v>1604</v>
      </c>
      <c r="D774" s="37" t="s">
        <v>1694</v>
      </c>
      <c r="E774" s="69" t="s">
        <v>1608</v>
      </c>
      <c r="F774" s="37" t="s">
        <v>1606</v>
      </c>
      <c r="G774" s="69" t="s">
        <v>1607</v>
      </c>
      <c r="I774" s="8">
        <v>1</v>
      </c>
      <c r="J774" s="38">
        <v>750</v>
      </c>
      <c r="K774" s="38" t="s">
        <v>1687</v>
      </c>
      <c r="L774" s="10">
        <f>COUNTIF(Drank!A:A,Table1[[#This Row],[ID]])</f>
        <v>0</v>
      </c>
      <c r="M774" s="37" t="s">
        <v>201</v>
      </c>
      <c r="N774" s="37" t="s">
        <v>207</v>
      </c>
      <c r="O774" s="37">
        <v>0</v>
      </c>
      <c r="R774" s="10" t="str">
        <f>IF(IFERROR(VLOOKUP(A774,Drank!A:S,15,FALSE),"")=0,"",IFERROR(VLOOKUP(A774,Drank!A:S,15,FALSE),""))</f>
        <v/>
      </c>
      <c r="S774" s="10" t="str">
        <f>IF(IFERROR(VLOOKUP(A774,Drank!A:S,16,FALSE),"")=0,"",IFERROR(VLOOKUP(A774,Drank!A:S,16,FALSE),""))</f>
        <v/>
      </c>
      <c r="T774" s="10">
        <v>2028</v>
      </c>
      <c r="V774" s="18" t="str">
        <f>IF(IFERROR(VLOOKUP(A774,Drank!A:T,19,FALSE),"")=0,"",IFERROR(VLOOKUP(A774,Drank!A:T,19,FALSE),""))</f>
        <v/>
      </c>
      <c r="W774" s="1" t="str">
        <f>IF(IFERROR(VLOOKUP(A774,Drank!A:T,20,FALSE),"")=0,"",IFERROR(VLOOKUP(A774,Drank!A:T,20,FALSE),""))</f>
        <v/>
      </c>
      <c r="X774" s="10">
        <f>SUMIF(A:A,A774,I:I)</f>
        <v>2</v>
      </c>
      <c r="Y774" s="10">
        <f>IF(Table1[[#This Row],[Drank]]&gt;0,VLOOKUP(Table1[[#This Row],[ID]],Drank!A:P,16,FALSE),IF(Table1[[#This Row],[WALDD]]&gt;0,VLOOKUP(Table1[[#This Row],[ID]],Wine1!A:Q,17,FALSE),Table1[[#This Row],[EP]]))</f>
        <v>2028</v>
      </c>
      <c r="Z774" s="18" t="str">
        <f>IF(Table1[[#This Row],[My Rating]]="",IF(Table1[[#This Row],[WA Rating Clean]]="","",Table1[[#This Row],[WA Rating Clean]]),Table1[[#This Row],[My Rating]])</f>
        <v/>
      </c>
      <c r="AA774" s="8">
        <v>2027</v>
      </c>
      <c r="AB774" s="4">
        <v>34.33</v>
      </c>
      <c r="AC774" s="2">
        <f t="shared" si="45"/>
        <v>34.33</v>
      </c>
      <c r="AD774" s="8">
        <v>1</v>
      </c>
      <c r="AE774" s="10">
        <f>IF(Table1[[#This Row],[P/750]]&lt;20,1,IF(Table1[[#This Row],[P/750]]&lt;50,2,3))</f>
        <v>2</v>
      </c>
      <c r="AF774" s="10">
        <f>IF(Table1[[#This Row],[P/750]]&lt;Expenses!$C$30,1,IF(Table1[[#This Row],[P/750]]&lt;Expenses!$C$31,2,IF(Table1[[#This Row],[P/750]]&lt;Expenses!$C$32,3,4)))</f>
        <v>3</v>
      </c>
      <c r="AH774" s="37" t="s">
        <v>1189</v>
      </c>
      <c r="AI774" s="11">
        <f>Table1[[#This Row],[Price]]/Table1[[#This Row],[Size (ml)]]*750</f>
        <v>34.33</v>
      </c>
      <c r="AK774" s="10">
        <f>COUNTIF(UniqueID!A:A,Table1[[#This Row],[ID]])</f>
        <v>0</v>
      </c>
      <c r="AL774" s="10" t="str">
        <f>VLOOKUP(Table1[[#This Row],[Cellar Location]],Location!A:F,6,FALSE)</f>
        <v>W</v>
      </c>
      <c r="AN774" s="1">
        <v>44061</v>
      </c>
      <c r="AO774" s="10" t="str">
        <f>TEXT(Table1[[#This Row],[Purchased]],"mmmm")</f>
        <v>August</v>
      </c>
      <c r="AP774" s="10" t="str">
        <f>TEXT(Table1[[#This Row],[Purchased]],"yyyy")</f>
        <v>2020</v>
      </c>
      <c r="AQ774" s="1">
        <v>44137</v>
      </c>
    </row>
    <row r="775" spans="1:43" s="37" customFormat="1" x14ac:dyDescent="0.25">
      <c r="A775" s="37" t="str">
        <f t="shared" si="44"/>
        <v>2015Abbadia ArdengaBrunello di Montalcino</v>
      </c>
      <c r="B775" s="37">
        <v>2015</v>
      </c>
      <c r="C775" s="37" t="s">
        <v>1476</v>
      </c>
      <c r="D775" s="37" t="s">
        <v>19</v>
      </c>
      <c r="E775" s="67" t="s">
        <v>1250</v>
      </c>
      <c r="F775" s="37" t="s">
        <v>728</v>
      </c>
      <c r="G775" s="37" t="s">
        <v>790</v>
      </c>
      <c r="H775" s="37" t="s">
        <v>19</v>
      </c>
      <c r="I775" s="107">
        <v>1</v>
      </c>
      <c r="J775" s="37">
        <v>750</v>
      </c>
      <c r="K775" s="108" t="s">
        <v>1505</v>
      </c>
      <c r="L775" s="10">
        <f>COUNTIF(Drank!A:A,Table1[[#This Row],[ID]])</f>
        <v>1</v>
      </c>
      <c r="M775" s="37" t="s">
        <v>202</v>
      </c>
      <c r="N775" s="37" t="s">
        <v>207</v>
      </c>
      <c r="O775" s="37">
        <v>0</v>
      </c>
      <c r="P775" s="10"/>
      <c r="R775" s="10">
        <f>IF(IFERROR(VLOOKUP(A775,Drank!A:S,15,FALSE),"")=0,"",IFERROR(VLOOKUP(A775,Drank!A:S,15,FALSE),""))</f>
        <v>2027</v>
      </c>
      <c r="S775" s="10">
        <f>IF(IFERROR(VLOOKUP(A775,Drank!A:S,16,FALSE),"")=0,"",IFERROR(VLOOKUP(A775,Drank!A:S,16,FALSE),""))</f>
        <v>2029</v>
      </c>
      <c r="T775" s="10">
        <v>2028</v>
      </c>
      <c r="V775" s="18">
        <f>IF(IFERROR(VLOOKUP(A775,Drank!A:T,19,FALSE),"")=0,"",IFERROR(VLOOKUP(A775,Drank!A:T,19,FALSE),""))</f>
        <v>89</v>
      </c>
      <c r="W775" s="1">
        <f>IF(IFERROR(VLOOKUP(A775,Drank!A:T,20,FALSE),"")=0,"",IFERROR(VLOOKUP(A775,Drank!A:T,20,FALSE),""))</f>
        <v>44036</v>
      </c>
      <c r="X775" s="10">
        <f>SUMIF(A:A,A775,I:I)</f>
        <v>3</v>
      </c>
      <c r="Y775" s="10">
        <f>IF(Table1[[#This Row],[Drank]]&gt;0,VLOOKUP(Table1[[#This Row],[ID]],Drank!A:P,16,FALSE),IF(Table1[[#This Row],[WALDD]]&gt;0,VLOOKUP(Table1[[#This Row],[ID]],Wine1!A:Q,17,FALSE),Table1[[#This Row],[EP]]))</f>
        <v>2029</v>
      </c>
      <c r="Z775" s="18">
        <f>IF(Table1[[#This Row],[My Rating]]="",IF(Table1[[#This Row],[WA Rating Clean]]="","",Table1[[#This Row],[WA Rating Clean]]),Table1[[#This Row],[My Rating]])</f>
        <v>89</v>
      </c>
      <c r="AA775" s="37">
        <v>2027</v>
      </c>
      <c r="AB775" s="4">
        <v>29.32</v>
      </c>
      <c r="AC775" s="2">
        <f t="shared" si="45"/>
        <v>29.32</v>
      </c>
      <c r="AD775" s="8">
        <v>2</v>
      </c>
      <c r="AE775" s="10">
        <f>IF(Table1[[#This Row],[P/750]]&lt;20,1,IF(Table1[[#This Row],[P/750]]&lt;50,2,3))</f>
        <v>2</v>
      </c>
      <c r="AF775" s="10">
        <f>IF(Table1[[#This Row],[P/750]]&lt;Expenses!$C$30,1,IF(Table1[[#This Row],[P/750]]&lt;Expenses!$C$31,2,IF(Table1[[#This Row],[P/750]]&lt;Expenses!$C$32,3,4)))</f>
        <v>2</v>
      </c>
      <c r="AH775" s="37" t="s">
        <v>384</v>
      </c>
      <c r="AI775" s="11">
        <f>Table1[[#This Row],[Price]]/Table1[[#This Row],[Size (ml)]]*750</f>
        <v>29.32</v>
      </c>
      <c r="AK775" s="10">
        <f>COUNTIF(UniqueID!A:A,Table1[[#This Row],[ID]])</f>
        <v>0</v>
      </c>
      <c r="AL775" s="10" t="str">
        <f>VLOOKUP(Table1[[#This Row],[Cellar Location]],Location!A:F,6,FALSE)</f>
        <v>S</v>
      </c>
      <c r="AN775" s="1">
        <v>44017</v>
      </c>
      <c r="AO775" s="10" t="str">
        <f>TEXT(Table1[[#This Row],[Purchased]],"mmmm")</f>
        <v>July</v>
      </c>
      <c r="AP775" s="10" t="str">
        <f>TEXT(Table1[[#This Row],[Purchased]],"yyyy")</f>
        <v>2020</v>
      </c>
      <c r="AQ775" s="10"/>
    </row>
    <row r="776" spans="1:43" s="37" customFormat="1" x14ac:dyDescent="0.25">
      <c r="A776" s="37" t="str">
        <f t="shared" si="44"/>
        <v>2016AaltoAalto</v>
      </c>
      <c r="B776" s="37">
        <v>2016</v>
      </c>
      <c r="C776" s="37" t="s">
        <v>1184</v>
      </c>
      <c r="D776" s="37" t="s">
        <v>1184</v>
      </c>
      <c r="E776" s="67" t="s">
        <v>1220</v>
      </c>
      <c r="F776" s="37" t="s">
        <v>729</v>
      </c>
      <c r="G776" s="37" t="s">
        <v>1718</v>
      </c>
      <c r="H776" s="37" t="s">
        <v>818</v>
      </c>
      <c r="I776" s="107">
        <v>1</v>
      </c>
      <c r="J776" s="37">
        <v>750</v>
      </c>
      <c r="K776" s="107" t="s">
        <v>1315</v>
      </c>
      <c r="L776" s="10">
        <f>COUNTIF(Drank!A:A,Table1[[#This Row],[ID]])</f>
        <v>1</v>
      </c>
      <c r="M776" s="37" t="s">
        <v>202</v>
      </c>
      <c r="N776" s="37" t="s">
        <v>207</v>
      </c>
      <c r="O776" s="37">
        <v>1</v>
      </c>
      <c r="P776" s="10">
        <v>2020</v>
      </c>
      <c r="Q776" s="37">
        <v>2026</v>
      </c>
      <c r="R776" s="10">
        <f>IF(IFERROR(VLOOKUP(A776,Drank!A:S,15,FALSE),"")=0,"",IFERROR(VLOOKUP(A776,Drank!A:S,15,FALSE),""))</f>
        <v>2026</v>
      </c>
      <c r="S776" s="10">
        <f>IF(IFERROR(VLOOKUP(A776,Drank!A:S,16,FALSE),"")=0,"",IFERROR(VLOOKUP(A776,Drank!A:S,16,FALSE),""))</f>
        <v>2029</v>
      </c>
      <c r="T776" s="10"/>
      <c r="U776" s="37" t="s">
        <v>1185</v>
      </c>
      <c r="V776" s="18">
        <f>IF(IFERROR(VLOOKUP(A776,Drank!A:T,19,FALSE),"")=0,"",IFERROR(VLOOKUP(A776,Drank!A:T,19,FALSE),""))</f>
        <v>94</v>
      </c>
      <c r="W776" s="1">
        <f>IF(IFERROR(VLOOKUP(A776,Drank!A:T,20,FALSE),"")=0,"",IFERROR(VLOOKUP(A776,Drank!A:T,20,FALSE),""))</f>
        <v>43870</v>
      </c>
      <c r="X776" s="10">
        <f>SUMIF(A:A,A776,I:I)</f>
        <v>7</v>
      </c>
      <c r="Y776" s="10">
        <f>IF(Table1[[#This Row],[Drank]]&gt;0,VLOOKUP(Table1[[#This Row],[ID]],Drank!A:P,16,FALSE),IF(Table1[[#This Row],[WALDD]]&gt;0,VLOOKUP(Table1[[#This Row],[ID]],Wine1!A:Q,17,FALSE),Table1[[#This Row],[EP]]))</f>
        <v>2029</v>
      </c>
      <c r="Z776" s="18">
        <f>IF(Table1[[#This Row],[My Rating]]="",IF(Table1[[#This Row],[WA Rating Clean]]="","",Table1[[#This Row],[WA Rating Clean]]),Table1[[#This Row],[My Rating]])</f>
        <v>94</v>
      </c>
      <c r="AA776" s="37">
        <v>2027</v>
      </c>
      <c r="AB776" s="4">
        <v>46.67</v>
      </c>
      <c r="AC776" s="2">
        <f t="shared" si="45"/>
        <v>46.67</v>
      </c>
      <c r="AD776" s="8">
        <v>2</v>
      </c>
      <c r="AE776" s="10">
        <f>IF(Table1[[#This Row],[P/750]]&lt;20,1,IF(Table1[[#This Row],[P/750]]&lt;50,2,3))</f>
        <v>2</v>
      </c>
      <c r="AF776" s="10">
        <f>IF(Table1[[#This Row],[P/750]]&lt;Expenses!$C$30,1,IF(Table1[[#This Row],[P/750]]&lt;Expenses!$C$31,2,IF(Table1[[#This Row],[P/750]]&lt;Expenses!$C$32,3,4)))</f>
        <v>3</v>
      </c>
      <c r="AH776" s="37" t="s">
        <v>1189</v>
      </c>
      <c r="AI776" s="11">
        <f>Table1[[#This Row],[Price]]/Table1[[#This Row],[Size (ml)]]*750</f>
        <v>46.67</v>
      </c>
      <c r="AJ776" s="37">
        <v>94</v>
      </c>
      <c r="AK776" s="10">
        <f>COUNTIF(UniqueID!A:A,Table1[[#This Row],[ID]])</f>
        <v>1</v>
      </c>
      <c r="AL776" s="10" t="str">
        <f>VLOOKUP(Table1[[#This Row],[Cellar Location]],Location!A:F,6,FALSE)</f>
        <v>S</v>
      </c>
      <c r="AN776" s="1">
        <v>43871</v>
      </c>
      <c r="AO776" s="37" t="str">
        <f>TEXT(Table1[[#This Row],[Purchased]],"mmmm")</f>
        <v>February</v>
      </c>
      <c r="AP776" s="10" t="str">
        <f>TEXT(Table1[[#This Row],[Purchased]],"yyyy")</f>
        <v>2020</v>
      </c>
      <c r="AQ776" s="10"/>
    </row>
    <row r="777" spans="1:43" s="37" customFormat="1" x14ac:dyDescent="0.25">
      <c r="A777" s="37" t="str">
        <f t="shared" si="44"/>
        <v>2017Richard RottiersMoulin-Ã -Vent Foudres</v>
      </c>
      <c r="B777" s="37">
        <v>2017</v>
      </c>
      <c r="C777" s="25" t="s">
        <v>445</v>
      </c>
      <c r="D777" s="37" t="s">
        <v>446</v>
      </c>
      <c r="E777" s="69" t="s">
        <v>336</v>
      </c>
      <c r="F777" s="37" t="s">
        <v>742</v>
      </c>
      <c r="G777" s="37" t="s">
        <v>745</v>
      </c>
      <c r="H777" s="37" t="s">
        <v>746</v>
      </c>
      <c r="I777" s="107">
        <v>1</v>
      </c>
      <c r="J777" s="37">
        <v>750</v>
      </c>
      <c r="K777" s="108" t="s">
        <v>591</v>
      </c>
      <c r="L777" s="10">
        <f>COUNTIF(Drank!A:A,Table1[[#This Row],[ID]])</f>
        <v>2</v>
      </c>
      <c r="M777" s="37" t="s">
        <v>202</v>
      </c>
      <c r="N777" s="37" t="s">
        <v>207</v>
      </c>
      <c r="O777" s="37">
        <v>1</v>
      </c>
      <c r="P777" s="10">
        <v>2019</v>
      </c>
      <c r="Q777" s="37">
        <v>2029</v>
      </c>
      <c r="R777" s="10">
        <f>IF(IFERROR(VLOOKUP(A777,Drank!A:S,15,FALSE),"")=0,"",IFERROR(VLOOKUP(A777,Drank!A:S,15,FALSE),""))</f>
        <v>2021</v>
      </c>
      <c r="S777" s="10">
        <f>IF(IFERROR(VLOOKUP(A777,Drank!A:S,16,FALSE),"")=0,"",IFERROR(VLOOKUP(A777,Drank!A:S,16,FALSE),""))</f>
        <v>2029</v>
      </c>
      <c r="T777" s="10"/>
      <c r="U777" s="37">
        <v>92</v>
      </c>
      <c r="V777" s="18">
        <f>IF(IFERROR(VLOOKUP(A777,Drank!A:T,19,FALSE),"")=0,"",IFERROR(VLOOKUP(A777,Drank!A:T,19,FALSE),""))</f>
        <v>90</v>
      </c>
      <c r="W777" s="1">
        <f>IF(IFERROR(VLOOKUP(A777,Drank!A:T,20,FALSE),"")=0,"",IFERROR(VLOOKUP(A777,Drank!A:T,20,FALSE),""))</f>
        <v>43835</v>
      </c>
      <c r="X777" s="10">
        <f>SUMIF(A:A,A777,I:I)</f>
        <v>10</v>
      </c>
      <c r="Y777" s="10">
        <f>IF(Table1[[#This Row],[Drank]]&gt;0,VLOOKUP(Table1[[#This Row],[ID]],Drank!A:P,16,FALSE),IF(Table1[[#This Row],[WALDD]]&gt;0,VLOOKUP(Table1[[#This Row],[ID]],Wine1!A:Q,17,FALSE),Table1[[#This Row],[EP]]))</f>
        <v>2029</v>
      </c>
      <c r="Z777" s="18">
        <f>IF(Table1[[#This Row],[My Rating]]="",IF(Table1[[#This Row],[WA Rating Clean]]="","",Table1[[#This Row],[WA Rating Clean]]),Table1[[#This Row],[My Rating]])</f>
        <v>90</v>
      </c>
      <c r="AA777" s="37">
        <v>2027</v>
      </c>
      <c r="AB777" s="4">
        <v>14.99</v>
      </c>
      <c r="AC777" s="2">
        <f t="shared" si="45"/>
        <v>14.99</v>
      </c>
      <c r="AD777" s="8">
        <v>2</v>
      </c>
      <c r="AE777" s="10">
        <f>IF(Table1[[#This Row],[P/750]]&lt;20,1,IF(Table1[[#This Row],[P/750]]&lt;50,2,3))</f>
        <v>1</v>
      </c>
      <c r="AF777" s="10">
        <f>IF(Table1[[#This Row],[P/750]]&lt;Expenses!$C$30,1,IF(Table1[[#This Row],[P/750]]&lt;Expenses!$C$31,2,IF(Table1[[#This Row],[P/750]]&lt;Expenses!$C$32,3,4)))</f>
        <v>1</v>
      </c>
      <c r="AH777" s="37" t="s">
        <v>384</v>
      </c>
      <c r="AI777" s="11">
        <f>Table1[[#This Row],[Price]]/Table1[[#This Row],[Size (ml)]]*750</f>
        <v>14.99</v>
      </c>
      <c r="AJ777" s="37">
        <v>92</v>
      </c>
      <c r="AK777" s="37">
        <f>COUNTIF(UniqueID!A:A,Table1[[#This Row],[ID]])</f>
        <v>1</v>
      </c>
      <c r="AL777" s="37" t="str">
        <f>VLOOKUP(Table1[[#This Row],[Cellar Location]],Location!A:F,6,FALSE)</f>
        <v>S</v>
      </c>
      <c r="AO777" s="37" t="str">
        <f>TEXT(Table1[[#This Row],[Purchased]],"mmmm")</f>
        <v>January</v>
      </c>
      <c r="AP777" s="10" t="str">
        <f>TEXT(Table1[[#This Row],[Purchased]],"yyyy")</f>
        <v>1900</v>
      </c>
      <c r="AQ777" s="10"/>
    </row>
    <row r="778" spans="1:43" s="37" customFormat="1" x14ac:dyDescent="0.25">
      <c r="A778" s="37" t="str">
        <f t="shared" si="44"/>
        <v>2017Altos Las HormigasMalbec Appellation Gualtallary</v>
      </c>
      <c r="B778" s="37">
        <v>2017</v>
      </c>
      <c r="C778" s="37" t="s">
        <v>232</v>
      </c>
      <c r="D778" s="9" t="s">
        <v>233</v>
      </c>
      <c r="E778" s="67" t="s">
        <v>1207</v>
      </c>
      <c r="F778" s="37" t="s">
        <v>731</v>
      </c>
      <c r="G778" s="37" t="s">
        <v>732</v>
      </c>
      <c r="H778" s="37" t="s">
        <v>1190</v>
      </c>
      <c r="I778" s="8">
        <v>1</v>
      </c>
      <c r="J778" s="107">
        <v>750</v>
      </c>
      <c r="K778" s="8" t="s">
        <v>1847</v>
      </c>
      <c r="L778" s="10">
        <f>COUNTIF(Drank!A:A,Table1[[#This Row],[ID]])</f>
        <v>1</v>
      </c>
      <c r="M778" s="37" t="s">
        <v>202</v>
      </c>
      <c r="N778" s="37" t="s">
        <v>207</v>
      </c>
      <c r="O778" s="37">
        <v>1</v>
      </c>
      <c r="P778" s="10">
        <v>2019</v>
      </c>
      <c r="Q778" s="37">
        <v>2030</v>
      </c>
      <c r="R778" s="10">
        <f>IF(IFERROR(VLOOKUP(A778,Drank!A:S,15,FALSE),"")=0,"",IFERROR(VLOOKUP(A778,Drank!A:S,15,FALSE),""))</f>
        <v>2022</v>
      </c>
      <c r="S778" s="10">
        <f>IF(IFERROR(VLOOKUP(A778,Drank!A:S,16,FALSE),"")=0,"",IFERROR(VLOOKUP(A778,Drank!A:S,16,FALSE),""))</f>
        <v>2030</v>
      </c>
      <c r="T778" s="10"/>
      <c r="U778" s="37" t="s">
        <v>1180</v>
      </c>
      <c r="V778" s="18">
        <f>IF(IFERROR(VLOOKUP(A778,Drank!A:T,19,FALSE),"")=0,"",IFERROR(VLOOKUP(A778,Drank!A:T,19,FALSE),""))</f>
        <v>94</v>
      </c>
      <c r="W778" s="1">
        <f>IF(IFERROR(VLOOKUP(A778,Drank!A:T,20,FALSE),"")=0,"",IFERROR(VLOOKUP(A778,Drank!A:T,20,FALSE),""))</f>
        <v>43953</v>
      </c>
      <c r="X778" s="10">
        <f>SUMIF(A:A,A778,I:I)</f>
        <v>38</v>
      </c>
      <c r="Y778" s="10">
        <f>IF(Table1[[#This Row],[Drank]]&gt;0,VLOOKUP(Table1[[#This Row],[ID]],Drank!A:P,16,FALSE),IF(Table1[[#This Row],[WALDD]]&gt;0,VLOOKUP(Table1[[#This Row],[ID]],Wine1!A:Q,17,FALSE),Table1[[#This Row],[EP]]))</f>
        <v>2030</v>
      </c>
      <c r="Z778" s="18">
        <f>IF(Table1[[#This Row],[My Rating]]="",IF(Table1[[#This Row],[WA Rating Clean]]="","",Table1[[#This Row],[WA Rating Clean]]),Table1[[#This Row],[My Rating]])</f>
        <v>94</v>
      </c>
      <c r="AA778" s="37">
        <v>2027</v>
      </c>
      <c r="AB778" s="129">
        <v>35.85</v>
      </c>
      <c r="AC778" s="2">
        <f t="shared" si="45"/>
        <v>35.85</v>
      </c>
      <c r="AD778" s="8">
        <v>1</v>
      </c>
      <c r="AE778" s="10">
        <f>IF(Table1[[#This Row],[P/750]]&lt;20,1,IF(Table1[[#This Row],[P/750]]&lt;50,2,3))</f>
        <v>2</v>
      </c>
      <c r="AF778" s="10">
        <f>IF(Table1[[#This Row],[P/750]]&lt;Expenses!$C$30,1,IF(Table1[[#This Row],[P/750]]&lt;Expenses!$C$31,2,IF(Table1[[#This Row],[P/750]]&lt;Expenses!$C$32,3,4)))</f>
        <v>3</v>
      </c>
      <c r="AH778" s="37" t="s">
        <v>1128</v>
      </c>
      <c r="AI778" s="11">
        <f>Table1[[#This Row],[Price]]/Table1[[#This Row],[Size (ml)]]*750</f>
        <v>35.85</v>
      </c>
      <c r="AJ778" s="37">
        <v>96</v>
      </c>
      <c r="AK778" s="10">
        <f>COUNTIF(UniqueID!A:A,Table1[[#This Row],[ID]])</f>
        <v>1</v>
      </c>
      <c r="AL778" s="10" t="str">
        <f>VLOOKUP(Table1[[#This Row],[Cellar Location]],Location!A:F,6,FALSE)</f>
        <v>S</v>
      </c>
      <c r="AN778" s="1">
        <v>44070</v>
      </c>
      <c r="AO778" s="10" t="str">
        <f>TEXT(Table1[[#This Row],[Purchased]],"mmmm")</f>
        <v>August</v>
      </c>
      <c r="AP778" s="10" t="str">
        <f>TEXT(Table1[[#This Row],[Purchased]],"yyyy")</f>
        <v>2020</v>
      </c>
      <c r="AQ778" s="1"/>
    </row>
    <row r="779" spans="1:43" s="37" customFormat="1" x14ac:dyDescent="0.25">
      <c r="A779" s="37" t="str">
        <f t="shared" si="44"/>
        <v>2017Altos Las HormigasMalbec Appellation Gualtallary</v>
      </c>
      <c r="B779" s="37">
        <v>2017</v>
      </c>
      <c r="C779" s="37" t="s">
        <v>232</v>
      </c>
      <c r="D779" s="9" t="s">
        <v>233</v>
      </c>
      <c r="E779" s="67" t="s">
        <v>1207</v>
      </c>
      <c r="F779" s="37" t="s">
        <v>731</v>
      </c>
      <c r="G779" s="37" t="s">
        <v>732</v>
      </c>
      <c r="H779" s="37" t="s">
        <v>1190</v>
      </c>
      <c r="I779" s="8">
        <v>1</v>
      </c>
      <c r="J779" s="107">
        <v>750</v>
      </c>
      <c r="K779" s="8" t="s">
        <v>1848</v>
      </c>
      <c r="L779" s="10">
        <f>COUNTIF(Drank!A:A,Table1[[#This Row],[ID]])</f>
        <v>1</v>
      </c>
      <c r="M779" s="37" t="s">
        <v>202</v>
      </c>
      <c r="N779" s="37" t="s">
        <v>207</v>
      </c>
      <c r="O779" s="37">
        <v>1</v>
      </c>
      <c r="P779" s="10">
        <v>2019</v>
      </c>
      <c r="Q779" s="37">
        <v>2030</v>
      </c>
      <c r="R779" s="10">
        <f>IF(IFERROR(VLOOKUP(A779,Drank!A:S,15,FALSE),"")=0,"",IFERROR(VLOOKUP(A779,Drank!A:S,15,FALSE),""))</f>
        <v>2022</v>
      </c>
      <c r="S779" s="10">
        <f>IF(IFERROR(VLOOKUP(A779,Drank!A:S,16,FALSE),"")=0,"",IFERROR(VLOOKUP(A779,Drank!A:S,16,FALSE),""))</f>
        <v>2030</v>
      </c>
      <c r="T779" s="10"/>
      <c r="U779" s="37" t="s">
        <v>1180</v>
      </c>
      <c r="V779" s="18">
        <f>IF(IFERROR(VLOOKUP(A779,Drank!A:T,19,FALSE),"")=0,"",IFERROR(VLOOKUP(A779,Drank!A:T,19,FALSE),""))</f>
        <v>94</v>
      </c>
      <c r="W779" s="1">
        <f>IF(IFERROR(VLOOKUP(A779,Drank!A:T,20,FALSE),"")=0,"",IFERROR(VLOOKUP(A779,Drank!A:T,20,FALSE),""))</f>
        <v>43953</v>
      </c>
      <c r="X779" s="10">
        <f>SUMIF(A:A,A779,I:I)</f>
        <v>38</v>
      </c>
      <c r="Y779" s="10">
        <f>IF(Table1[[#This Row],[Drank]]&gt;0,VLOOKUP(Table1[[#This Row],[ID]],Drank!A:P,16,FALSE),IF(Table1[[#This Row],[WALDD]]&gt;0,VLOOKUP(Table1[[#This Row],[ID]],Wine1!A:Q,17,FALSE),Table1[[#This Row],[EP]]))</f>
        <v>2030</v>
      </c>
      <c r="Z779" s="18">
        <f>IF(Table1[[#This Row],[My Rating]]="",IF(Table1[[#This Row],[WA Rating Clean]]="","",Table1[[#This Row],[WA Rating Clean]]),Table1[[#This Row],[My Rating]])</f>
        <v>94</v>
      </c>
      <c r="AA779" s="37">
        <v>2027</v>
      </c>
      <c r="AB779" s="129">
        <v>35.85</v>
      </c>
      <c r="AC779" s="2">
        <f t="shared" si="45"/>
        <v>35.85</v>
      </c>
      <c r="AD779" s="8">
        <v>1</v>
      </c>
      <c r="AE779" s="10">
        <f>IF(Table1[[#This Row],[P/750]]&lt;20,1,IF(Table1[[#This Row],[P/750]]&lt;50,2,3))</f>
        <v>2</v>
      </c>
      <c r="AF779" s="10">
        <f>IF(Table1[[#This Row],[P/750]]&lt;Expenses!$C$30,1,IF(Table1[[#This Row],[P/750]]&lt;Expenses!$C$31,2,IF(Table1[[#This Row],[P/750]]&lt;Expenses!$C$32,3,4)))</f>
        <v>3</v>
      </c>
      <c r="AH779" s="37" t="s">
        <v>1128</v>
      </c>
      <c r="AI779" s="11">
        <f>Table1[[#This Row],[Price]]/Table1[[#This Row],[Size (ml)]]*750</f>
        <v>35.85</v>
      </c>
      <c r="AJ779" s="37">
        <v>96</v>
      </c>
      <c r="AK779" s="10">
        <f>COUNTIF(UniqueID!A:A,Table1[[#This Row],[ID]])</f>
        <v>1</v>
      </c>
      <c r="AL779" s="10" t="str">
        <f>VLOOKUP(Table1[[#This Row],[Cellar Location]],Location!A:F,6,FALSE)</f>
        <v>S</v>
      </c>
      <c r="AN779" s="1">
        <v>44070</v>
      </c>
      <c r="AO779" s="10" t="str">
        <f>TEXT(Table1[[#This Row],[Purchased]],"mmmm")</f>
        <v>August</v>
      </c>
      <c r="AP779" s="10" t="str">
        <f>TEXT(Table1[[#This Row],[Purchased]],"yyyy")</f>
        <v>2020</v>
      </c>
      <c r="AQ779" s="1"/>
    </row>
    <row r="780" spans="1:43" s="37" customFormat="1" x14ac:dyDescent="0.25">
      <c r="A780" s="37" t="str">
        <f t="shared" si="44"/>
        <v>2016Domaine BenedettiLes Larmes Papales Chateauneuf du Pape</v>
      </c>
      <c r="B780" s="8">
        <v>2016</v>
      </c>
      <c r="C780" s="37" t="s">
        <v>1578</v>
      </c>
      <c r="D780" s="37" t="s">
        <v>1579</v>
      </c>
      <c r="E780" s="37" t="s">
        <v>1248</v>
      </c>
      <c r="F780" s="37" t="s">
        <v>742</v>
      </c>
      <c r="G780" s="37" t="s">
        <v>759</v>
      </c>
      <c r="H780" s="37" t="s">
        <v>762</v>
      </c>
      <c r="I780" s="8">
        <v>1</v>
      </c>
      <c r="J780" s="38">
        <v>750</v>
      </c>
      <c r="K780" s="38" t="s">
        <v>384</v>
      </c>
      <c r="L780" s="10">
        <f>COUNTIF(Drank!A:A,Table1[[#This Row],[ID]])</f>
        <v>0</v>
      </c>
      <c r="M780" s="37" t="s">
        <v>202</v>
      </c>
      <c r="N780" s="37" t="s">
        <v>207</v>
      </c>
      <c r="O780" s="37">
        <v>1</v>
      </c>
      <c r="P780" s="37">
        <v>2018</v>
      </c>
      <c r="Q780" s="37">
        <v>2030</v>
      </c>
      <c r="R780" s="10" t="str">
        <f>IF(IFERROR(VLOOKUP(A780,Drank!A:S,15,FALSE),"")=0,"",IFERROR(VLOOKUP(A780,Drank!A:S,15,FALSE),""))</f>
        <v/>
      </c>
      <c r="S780" s="10" t="str">
        <f>IF(IFERROR(VLOOKUP(A780,Drank!A:S,16,FALSE),"")=0,"",IFERROR(VLOOKUP(A780,Drank!A:S,16,FALSE),""))</f>
        <v/>
      </c>
      <c r="T780" s="10"/>
      <c r="U780" s="37">
        <v>95</v>
      </c>
      <c r="V780" s="18" t="str">
        <f>IF(IFERROR(VLOOKUP(A780,Drank!A:T,19,FALSE),"")=0,"",IFERROR(VLOOKUP(A780,Drank!A:T,19,FALSE),""))</f>
        <v/>
      </c>
      <c r="W780" s="1" t="str">
        <f>IF(IFERROR(VLOOKUP(A780,Drank!A:T,20,FALSE),"")=0,"",IFERROR(VLOOKUP(A780,Drank!A:T,20,FALSE),""))</f>
        <v/>
      </c>
      <c r="X780" s="10">
        <f>SUMIF(A:A,A780,I:I)</f>
        <v>8</v>
      </c>
      <c r="Y780" s="10">
        <f>IF(Table1[[#This Row],[Drank]]&gt;0,VLOOKUP(Table1[[#This Row],[ID]],Drank!A:P,16,FALSE),IF(Table1[[#This Row],[WALDD]]&gt;0,VLOOKUP(Table1[[#This Row],[ID]],Wine1!A:Q,17,FALSE),Table1[[#This Row],[EP]]))</f>
        <v>2030</v>
      </c>
      <c r="Z780" s="18">
        <f>IF(Table1[[#This Row],[My Rating]]="",IF(Table1[[#This Row],[WA Rating Clean]]="","",Table1[[#This Row],[WA Rating Clean]]),Table1[[#This Row],[My Rating]])</f>
        <v>95</v>
      </c>
      <c r="AA780" s="8">
        <v>2027</v>
      </c>
      <c r="AB780" s="4">
        <v>35.840000000000003</v>
      </c>
      <c r="AC780" s="2">
        <f t="shared" si="45"/>
        <v>35.840000000000003</v>
      </c>
      <c r="AD780" s="8">
        <v>1</v>
      </c>
      <c r="AE780" s="10">
        <f>IF(Table1[[#This Row],[P/750]]&lt;20,1,IF(Table1[[#This Row],[P/750]]&lt;50,2,3))</f>
        <v>2</v>
      </c>
      <c r="AF780" s="10">
        <f>IF(Table1[[#This Row],[P/750]]&lt;Expenses!$C$30,1,IF(Table1[[#This Row],[P/750]]&lt;Expenses!$C$31,2,IF(Table1[[#This Row],[P/750]]&lt;Expenses!$C$32,3,4)))</f>
        <v>3</v>
      </c>
      <c r="AH780" s="37" t="s">
        <v>384</v>
      </c>
      <c r="AI780" s="11">
        <f>Table1[[#This Row],[Price]]/Table1[[#This Row],[Size (ml)]]*750</f>
        <v>35.840000000000003</v>
      </c>
      <c r="AJ780" s="37">
        <v>95</v>
      </c>
      <c r="AK780" s="10">
        <f>COUNTIF(UniqueID!A:A,Table1[[#This Row],[ID]])</f>
        <v>0</v>
      </c>
      <c r="AL780" s="10" t="str">
        <f>VLOOKUP(Table1[[#This Row],[Cellar Location]],Location!A:F,6,FALSE)</f>
        <v>W</v>
      </c>
      <c r="AN780" s="1">
        <v>44056</v>
      </c>
      <c r="AO780" s="10" t="str">
        <f>TEXT(Table1[[#This Row],[Purchased]],"mmmm")</f>
        <v>August</v>
      </c>
      <c r="AP780" s="10" t="str">
        <f>TEXT(Table1[[#This Row],[Purchased]],"yyyy")</f>
        <v>2020</v>
      </c>
      <c r="AQ780" s="1">
        <v>44137</v>
      </c>
    </row>
    <row r="781" spans="1:43" s="37" customFormat="1" x14ac:dyDescent="0.25">
      <c r="A781" s="37" t="str">
        <f t="shared" si="44"/>
        <v>2013BrancaiaIlatraia</v>
      </c>
      <c r="B781" s="37">
        <v>2013</v>
      </c>
      <c r="C781" s="37" t="s">
        <v>140</v>
      </c>
      <c r="D781" s="37" t="s">
        <v>372</v>
      </c>
      <c r="E781" s="67" t="s">
        <v>1637</v>
      </c>
      <c r="F781" s="37" t="s">
        <v>728</v>
      </c>
      <c r="G781" s="37" t="s">
        <v>790</v>
      </c>
      <c r="H781" s="37" t="s">
        <v>794</v>
      </c>
      <c r="I781" s="107">
        <v>1</v>
      </c>
      <c r="J781" s="37">
        <v>750</v>
      </c>
      <c r="K781" s="107" t="s">
        <v>648</v>
      </c>
      <c r="L781" s="37">
        <f>COUNTIF(Drank!A:A,Table1[[#This Row],[ID]])</f>
        <v>1</v>
      </c>
      <c r="M781" s="37" t="s">
        <v>202</v>
      </c>
      <c r="N781" s="37" t="s">
        <v>207</v>
      </c>
      <c r="O781" s="37">
        <v>1</v>
      </c>
      <c r="P781" s="37">
        <v>2017</v>
      </c>
      <c r="Q781" s="37">
        <v>2030</v>
      </c>
      <c r="R781" s="10">
        <f>IF(IFERROR(VLOOKUP(A781,Drank!A:S,15,FALSE),"")=0,"",IFERROR(VLOOKUP(A781,Drank!A:S,15,FALSE),""))</f>
        <v>2027</v>
      </c>
      <c r="S781" s="10">
        <f>IF(IFERROR(VLOOKUP(A781,Drank!A:S,16,FALSE),"")=0,"",IFERROR(VLOOKUP(A781,Drank!A:S,16,FALSE),""))</f>
        <v>2030</v>
      </c>
      <c r="T781" s="10"/>
      <c r="U781" s="37">
        <v>97</v>
      </c>
      <c r="V781" s="18">
        <f>IF(IFERROR(VLOOKUP(A781,Drank!A:T,19,FALSE),"")=0,"",IFERROR(VLOOKUP(A781,Drank!A:T,19,FALSE),""))</f>
        <v>92</v>
      </c>
      <c r="W781" s="1">
        <f>IF(IFERROR(VLOOKUP(A781,Drank!A:T,20,FALSE),"")=0,"",IFERROR(VLOOKUP(A781,Drank!A:T,20,FALSE),""))</f>
        <v>44067</v>
      </c>
      <c r="X781" s="10">
        <f>SUMIF(A:A,A781,I:I)</f>
        <v>8</v>
      </c>
      <c r="Y781" s="37">
        <f>IF(Table1[[#This Row],[Drank]]&gt;0,VLOOKUP(Table1[[#This Row],[ID]],Drank!A:P,16,FALSE),IF(Table1[[#This Row],[WALDD]]&gt;0,VLOOKUP(Table1[[#This Row],[ID]],Wine1!A:Q,17,FALSE),Table1[[#This Row],[EP]]))</f>
        <v>2030</v>
      </c>
      <c r="Z781" s="18">
        <f>IF(Table1[[#This Row],[My Rating]]="",IF(Table1[[#This Row],[WA Rating Clean]]="","",Table1[[#This Row],[WA Rating Clean]]),Table1[[#This Row],[My Rating]])</f>
        <v>92</v>
      </c>
      <c r="AA781" s="6">
        <v>2027</v>
      </c>
      <c r="AB781" s="4">
        <v>61.99</v>
      </c>
      <c r="AC781" s="2">
        <f t="shared" si="45"/>
        <v>61.99</v>
      </c>
      <c r="AD781" s="8">
        <v>2</v>
      </c>
      <c r="AE781" s="37">
        <f>IF(Table1[[#This Row],[P/750]]&lt;20,1,IF(Table1[[#This Row],[P/750]]&lt;50,2,3))</f>
        <v>3</v>
      </c>
      <c r="AF781" s="37">
        <f>IF(Table1[[#This Row],[P/750]]&lt;Expenses!$C$30,1,IF(Table1[[#This Row],[P/750]]&lt;Expenses!$C$31,2,IF(Table1[[#This Row],[P/750]]&lt;Expenses!$C$32,3,4)))</f>
        <v>3</v>
      </c>
      <c r="AH781" s="37" t="s">
        <v>1139</v>
      </c>
      <c r="AI781" s="11">
        <f>Table1[[#This Row],[Price]]/Table1[[#This Row],[Size (ml)]]*750</f>
        <v>61.990000000000009</v>
      </c>
      <c r="AJ781" s="37">
        <v>97</v>
      </c>
      <c r="AK781" s="37">
        <f>COUNTIF(UniqueID!A:A,Table1[[#This Row],[ID]])</f>
        <v>1</v>
      </c>
      <c r="AL781" s="37" t="str">
        <f>VLOOKUP(Table1[[#This Row],[Cellar Location]],Location!A:F,6,FALSE)</f>
        <v>S</v>
      </c>
      <c r="AO781" s="37" t="str">
        <f>TEXT(Table1[[#This Row],[Purchased]],"mmmm")</f>
        <v>January</v>
      </c>
      <c r="AP781" s="10" t="str">
        <f>TEXT(Table1[[#This Row],[Purchased]],"yyyy")</f>
        <v>1900</v>
      </c>
      <c r="AQ781" s="10"/>
    </row>
    <row r="782" spans="1:43" s="37" customFormat="1" x14ac:dyDescent="0.25">
      <c r="A782" s="37" t="str">
        <f t="shared" si="44"/>
        <v>2016Domaine du Grand MontmirailGigondas Vieilles Vignes</v>
      </c>
      <c r="B782" s="37">
        <v>2016</v>
      </c>
      <c r="C782" s="37" t="s">
        <v>1387</v>
      </c>
      <c r="D782" s="37" t="s">
        <v>1576</v>
      </c>
      <c r="E782" s="67" t="s">
        <v>1249</v>
      </c>
      <c r="F782" s="37" t="s">
        <v>742</v>
      </c>
      <c r="G782" s="37" t="s">
        <v>759</v>
      </c>
      <c r="H782" s="37" t="s">
        <v>764</v>
      </c>
      <c r="I782" s="8">
        <v>1</v>
      </c>
      <c r="J782" s="38">
        <v>750</v>
      </c>
      <c r="K782" s="38" t="s">
        <v>384</v>
      </c>
      <c r="L782" s="10">
        <f>COUNTIF(Drank!A:A,Table1[[#This Row],[ID]])</f>
        <v>0</v>
      </c>
      <c r="M782" s="37" t="s">
        <v>202</v>
      </c>
      <c r="N782" s="37" t="s">
        <v>207</v>
      </c>
      <c r="O782" s="37">
        <v>1</v>
      </c>
      <c r="P782" s="10">
        <v>2020</v>
      </c>
      <c r="Q782" s="37">
        <v>2030</v>
      </c>
      <c r="R782" s="10" t="str">
        <f>IF(IFERROR(VLOOKUP(A782,Drank!A:S,15,FALSE),"")=0,"",IFERROR(VLOOKUP(A782,Drank!A:S,15,FALSE),""))</f>
        <v/>
      </c>
      <c r="S782" s="10" t="str">
        <f>IF(IFERROR(VLOOKUP(A782,Drank!A:S,16,FALSE),"")=0,"",IFERROR(VLOOKUP(A782,Drank!A:S,16,FALSE),""))</f>
        <v/>
      </c>
      <c r="T782" s="10"/>
      <c r="U782" s="37">
        <v>92</v>
      </c>
      <c r="V782" s="18" t="str">
        <f>IF(IFERROR(VLOOKUP(A782,Drank!A:T,19,FALSE),"")=0,"",IFERROR(VLOOKUP(A782,Drank!A:T,19,FALSE),""))</f>
        <v/>
      </c>
      <c r="W782" s="1" t="str">
        <f>IF(IFERROR(VLOOKUP(A782,Drank!A:T,20,FALSE),"")=0,"",IFERROR(VLOOKUP(A782,Drank!A:T,20,FALSE),""))</f>
        <v/>
      </c>
      <c r="X782" s="10">
        <f>SUMIF(A:A,A782,I:I)</f>
        <v>6</v>
      </c>
      <c r="Y782" s="10">
        <f>IF(Table1[[#This Row],[Drank]]&gt;0,VLOOKUP(Table1[[#This Row],[ID]],Drank!A:P,16,FALSE),IF(Table1[[#This Row],[WALDD]]&gt;0,VLOOKUP(Table1[[#This Row],[ID]],Wine1!A:Q,17,FALSE),Table1[[#This Row],[EP]]))</f>
        <v>2030</v>
      </c>
      <c r="Z782" s="18">
        <f>IF(Table1[[#This Row],[My Rating]]="",IF(Table1[[#This Row],[WA Rating Clean]]="","",Table1[[#This Row],[WA Rating Clean]]),Table1[[#This Row],[My Rating]])</f>
        <v>92</v>
      </c>
      <c r="AA782" s="37">
        <v>2027</v>
      </c>
      <c r="AB782" s="4">
        <v>24.97</v>
      </c>
      <c r="AC782" s="2">
        <f t="shared" si="45"/>
        <v>24.97</v>
      </c>
      <c r="AD782" s="8">
        <v>1</v>
      </c>
      <c r="AE782" s="10">
        <f>IF(Table1[[#This Row],[P/750]]&lt;20,1,IF(Table1[[#This Row],[P/750]]&lt;50,2,3))</f>
        <v>2</v>
      </c>
      <c r="AF782" s="10">
        <f>IF(Table1[[#This Row],[P/750]]&lt;Expenses!$C$30,1,IF(Table1[[#This Row],[P/750]]&lt;Expenses!$C$31,2,IF(Table1[[#This Row],[P/750]]&lt;Expenses!$C$32,3,4)))</f>
        <v>2</v>
      </c>
      <c r="AH782" s="37" t="s">
        <v>384</v>
      </c>
      <c r="AI782" s="11">
        <f>Table1[[#This Row],[Price]]/Table1[[#This Row],[Size (ml)]]*750</f>
        <v>24.970000000000002</v>
      </c>
      <c r="AJ782" s="37">
        <v>92</v>
      </c>
      <c r="AK782" s="10">
        <f>COUNTIF(UniqueID!A:A,Table1[[#This Row],[ID]])</f>
        <v>0</v>
      </c>
      <c r="AL782" s="10" t="str">
        <f>VLOOKUP(Table1[[#This Row],[Cellar Location]],Location!A:F,6,FALSE)</f>
        <v>W</v>
      </c>
      <c r="AN782" s="1">
        <v>44055</v>
      </c>
      <c r="AO782" s="10" t="str">
        <f>TEXT(Table1[[#This Row],[Purchased]],"mmmm")</f>
        <v>August</v>
      </c>
      <c r="AP782" s="10" t="str">
        <f>TEXT(Table1[[#This Row],[Purchased]],"yyyy")</f>
        <v>2020</v>
      </c>
      <c r="AQ782" s="1">
        <v>44137</v>
      </c>
    </row>
    <row r="783" spans="1:43" s="37" customFormat="1" x14ac:dyDescent="0.25">
      <c r="A783" s="37" t="str">
        <f t="shared" si="44"/>
        <v>2015MasiAmarone della Valpolicella Classico Costasera</v>
      </c>
      <c r="B783" s="37">
        <v>2015</v>
      </c>
      <c r="C783" s="25" t="s">
        <v>37</v>
      </c>
      <c r="D783" s="37" t="s">
        <v>53</v>
      </c>
      <c r="E783" s="64" t="s">
        <v>313</v>
      </c>
      <c r="F783" s="37" t="s">
        <v>728</v>
      </c>
      <c r="G783" s="37" t="s">
        <v>799</v>
      </c>
      <c r="H783" s="37" t="s">
        <v>800</v>
      </c>
      <c r="I783" s="8">
        <v>1</v>
      </c>
      <c r="J783" s="107">
        <v>750</v>
      </c>
      <c r="K783" s="8" t="s">
        <v>1542</v>
      </c>
      <c r="L783" s="37">
        <f>COUNTIF(Drank!A:A,Table1[[#This Row],[ID]])</f>
        <v>1</v>
      </c>
      <c r="M783" s="37" t="s">
        <v>202</v>
      </c>
      <c r="N783" s="37" t="s">
        <v>207</v>
      </c>
      <c r="O783" s="37">
        <v>1</v>
      </c>
      <c r="R783" s="10">
        <f>IF(IFERROR(VLOOKUP(A783,Drank!A:S,15,FALSE),"")=0,"",IFERROR(VLOOKUP(A783,Drank!A:S,15,FALSE),""))</f>
        <v>2030</v>
      </c>
      <c r="S783" s="10">
        <f>IF(IFERROR(VLOOKUP(A783,Drank!A:S,16,FALSE),"")=0,"",IFERROR(VLOOKUP(A783,Drank!A:S,16,FALSE),""))</f>
        <v>2030</v>
      </c>
      <c r="T783" s="10"/>
      <c r="V783" s="18">
        <f>IF(IFERROR(VLOOKUP(A783,Drank!A:T,19,FALSE),"")=0,"",IFERROR(VLOOKUP(A783,Drank!A:T,19,FALSE),""))</f>
        <v>94</v>
      </c>
      <c r="W783" s="1">
        <f>IF(IFERROR(VLOOKUP(A783,Drank!A:T,20,FALSE),"")=0,"",IFERROR(VLOOKUP(A783,Drank!A:T,20,FALSE),""))</f>
        <v>43918</v>
      </c>
      <c r="X783" s="10">
        <f>SUMIF(A:A,A783,I:I)</f>
        <v>11</v>
      </c>
      <c r="Y783" s="37">
        <f>IF(Table1[[#This Row],[Drank]]&gt;0,VLOOKUP(Table1[[#This Row],[ID]],Drank!A:P,16,FALSE),IF(Table1[[#This Row],[WALDD]]&gt;0,VLOOKUP(Table1[[#This Row],[ID]],Wine1!A:Q,17,FALSE),Table1[[#This Row],[EP]]))</f>
        <v>2030</v>
      </c>
      <c r="Z783" s="18">
        <f>IF(Table1[[#This Row],[My Rating]]="",IF(Table1[[#This Row],[WA Rating Clean]]="","",Table1[[#This Row],[WA Rating Clean]]),Table1[[#This Row],[My Rating]])</f>
        <v>94</v>
      </c>
      <c r="AA783" s="37">
        <v>2027</v>
      </c>
      <c r="AB783" s="4">
        <v>58.65</v>
      </c>
      <c r="AC783" s="2">
        <f t="shared" si="45"/>
        <v>58.65</v>
      </c>
      <c r="AD783" s="8">
        <v>0</v>
      </c>
      <c r="AE783" s="37">
        <f>IF(Table1[[#This Row],[P/750]]&lt;20,1,IF(Table1[[#This Row],[P/750]]&lt;50,2,3))</f>
        <v>3</v>
      </c>
      <c r="AF783" s="37">
        <f>IF(Table1[[#This Row],[P/750]]&lt;Expenses!$C$30,1,IF(Table1[[#This Row],[P/750]]&lt;Expenses!$C$31,2,IF(Table1[[#This Row],[P/750]]&lt;Expenses!$C$32,3,4)))</f>
        <v>3</v>
      </c>
      <c r="AH783" s="37" t="s">
        <v>1128</v>
      </c>
      <c r="AI783" s="11">
        <f>Table1[[#This Row],[Price]]/Table1[[#This Row],[Size (ml)]]*750</f>
        <v>58.649999999999991</v>
      </c>
      <c r="AK783" s="37">
        <f>COUNTIF(UniqueID!A:A,Table1[[#This Row],[ID]])</f>
        <v>0</v>
      </c>
      <c r="AL783" s="37" t="str">
        <f>VLOOKUP(Table1[[#This Row],[Cellar Location]],Location!A:F,6,FALSE)</f>
        <v>S</v>
      </c>
      <c r="AN783" s="1">
        <v>44037</v>
      </c>
      <c r="AO783" s="37" t="str">
        <f>TEXT(Table1[[#This Row],[Purchased]],"mmmm")</f>
        <v>July</v>
      </c>
      <c r="AP783" s="10" t="str">
        <f>TEXT(Table1[[#This Row],[Purchased]],"yyyy")</f>
        <v>2020</v>
      </c>
      <c r="AQ783" s="10"/>
    </row>
    <row r="784" spans="1:43" s="37" customFormat="1" x14ac:dyDescent="0.25">
      <c r="A784" s="37" t="str">
        <f t="shared" si="44"/>
        <v>2015MasiAmarone della Valpolicella Classico Costasera</v>
      </c>
      <c r="B784" s="37">
        <v>2015</v>
      </c>
      <c r="C784" s="25" t="s">
        <v>37</v>
      </c>
      <c r="D784" s="37" t="s">
        <v>53</v>
      </c>
      <c r="E784" s="64" t="s">
        <v>313</v>
      </c>
      <c r="F784" s="37" t="s">
        <v>728</v>
      </c>
      <c r="G784" s="37" t="s">
        <v>799</v>
      </c>
      <c r="H784" s="37" t="s">
        <v>800</v>
      </c>
      <c r="I784" s="8">
        <v>1</v>
      </c>
      <c r="J784" s="107">
        <v>750</v>
      </c>
      <c r="K784" s="8" t="s">
        <v>1542</v>
      </c>
      <c r="L784" s="37">
        <f>COUNTIF(Drank!A:A,Table1[[#This Row],[ID]])</f>
        <v>1</v>
      </c>
      <c r="M784" s="37" t="s">
        <v>202</v>
      </c>
      <c r="N784" s="37" t="s">
        <v>207</v>
      </c>
      <c r="O784" s="37">
        <v>1</v>
      </c>
      <c r="R784" s="10">
        <f>IF(IFERROR(VLOOKUP(A784,Drank!A:S,15,FALSE),"")=0,"",IFERROR(VLOOKUP(A784,Drank!A:S,15,FALSE),""))</f>
        <v>2030</v>
      </c>
      <c r="S784" s="10">
        <f>IF(IFERROR(VLOOKUP(A784,Drank!A:S,16,FALSE),"")=0,"",IFERROR(VLOOKUP(A784,Drank!A:S,16,FALSE),""))</f>
        <v>2030</v>
      </c>
      <c r="T784" s="10"/>
      <c r="V784" s="18">
        <f>IF(IFERROR(VLOOKUP(A784,Drank!A:T,19,FALSE),"")=0,"",IFERROR(VLOOKUP(A784,Drank!A:T,19,FALSE),""))</f>
        <v>94</v>
      </c>
      <c r="W784" s="1">
        <f>IF(IFERROR(VLOOKUP(A784,Drank!A:T,20,FALSE),"")=0,"",IFERROR(VLOOKUP(A784,Drank!A:T,20,FALSE),""))</f>
        <v>43918</v>
      </c>
      <c r="X784" s="10">
        <f>SUMIF(A:A,A784,I:I)</f>
        <v>11</v>
      </c>
      <c r="Y784" s="37">
        <f>IF(Table1[[#This Row],[Drank]]&gt;0,VLOOKUP(Table1[[#This Row],[ID]],Drank!A:P,16,FALSE),IF(Table1[[#This Row],[WALDD]]&gt;0,VLOOKUP(Table1[[#This Row],[ID]],Wine1!A:Q,17,FALSE),Table1[[#This Row],[EP]]))</f>
        <v>2030</v>
      </c>
      <c r="Z784" s="18">
        <f>IF(Table1[[#This Row],[My Rating]]="",IF(Table1[[#This Row],[WA Rating Clean]]="","",Table1[[#This Row],[WA Rating Clean]]),Table1[[#This Row],[My Rating]])</f>
        <v>94</v>
      </c>
      <c r="AA784" s="37">
        <v>2027</v>
      </c>
      <c r="AB784" s="4">
        <v>58.65</v>
      </c>
      <c r="AC784" s="2">
        <f t="shared" si="45"/>
        <v>58.65</v>
      </c>
      <c r="AD784" s="8">
        <v>0</v>
      </c>
      <c r="AE784" s="37">
        <f>IF(Table1[[#This Row],[P/750]]&lt;20,1,IF(Table1[[#This Row],[P/750]]&lt;50,2,3))</f>
        <v>3</v>
      </c>
      <c r="AF784" s="37">
        <f>IF(Table1[[#This Row],[P/750]]&lt;Expenses!$C$30,1,IF(Table1[[#This Row],[P/750]]&lt;Expenses!$C$31,2,IF(Table1[[#This Row],[P/750]]&lt;Expenses!$C$32,3,4)))</f>
        <v>3</v>
      </c>
      <c r="AH784" s="37" t="s">
        <v>1128</v>
      </c>
      <c r="AI784" s="11">
        <f>Table1[[#This Row],[Price]]/Table1[[#This Row],[Size (ml)]]*750</f>
        <v>58.649999999999991</v>
      </c>
      <c r="AK784" s="37">
        <f>COUNTIF(UniqueID!A:A,Table1[[#This Row],[ID]])</f>
        <v>0</v>
      </c>
      <c r="AL784" s="37" t="str">
        <f>VLOOKUP(Table1[[#This Row],[Cellar Location]],Location!A:F,6,FALSE)</f>
        <v>S</v>
      </c>
      <c r="AN784" s="1">
        <v>44037</v>
      </c>
      <c r="AO784" s="37" t="str">
        <f>TEXT(Table1[[#This Row],[Purchased]],"mmmm")</f>
        <v>July</v>
      </c>
      <c r="AP784" s="10" t="str">
        <f>TEXT(Table1[[#This Row],[Purchased]],"yyyy")</f>
        <v>2020</v>
      </c>
      <c r="AQ784" s="10"/>
    </row>
    <row r="785" spans="1:43" s="37" customFormat="1" x14ac:dyDescent="0.25">
      <c r="A785" s="37" t="str">
        <f t="shared" si="44"/>
        <v>2017Guy FargeSaint Joseph Terroir de Granit</v>
      </c>
      <c r="B785" s="8">
        <v>2017</v>
      </c>
      <c r="C785" s="8" t="s">
        <v>1430</v>
      </c>
      <c r="D785" s="37" t="s">
        <v>1456</v>
      </c>
      <c r="E785" s="67" t="s">
        <v>1431</v>
      </c>
      <c r="F785" s="37" t="s">
        <v>742</v>
      </c>
      <c r="G785" s="37" t="s">
        <v>759</v>
      </c>
      <c r="H785" s="37" t="s">
        <v>1432</v>
      </c>
      <c r="I785" s="107">
        <v>1</v>
      </c>
      <c r="J785" s="37">
        <v>750</v>
      </c>
      <c r="K785" s="108" t="s">
        <v>1505</v>
      </c>
      <c r="L785" s="10">
        <f>COUNTIF(Drank!A:A,Table1[[#This Row],[ID]])</f>
        <v>1</v>
      </c>
      <c r="M785" s="37" t="s">
        <v>202</v>
      </c>
      <c r="N785" s="37" t="s">
        <v>207</v>
      </c>
      <c r="O785" s="37">
        <v>1</v>
      </c>
      <c r="P785" s="37">
        <v>2019</v>
      </c>
      <c r="Q785" s="37">
        <v>2030</v>
      </c>
      <c r="R785" s="10">
        <f>IF(IFERROR(VLOOKUP(A785,Drank!A:S,15,FALSE),"")=0,"",IFERROR(VLOOKUP(A785,Drank!A:S,15,FALSE),""))</f>
        <v>2025</v>
      </c>
      <c r="S785" s="10">
        <f>IF(IFERROR(VLOOKUP(A785,Drank!A:S,16,FALSE),"")=0,"",IFERROR(VLOOKUP(A785,Drank!A:S,16,FALSE),""))</f>
        <v>2030</v>
      </c>
      <c r="T785" s="10"/>
      <c r="U785" s="37">
        <v>93</v>
      </c>
      <c r="V785" s="18">
        <f>IF(IFERROR(VLOOKUP(A785,Drank!A:T,19,FALSE),"")=0,"",IFERROR(VLOOKUP(A785,Drank!A:T,19,FALSE),""))</f>
        <v>93</v>
      </c>
      <c r="W785" s="1">
        <f>IF(IFERROR(VLOOKUP(A785,Drank!A:T,20,FALSE),"")=0,"",IFERROR(VLOOKUP(A785,Drank!A:T,20,FALSE),""))</f>
        <v>44016</v>
      </c>
      <c r="X785" s="10">
        <f>SUMIF(A:A,A785,I:I)</f>
        <v>3</v>
      </c>
      <c r="Y785" s="10">
        <f>IF(Table1[[#This Row],[Drank]]&gt;0,VLOOKUP(Table1[[#This Row],[ID]],Drank!A:P,16,FALSE),IF(Table1[[#This Row],[WALDD]]&gt;0,VLOOKUP(Table1[[#This Row],[ID]],Wine1!A:Q,17,FALSE),Table1[[#This Row],[EP]]))</f>
        <v>2030</v>
      </c>
      <c r="Z785" s="18">
        <f>IF(Table1[[#This Row],[My Rating]]="",IF(Table1[[#This Row],[WA Rating Clean]]="","",Table1[[#This Row],[WA Rating Clean]]),Table1[[#This Row],[My Rating]])</f>
        <v>93</v>
      </c>
      <c r="AA785" s="37">
        <v>2027</v>
      </c>
      <c r="AB785" s="4">
        <v>21.72</v>
      </c>
      <c r="AC785" s="2">
        <f t="shared" si="45"/>
        <v>21.72</v>
      </c>
      <c r="AD785" s="8">
        <v>2</v>
      </c>
      <c r="AE785" s="10">
        <f>IF(Table1[[#This Row],[P/750]]&lt;20,1,IF(Table1[[#This Row],[P/750]]&lt;50,2,3))</f>
        <v>2</v>
      </c>
      <c r="AF785" s="10">
        <f>IF(Table1[[#This Row],[P/750]]&lt;Expenses!$C$30,1,IF(Table1[[#This Row],[P/750]]&lt;Expenses!$C$31,2,IF(Table1[[#This Row],[P/750]]&lt;Expenses!$C$32,3,4)))</f>
        <v>2</v>
      </c>
      <c r="AH785" s="37" t="s">
        <v>384</v>
      </c>
      <c r="AI785" s="11">
        <f>Table1[[#This Row],[Price]]/Table1[[#This Row],[Size (ml)]]*750</f>
        <v>21.72</v>
      </c>
      <c r="AJ785" s="37">
        <v>93</v>
      </c>
      <c r="AK785" s="10">
        <f>COUNTIF(UniqueID!A:A,Table1[[#This Row],[ID]])</f>
        <v>0</v>
      </c>
      <c r="AL785" s="10" t="str">
        <f>VLOOKUP(Table1[[#This Row],[Cellar Location]],Location!A:F,6,FALSE)</f>
        <v>S</v>
      </c>
      <c r="AN785" s="1">
        <v>43998</v>
      </c>
      <c r="AO785" s="10" t="str">
        <f>TEXT(Table1[[#This Row],[Purchased]],"mmmm")</f>
        <v>June</v>
      </c>
      <c r="AP785" s="10" t="str">
        <f>TEXT(Table1[[#This Row],[Purchased]],"yyyy")</f>
        <v>2020</v>
      </c>
      <c r="AQ785" s="10"/>
    </row>
    <row r="786" spans="1:43" s="37" customFormat="1" x14ac:dyDescent="0.25">
      <c r="A786" s="37" t="str">
        <f t="shared" si="44"/>
        <v>2017Tenuta San GuidoGuidalberto</v>
      </c>
      <c r="B786" s="37">
        <v>2017</v>
      </c>
      <c r="C786" s="37" t="s">
        <v>91</v>
      </c>
      <c r="D786" s="37" t="s">
        <v>1236</v>
      </c>
      <c r="E786" s="67" t="s">
        <v>1455</v>
      </c>
      <c r="F786" s="37" t="s">
        <v>728</v>
      </c>
      <c r="G786" s="37" t="s">
        <v>790</v>
      </c>
      <c r="H786" s="37" t="s">
        <v>796</v>
      </c>
      <c r="I786" s="107">
        <v>1</v>
      </c>
      <c r="J786" s="37">
        <v>750</v>
      </c>
      <c r="K786" s="107" t="s">
        <v>1407</v>
      </c>
      <c r="L786" s="10">
        <f>COUNTIF(Drank!A:A,Table1[[#This Row],[ID]])</f>
        <v>1</v>
      </c>
      <c r="M786" s="37" t="s">
        <v>202</v>
      </c>
      <c r="N786" s="37" t="s">
        <v>207</v>
      </c>
      <c r="O786" s="37">
        <v>1</v>
      </c>
      <c r="P786" s="37">
        <v>2019</v>
      </c>
      <c r="Q786" s="37">
        <v>2028</v>
      </c>
      <c r="R786" s="10">
        <f>IF(IFERROR(VLOOKUP(A786,Drank!A:S,15,FALSE),"")=0,"",IFERROR(VLOOKUP(A786,Drank!A:S,15,FALSE),""))</f>
        <v>2025</v>
      </c>
      <c r="S786" s="10">
        <f>IF(IFERROR(VLOOKUP(A786,Drank!A:S,16,FALSE),"")=0,"",IFERROR(VLOOKUP(A786,Drank!A:S,16,FALSE),""))</f>
        <v>2030</v>
      </c>
      <c r="T786" s="10"/>
      <c r="U786" s="37" t="s">
        <v>29</v>
      </c>
      <c r="V786" s="18">
        <f>IF(IFERROR(VLOOKUP(A786,Drank!A:T,19,FALSE),"")=0,"",IFERROR(VLOOKUP(A786,Drank!A:T,19,FALSE),""))</f>
        <v>94</v>
      </c>
      <c r="W786" s="1">
        <f>IF(IFERROR(VLOOKUP(A786,Drank!A:T,20,FALSE),"")=0,"",IFERROR(VLOOKUP(A786,Drank!A:T,20,FALSE),""))</f>
        <v>44010</v>
      </c>
      <c r="X786" s="10">
        <f>SUMIF(A:A,A786,I:I)</f>
        <v>5</v>
      </c>
      <c r="Y786" s="10">
        <f>IF(Table1[[#This Row],[Drank]]&gt;0,VLOOKUP(Table1[[#This Row],[ID]],Drank!A:P,16,FALSE),IF(Table1[[#This Row],[WALDD]]&gt;0,VLOOKUP(Table1[[#This Row],[ID]],Wine1!A:Q,17,FALSE),Table1[[#This Row],[EP]]))</f>
        <v>2030</v>
      </c>
      <c r="Z786" s="18">
        <f>IF(Table1[[#This Row],[My Rating]]="",IF(Table1[[#This Row],[WA Rating Clean]]="","",Table1[[#This Row],[WA Rating Clean]]),Table1[[#This Row],[My Rating]])</f>
        <v>94</v>
      </c>
      <c r="AA786" s="37">
        <v>2027</v>
      </c>
      <c r="AB786" s="4">
        <v>48.89</v>
      </c>
      <c r="AC786" s="2">
        <f t="shared" si="45"/>
        <v>48.89</v>
      </c>
      <c r="AD786" s="8">
        <v>2</v>
      </c>
      <c r="AE786" s="10">
        <f>IF(Table1[[#This Row],[P/750]]&lt;20,1,IF(Table1[[#This Row],[P/750]]&lt;50,2,3))</f>
        <v>2</v>
      </c>
      <c r="AF786" s="10">
        <f>IF(Table1[[#This Row],[P/750]]&lt;Expenses!$C$30,1,IF(Table1[[#This Row],[P/750]]&lt;Expenses!$C$31,2,IF(Table1[[#This Row],[P/750]]&lt;Expenses!$C$32,3,4)))</f>
        <v>3</v>
      </c>
      <c r="AH786" s="37" t="s">
        <v>1128</v>
      </c>
      <c r="AI786" s="11">
        <f>Table1[[#This Row],[Price]]/Table1[[#This Row],[Size (ml)]]*750</f>
        <v>48.89</v>
      </c>
      <c r="AJ786" s="37">
        <v>92</v>
      </c>
      <c r="AK786" s="10">
        <f>COUNTIF(UniqueID!A:A,Table1[[#This Row],[ID]])</f>
        <v>0</v>
      </c>
      <c r="AL786" s="10" t="str">
        <f>VLOOKUP(Table1[[#This Row],[Cellar Location]],Location!A:F,6,FALSE)</f>
        <v>S</v>
      </c>
      <c r="AN786" s="1">
        <v>43966</v>
      </c>
      <c r="AO786" s="10" t="str">
        <f>TEXT(Table1[[#This Row],[Purchased]],"mmmm")</f>
        <v>May</v>
      </c>
      <c r="AP786" s="10" t="str">
        <f>TEXT(Table1[[#This Row],[Purchased]],"yyyy")</f>
        <v>2020</v>
      </c>
      <c r="AQ786" s="10"/>
    </row>
    <row r="787" spans="1:43" s="37" customFormat="1" x14ac:dyDescent="0.25">
      <c r="A787" s="37" t="str">
        <f t="shared" si="44"/>
        <v>1998Raymond-LafonRaymond-Lafon</v>
      </c>
      <c r="B787" s="8">
        <v>1998</v>
      </c>
      <c r="C787" s="9" t="s">
        <v>197</v>
      </c>
      <c r="D787" s="9" t="s">
        <v>197</v>
      </c>
      <c r="E787" s="69" t="s">
        <v>1215</v>
      </c>
      <c r="F787" s="37" t="s">
        <v>742</v>
      </c>
      <c r="G787" s="37" t="s">
        <v>748</v>
      </c>
      <c r="H787" s="37" t="s">
        <v>260</v>
      </c>
      <c r="I787" s="107">
        <v>1</v>
      </c>
      <c r="J787" s="37">
        <v>375</v>
      </c>
      <c r="K787" s="107" t="s">
        <v>628</v>
      </c>
      <c r="L787" s="37">
        <f>COUNTIF(Drank!A:A,Table1[[#This Row],[ID]])</f>
        <v>3</v>
      </c>
      <c r="M787" s="37" t="s">
        <v>201</v>
      </c>
      <c r="N787" s="37" t="s">
        <v>206</v>
      </c>
      <c r="O787" s="37">
        <v>1</v>
      </c>
      <c r="P787" s="37">
        <v>2018</v>
      </c>
      <c r="Q787" s="37">
        <v>2025</v>
      </c>
      <c r="R787" s="10" t="str">
        <f>IF(IFERROR(VLOOKUP(A787,Drank!A:S,15,FALSE),"")=0,"",IFERROR(VLOOKUP(A787,Drank!A:S,15,FALSE),""))</f>
        <v/>
      </c>
      <c r="S787" s="10">
        <f>IF(IFERROR(VLOOKUP(A787,Drank!A:S,16,FALSE),"")=0,"",IFERROR(VLOOKUP(A787,Drank!A:S,16,FALSE),""))</f>
        <v>2030</v>
      </c>
      <c r="T787" s="10"/>
      <c r="U787" s="37">
        <v>93</v>
      </c>
      <c r="V787" s="18">
        <f>IF(IFERROR(VLOOKUP(A787,Drank!A:T,19,FALSE),"")=0,"",IFERROR(VLOOKUP(A787,Drank!A:T,19,FALSE),""))</f>
        <v>92.666666666666671</v>
      </c>
      <c r="W787" s="1">
        <f>IF(IFERROR(VLOOKUP(A787,Drank!A:T,20,FALSE),"")=0,"",IFERROR(VLOOKUP(A787,Drank!A:T,20,FALSE),""))</f>
        <v>44002</v>
      </c>
      <c r="X787" s="10">
        <f>SUMIF(A:A,A787,I:I)</f>
        <v>7</v>
      </c>
      <c r="Y787" s="37">
        <f>IF(Table1[[#This Row],[Drank]]&gt;0,VLOOKUP(Table1[[#This Row],[ID]],Drank!A:P,16,FALSE),IF(Table1[[#This Row],[WALDD]]&gt;0,VLOOKUP(Table1[[#This Row],[ID]],Wine1!A:Q,17,FALSE),Table1[[#This Row],[EP]]))</f>
        <v>2030</v>
      </c>
      <c r="Z787" s="18">
        <f>IF(Table1[[#This Row],[My Rating]]="",IF(Table1[[#This Row],[WA Rating Clean]]="","",Table1[[#This Row],[WA Rating Clean]]),Table1[[#This Row],[My Rating]])</f>
        <v>92.666666666666671</v>
      </c>
      <c r="AA787" s="37">
        <v>2027</v>
      </c>
      <c r="AB787" s="4">
        <v>16.989999999999998</v>
      </c>
      <c r="AC787" s="2">
        <f t="shared" si="45"/>
        <v>16.989999999999998</v>
      </c>
      <c r="AD787" s="8">
        <v>2</v>
      </c>
      <c r="AE787" s="37">
        <f>IF(Table1[[#This Row],[P/750]]&lt;20,1,IF(Table1[[#This Row],[P/750]]&lt;50,2,3))</f>
        <v>2</v>
      </c>
      <c r="AF787" s="37">
        <f>IF(Table1[[#This Row],[P/750]]&lt;Expenses!$C$30,1,IF(Table1[[#This Row],[P/750]]&lt;Expenses!$C$31,2,IF(Table1[[#This Row],[P/750]]&lt;Expenses!$C$32,3,4)))</f>
        <v>3</v>
      </c>
      <c r="AH787" s="37" t="s">
        <v>385</v>
      </c>
      <c r="AI787" s="11">
        <f>Table1[[#This Row],[Price]]/Table1[[#This Row],[Size (ml)]]*750</f>
        <v>33.979999999999997</v>
      </c>
      <c r="AJ787" s="37">
        <v>93</v>
      </c>
      <c r="AK787" s="37">
        <f>COUNTIF(UniqueID!A:A,Table1[[#This Row],[ID]])</f>
        <v>1</v>
      </c>
      <c r="AL787" s="37" t="str">
        <f>VLOOKUP(Table1[[#This Row],[Cellar Location]],Location!A:F,6,FALSE)</f>
        <v>S</v>
      </c>
      <c r="AO787" s="37" t="str">
        <f>TEXT(Table1[[#This Row],[Purchased]],"mmmm")</f>
        <v>January</v>
      </c>
      <c r="AP787" s="10" t="str">
        <f>TEXT(Table1[[#This Row],[Purchased]],"yyyy")</f>
        <v>1900</v>
      </c>
      <c r="AQ787" s="10"/>
    </row>
    <row r="788" spans="1:43" s="37" customFormat="1" x14ac:dyDescent="0.25">
      <c r="A788" s="37" t="str">
        <f t="shared" si="44"/>
        <v>2010Chateau Sigalas RabaudLieutenant de Sigalas</v>
      </c>
      <c r="B788" s="37">
        <v>2010</v>
      </c>
      <c r="C788" s="37" t="s">
        <v>1337</v>
      </c>
      <c r="D788" s="37" t="s">
        <v>1338</v>
      </c>
      <c r="E788" s="67" t="s">
        <v>1339</v>
      </c>
      <c r="F788" s="67" t="s">
        <v>742</v>
      </c>
      <c r="G788" s="37" t="s">
        <v>748</v>
      </c>
      <c r="H788" s="37" t="s">
        <v>260</v>
      </c>
      <c r="I788" s="107">
        <v>1</v>
      </c>
      <c r="J788" s="37">
        <v>375</v>
      </c>
      <c r="K788" s="107" t="s">
        <v>1504</v>
      </c>
      <c r="L788" s="10">
        <f>COUNTIF(Drank!A:A,Table1[[#This Row],[ID]])</f>
        <v>1</v>
      </c>
      <c r="M788" s="37" t="s">
        <v>201</v>
      </c>
      <c r="N788" s="37" t="s">
        <v>206</v>
      </c>
      <c r="O788" s="37">
        <v>0</v>
      </c>
      <c r="P788" s="10"/>
      <c r="R788" s="10">
        <f>IF(IFERROR(VLOOKUP(A788,Drank!A:S,15,FALSE),"")=0,"",IFERROR(VLOOKUP(A788,Drank!A:S,15,FALSE),""))</f>
        <v>2021</v>
      </c>
      <c r="S788" s="10">
        <f>IF(IFERROR(VLOOKUP(A788,Drank!A:S,16,FALSE),"")=0,"",IFERROR(VLOOKUP(A788,Drank!A:S,16,FALSE),""))</f>
        <v>2030</v>
      </c>
      <c r="T788" s="10">
        <v>2028</v>
      </c>
      <c r="V788" s="18">
        <f>IF(IFERROR(VLOOKUP(A788,Drank!A:T,19,FALSE),"")=0,"",IFERROR(VLOOKUP(A788,Drank!A:T,19,FALSE),""))</f>
        <v>88</v>
      </c>
      <c r="W788" s="1" t="str">
        <f>IF(IFERROR(VLOOKUP(A788,Drank!A:T,20,FALSE),"")=0,"",IFERROR(VLOOKUP(A788,Drank!A:T,20,FALSE),""))</f>
        <v/>
      </c>
      <c r="X788" s="10">
        <f>SUMIF(A:A,A788,I:I)</f>
        <v>9</v>
      </c>
      <c r="Y788" s="10">
        <f>IF(Table1[[#This Row],[Drank]]&gt;0,VLOOKUP(Table1[[#This Row],[ID]],Drank!A:P,16,FALSE),IF(Table1[[#This Row],[WALDD]]&gt;0,VLOOKUP(Table1[[#This Row],[ID]],Wine1!A:Q,17,FALSE),Table1[[#This Row],[EP]]))</f>
        <v>2030</v>
      </c>
      <c r="Z788" s="18">
        <f>IF(Table1[[#This Row],[My Rating]]="",IF(Table1[[#This Row],[WA Rating Clean]]="","",Table1[[#This Row],[WA Rating Clean]]),Table1[[#This Row],[My Rating]])</f>
        <v>88</v>
      </c>
      <c r="AA788" s="8">
        <v>2027</v>
      </c>
      <c r="AB788" s="4">
        <v>13.11</v>
      </c>
      <c r="AC788" s="2">
        <f t="shared" si="45"/>
        <v>13.11</v>
      </c>
      <c r="AD788" s="8">
        <v>2</v>
      </c>
      <c r="AE788" s="10">
        <f>IF(Table1[[#This Row],[P/750]]&lt;20,1,IF(Table1[[#This Row],[P/750]]&lt;50,2,3))</f>
        <v>2</v>
      </c>
      <c r="AF788" s="10">
        <f>IF(Table1[[#This Row],[P/750]]&lt;Expenses!$C$30,1,IF(Table1[[#This Row],[P/750]]&lt;Expenses!$C$31,2,IF(Table1[[#This Row],[P/750]]&lt;Expenses!$C$32,3,4)))</f>
        <v>2</v>
      </c>
      <c r="AH788" s="37" t="s">
        <v>385</v>
      </c>
      <c r="AI788" s="11">
        <f>Table1[[#This Row],[Price]]/Table1[[#This Row],[Size (ml)]]*750</f>
        <v>26.22</v>
      </c>
      <c r="AK788" s="10">
        <f>COUNTIF(UniqueID!A:A,Table1[[#This Row],[ID]])</f>
        <v>0</v>
      </c>
      <c r="AL788" s="10" t="str">
        <f>VLOOKUP(Table1[[#This Row],[Cellar Location]],Location!A:F,6,FALSE)</f>
        <v>S</v>
      </c>
      <c r="AN788" s="1">
        <v>43923</v>
      </c>
      <c r="AO788" s="10" t="str">
        <f>TEXT(Table1[[#This Row],[Purchased]],"mmmm")</f>
        <v>April</v>
      </c>
      <c r="AP788" s="10" t="str">
        <f>TEXT(Table1[[#This Row],[Purchased]],"yyyy")</f>
        <v>2020</v>
      </c>
      <c r="AQ788" s="10"/>
    </row>
    <row r="789" spans="1:43" s="37" customFormat="1" x14ac:dyDescent="0.25">
      <c r="A789" s="37" t="str">
        <f t="shared" si="44"/>
        <v>2016Altos Las HormigasMalbec Appellation Gualtallary</v>
      </c>
      <c r="B789" s="37">
        <v>2016</v>
      </c>
      <c r="C789" s="37" t="s">
        <v>232</v>
      </c>
      <c r="D789" s="25" t="s">
        <v>233</v>
      </c>
      <c r="E789" s="68" t="s">
        <v>1207</v>
      </c>
      <c r="F789" s="9" t="s">
        <v>731</v>
      </c>
      <c r="G789" s="9" t="s">
        <v>732</v>
      </c>
      <c r="H789" s="9" t="s">
        <v>734</v>
      </c>
      <c r="I789" s="107">
        <v>1</v>
      </c>
      <c r="J789" s="37">
        <v>750</v>
      </c>
      <c r="K789" s="107" t="s">
        <v>646</v>
      </c>
      <c r="L789" s="37">
        <f>COUNTIF(Drank!A:A,Table1[[#This Row],[ID]])</f>
        <v>2</v>
      </c>
      <c r="M789" s="37" t="s">
        <v>202</v>
      </c>
      <c r="N789" s="37" t="s">
        <v>207</v>
      </c>
      <c r="O789" s="37">
        <v>1</v>
      </c>
      <c r="P789" s="37">
        <v>2018</v>
      </c>
      <c r="Q789" s="37">
        <v>2028</v>
      </c>
      <c r="R789" s="10">
        <f>IF(IFERROR(VLOOKUP(A789,Drank!A:S,15,FALSE),"")=0,"",IFERROR(VLOOKUP(A789,Drank!A:S,15,FALSE),""))</f>
        <v>2020</v>
      </c>
      <c r="S789" s="10">
        <f>IF(IFERROR(VLOOKUP(A789,Drank!A:S,16,FALSE),"")=0,"",IFERROR(VLOOKUP(A789,Drank!A:S,16,FALSE),""))</f>
        <v>2030</v>
      </c>
      <c r="T789" s="10"/>
      <c r="U789" s="37">
        <v>96</v>
      </c>
      <c r="V789" s="18">
        <f>IF(IFERROR(VLOOKUP(A789,Drank!A:T,19,FALSE),"")=0,"",IFERROR(VLOOKUP(A789,Drank!A:T,19,FALSE),""))</f>
        <v>95.5</v>
      </c>
      <c r="W789" s="1">
        <f>IF(IFERROR(VLOOKUP(A789,Drank!A:T,20,FALSE),"")=0,"",IFERROR(VLOOKUP(A789,Drank!A:T,20,FALSE),""))</f>
        <v>43611</v>
      </c>
      <c r="X789" s="10">
        <f>SUMIF(A:A,A789,I:I)</f>
        <v>4</v>
      </c>
      <c r="Y789" s="37">
        <f>IF(Table1[[#This Row],[Drank]]&gt;0,VLOOKUP(Table1[[#This Row],[ID]],Drank!A:P,16,FALSE),IF(Table1[[#This Row],[WALDD]]&gt;0,VLOOKUP(Table1[[#This Row],[ID]],Wine1!A:Q,17,FALSE),Table1[[#This Row],[EP]]))</f>
        <v>2030</v>
      </c>
      <c r="Z789" s="18">
        <f>IF(Table1[[#This Row],[My Rating]]="",IF(Table1[[#This Row],[WA Rating Clean]]="","",Table1[[#This Row],[WA Rating Clean]]),Table1[[#This Row],[My Rating]])</f>
        <v>95.5</v>
      </c>
      <c r="AA789" s="6">
        <v>2027</v>
      </c>
      <c r="AB789" s="4">
        <v>39.99</v>
      </c>
      <c r="AC789" s="2">
        <f t="shared" si="45"/>
        <v>39.99</v>
      </c>
      <c r="AD789" s="8">
        <v>2</v>
      </c>
      <c r="AE789" s="37">
        <f>IF(Table1[[#This Row],[P/750]]&lt;20,1,IF(Table1[[#This Row],[P/750]]&lt;50,2,3))</f>
        <v>2</v>
      </c>
      <c r="AF789" s="37">
        <f>IF(Table1[[#This Row],[P/750]]&lt;Expenses!$C$30,1,IF(Table1[[#This Row],[P/750]]&lt;Expenses!$C$31,2,IF(Table1[[#This Row],[P/750]]&lt;Expenses!$C$32,3,4)))</f>
        <v>3</v>
      </c>
      <c r="AH789" s="37" t="s">
        <v>371</v>
      </c>
      <c r="AI789" s="11">
        <f>Table1[[#This Row],[Price]]/Table1[[#This Row],[Size (ml)]]*750</f>
        <v>39.99</v>
      </c>
      <c r="AJ789" s="37">
        <v>96</v>
      </c>
      <c r="AK789" s="37">
        <f>COUNTIF(UniqueID!A:A,Table1[[#This Row],[ID]])</f>
        <v>1</v>
      </c>
      <c r="AL789" s="37" t="str">
        <f>VLOOKUP(Table1[[#This Row],[Cellar Location]],Location!A:F,6,FALSE)</f>
        <v>S</v>
      </c>
      <c r="AO789" s="37" t="str">
        <f>TEXT(Table1[[#This Row],[Purchased]],"mmmm")</f>
        <v>January</v>
      </c>
      <c r="AP789" s="10" t="str">
        <f>TEXT(Table1[[#This Row],[Purchased]],"yyyy")</f>
        <v>1900</v>
      </c>
      <c r="AQ789" s="10"/>
    </row>
    <row r="790" spans="1:43" s="37" customFormat="1" x14ac:dyDescent="0.25">
      <c r="A790" s="37" t="str">
        <f t="shared" si="44"/>
        <v>2017Altos Las HormigasMalbec Appellation Gualtallary</v>
      </c>
      <c r="B790" s="37">
        <v>2017</v>
      </c>
      <c r="C790" s="37" t="s">
        <v>232</v>
      </c>
      <c r="D790" s="37" t="s">
        <v>233</v>
      </c>
      <c r="E790" s="67" t="s">
        <v>1207</v>
      </c>
      <c r="F790" s="37" t="s">
        <v>731</v>
      </c>
      <c r="G790" s="37" t="s">
        <v>732</v>
      </c>
      <c r="H790" s="37" t="s">
        <v>1190</v>
      </c>
      <c r="I790" s="107">
        <v>1</v>
      </c>
      <c r="J790" s="37">
        <v>750</v>
      </c>
      <c r="K790" s="107" t="s">
        <v>627</v>
      </c>
      <c r="L790" s="10">
        <f>COUNTIF(Drank!A:A,Table1[[#This Row],[ID]])</f>
        <v>1</v>
      </c>
      <c r="M790" s="37" t="s">
        <v>202</v>
      </c>
      <c r="N790" s="37" t="s">
        <v>207</v>
      </c>
      <c r="O790" s="37">
        <v>1</v>
      </c>
      <c r="P790" s="10">
        <v>2019</v>
      </c>
      <c r="Q790" s="37">
        <v>2030</v>
      </c>
      <c r="R790" s="10">
        <f>IF(IFERROR(VLOOKUP(A790,Drank!A:S,15,FALSE),"")=0,"",IFERROR(VLOOKUP(A790,Drank!A:S,15,FALSE),""))</f>
        <v>2022</v>
      </c>
      <c r="S790" s="10">
        <f>IF(IFERROR(VLOOKUP(A790,Drank!A:S,16,FALSE),"")=0,"",IFERROR(VLOOKUP(A790,Drank!A:S,16,FALSE),""))</f>
        <v>2030</v>
      </c>
      <c r="T790" s="10"/>
      <c r="U790" s="37" t="s">
        <v>1180</v>
      </c>
      <c r="V790" s="18">
        <f>IF(IFERROR(VLOOKUP(A790,Drank!A:T,19,FALSE),"")=0,"",IFERROR(VLOOKUP(A790,Drank!A:T,19,FALSE),""))</f>
        <v>94</v>
      </c>
      <c r="W790" s="1">
        <f>IF(IFERROR(VLOOKUP(A790,Drank!A:T,20,FALSE),"")=0,"",IFERROR(VLOOKUP(A790,Drank!A:T,20,FALSE),""))</f>
        <v>43953</v>
      </c>
      <c r="X790" s="10">
        <f>SUMIF(A:A,A790,I:I)</f>
        <v>38</v>
      </c>
      <c r="Y790" s="10">
        <f>IF(Table1[[#This Row],[Drank]]&gt;0,VLOOKUP(Table1[[#This Row],[ID]],Drank!A:P,16,FALSE),IF(Table1[[#This Row],[WALDD]]&gt;0,VLOOKUP(Table1[[#This Row],[ID]],Wine1!A:Q,17,FALSE),Table1[[#This Row],[EP]]))</f>
        <v>2030</v>
      </c>
      <c r="Z790" s="18">
        <f>IF(Table1[[#This Row],[My Rating]]="",IF(Table1[[#This Row],[WA Rating Clean]]="","",Table1[[#This Row],[WA Rating Clean]]),Table1[[#This Row],[My Rating]])</f>
        <v>94</v>
      </c>
      <c r="AA790" s="37">
        <v>2027</v>
      </c>
      <c r="AB790" s="4">
        <v>39.97</v>
      </c>
      <c r="AC790" s="2">
        <f t="shared" si="45"/>
        <v>39.97</v>
      </c>
      <c r="AD790" s="8">
        <v>2</v>
      </c>
      <c r="AE790" s="10">
        <f>IF(Table1[[#This Row],[P/750]]&lt;20,1,IF(Table1[[#This Row],[P/750]]&lt;50,2,3))</f>
        <v>2</v>
      </c>
      <c r="AF790" s="10">
        <f>IF(Table1[[#This Row],[P/750]]&lt;Expenses!$C$30,1,IF(Table1[[#This Row],[P/750]]&lt;Expenses!$C$31,2,IF(Table1[[#This Row],[P/750]]&lt;Expenses!$C$32,3,4)))</f>
        <v>3</v>
      </c>
      <c r="AH790" s="37" t="s">
        <v>1188</v>
      </c>
      <c r="AI790" s="11">
        <f>Table1[[#This Row],[Price]]/Table1[[#This Row],[Size (ml)]]*750</f>
        <v>39.97</v>
      </c>
      <c r="AJ790" s="37">
        <v>96</v>
      </c>
      <c r="AK790" s="10">
        <f>COUNTIF(UniqueID!A:A,Table1[[#This Row],[ID]])</f>
        <v>1</v>
      </c>
      <c r="AL790" s="10" t="str">
        <f>VLOOKUP(Table1[[#This Row],[Cellar Location]],Location!A:F,6,FALSE)</f>
        <v>S</v>
      </c>
      <c r="AN790" s="1">
        <v>43860</v>
      </c>
      <c r="AO790" s="37" t="str">
        <f>TEXT(Table1[[#This Row],[Purchased]],"mmmm")</f>
        <v>January</v>
      </c>
      <c r="AP790" s="10" t="str">
        <f>TEXT(Table1[[#This Row],[Purchased]],"yyyy")</f>
        <v>2020</v>
      </c>
      <c r="AQ790" s="10"/>
    </row>
    <row r="791" spans="1:43" s="37" customFormat="1" x14ac:dyDescent="0.25">
      <c r="A791" s="37" t="str">
        <f t="shared" si="44"/>
        <v>2012BenjamÃ­n RomeoContador</v>
      </c>
      <c r="B791" s="37">
        <v>2012</v>
      </c>
      <c r="C791" s="37" t="s">
        <v>354</v>
      </c>
      <c r="D791" s="37" t="s">
        <v>355</v>
      </c>
      <c r="E791" s="64" t="s">
        <v>276</v>
      </c>
      <c r="F791" s="37" t="s">
        <v>729</v>
      </c>
      <c r="G791" s="37" t="s">
        <v>823</v>
      </c>
      <c r="H791" s="37" t="s">
        <v>824</v>
      </c>
      <c r="I791" s="37">
        <v>1</v>
      </c>
      <c r="J791" s="37">
        <v>750</v>
      </c>
      <c r="K791" s="8" t="s">
        <v>11</v>
      </c>
      <c r="L791" s="37">
        <f>COUNTIF(Drank!A:A,Table1[[#This Row],[ID]])</f>
        <v>0</v>
      </c>
      <c r="M791" s="37" t="s">
        <v>202</v>
      </c>
      <c r="N791" s="37" t="s">
        <v>207</v>
      </c>
      <c r="O791" s="37">
        <v>1</v>
      </c>
      <c r="P791" s="37">
        <v>2016</v>
      </c>
      <c r="Q791" s="37">
        <v>2030</v>
      </c>
      <c r="R791" s="10" t="str">
        <f>IF(IFERROR(VLOOKUP(A791,Drank!A:S,15,FALSE),"")=0,"",IFERROR(VLOOKUP(A791,Drank!A:S,15,FALSE),""))</f>
        <v/>
      </c>
      <c r="S791" s="10" t="str">
        <f>IF(IFERROR(VLOOKUP(A791,Drank!A:S,16,FALSE),"")=0,"",IFERROR(VLOOKUP(A791,Drank!A:S,16,FALSE),""))</f>
        <v/>
      </c>
      <c r="T791" s="10"/>
      <c r="U791" s="37" t="s">
        <v>356</v>
      </c>
      <c r="V791" s="18" t="str">
        <f>IF(IFERROR(VLOOKUP(A791,Drank!A:T,19,FALSE),"")=0,"",IFERROR(VLOOKUP(A791,Drank!A:T,19,FALSE),""))</f>
        <v/>
      </c>
      <c r="W791" s="1" t="str">
        <f>IF(IFERROR(VLOOKUP(A791,Drank!A:T,20,FALSE),"")=0,"",IFERROR(VLOOKUP(A791,Drank!A:T,20,FALSE),""))</f>
        <v/>
      </c>
      <c r="X791" s="10">
        <f>SUMIF(A:A,A791,I:I)</f>
        <v>2</v>
      </c>
      <c r="Y791" s="37">
        <f>IF(Table1[[#This Row],[Drank]]&gt;0,VLOOKUP(Table1[[#This Row],[ID]],Drank!A:P,16,FALSE),IF(Table1[[#This Row],[WALDD]]&gt;0,VLOOKUP(Table1[[#This Row],[ID]],Wine1!A:Q,17,FALSE),Table1[[#This Row],[EP]]))</f>
        <v>2030</v>
      </c>
      <c r="Z791" s="18">
        <f>IF(Table1[[#This Row],[My Rating]]="",IF(Table1[[#This Row],[WA Rating Clean]]="","",Table1[[#This Row],[WA Rating Clean]]),Table1[[#This Row],[My Rating]])</f>
        <v>97</v>
      </c>
      <c r="AA791" s="8">
        <v>2027</v>
      </c>
      <c r="AB791" s="4">
        <v>205</v>
      </c>
      <c r="AC791" s="2">
        <f t="shared" si="45"/>
        <v>205</v>
      </c>
      <c r="AD791" s="8">
        <v>0</v>
      </c>
      <c r="AE791" s="37">
        <f>IF(Table1[[#This Row],[P/750]]&lt;20,1,IF(Table1[[#This Row],[P/750]]&lt;50,2,3))</f>
        <v>3</v>
      </c>
      <c r="AF791" s="37">
        <f>IF(Table1[[#This Row],[P/750]]&lt;Expenses!$C$30,1,IF(Table1[[#This Row],[P/750]]&lt;Expenses!$C$31,2,IF(Table1[[#This Row],[P/750]]&lt;Expenses!$C$32,3,4)))</f>
        <v>4</v>
      </c>
      <c r="AH791" s="37" t="s">
        <v>385</v>
      </c>
      <c r="AI791" s="11">
        <f>Table1[[#This Row],[Price]]/Table1[[#This Row],[Size (ml)]]*750</f>
        <v>205</v>
      </c>
      <c r="AJ791" s="37">
        <v>97</v>
      </c>
      <c r="AK791" s="37">
        <f>COUNTIF(UniqueID!A:A,Table1[[#This Row],[ID]])</f>
        <v>1</v>
      </c>
      <c r="AL791" s="37" t="str">
        <f>VLOOKUP(Table1[[#This Row],[Cellar Location]],Location!A:F,6,FALSE)</f>
        <v>K</v>
      </c>
      <c r="AO791" s="37" t="str">
        <f>TEXT(Table1[[#This Row],[Purchased]],"mmmm")</f>
        <v>January</v>
      </c>
      <c r="AP791" s="10" t="str">
        <f>TEXT(Table1[[#This Row],[Purchased]],"yyyy")</f>
        <v>1900</v>
      </c>
      <c r="AQ791" s="10"/>
    </row>
    <row r="792" spans="1:43" s="37" customFormat="1" x14ac:dyDescent="0.25">
      <c r="A792" s="37" t="str">
        <f t="shared" si="44"/>
        <v>2017Domaine du Grand MontmirailGigondas le Coteau de Mon Reve</v>
      </c>
      <c r="B792" s="37">
        <v>2017</v>
      </c>
      <c r="C792" s="37" t="s">
        <v>1387</v>
      </c>
      <c r="D792" s="37" t="s">
        <v>1388</v>
      </c>
      <c r="E792" s="67" t="s">
        <v>1360</v>
      </c>
      <c r="F792" s="37" t="s">
        <v>742</v>
      </c>
      <c r="G792" s="37" t="s">
        <v>759</v>
      </c>
      <c r="H792" s="37" t="s">
        <v>764</v>
      </c>
      <c r="I792" s="107">
        <v>1</v>
      </c>
      <c r="J792" s="37">
        <v>750</v>
      </c>
      <c r="K792" s="107" t="s">
        <v>661</v>
      </c>
      <c r="L792" s="10">
        <f>COUNTIF(Drank!A:A,Table1[[#This Row],[ID]])</f>
        <v>2</v>
      </c>
      <c r="M792" s="37" t="s">
        <v>202</v>
      </c>
      <c r="N792" s="37" t="s">
        <v>207</v>
      </c>
      <c r="O792" s="37">
        <v>1</v>
      </c>
      <c r="P792" s="10">
        <v>2020</v>
      </c>
      <c r="Q792" s="37">
        <v>2030</v>
      </c>
      <c r="R792" s="10">
        <f>IF(IFERROR(VLOOKUP(A792,Drank!A:S,15,FALSE),"")=0,"",IFERROR(VLOOKUP(A792,Drank!A:S,15,FALSE),""))</f>
        <v>2022</v>
      </c>
      <c r="S792" s="10">
        <f>IF(IFERROR(VLOOKUP(A792,Drank!A:S,16,FALSE),"")=0,"",IFERROR(VLOOKUP(A792,Drank!A:S,16,FALSE),""))</f>
        <v>2030</v>
      </c>
      <c r="T792" s="10"/>
      <c r="U792" s="37">
        <v>96</v>
      </c>
      <c r="V792" s="18">
        <f>IF(IFERROR(VLOOKUP(A792,Drank!A:T,19,FALSE),"")=0,"",IFERROR(VLOOKUP(A792,Drank!A:T,19,FALSE),""))</f>
        <v>93</v>
      </c>
      <c r="W792" s="1">
        <f>IF(IFERROR(VLOOKUP(A792,Drank!A:T,20,FALSE),"")=0,"",IFERROR(VLOOKUP(A792,Drank!A:T,20,FALSE),""))</f>
        <v>43976</v>
      </c>
      <c r="X792" s="10">
        <f>SUMIF(A:A,A792,I:I)</f>
        <v>10</v>
      </c>
      <c r="Y792" s="10">
        <f>IF(Table1[[#This Row],[Drank]]&gt;0,VLOOKUP(Table1[[#This Row],[ID]],Drank!A:P,16,FALSE),IF(Table1[[#This Row],[WALDD]]&gt;0,VLOOKUP(Table1[[#This Row],[ID]],Wine1!A:Q,17,FALSE),Table1[[#This Row],[EP]]))</f>
        <v>2030</v>
      </c>
      <c r="Z792" s="18">
        <f>IF(Table1[[#This Row],[My Rating]]="",IF(Table1[[#This Row],[WA Rating Clean]]="","",Table1[[#This Row],[WA Rating Clean]]),Table1[[#This Row],[My Rating]])</f>
        <v>93</v>
      </c>
      <c r="AA792" s="37">
        <v>2027</v>
      </c>
      <c r="AB792" s="4">
        <v>24.97</v>
      </c>
      <c r="AC792" s="2">
        <f t="shared" si="45"/>
        <v>24.97</v>
      </c>
      <c r="AD792" s="8">
        <v>2</v>
      </c>
      <c r="AE792" s="10">
        <f>IF(Table1[[#This Row],[P/750]]&lt;20,1,IF(Table1[[#This Row],[P/750]]&lt;50,2,3))</f>
        <v>2</v>
      </c>
      <c r="AF792" s="10">
        <f>IF(Table1[[#This Row],[P/750]]&lt;Expenses!$C$30,1,IF(Table1[[#This Row],[P/750]]&lt;Expenses!$C$31,2,IF(Table1[[#This Row],[P/750]]&lt;Expenses!$C$32,3,4)))</f>
        <v>2</v>
      </c>
      <c r="AH792" s="37" t="s">
        <v>384</v>
      </c>
      <c r="AI792" s="11">
        <f>Table1[[#This Row],[Price]]/Table1[[#This Row],[Size (ml)]]*750</f>
        <v>24.970000000000002</v>
      </c>
      <c r="AJ792" s="37">
        <v>96</v>
      </c>
      <c r="AK792" s="10">
        <f>COUNTIF(UniqueID!A:A,Table1[[#This Row],[ID]])</f>
        <v>0</v>
      </c>
      <c r="AL792" s="10" t="str">
        <f>VLOOKUP(Table1[[#This Row],[Cellar Location]],Location!A:F,6,FALSE)</f>
        <v>S</v>
      </c>
      <c r="AN792" s="1">
        <v>43948</v>
      </c>
      <c r="AO792" s="10" t="str">
        <f>TEXT(Table1[[#This Row],[Purchased]],"mmmm")</f>
        <v>April</v>
      </c>
      <c r="AP792" s="10" t="str">
        <f>TEXT(Table1[[#This Row],[Purchased]],"yyyy")</f>
        <v>2020</v>
      </c>
      <c r="AQ792" s="10"/>
    </row>
    <row r="793" spans="1:43" s="37" customFormat="1" x14ac:dyDescent="0.25">
      <c r="A793" s="37" t="str">
        <f t="shared" si="44"/>
        <v>2016Domaine Saint DamienGigondas les Souteyrades</v>
      </c>
      <c r="B793" s="37">
        <v>2016</v>
      </c>
      <c r="C793" s="37" t="s">
        <v>394</v>
      </c>
      <c r="D793" s="25" t="s">
        <v>395</v>
      </c>
      <c r="E793" s="68" t="s">
        <v>1255</v>
      </c>
      <c r="F793" s="37" t="s">
        <v>742</v>
      </c>
      <c r="G793" s="37" t="s">
        <v>759</v>
      </c>
      <c r="H793" s="37" t="s">
        <v>764</v>
      </c>
      <c r="I793" s="107">
        <v>1</v>
      </c>
      <c r="J793" s="37">
        <v>750</v>
      </c>
      <c r="K793" s="107" t="s">
        <v>646</v>
      </c>
      <c r="L793" s="37">
        <f>COUNTIF(Drank!A:A,Table1[[#This Row],[ID]])</f>
        <v>0</v>
      </c>
      <c r="M793" s="37" t="s">
        <v>202</v>
      </c>
      <c r="N793" s="37" t="s">
        <v>207</v>
      </c>
      <c r="O793" s="37">
        <v>1</v>
      </c>
      <c r="P793" s="37">
        <v>2020</v>
      </c>
      <c r="Q793" s="37">
        <v>2030</v>
      </c>
      <c r="R793" s="10" t="str">
        <f>IF(IFERROR(VLOOKUP(A793,Drank!A:S,15,FALSE),"")=0,"",IFERROR(VLOOKUP(A793,Drank!A:S,15,FALSE),""))</f>
        <v/>
      </c>
      <c r="S793" s="10" t="str">
        <f>IF(IFERROR(VLOOKUP(A793,Drank!A:S,16,FALSE),"")=0,"",IFERROR(VLOOKUP(A793,Drank!A:S,16,FALSE),""))</f>
        <v/>
      </c>
      <c r="T793" s="10"/>
      <c r="U793" s="37">
        <v>95</v>
      </c>
      <c r="V793" s="18" t="str">
        <f>IF(IFERROR(VLOOKUP(A793,Drank!A:T,19,FALSE),"")=0,"",IFERROR(VLOOKUP(A793,Drank!A:T,19,FALSE),""))</f>
        <v/>
      </c>
      <c r="W793" s="1" t="str">
        <f>IF(IFERROR(VLOOKUP(A793,Drank!A:T,20,FALSE),"")=0,"",IFERROR(VLOOKUP(A793,Drank!A:T,20,FALSE),""))</f>
        <v/>
      </c>
      <c r="X793" s="10">
        <f>SUMIF(A:A,A793,I:I)</f>
        <v>4</v>
      </c>
      <c r="Y793" s="37">
        <f>IF(Table1[[#This Row],[Drank]]&gt;0,VLOOKUP(Table1[[#This Row],[ID]],Drank!A:P,16,FALSE),IF(Table1[[#This Row],[WALDD]]&gt;0,VLOOKUP(Table1[[#This Row],[ID]],Wine1!A:Q,17,FALSE),Table1[[#This Row],[EP]]))</f>
        <v>2030</v>
      </c>
      <c r="Z793" s="18">
        <f>IF(Table1[[#This Row],[My Rating]]="",IF(Table1[[#This Row],[WA Rating Clean]]="","",Table1[[#This Row],[WA Rating Clean]]),Table1[[#This Row],[My Rating]])</f>
        <v>95</v>
      </c>
      <c r="AA793" s="6">
        <v>2027</v>
      </c>
      <c r="AB793" s="4">
        <v>28</v>
      </c>
      <c r="AC793" s="2">
        <f t="shared" si="45"/>
        <v>28</v>
      </c>
      <c r="AD793" s="8">
        <v>2</v>
      </c>
      <c r="AE793" s="37">
        <f>IF(Table1[[#This Row],[P/750]]&lt;20,1,IF(Table1[[#This Row],[P/750]]&lt;50,2,3))</f>
        <v>2</v>
      </c>
      <c r="AF793" s="37">
        <f>IF(Table1[[#This Row],[P/750]]&lt;Expenses!$C$30,1,IF(Table1[[#This Row],[P/750]]&lt;Expenses!$C$31,2,IF(Table1[[#This Row],[P/750]]&lt;Expenses!$C$32,3,4)))</f>
        <v>2</v>
      </c>
      <c r="AH793" s="37" t="s">
        <v>385</v>
      </c>
      <c r="AI793" s="11">
        <f>Table1[[#This Row],[Price]]/Table1[[#This Row],[Size (ml)]]*750</f>
        <v>28.000000000000004</v>
      </c>
      <c r="AJ793" s="37">
        <v>95</v>
      </c>
      <c r="AK793" s="37">
        <f>COUNTIF(UniqueID!A:A,Table1[[#This Row],[ID]])</f>
        <v>1</v>
      </c>
      <c r="AL793" s="37" t="str">
        <f>VLOOKUP(Table1[[#This Row],[Cellar Location]],Location!A:F,6,FALSE)</f>
        <v>S</v>
      </c>
      <c r="AO793" s="37" t="str">
        <f>TEXT(Table1[[#This Row],[Purchased]],"mmmm")</f>
        <v>January</v>
      </c>
      <c r="AP793" s="10" t="str">
        <f>TEXT(Table1[[#This Row],[Purchased]],"yyyy")</f>
        <v>1900</v>
      </c>
      <c r="AQ793" s="10"/>
    </row>
    <row r="794" spans="1:43" s="37" customFormat="1" x14ac:dyDescent="0.25">
      <c r="A794" s="37" t="str">
        <f t="shared" si="44"/>
        <v>2016Quinta do ValladoTouriga Nacional</v>
      </c>
      <c r="B794" s="8">
        <v>2016</v>
      </c>
      <c r="C794" s="9" t="s">
        <v>210</v>
      </c>
      <c r="D794" s="9" t="s">
        <v>211</v>
      </c>
      <c r="E794" s="68" t="s">
        <v>1221</v>
      </c>
      <c r="F794" s="9" t="s">
        <v>804</v>
      </c>
      <c r="G794" s="9" t="s">
        <v>805</v>
      </c>
      <c r="H794" s="9"/>
      <c r="I794" s="107">
        <v>1</v>
      </c>
      <c r="J794" s="37">
        <v>750</v>
      </c>
      <c r="K794" s="107" t="s">
        <v>641</v>
      </c>
      <c r="L794" s="37">
        <f>COUNTIF(Drank!A:A,Table1[[#This Row],[ID]])</f>
        <v>4</v>
      </c>
      <c r="M794" s="37" t="s">
        <v>202</v>
      </c>
      <c r="N794" s="37" t="s">
        <v>207</v>
      </c>
      <c r="O794" s="37">
        <v>1</v>
      </c>
      <c r="P794" s="37">
        <v>2020</v>
      </c>
      <c r="Q794" s="37">
        <v>2032</v>
      </c>
      <c r="R794" s="37">
        <f>IF(IFERROR(VLOOKUP(A794,Drank!A:S,15,FALSE),"")=0,"",IFERROR(VLOOKUP(A794,Drank!A:S,15,FALSE),""))</f>
        <v>2021</v>
      </c>
      <c r="S794" s="37">
        <f>IF(IFERROR(VLOOKUP(A794,Drank!A:S,16,FALSE),"")=0,"",IFERROR(VLOOKUP(A794,Drank!A:S,16,FALSE),""))</f>
        <v>2030</v>
      </c>
      <c r="U794" s="37">
        <v>93</v>
      </c>
      <c r="V794" s="18">
        <f>IF(IFERROR(VLOOKUP(A794,Drank!A:T,19,FALSE),"")=0,"",IFERROR(VLOOKUP(A794,Drank!A:T,19,FALSE),""))</f>
        <v>92</v>
      </c>
      <c r="W794" s="1">
        <f>IF(IFERROR(VLOOKUP(A794,Drank!A:T,20,FALSE),"")=0,"",IFERROR(VLOOKUP(A794,Drank!A:T,20,FALSE),""))</f>
        <v>43847</v>
      </c>
      <c r="X794" s="37">
        <f>SUMIF(A:A,A794,I:I)</f>
        <v>7</v>
      </c>
      <c r="Y794" s="37">
        <f>IF(Table1[[#This Row],[Drank]]&gt;0,VLOOKUP(Table1[[#This Row],[ID]],Drank!A:P,16,FALSE),IF(Table1[[#This Row],[WALDD]]&gt;0,VLOOKUP(Table1[[#This Row],[ID]],Wine1!A:Q,17,FALSE),Table1[[#This Row],[EP]]))</f>
        <v>2030</v>
      </c>
      <c r="Z794" s="18">
        <f>IF(Table1[[#This Row],[My Rating]]="",IF(Table1[[#This Row],[WA Rating Clean]]="","",Table1[[#This Row],[WA Rating Clean]]),Table1[[#This Row],[My Rating]])</f>
        <v>92</v>
      </c>
      <c r="AA794" s="37">
        <v>2027</v>
      </c>
      <c r="AB794" s="4">
        <v>24.99</v>
      </c>
      <c r="AC794" s="2">
        <f t="shared" si="45"/>
        <v>24.99</v>
      </c>
      <c r="AD794" s="8">
        <v>2</v>
      </c>
      <c r="AE794" s="37">
        <f>IF(Table1[[#This Row],[P/750]]&lt;20,1,IF(Table1[[#This Row],[P/750]]&lt;50,2,3))</f>
        <v>2</v>
      </c>
      <c r="AF794" s="37">
        <f>IF(Table1[[#This Row],[P/750]]&lt;Expenses!$C$30,1,IF(Table1[[#This Row],[P/750]]&lt;Expenses!$C$31,2,IF(Table1[[#This Row],[P/750]]&lt;Expenses!$C$32,3,4)))</f>
        <v>2</v>
      </c>
      <c r="AH794" s="37" t="s">
        <v>384</v>
      </c>
      <c r="AI794" s="11">
        <f>Table1[[#This Row],[Price]]/Table1[[#This Row],[Size (ml)]]*750</f>
        <v>24.989999999999995</v>
      </c>
      <c r="AJ794" s="37">
        <v>93</v>
      </c>
      <c r="AK794" s="37">
        <f>COUNTIF(UniqueID!A:A,Table1[[#This Row],[ID]])</f>
        <v>1</v>
      </c>
      <c r="AL794" s="37" t="str">
        <f>VLOOKUP(Table1[[#This Row],[Cellar Location]],Location!A:F,6,FALSE)</f>
        <v>S</v>
      </c>
      <c r="AO794" s="37" t="str">
        <f>TEXT(Table1[[#This Row],[Purchased]],"mmmm")</f>
        <v>January</v>
      </c>
      <c r="AP794" s="10" t="str">
        <f>TEXT(Table1[[#This Row],[Purchased]],"yyyy")</f>
        <v>1900</v>
      </c>
      <c r="AQ794" s="10"/>
    </row>
    <row r="795" spans="1:43" s="37" customFormat="1" x14ac:dyDescent="0.25">
      <c r="A795" s="37" t="str">
        <f t="shared" si="44"/>
        <v>2016Tenuta San GuidoGuidalberto</v>
      </c>
      <c r="B795" s="37">
        <v>2016</v>
      </c>
      <c r="C795" s="37" t="s">
        <v>91</v>
      </c>
      <c r="D795" s="37" t="s">
        <v>1236</v>
      </c>
      <c r="E795" s="67" t="s">
        <v>1455</v>
      </c>
      <c r="F795" s="37" t="s">
        <v>728</v>
      </c>
      <c r="G795" s="37" t="s">
        <v>790</v>
      </c>
      <c r="H795" s="37" t="s">
        <v>796</v>
      </c>
      <c r="I795" s="107">
        <v>1</v>
      </c>
      <c r="J795" s="37">
        <v>750</v>
      </c>
      <c r="K795" s="107" t="s">
        <v>1315</v>
      </c>
      <c r="L795" s="10">
        <f>COUNTIF(Drank!A:A,Table1[[#This Row],[ID]])</f>
        <v>1</v>
      </c>
      <c r="M795" s="37" t="s">
        <v>202</v>
      </c>
      <c r="N795" s="37" t="s">
        <v>207</v>
      </c>
      <c r="O795" s="37">
        <v>1</v>
      </c>
      <c r="P795" s="37">
        <v>2019</v>
      </c>
      <c r="Q795" s="37">
        <v>2030</v>
      </c>
      <c r="R795" s="10">
        <f>IF(IFERROR(VLOOKUP(A795,Drank!A:S,15,FALSE),"")=0,"",IFERROR(VLOOKUP(A795,Drank!A:S,15,FALSE),""))</f>
        <v>2025</v>
      </c>
      <c r="S795" s="10">
        <f>IF(IFERROR(VLOOKUP(A795,Drank!A:S,16,FALSE),"")=0,"",IFERROR(VLOOKUP(A795,Drank!A:S,16,FALSE),""))</f>
        <v>2030</v>
      </c>
      <c r="T795" s="10"/>
      <c r="U795" s="37" t="s">
        <v>17</v>
      </c>
      <c r="V795" s="18">
        <f>IF(IFERROR(VLOOKUP(A795,Drank!A:T,19,FALSE),"")=0,"",IFERROR(VLOOKUP(A795,Drank!A:T,19,FALSE),""))</f>
        <v>93</v>
      </c>
      <c r="W795" s="1">
        <f>IF(IFERROR(VLOOKUP(A795,Drank!A:T,20,FALSE),"")=0,"",IFERROR(VLOOKUP(A795,Drank!A:T,20,FALSE),""))</f>
        <v>43866</v>
      </c>
      <c r="X795" s="10">
        <f>SUMIF(A:A,A795,I:I)</f>
        <v>6</v>
      </c>
      <c r="Y795" s="10">
        <f>IF(Table1[[#This Row],[Drank]]&gt;0,VLOOKUP(Table1[[#This Row],[ID]],Drank!A:P,16,FALSE),IF(Table1[[#This Row],[WALDD]]&gt;0,VLOOKUP(Table1[[#This Row],[ID]],Wine1!A:Q,17,FALSE),Table1[[#This Row],[EP]]))</f>
        <v>2030</v>
      </c>
      <c r="Z795" s="18">
        <f>IF(Table1[[#This Row],[My Rating]]="",IF(Table1[[#This Row],[WA Rating Clean]]="","",Table1[[#This Row],[WA Rating Clean]]),Table1[[#This Row],[My Rating]])</f>
        <v>93</v>
      </c>
      <c r="AA795" s="37">
        <v>2027</v>
      </c>
      <c r="AB795" s="4">
        <v>44.25</v>
      </c>
      <c r="AC795" s="2">
        <f t="shared" si="45"/>
        <v>44.25</v>
      </c>
      <c r="AD795" s="8">
        <v>2</v>
      </c>
      <c r="AE795" s="10">
        <f>IF(Table1[[#This Row],[P/750]]&lt;20,1,IF(Table1[[#This Row],[P/750]]&lt;50,2,3))</f>
        <v>2</v>
      </c>
      <c r="AF795" s="10">
        <f>IF(Table1[[#This Row],[P/750]]&lt;Expenses!$C$30,1,IF(Table1[[#This Row],[P/750]]&lt;Expenses!$C$31,2,IF(Table1[[#This Row],[P/750]]&lt;Expenses!$C$32,3,4)))</f>
        <v>3</v>
      </c>
      <c r="AH795" s="37" t="s">
        <v>1238</v>
      </c>
      <c r="AI795" s="11">
        <f>Table1[[#This Row],[Price]]/Table1[[#This Row],[Size (ml)]]*750</f>
        <v>44.25</v>
      </c>
      <c r="AJ795" s="37">
        <v>94</v>
      </c>
      <c r="AK795" s="10">
        <f>COUNTIF(UniqueID!A:A,Table1[[#This Row],[ID]])</f>
        <v>1</v>
      </c>
      <c r="AL795" s="10" t="str">
        <f>VLOOKUP(Table1[[#This Row],[Cellar Location]],Location!A:F,6,FALSE)</f>
        <v>S</v>
      </c>
      <c r="AN795" s="1">
        <v>43869</v>
      </c>
      <c r="AO795" s="37" t="str">
        <f>TEXT(Table1[[#This Row],[Purchased]],"mmmm")</f>
        <v>February</v>
      </c>
      <c r="AP795" s="10" t="str">
        <f>TEXT(Table1[[#This Row],[Purchased]],"yyyy")</f>
        <v>2020</v>
      </c>
      <c r="AQ795" s="10"/>
    </row>
    <row r="796" spans="1:43" s="37" customFormat="1" x14ac:dyDescent="0.25">
      <c r="A796" s="37" t="str">
        <f t="shared" si="44"/>
        <v>2016Tour Saint-MichelChateauneuf du Pape Cuvee des Deux Soeurs</v>
      </c>
      <c r="B796" s="37">
        <v>2016</v>
      </c>
      <c r="C796" s="37" t="s">
        <v>712</v>
      </c>
      <c r="D796" s="37" t="s">
        <v>713</v>
      </c>
      <c r="E796" s="67" t="s">
        <v>1254</v>
      </c>
      <c r="F796" s="37" t="s">
        <v>742</v>
      </c>
      <c r="G796" s="37" t="s">
        <v>759</v>
      </c>
      <c r="H796" s="9" t="s">
        <v>762</v>
      </c>
      <c r="I796" s="107">
        <v>1</v>
      </c>
      <c r="J796" s="37">
        <v>750</v>
      </c>
      <c r="K796" s="107" t="s">
        <v>716</v>
      </c>
      <c r="L796" s="10">
        <f>COUNTIF(Drank!A:A,Table1[[#This Row],[ID]])</f>
        <v>1</v>
      </c>
      <c r="M796" s="37" t="s">
        <v>202</v>
      </c>
      <c r="N796" s="37" t="s">
        <v>207</v>
      </c>
      <c r="O796" s="37">
        <v>1</v>
      </c>
      <c r="P796" s="10">
        <v>2018</v>
      </c>
      <c r="Q796" s="37">
        <v>2028</v>
      </c>
      <c r="R796" s="10">
        <f>IF(IFERROR(VLOOKUP(A796,Drank!A:S,15,FALSE),"")=0,"",IFERROR(VLOOKUP(A796,Drank!A:S,15,FALSE),""))</f>
        <v>2025</v>
      </c>
      <c r="S796" s="10">
        <f>IF(IFERROR(VLOOKUP(A796,Drank!A:S,16,FALSE),"")=0,"",IFERROR(VLOOKUP(A796,Drank!A:S,16,FALSE),""))</f>
        <v>2030</v>
      </c>
      <c r="T796" s="10"/>
      <c r="U796" s="37">
        <v>92</v>
      </c>
      <c r="V796" s="18">
        <f>IF(IFERROR(VLOOKUP(A796,Drank!A:T,19,FALSE),"")=0,"",IFERROR(VLOOKUP(A796,Drank!A:T,19,FALSE),""))</f>
        <v>92</v>
      </c>
      <c r="W796" s="1">
        <f>IF(IFERROR(VLOOKUP(A796,Drank!A:T,20,FALSE),"")=0,"",IFERROR(VLOOKUP(A796,Drank!A:T,20,FALSE),""))</f>
        <v>43921</v>
      </c>
      <c r="X796" s="10">
        <f>SUMIF(A:A,A796,I:I)</f>
        <v>3</v>
      </c>
      <c r="Y796" s="10">
        <f>IF(Table1[[#This Row],[Drank]]&gt;0,VLOOKUP(Table1[[#This Row],[ID]],Drank!A:P,16,FALSE),IF(Table1[[#This Row],[WALDD]]&gt;0,VLOOKUP(Table1[[#This Row],[ID]],Wine1!A:Q,17,FALSE),Table1[[#This Row],[EP]]))</f>
        <v>2030</v>
      </c>
      <c r="Z796" s="18">
        <f>IF(Table1[[#This Row],[My Rating]]="",IF(Table1[[#This Row],[WA Rating Clean]]="","",Table1[[#This Row],[WA Rating Clean]]),Table1[[#This Row],[My Rating]])</f>
        <v>92</v>
      </c>
      <c r="AA796" s="37">
        <v>2027</v>
      </c>
      <c r="AB796" s="4">
        <v>24.99</v>
      </c>
      <c r="AC796" s="2">
        <f t="shared" si="45"/>
        <v>24.99</v>
      </c>
      <c r="AD796" s="8">
        <v>2</v>
      </c>
      <c r="AE796" s="10">
        <f>IF(Table1[[#This Row],[P/750]]&lt;20,1,IF(Table1[[#This Row],[P/750]]&lt;50,2,3))</f>
        <v>2</v>
      </c>
      <c r="AF796" s="10">
        <f>IF(Table1[[#This Row],[P/750]]&lt;Expenses!$C$30,1,IF(Table1[[#This Row],[P/750]]&lt;Expenses!$C$31,2,IF(Table1[[#This Row],[P/750]]&lt;Expenses!$C$32,3,4)))</f>
        <v>2</v>
      </c>
      <c r="AH796" s="37" t="s">
        <v>384</v>
      </c>
      <c r="AI796" s="11">
        <f>Table1[[#This Row],[Price]]/Table1[[#This Row],[Size (ml)]]*750</f>
        <v>24.989999999999995</v>
      </c>
      <c r="AJ796" s="37">
        <v>92</v>
      </c>
      <c r="AK796" s="10">
        <f>COUNTIF(UniqueID!A:A,Table1[[#This Row],[ID]])</f>
        <v>1</v>
      </c>
      <c r="AL796" s="37" t="str">
        <f>VLOOKUP(Table1[[#This Row],[Cellar Location]],Location!A:F,6,FALSE)</f>
        <v>S</v>
      </c>
      <c r="AN796" s="1">
        <v>43815</v>
      </c>
      <c r="AO796" s="37" t="str">
        <f>TEXT(Table1[[#This Row],[Purchased]],"mmmm")</f>
        <v>December</v>
      </c>
      <c r="AP796" s="10" t="str">
        <f>TEXT(Table1[[#This Row],[Purchased]],"yyyy")</f>
        <v>2019</v>
      </c>
      <c r="AQ796" s="10"/>
    </row>
    <row r="797" spans="1:43" s="37" customFormat="1" x14ac:dyDescent="0.25">
      <c r="A797" s="37" t="str">
        <f t="shared" ref="A797:A860" si="46">CONCATENATE(B797,C797,D797)</f>
        <v>2016Tour Saint-MichelChateauneuf du Pape Cuvee du Lion</v>
      </c>
      <c r="B797" s="37">
        <v>2016</v>
      </c>
      <c r="C797" s="37" t="s">
        <v>712</v>
      </c>
      <c r="D797" s="37" t="s">
        <v>1359</v>
      </c>
      <c r="E797" s="67" t="s">
        <v>1360</v>
      </c>
      <c r="F797" s="37" t="s">
        <v>742</v>
      </c>
      <c r="G797" s="37" t="s">
        <v>759</v>
      </c>
      <c r="H797" s="37" t="s">
        <v>762</v>
      </c>
      <c r="I797" s="107">
        <v>1</v>
      </c>
      <c r="J797" s="9">
        <v>750</v>
      </c>
      <c r="K797" s="107" t="s">
        <v>661</v>
      </c>
      <c r="L797" s="10">
        <f>COUNTIF(Drank!A:A,Table1[[#This Row],[ID]])</f>
        <v>1</v>
      </c>
      <c r="M797" s="37" t="s">
        <v>202</v>
      </c>
      <c r="N797" s="37" t="s">
        <v>207</v>
      </c>
      <c r="O797" s="37">
        <v>1</v>
      </c>
      <c r="P797" s="10">
        <v>2018</v>
      </c>
      <c r="Q797" s="37">
        <v>2030</v>
      </c>
      <c r="R797" s="10">
        <f>IF(IFERROR(VLOOKUP(A797,Drank!A:S,15,FALSE),"")=0,"",IFERROR(VLOOKUP(A797,Drank!A:S,15,FALSE),""))</f>
        <v>2024</v>
      </c>
      <c r="S797" s="10">
        <f>IF(IFERROR(VLOOKUP(A797,Drank!A:S,16,FALSE),"")=0,"",IFERROR(VLOOKUP(A797,Drank!A:S,16,FALSE),""))</f>
        <v>2030</v>
      </c>
      <c r="T797" s="10"/>
      <c r="U797" s="37">
        <v>94</v>
      </c>
      <c r="V797" s="18">
        <f>IF(IFERROR(VLOOKUP(A797,Drank!A:T,19,FALSE),"")=0,"",IFERROR(VLOOKUP(A797,Drank!A:T,19,FALSE),""))</f>
        <v>92</v>
      </c>
      <c r="W797" s="1">
        <f>IF(IFERROR(VLOOKUP(A797,Drank!A:T,20,FALSE),"")=0,"",IFERROR(VLOOKUP(A797,Drank!A:T,20,FALSE),""))</f>
        <v>44056</v>
      </c>
      <c r="X797" s="10">
        <f>SUMIF(A:A,A797,I:I)</f>
        <v>5</v>
      </c>
      <c r="Y797" s="10">
        <f>IF(Table1[[#This Row],[Drank]]&gt;0,VLOOKUP(Table1[[#This Row],[ID]],Drank!A:P,16,FALSE),IF(Table1[[#This Row],[WALDD]]&gt;0,VLOOKUP(Table1[[#This Row],[ID]],Wine1!A:Q,17,FALSE),Table1[[#This Row],[EP]]))</f>
        <v>2030</v>
      </c>
      <c r="Z797" s="18">
        <f>IF(Table1[[#This Row],[My Rating]]="",IF(Table1[[#This Row],[WA Rating Clean]]="","",Table1[[#This Row],[WA Rating Clean]]),Table1[[#This Row],[My Rating]])</f>
        <v>92</v>
      </c>
      <c r="AA797" s="37">
        <v>2027</v>
      </c>
      <c r="AB797" s="4">
        <v>32.58</v>
      </c>
      <c r="AC797" s="2">
        <f t="shared" ref="AC797:AC860" si="47">AB797*I797</f>
        <v>32.58</v>
      </c>
      <c r="AD797" s="8">
        <v>2</v>
      </c>
      <c r="AE797" s="10">
        <f>IF(Table1[[#This Row],[P/750]]&lt;20,1,IF(Table1[[#This Row],[P/750]]&lt;50,2,3))</f>
        <v>2</v>
      </c>
      <c r="AF797" s="10">
        <f>IF(Table1[[#This Row],[P/750]]&lt;Expenses!$C$30,1,IF(Table1[[#This Row],[P/750]]&lt;Expenses!$C$31,2,IF(Table1[[#This Row],[P/750]]&lt;Expenses!$C$32,3,4)))</f>
        <v>3</v>
      </c>
      <c r="AH797" s="37" t="s">
        <v>384</v>
      </c>
      <c r="AI797" s="11">
        <f>Table1[[#This Row],[Price]]/Table1[[#This Row],[Size (ml)]]*750</f>
        <v>32.58</v>
      </c>
      <c r="AJ797" s="37">
        <v>94</v>
      </c>
      <c r="AK797" s="10">
        <f>COUNTIF(UniqueID!A:A,Table1[[#This Row],[ID]])</f>
        <v>0</v>
      </c>
      <c r="AL797" s="10" t="str">
        <f>VLOOKUP(Table1[[#This Row],[Cellar Location]],Location!A:F,6,FALSE)</f>
        <v>S</v>
      </c>
      <c r="AN797" s="1">
        <v>43934</v>
      </c>
      <c r="AO797" s="10" t="str">
        <f>TEXT(Table1[[#This Row],[Purchased]],"mmmm")</f>
        <v>April</v>
      </c>
      <c r="AP797" s="10" t="str">
        <f>TEXT(Table1[[#This Row],[Purchased]],"yyyy")</f>
        <v>2020</v>
      </c>
      <c r="AQ797" s="10"/>
    </row>
    <row r="798" spans="1:43" s="37" customFormat="1" x14ac:dyDescent="0.25">
      <c r="A798" s="37" t="str">
        <f t="shared" si="46"/>
        <v>2015Xavier VignonCotes du Rhone Villages Arcane XIX Le Soleil</v>
      </c>
      <c r="B798" s="37">
        <v>2015</v>
      </c>
      <c r="C798" s="8" t="s">
        <v>405</v>
      </c>
      <c r="D798" s="25" t="s">
        <v>1856</v>
      </c>
      <c r="E798" s="68" t="s">
        <v>1222</v>
      </c>
      <c r="F798" s="37" t="s">
        <v>742</v>
      </c>
      <c r="G798" s="37" t="s">
        <v>759</v>
      </c>
      <c r="H798" s="37" t="s">
        <v>760</v>
      </c>
      <c r="I798" s="107">
        <v>1</v>
      </c>
      <c r="J798" s="37">
        <v>750</v>
      </c>
      <c r="K798" s="107" t="s">
        <v>647</v>
      </c>
      <c r="L798" s="37">
        <f>COUNTIF(Drank!A:A,Table1[[#This Row],[ID]])</f>
        <v>2</v>
      </c>
      <c r="M798" s="37" t="s">
        <v>202</v>
      </c>
      <c r="N798" s="37" t="s">
        <v>207</v>
      </c>
      <c r="O798" s="37">
        <v>1</v>
      </c>
      <c r="P798" s="37">
        <v>2017</v>
      </c>
      <c r="Q798" s="37">
        <v>2027</v>
      </c>
      <c r="R798" s="10">
        <f>IF(IFERROR(VLOOKUP(A798,Drank!A:S,15,FALSE),"")=0,"",IFERROR(VLOOKUP(A798,Drank!A:S,15,FALSE),""))</f>
        <v>2021</v>
      </c>
      <c r="S798" s="10">
        <f>IF(IFERROR(VLOOKUP(A798,Drank!A:S,16,FALSE),"")=0,"",IFERROR(VLOOKUP(A798,Drank!A:S,16,FALSE),""))</f>
        <v>2025</v>
      </c>
      <c r="T798" s="10"/>
      <c r="U798" s="37">
        <v>94</v>
      </c>
      <c r="V798" s="18">
        <f>IF(IFERROR(VLOOKUP(A798,Drank!A:T,19,FALSE),"")=0,"",IFERROR(VLOOKUP(A798,Drank!A:T,19,FALSE),""))</f>
        <v>93</v>
      </c>
      <c r="W798" s="1">
        <f>IF(IFERROR(VLOOKUP(A798,Drank!A:T,20,FALSE),"")=0,"",IFERROR(VLOOKUP(A798,Drank!A:T,20,FALSE),""))</f>
        <v>44071</v>
      </c>
      <c r="X798" s="10">
        <f>SUMIF(A:A,A798,I:I)</f>
        <v>6</v>
      </c>
      <c r="Y798" s="37">
        <f>IF(Table1[[#This Row],[Drank]]&gt;0,VLOOKUP(Table1[[#This Row],[ID]],Drank!A:P,16,FALSE),IF(Table1[[#This Row],[WALDD]]&gt;0,VLOOKUP(Table1[[#This Row],[ID]],Wine1!A:Q,17,FALSE),Table1[[#This Row],[EP]]))</f>
        <v>2025</v>
      </c>
      <c r="Z798" s="18">
        <f>IF(Table1[[#This Row],[My Rating]]="",IF(Table1[[#This Row],[WA Rating Clean]]="","",Table1[[#This Row],[WA Rating Clean]]),Table1[[#This Row],[My Rating]])</f>
        <v>93</v>
      </c>
      <c r="AA798" s="37">
        <v>2027</v>
      </c>
      <c r="AB798" s="4">
        <v>20</v>
      </c>
      <c r="AC798" s="2">
        <f t="shared" si="47"/>
        <v>20</v>
      </c>
      <c r="AD798" s="8">
        <v>2</v>
      </c>
      <c r="AE798" s="37">
        <f>IF(Table1[[#This Row],[P/750]]&lt;20,1,IF(Table1[[#This Row],[P/750]]&lt;50,2,3))</f>
        <v>1</v>
      </c>
      <c r="AF798" s="37">
        <f>IF(Table1[[#This Row],[P/750]]&lt;Expenses!$C$30,1,IF(Table1[[#This Row],[P/750]]&lt;Expenses!$C$31,2,IF(Table1[[#This Row],[P/750]]&lt;Expenses!$C$32,3,4)))</f>
        <v>1</v>
      </c>
      <c r="AH798" s="37" t="s">
        <v>385</v>
      </c>
      <c r="AI798" s="11"/>
      <c r="AJ798" s="37">
        <v>94</v>
      </c>
      <c r="AK798" s="37">
        <f>COUNTIF(UniqueID!A:A,Table1[[#This Row],[ID]])</f>
        <v>0</v>
      </c>
      <c r="AL798" s="37" t="str">
        <f>VLOOKUP(Table1[[#This Row],[Cellar Location]],Location!A:F,6,FALSE)</f>
        <v>S</v>
      </c>
      <c r="AO798" s="37" t="str">
        <f>TEXT(Table1[[#This Row],[Purchased]],"mmmm")</f>
        <v>January</v>
      </c>
      <c r="AP798" s="10" t="str">
        <f>TEXT(Table1[[#This Row],[Purchased]],"yyyy")</f>
        <v>1900</v>
      </c>
      <c r="AQ798" s="10"/>
    </row>
    <row r="799" spans="1:43" s="37" customFormat="1" x14ac:dyDescent="0.25">
      <c r="A799" s="37" t="str">
        <f t="shared" si="46"/>
        <v>2018Sante ArcangeliPinot Noir Integrato</v>
      </c>
      <c r="B799" s="37">
        <v>2018</v>
      </c>
      <c r="C799" s="8" t="s">
        <v>1347</v>
      </c>
      <c r="D799" s="37" t="s">
        <v>1348</v>
      </c>
      <c r="E799" s="64" t="s">
        <v>263</v>
      </c>
      <c r="F799" s="37" t="s">
        <v>727</v>
      </c>
      <c r="G799" s="37" t="s">
        <v>806</v>
      </c>
      <c r="H799" s="37" t="s">
        <v>1349</v>
      </c>
      <c r="I799" s="107">
        <v>1</v>
      </c>
      <c r="J799" s="37">
        <v>750</v>
      </c>
      <c r="K799" s="107" t="s">
        <v>1406</v>
      </c>
      <c r="L799" s="10">
        <f>COUNTIF(Drank!A:A,Table1[[#This Row],[ID]])</f>
        <v>1</v>
      </c>
      <c r="M799" s="37" t="s">
        <v>202</v>
      </c>
      <c r="N799" s="37" t="s">
        <v>207</v>
      </c>
      <c r="O799" s="37">
        <v>1</v>
      </c>
      <c r="P799" s="37">
        <v>2020</v>
      </c>
      <c r="Q799" s="37">
        <v>2030</v>
      </c>
      <c r="R799" s="10">
        <f>IF(IFERROR(VLOOKUP(A799,Drank!A:S,15,FALSE),"")=0,"",IFERROR(VLOOKUP(A799,Drank!A:S,15,FALSE),""))</f>
        <v>2024</v>
      </c>
      <c r="S799" s="10">
        <f>IF(IFERROR(VLOOKUP(A799,Drank!A:S,16,FALSE),"")=0,"",IFERROR(VLOOKUP(A799,Drank!A:S,16,FALSE),""))</f>
        <v>2030</v>
      </c>
      <c r="T799" s="10"/>
      <c r="U799" s="37">
        <v>94</v>
      </c>
      <c r="V799" s="18">
        <f>IF(IFERROR(VLOOKUP(A799,Drank!A:T,19,FALSE),"")=0,"",IFERROR(VLOOKUP(A799,Drank!A:T,19,FALSE),""))</f>
        <v>92</v>
      </c>
      <c r="W799" s="1">
        <f>IF(IFERROR(VLOOKUP(A799,Drank!A:T,20,FALSE),"")=0,"",IFERROR(VLOOKUP(A799,Drank!A:T,20,FALSE),""))</f>
        <v>44008</v>
      </c>
      <c r="X799" s="10">
        <f>SUMIF(A:A,A799,I:I)</f>
        <v>3</v>
      </c>
      <c r="Y799" s="10">
        <f>IF(Table1[[#This Row],[Drank]]&gt;0,VLOOKUP(Table1[[#This Row],[ID]],Drank!A:P,16,FALSE),IF(Table1[[#This Row],[WALDD]]&gt;0,VLOOKUP(Table1[[#This Row],[ID]],Wine1!A:Q,17,FALSE),Table1[[#This Row],[EP]]))</f>
        <v>2030</v>
      </c>
      <c r="Z799" s="18">
        <f>IF(Table1[[#This Row],[My Rating]]="",IF(Table1[[#This Row],[WA Rating Clean]]="","",Table1[[#This Row],[WA Rating Clean]]),Table1[[#This Row],[My Rating]])</f>
        <v>92</v>
      </c>
      <c r="AA799" s="37">
        <v>2027</v>
      </c>
      <c r="AB799" s="4">
        <v>27.31</v>
      </c>
      <c r="AC799" s="2">
        <f t="shared" si="47"/>
        <v>27.31</v>
      </c>
      <c r="AD799" s="8">
        <v>2</v>
      </c>
      <c r="AE799" s="10">
        <f>IF(Table1[[#This Row],[P/750]]&lt;20,1,IF(Table1[[#This Row],[P/750]]&lt;50,2,3))</f>
        <v>2</v>
      </c>
      <c r="AF799" s="10">
        <f>IF(Table1[[#This Row],[P/750]]&lt;Expenses!$C$30,1,IF(Table1[[#This Row],[P/750]]&lt;Expenses!$C$31,2,IF(Table1[[#This Row],[P/750]]&lt;Expenses!$C$32,3,4)))</f>
        <v>2</v>
      </c>
      <c r="AH799" s="37" t="s">
        <v>385</v>
      </c>
      <c r="AI799" s="11">
        <f>Table1[[#This Row],[Price]]/Table1[[#This Row],[Size (ml)]]*750</f>
        <v>27.31</v>
      </c>
      <c r="AJ799" s="37">
        <v>94</v>
      </c>
      <c r="AK799" s="10">
        <f>COUNTIF(UniqueID!A:A,Table1[[#This Row],[ID]])</f>
        <v>0</v>
      </c>
      <c r="AL799" s="10" t="str">
        <f>VLOOKUP(Table1[[#This Row],[Cellar Location]],Location!A:F,6,FALSE)</f>
        <v>S</v>
      </c>
      <c r="AN799" s="1">
        <v>43924</v>
      </c>
      <c r="AO799" s="10" t="str">
        <f>TEXT(Table1[[#This Row],[Purchased]],"mmmm")</f>
        <v>April</v>
      </c>
      <c r="AP799" s="10" t="str">
        <f>TEXT(Table1[[#This Row],[Purchased]],"yyyy")</f>
        <v>2020</v>
      </c>
      <c r="AQ799" s="10"/>
    </row>
    <row r="800" spans="1:43" s="37" customFormat="1" x14ac:dyDescent="0.25">
      <c r="A800" s="37" t="str">
        <f t="shared" si="46"/>
        <v>2016Tenuta di NozzoleChianti Classico Riserva Nozzole</v>
      </c>
      <c r="B800" s="37">
        <v>2016</v>
      </c>
      <c r="C800" s="8" t="s">
        <v>100</v>
      </c>
      <c r="D800" s="37" t="s">
        <v>101</v>
      </c>
      <c r="E800" s="64" t="s">
        <v>399</v>
      </c>
      <c r="F800" s="37" t="s">
        <v>728</v>
      </c>
      <c r="G800" s="37" t="s">
        <v>790</v>
      </c>
      <c r="H800" s="37" t="s">
        <v>792</v>
      </c>
      <c r="I800" s="107">
        <v>1</v>
      </c>
      <c r="J800" s="37">
        <v>750</v>
      </c>
      <c r="K800" s="107" t="s">
        <v>1313</v>
      </c>
      <c r="L800" s="37">
        <f>COUNTIF(Drank!A:A,Table1[[#This Row],[ID]])</f>
        <v>3</v>
      </c>
      <c r="M800" s="37" t="s">
        <v>202</v>
      </c>
      <c r="N800" s="37" t="s">
        <v>207</v>
      </c>
      <c r="O800" s="37">
        <v>1</v>
      </c>
      <c r="P800" s="37">
        <v>2019</v>
      </c>
      <c r="Q800" s="37">
        <v>2027</v>
      </c>
      <c r="R800" s="10">
        <f>IF(IFERROR(VLOOKUP(A800,Drank!A:S,15,FALSE),"")=0,"",IFERROR(VLOOKUP(A800,Drank!A:S,15,FALSE),""))</f>
        <v>2024</v>
      </c>
      <c r="S800" s="10">
        <f>IF(IFERROR(VLOOKUP(A800,Drank!A:S,16,FALSE),"")=0,"",IFERROR(VLOOKUP(A800,Drank!A:S,16,FALSE),""))</f>
        <v>2030</v>
      </c>
      <c r="T800" s="10"/>
      <c r="U800" s="37">
        <v>92</v>
      </c>
      <c r="V800" s="18">
        <f>IF(IFERROR(VLOOKUP(A800,Drank!A:T,19,FALSE),"")=0,"",IFERROR(VLOOKUP(A800,Drank!A:T,19,FALSE),""))</f>
        <v>91.333333333333329</v>
      </c>
      <c r="W800" s="1">
        <f>IF(IFERROR(VLOOKUP(A800,Drank!A:T,20,FALSE),"")=0,"",IFERROR(VLOOKUP(A800,Drank!A:T,20,FALSE),""))</f>
        <v>44058</v>
      </c>
      <c r="X800" s="10">
        <f>SUMIF(A:A,A800,I:I)</f>
        <v>6</v>
      </c>
      <c r="Y800" s="37">
        <f>IF(Table1[[#This Row],[Drank]]&gt;0,VLOOKUP(Table1[[#This Row],[ID]],Drank!A:P,16,FALSE),IF(Table1[[#This Row],[WALDD]]&gt;0,VLOOKUP(Table1[[#This Row],[ID]],Wine1!A:Q,17,FALSE),Table1[[#This Row],[EP]]))</f>
        <v>2030</v>
      </c>
      <c r="Z800" s="18">
        <f>IF(Table1[[#This Row],[My Rating]]="",IF(Table1[[#This Row],[WA Rating Clean]]="","",Table1[[#This Row],[WA Rating Clean]]),Table1[[#This Row],[My Rating]])</f>
        <v>91.333333333333329</v>
      </c>
      <c r="AA800" s="8">
        <v>2027</v>
      </c>
      <c r="AB800" s="4">
        <v>19.59</v>
      </c>
      <c r="AC800" s="2">
        <f t="shared" si="47"/>
        <v>19.59</v>
      </c>
      <c r="AD800" s="8">
        <v>2</v>
      </c>
      <c r="AE800" s="37">
        <f>IF(Table1[[#This Row],[P/750]]&lt;20,1,IF(Table1[[#This Row],[P/750]]&lt;50,2,3))</f>
        <v>1</v>
      </c>
      <c r="AF800" s="37">
        <f>IF(Table1[[#This Row],[P/750]]&lt;Expenses!$C$30,1,IF(Table1[[#This Row],[P/750]]&lt;Expenses!$C$31,2,IF(Table1[[#This Row],[P/750]]&lt;Expenses!$C$32,3,4)))</f>
        <v>2</v>
      </c>
      <c r="AH800" s="25" t="s">
        <v>1128</v>
      </c>
      <c r="AI800" s="11">
        <f>Table1[[#This Row],[Price]]/Table1[[#This Row],[Size (ml)]]*750</f>
        <v>19.59</v>
      </c>
      <c r="AJ800" s="37">
        <v>92</v>
      </c>
      <c r="AK800" s="37">
        <f>COUNTIF(UniqueID!A:A,Table1[[#This Row],[ID]])</f>
        <v>1</v>
      </c>
      <c r="AL800" s="37" t="str">
        <f>VLOOKUP(Table1[[#This Row],[Cellar Location]],Location!A:F,6,FALSE)</f>
        <v>S</v>
      </c>
      <c r="AN800" s="1">
        <v>43879</v>
      </c>
      <c r="AO800" s="37" t="str">
        <f>TEXT(Table1[[#This Row],[Purchased]],"mmmm")</f>
        <v>February</v>
      </c>
      <c r="AP800" s="10" t="str">
        <f>TEXT(Table1[[#This Row],[Purchased]],"yyyy")</f>
        <v>2020</v>
      </c>
      <c r="AQ800" s="10"/>
    </row>
    <row r="801" spans="1:43" s="37" customFormat="1" x14ac:dyDescent="0.25">
      <c r="A801" s="8" t="str">
        <f t="shared" si="46"/>
        <v>2018Castello RomitorioRomiToro</v>
      </c>
      <c r="B801" s="37">
        <v>2018</v>
      </c>
      <c r="C801" s="37" t="s">
        <v>689</v>
      </c>
      <c r="D801" s="37" t="s">
        <v>1511</v>
      </c>
      <c r="E801" s="69" t="s">
        <v>1271</v>
      </c>
      <c r="F801" s="37" t="s">
        <v>728</v>
      </c>
      <c r="G801" s="37" t="s">
        <v>790</v>
      </c>
      <c r="H801" s="37" t="s">
        <v>796</v>
      </c>
      <c r="I801" s="107">
        <v>1</v>
      </c>
      <c r="J801" s="37">
        <v>750</v>
      </c>
      <c r="K801" s="107" t="s">
        <v>1408</v>
      </c>
      <c r="L801" s="10">
        <f>COUNTIF(Drank!A:A,Table1[[#This Row],[ID]])</f>
        <v>1</v>
      </c>
      <c r="M801" s="37" t="s">
        <v>202</v>
      </c>
      <c r="N801" s="37" t="s">
        <v>207</v>
      </c>
      <c r="O801" s="37">
        <v>1</v>
      </c>
      <c r="P801" s="10">
        <v>2021</v>
      </c>
      <c r="Q801" s="37">
        <v>2030</v>
      </c>
      <c r="R801" s="10">
        <f>IF(IFERROR(VLOOKUP(A801,Drank!A:S,15,FALSE),"")=0,"",IFERROR(VLOOKUP(A801,Drank!A:S,15,FALSE),""))</f>
        <v>2026</v>
      </c>
      <c r="S801" s="10">
        <f>IF(IFERROR(VLOOKUP(A801,Drank!A:S,16,FALSE),"")=0,"",IFERROR(VLOOKUP(A801,Drank!A:S,16,FALSE),""))</f>
        <v>2030</v>
      </c>
      <c r="T801" s="10"/>
      <c r="U801" s="37" t="s">
        <v>74</v>
      </c>
      <c r="V801" s="18">
        <f>IF(IFERROR(VLOOKUP(A801,Drank!A:T,19,FALSE),"")=0,"",IFERROR(VLOOKUP(A801,Drank!A:T,19,FALSE),""))</f>
        <v>91</v>
      </c>
      <c r="W801" s="1">
        <f>IF(IFERROR(VLOOKUP(A801,Drank!A:T,20,FALSE),"")=0,"",IFERROR(VLOOKUP(A801,Drank!A:T,20,FALSE),""))</f>
        <v>44053</v>
      </c>
      <c r="X801" s="10">
        <f>SUMIF(A:A,A801,I:I)</f>
        <v>5</v>
      </c>
      <c r="Y801" s="10">
        <f>IF(Table1[[#This Row],[Drank]]&gt;0,VLOOKUP(Table1[[#This Row],[ID]],Drank!A:P,16,FALSE),IF(Table1[[#This Row],[WALDD]]&gt;0,VLOOKUP(Table1[[#This Row],[ID]],Wine1!A:Q,17,FALSE),Table1[[#This Row],[EP]]))</f>
        <v>2030</v>
      </c>
      <c r="Z801" s="18">
        <f>IF(Table1[[#This Row],[My Rating]]="",IF(Table1[[#This Row],[WA Rating Clean]]="","",Table1[[#This Row],[WA Rating Clean]]),Table1[[#This Row],[My Rating]])</f>
        <v>91</v>
      </c>
      <c r="AA801" s="37">
        <v>2027</v>
      </c>
      <c r="AB801" s="4">
        <v>19.54</v>
      </c>
      <c r="AC801" s="2">
        <f t="shared" si="47"/>
        <v>19.54</v>
      </c>
      <c r="AD801" s="8">
        <v>2</v>
      </c>
      <c r="AE801" s="10">
        <f>IF(Table1[[#This Row],[P/750]]&lt;20,1,IF(Table1[[#This Row],[P/750]]&lt;50,2,3))</f>
        <v>1</v>
      </c>
      <c r="AF801" s="10">
        <f>IF(Table1[[#This Row],[P/750]]&lt;Expenses!$C$30,1,IF(Table1[[#This Row],[P/750]]&lt;Expenses!$C$31,2,IF(Table1[[#This Row],[P/750]]&lt;Expenses!$C$32,3,4)))</f>
        <v>2</v>
      </c>
      <c r="AH801" s="37" t="s">
        <v>384</v>
      </c>
      <c r="AI801" s="11">
        <f>Table1[[#This Row],[Price]]/Table1[[#This Row],[Size (ml)]]*750</f>
        <v>19.54</v>
      </c>
      <c r="AJ801" s="37">
        <v>93</v>
      </c>
      <c r="AK801" s="10">
        <f>COUNTIF(UniqueID!A:A,Table1[[#This Row],[ID]])</f>
        <v>0</v>
      </c>
      <c r="AL801" s="10" t="str">
        <f>VLOOKUP(Table1[[#This Row],[Cellar Location]],Location!A:F,6,FALSE)</f>
        <v>S</v>
      </c>
      <c r="AN801" s="1">
        <v>44026</v>
      </c>
      <c r="AO801" s="10" t="str">
        <f>TEXT(Table1[[#This Row],[Purchased]],"mmmm")</f>
        <v>July</v>
      </c>
      <c r="AP801" s="10" t="str">
        <f>TEXT(Table1[[#This Row],[Purchased]],"yyyy")</f>
        <v>2020</v>
      </c>
      <c r="AQ801" s="10"/>
    </row>
    <row r="802" spans="1:43" s="37" customFormat="1" x14ac:dyDescent="0.25">
      <c r="A802" s="37" t="str">
        <f t="shared" si="46"/>
        <v>2017Orin Swift CellarsPapillon Proprietary Red</v>
      </c>
      <c r="B802" s="37">
        <v>2017</v>
      </c>
      <c r="C802" s="9" t="s">
        <v>120</v>
      </c>
      <c r="D802" s="9" t="s">
        <v>121</v>
      </c>
      <c r="E802" s="64" t="s">
        <v>1443</v>
      </c>
      <c r="F802" s="37" t="s">
        <v>727</v>
      </c>
      <c r="G802" s="37" t="s">
        <v>806</v>
      </c>
      <c r="H802" s="37" t="s">
        <v>832</v>
      </c>
      <c r="I802" s="37">
        <v>1</v>
      </c>
      <c r="J802" s="107">
        <v>750</v>
      </c>
      <c r="K802" s="8" t="s">
        <v>1542</v>
      </c>
      <c r="L802" s="10">
        <f>COUNTIF(Drank!A:A,Table1[[#This Row],[ID]])</f>
        <v>0</v>
      </c>
      <c r="M802" s="37" t="s">
        <v>202</v>
      </c>
      <c r="N802" s="37" t="s">
        <v>207</v>
      </c>
      <c r="O802" s="37">
        <v>1</v>
      </c>
      <c r="P802" s="37">
        <v>2020</v>
      </c>
      <c r="Q802" s="37">
        <v>2030</v>
      </c>
      <c r="R802" s="10" t="str">
        <f>IF(IFERROR(VLOOKUP(A802,Drank!A:S,15,FALSE),"")=0,"",IFERROR(VLOOKUP(A802,Drank!A:S,15,FALSE),""))</f>
        <v/>
      </c>
      <c r="S802" s="10" t="str">
        <f>IF(IFERROR(VLOOKUP(A802,Drank!A:S,16,FALSE),"")=0,"",IFERROR(VLOOKUP(A802,Drank!A:S,16,FALSE),""))</f>
        <v/>
      </c>
      <c r="T802" s="10"/>
      <c r="U802" s="37">
        <v>89</v>
      </c>
      <c r="V802" s="18" t="str">
        <f>IF(IFERROR(VLOOKUP(A802,Drank!A:T,19,FALSE),"")=0,"",IFERROR(VLOOKUP(A802,Drank!A:T,19,FALSE),""))</f>
        <v/>
      </c>
      <c r="W802" s="1" t="str">
        <f>IF(IFERROR(VLOOKUP(A802,Drank!A:T,20,FALSE),"")=0,"",IFERROR(VLOOKUP(A802,Drank!A:T,20,FALSE),""))</f>
        <v/>
      </c>
      <c r="X802" s="10">
        <f>SUMIF(A:A,A802,I:I)</f>
        <v>3</v>
      </c>
      <c r="Y802" s="10">
        <f>IF(Table1[[#This Row],[Drank]]&gt;0,VLOOKUP(Table1[[#This Row],[ID]],Drank!A:P,16,FALSE),IF(Table1[[#This Row],[WALDD]]&gt;0,VLOOKUP(Table1[[#This Row],[ID]],Wine1!A:Q,17,FALSE),Table1[[#This Row],[EP]]))</f>
        <v>2030</v>
      </c>
      <c r="Z802" s="18">
        <f>IF(Table1[[#This Row],[My Rating]]="",IF(Table1[[#This Row],[WA Rating Clean]]="","",Table1[[#This Row],[WA Rating Clean]]),Table1[[#This Row],[My Rating]])</f>
        <v>89</v>
      </c>
      <c r="AA802" s="37">
        <v>2027</v>
      </c>
      <c r="AB802" s="4">
        <v>73.31</v>
      </c>
      <c r="AC802" s="2">
        <f t="shared" si="47"/>
        <v>73.31</v>
      </c>
      <c r="AD802" s="8">
        <v>0</v>
      </c>
      <c r="AE802" s="10">
        <f>IF(Table1[[#This Row],[P/750]]&lt;20,1,IF(Table1[[#This Row],[P/750]]&lt;50,2,3))</f>
        <v>3</v>
      </c>
      <c r="AF802" s="10">
        <f>IF(Table1[[#This Row],[P/750]]&lt;Expenses!$C$30,1,IF(Table1[[#This Row],[P/750]]&lt;Expenses!$C$31,2,IF(Table1[[#This Row],[P/750]]&lt;Expenses!$C$32,3,4)))</f>
        <v>4</v>
      </c>
      <c r="AH802" s="37" t="s">
        <v>1128</v>
      </c>
      <c r="AI802" s="11">
        <f>Table1[[#This Row],[Price]]/Table1[[#This Row],[Size (ml)]]*750</f>
        <v>73.31</v>
      </c>
      <c r="AJ802" s="37">
        <v>89</v>
      </c>
      <c r="AK802" s="10">
        <f>COUNTIF(UniqueID!A:A,Table1[[#This Row],[ID]])</f>
        <v>0</v>
      </c>
      <c r="AL802" s="10" t="str">
        <f>VLOOKUP(Table1[[#This Row],[Cellar Location]],Location!A:F,6,FALSE)</f>
        <v>S</v>
      </c>
      <c r="AN802" s="1">
        <v>44037</v>
      </c>
      <c r="AO802" s="10" t="str">
        <f>TEXT(Table1[[#This Row],[Purchased]],"mmmm")</f>
        <v>July</v>
      </c>
      <c r="AP802" s="10" t="str">
        <f>TEXT(Table1[[#This Row],[Purchased]],"yyyy")</f>
        <v>2020</v>
      </c>
      <c r="AQ802" s="10"/>
    </row>
    <row r="803" spans="1:43" s="37" customFormat="1" x14ac:dyDescent="0.25">
      <c r="A803" s="37" t="str">
        <f t="shared" si="46"/>
        <v>2011MugaPrado Enea Gran Reserva</v>
      </c>
      <c r="B803" s="37">
        <v>2011</v>
      </c>
      <c r="C803" s="37" t="s">
        <v>105</v>
      </c>
      <c r="D803" s="21" t="s">
        <v>1652</v>
      </c>
      <c r="E803" s="67" t="s">
        <v>1653</v>
      </c>
      <c r="F803" s="37" t="s">
        <v>729</v>
      </c>
      <c r="G803" s="37" t="s">
        <v>823</v>
      </c>
      <c r="I803" s="37">
        <v>1</v>
      </c>
      <c r="J803" s="107">
        <v>750</v>
      </c>
      <c r="K803" s="8" t="s">
        <v>1812</v>
      </c>
      <c r="L803" s="10">
        <f>COUNTIF(Drank!A:A,Table1[[#This Row],[ID]])</f>
        <v>0</v>
      </c>
      <c r="M803" s="37" t="s">
        <v>202</v>
      </c>
      <c r="N803" s="37" t="s">
        <v>207</v>
      </c>
      <c r="O803" s="37">
        <v>1</v>
      </c>
      <c r="P803" s="37">
        <v>2019</v>
      </c>
      <c r="Q803" s="37">
        <v>2032</v>
      </c>
      <c r="R803" s="10" t="str">
        <f>IF(IFERROR(VLOOKUP(A803,Drank!A:S,15,FALSE),"")=0,"",IFERROR(VLOOKUP(A803,Drank!A:S,15,FALSE),""))</f>
        <v/>
      </c>
      <c r="S803" s="10" t="str">
        <f>IF(IFERROR(VLOOKUP(A803,Drank!A:S,16,FALSE),"")=0,"",IFERROR(VLOOKUP(A803,Drank!A:S,16,FALSE),""))</f>
        <v/>
      </c>
      <c r="T803" s="10">
        <v>96</v>
      </c>
      <c r="V803" s="18" t="str">
        <f>IF(IFERROR(VLOOKUP(A803,Drank!A:T,19,FALSE),"")=0,"",IFERROR(VLOOKUP(A803,Drank!A:T,19,FALSE),""))</f>
        <v/>
      </c>
      <c r="W803" s="1" t="str">
        <f>IF(IFERROR(VLOOKUP(A803,Drank!A:T,20,FALSE),"")=0,"",IFERROR(VLOOKUP(A803,Drank!A:T,20,FALSE),""))</f>
        <v/>
      </c>
      <c r="X803" s="10">
        <f>SUMIF(A:A,A803,I:I)</f>
        <v>2</v>
      </c>
      <c r="Y803" s="10">
        <f>IF(Table1[[#This Row],[Drank]]&gt;0,VLOOKUP(Table1[[#This Row],[ID]],Drank!A:P,16,FALSE),IF(Table1[[#This Row],[WALDD]]&gt;0,VLOOKUP(Table1[[#This Row],[ID]],Wine1!A:Q,17,FALSE),Table1[[#This Row],[EP]]))</f>
        <v>2032</v>
      </c>
      <c r="Z803" s="18">
        <f>IF(Table1[[#This Row],[My Rating]]="",IF(Table1[[#This Row],[WA Rating Clean]]="","",Table1[[#This Row],[WA Rating Clean]]),Table1[[#This Row],[My Rating]])</f>
        <v>96</v>
      </c>
      <c r="AA803" s="8">
        <v>2027</v>
      </c>
      <c r="AB803" s="4">
        <v>69.98</v>
      </c>
      <c r="AC803" s="2">
        <f t="shared" si="47"/>
        <v>69.98</v>
      </c>
      <c r="AD803" s="8">
        <v>0</v>
      </c>
      <c r="AE803" s="10">
        <f>IF(Table1[[#This Row],[P/750]]&lt;20,1,IF(Table1[[#This Row],[P/750]]&lt;50,2,3))</f>
        <v>3</v>
      </c>
      <c r="AF803" s="10">
        <f>IF(Table1[[#This Row],[P/750]]&lt;Expenses!$C$30,1,IF(Table1[[#This Row],[P/750]]&lt;Expenses!$C$31,2,IF(Table1[[#This Row],[P/750]]&lt;Expenses!$C$32,3,4)))</f>
        <v>4</v>
      </c>
      <c r="AH803" s="37" t="s">
        <v>1645</v>
      </c>
      <c r="AI803" s="11">
        <f>Table1[[#This Row],[Price]]/Table1[[#This Row],[Size (ml)]]*750</f>
        <v>69.98</v>
      </c>
      <c r="AJ803" s="37">
        <v>96</v>
      </c>
      <c r="AK803" s="10">
        <f>COUNTIF(UniqueID!A:A,Table1[[#This Row],[ID]])</f>
        <v>0</v>
      </c>
      <c r="AL803" s="10" t="str">
        <f>VLOOKUP(Table1[[#This Row],[Cellar Location]],Location!A:F,6,FALSE)</f>
        <v>S</v>
      </c>
      <c r="AN803" s="1">
        <v>44060</v>
      </c>
      <c r="AO803" s="10" t="str">
        <f>TEXT(Table1[[#This Row],[Purchased]],"mmmm")</f>
        <v>August</v>
      </c>
      <c r="AP803" s="10" t="str">
        <f>TEXT(Table1[[#This Row],[Purchased]],"yyyy")</f>
        <v>2020</v>
      </c>
      <c r="AQ803" s="10"/>
    </row>
    <row r="804" spans="1:43" s="37" customFormat="1" x14ac:dyDescent="0.25">
      <c r="A804" s="37" t="str">
        <f t="shared" si="46"/>
        <v>2015CortonesiBrunello di Montalcino La Mannella</v>
      </c>
      <c r="B804" s="37">
        <v>2015</v>
      </c>
      <c r="C804" s="37" t="s">
        <v>72</v>
      </c>
      <c r="D804" s="25" t="s">
        <v>73</v>
      </c>
      <c r="E804" s="67" t="s">
        <v>1250</v>
      </c>
      <c r="F804" s="37" t="s">
        <v>728</v>
      </c>
      <c r="G804" s="37" t="s">
        <v>790</v>
      </c>
      <c r="H804" s="37" t="s">
        <v>19</v>
      </c>
      <c r="I804" s="8">
        <v>1</v>
      </c>
      <c r="J804" s="38">
        <v>750</v>
      </c>
      <c r="K804" s="38" t="s">
        <v>384</v>
      </c>
      <c r="L804" s="10">
        <f>COUNTIF(Drank!A:A,Table1[[#This Row],[ID]])</f>
        <v>1</v>
      </c>
      <c r="M804" s="37" t="s">
        <v>202</v>
      </c>
      <c r="N804" s="37" t="s">
        <v>207</v>
      </c>
      <c r="O804" s="37">
        <v>1</v>
      </c>
      <c r="P804" s="37">
        <v>2021</v>
      </c>
      <c r="Q804" s="37">
        <v>2035</v>
      </c>
      <c r="R804" s="10">
        <f>IF(IFERROR(VLOOKUP(A804,Drank!A:S,15,FALSE),"")=0,"",IFERROR(VLOOKUP(A804,Drank!A:S,15,FALSE),""))</f>
        <v>2026</v>
      </c>
      <c r="S804" s="10">
        <f>IF(IFERROR(VLOOKUP(A804,Drank!A:S,16,FALSE),"")=0,"",IFERROR(VLOOKUP(A804,Drank!A:S,16,FALSE),""))</f>
        <v>2033</v>
      </c>
      <c r="T804" s="10"/>
      <c r="U804" s="37">
        <v>94</v>
      </c>
      <c r="V804" s="18">
        <f>IF(IFERROR(VLOOKUP(A804,Drank!A:T,19,FALSE),"")=0,"",IFERROR(VLOOKUP(A804,Drank!A:T,19,FALSE),""))</f>
        <v>94</v>
      </c>
      <c r="W804" s="1">
        <f>IF(IFERROR(VLOOKUP(A804,Drank!A:T,20,FALSE),"")=0,"",IFERROR(VLOOKUP(A804,Drank!A:T,20,FALSE),""))</f>
        <v>43995</v>
      </c>
      <c r="X804" s="10">
        <f>SUMIF(A:A,A804,I:I)</f>
        <v>23</v>
      </c>
      <c r="Y804" s="10">
        <f>IF(Table1[[#This Row],[Drank]]&gt;0,VLOOKUP(Table1[[#This Row],[ID]],Drank!A:P,16,FALSE),IF(Table1[[#This Row],[WALDD]]&gt;0,VLOOKUP(Table1[[#This Row],[ID]],Wine1!A:Q,17,FALSE),Table1[[#This Row],[EP]]))</f>
        <v>2033</v>
      </c>
      <c r="Z804" s="18">
        <f>IF(Table1[[#This Row],[My Rating]]="",IF(Table1[[#This Row],[WA Rating Clean]]="","",Table1[[#This Row],[WA Rating Clean]]),Table1[[#This Row],[My Rating]])</f>
        <v>94</v>
      </c>
      <c r="AA804" s="37">
        <v>2027</v>
      </c>
      <c r="AB804" s="4">
        <v>36.92</v>
      </c>
      <c r="AC804" s="2">
        <f t="shared" si="47"/>
        <v>36.92</v>
      </c>
      <c r="AD804" s="8">
        <v>1</v>
      </c>
      <c r="AE804" s="10">
        <f>IF(Table1[[#This Row],[P/750]]&lt;20,1,IF(Table1[[#This Row],[P/750]]&lt;50,2,3))</f>
        <v>2</v>
      </c>
      <c r="AF804" s="10">
        <f>IF(Table1[[#This Row],[P/750]]&lt;Expenses!$C$30,1,IF(Table1[[#This Row],[P/750]]&lt;Expenses!$C$31,2,IF(Table1[[#This Row],[P/750]]&lt;Expenses!$C$32,3,4)))</f>
        <v>3</v>
      </c>
      <c r="AH804" s="37" t="s">
        <v>384</v>
      </c>
      <c r="AI804" s="11">
        <f>Table1[[#This Row],[Price]]/Table1[[#This Row],[Size (ml)]]*750</f>
        <v>36.92</v>
      </c>
      <c r="AJ804" s="37">
        <v>94</v>
      </c>
      <c r="AK804" s="10">
        <f>COUNTIF(UniqueID!A:A,Table1[[#This Row],[ID]])</f>
        <v>0</v>
      </c>
      <c r="AL804" s="10" t="str">
        <f>VLOOKUP(Table1[[#This Row],[Cellar Location]],Location!A:F,6,FALSE)</f>
        <v>W</v>
      </c>
      <c r="AN804" s="1">
        <v>44045</v>
      </c>
      <c r="AO804" s="10" t="str">
        <f>TEXT(Table1[[#This Row],[Purchased]],"mmmm")</f>
        <v>August</v>
      </c>
      <c r="AP804" s="10" t="str">
        <f>TEXT(Table1[[#This Row],[Purchased]],"yyyy")</f>
        <v>2020</v>
      </c>
      <c r="AQ804" s="1">
        <v>44138</v>
      </c>
    </row>
    <row r="805" spans="1:43" s="37" customFormat="1" x14ac:dyDescent="0.25">
      <c r="A805" s="37" t="str">
        <f t="shared" si="46"/>
        <v>2014Casanova di NeriBrunello di Montalcino</v>
      </c>
      <c r="B805" s="37">
        <v>2014</v>
      </c>
      <c r="C805" s="78" t="s">
        <v>18</v>
      </c>
      <c r="D805" s="8" t="s">
        <v>19</v>
      </c>
      <c r="E805" s="64" t="s">
        <v>280</v>
      </c>
      <c r="F805" s="37" t="s">
        <v>728</v>
      </c>
      <c r="G805" s="37" t="s">
        <v>790</v>
      </c>
      <c r="H805" s="37" t="s">
        <v>19</v>
      </c>
      <c r="I805" s="37">
        <v>1</v>
      </c>
      <c r="J805" s="37">
        <v>750</v>
      </c>
      <c r="K805" s="8" t="s">
        <v>11</v>
      </c>
      <c r="L805" s="10">
        <f>COUNTIF(Drank!A:A,Table1[[#This Row],[ID]])</f>
        <v>0</v>
      </c>
      <c r="M805" s="37" t="s">
        <v>202</v>
      </c>
      <c r="N805" s="37" t="s">
        <v>207</v>
      </c>
      <c r="O805" s="37">
        <v>1</v>
      </c>
      <c r="P805" s="10">
        <v>2020</v>
      </c>
      <c r="Q805" s="37">
        <v>2033</v>
      </c>
      <c r="R805" s="10" t="str">
        <f>IF(IFERROR(VLOOKUP(A805,Drank!A:S,15,FALSE),"")=0,"",IFERROR(VLOOKUP(A805,Drank!A:S,15,FALSE),""))</f>
        <v/>
      </c>
      <c r="S805" s="10" t="str">
        <f>IF(IFERROR(VLOOKUP(A805,Drank!A:S,16,FALSE),"")=0,"",IFERROR(VLOOKUP(A805,Drank!A:S,16,FALSE),""))</f>
        <v/>
      </c>
      <c r="T805" s="10"/>
      <c r="U805" s="37">
        <v>92</v>
      </c>
      <c r="V805" s="18" t="str">
        <f>IF(IFERROR(VLOOKUP(A805,Drank!A:T,19,FALSE),"")=0,"",IFERROR(VLOOKUP(A805,Drank!A:T,19,FALSE),""))</f>
        <v/>
      </c>
      <c r="W805" s="1" t="str">
        <f>IF(IFERROR(VLOOKUP(A805,Drank!A:T,20,FALSE),"")=0,"",IFERROR(VLOOKUP(A805,Drank!A:T,20,FALSE),""))</f>
        <v/>
      </c>
      <c r="X805" s="10">
        <f>SUMIF(A:A,A805,I:I)</f>
        <v>4</v>
      </c>
      <c r="Y805" s="10">
        <f>IF(Table1[[#This Row],[Drank]]&gt;0,VLOOKUP(Table1[[#This Row],[ID]],Drank!A:P,16,FALSE),IF(Table1[[#This Row],[WALDD]]&gt;0,VLOOKUP(Table1[[#This Row],[ID]],Wine1!A:Q,17,FALSE),Table1[[#This Row],[EP]]))</f>
        <v>2033</v>
      </c>
      <c r="Z805" s="18">
        <f>IF(Table1[[#This Row],[My Rating]]="",IF(Table1[[#This Row],[WA Rating Clean]]="","",Table1[[#This Row],[WA Rating Clean]]),Table1[[#This Row],[My Rating]])</f>
        <v>92</v>
      </c>
      <c r="AA805" s="37">
        <v>2027</v>
      </c>
      <c r="AB805" s="4">
        <v>58.49</v>
      </c>
      <c r="AC805" s="2">
        <f t="shared" si="47"/>
        <v>58.49</v>
      </c>
      <c r="AD805" s="8">
        <v>0</v>
      </c>
      <c r="AE805" s="10">
        <f>IF(Table1[[#This Row],[P/750]]&lt;20,1,IF(Table1[[#This Row],[P/750]]&lt;50,2,3))</f>
        <v>3</v>
      </c>
      <c r="AF805" s="10">
        <f>IF(Table1[[#This Row],[P/750]]&lt;Expenses!$C$30,1,IF(Table1[[#This Row],[P/750]]&lt;Expenses!$C$31,2,IF(Table1[[#This Row],[P/750]]&lt;Expenses!$C$32,3,4)))</f>
        <v>3</v>
      </c>
      <c r="AH805" s="37" t="s">
        <v>1128</v>
      </c>
      <c r="AI805" s="11">
        <f>Table1[[#This Row],[Price]]/Table1[[#This Row],[Size (ml)]]*750</f>
        <v>58.489999999999995</v>
      </c>
      <c r="AJ805" s="37">
        <v>92</v>
      </c>
      <c r="AK805" s="37">
        <f>COUNTIF(UniqueID!A:A,Table1[[#This Row],[ID]])</f>
        <v>1</v>
      </c>
      <c r="AL805" s="37" t="str">
        <f>VLOOKUP(Table1[[#This Row],[Cellar Location]],Location!A:F,6,FALSE)</f>
        <v>K</v>
      </c>
      <c r="AO805" s="37" t="str">
        <f>TEXT(Table1[[#This Row],[Purchased]],"mmmm")</f>
        <v>January</v>
      </c>
      <c r="AP805" s="10" t="str">
        <f>TEXT(Table1[[#This Row],[Purchased]],"yyyy")</f>
        <v>1900</v>
      </c>
      <c r="AQ805" s="10"/>
    </row>
    <row r="806" spans="1:43" s="37" customFormat="1" x14ac:dyDescent="0.25">
      <c r="A806" s="37" t="str">
        <f t="shared" si="46"/>
        <v>2010Raymond-LafonRaymond-Lafon</v>
      </c>
      <c r="B806" s="37">
        <v>2010</v>
      </c>
      <c r="C806" s="9" t="s">
        <v>197</v>
      </c>
      <c r="D806" s="9" t="s">
        <v>197</v>
      </c>
      <c r="E806" s="69" t="s">
        <v>274</v>
      </c>
      <c r="F806" s="37" t="s">
        <v>742</v>
      </c>
      <c r="G806" s="37" t="s">
        <v>748</v>
      </c>
      <c r="H806" s="37" t="s">
        <v>260</v>
      </c>
      <c r="I806" s="107">
        <v>1</v>
      </c>
      <c r="J806" s="37">
        <v>375</v>
      </c>
      <c r="K806" s="107" t="s">
        <v>628</v>
      </c>
      <c r="L806" s="37">
        <f>COUNTIF(Drank!A:A,Table1[[#This Row],[ID]])</f>
        <v>5</v>
      </c>
      <c r="M806" s="37" t="s">
        <v>201</v>
      </c>
      <c r="N806" s="37" t="s">
        <v>206</v>
      </c>
      <c r="O806" s="37">
        <v>1</v>
      </c>
      <c r="R806" s="37">
        <f>IF(IFERROR(VLOOKUP(A806,Drank!A:S,15,FALSE),"")=0,"",IFERROR(VLOOKUP(A806,Drank!A:S,15,FALSE),""))</f>
        <v>2024</v>
      </c>
      <c r="S806" s="37">
        <f>IF(IFERROR(VLOOKUP(A806,Drank!A:S,16,FALSE),"")=0,"",IFERROR(VLOOKUP(A806,Drank!A:S,16,FALSE),""))</f>
        <v>2035</v>
      </c>
      <c r="U806" s="37">
        <v>93</v>
      </c>
      <c r="V806" s="18">
        <f>IF(IFERROR(VLOOKUP(A806,Drank!A:T,19,FALSE),"")=0,"",IFERROR(VLOOKUP(A806,Drank!A:T,19,FALSE),""))</f>
        <v>92.8</v>
      </c>
      <c r="W806" s="1">
        <f>IF(IFERROR(VLOOKUP(A806,Drank!A:T,20,FALSE),"")=0,"",IFERROR(VLOOKUP(A806,Drank!A:T,20,FALSE),""))</f>
        <v>43708</v>
      </c>
      <c r="X806" s="37">
        <f>SUMIF(A:A,A806,I:I)</f>
        <v>4</v>
      </c>
      <c r="Y806" s="37">
        <f>IF(Table1[[#This Row],[Drank]]&gt;0,VLOOKUP(Table1[[#This Row],[ID]],Drank!A:P,16,FALSE),IF(Table1[[#This Row],[WALDD]]&gt;0,VLOOKUP(Table1[[#This Row],[ID]],Wine1!A:Q,17,FALSE),Table1[[#This Row],[EP]]))</f>
        <v>2035</v>
      </c>
      <c r="Z806" s="18">
        <f>IF(Table1[[#This Row],[My Rating]]="",IF(Table1[[#This Row],[WA Rating Clean]]="","",Table1[[#This Row],[WA Rating Clean]]),Table1[[#This Row],[My Rating]])</f>
        <v>92.8</v>
      </c>
      <c r="AA806" s="37">
        <v>2027</v>
      </c>
      <c r="AB806" s="4">
        <v>22.99</v>
      </c>
      <c r="AC806" s="2">
        <f t="shared" si="47"/>
        <v>22.99</v>
      </c>
      <c r="AD806" s="8">
        <v>2</v>
      </c>
      <c r="AE806" s="37">
        <f>IF(Table1[[#This Row],[P/750]]&lt;20,1,IF(Table1[[#This Row],[P/750]]&lt;50,2,3))</f>
        <v>2</v>
      </c>
      <c r="AF806" s="37">
        <f>IF(Table1[[#This Row],[P/750]]&lt;Expenses!$C$30,1,IF(Table1[[#This Row],[P/750]]&lt;Expenses!$C$31,2,IF(Table1[[#This Row],[P/750]]&lt;Expenses!$C$32,3,4)))</f>
        <v>3</v>
      </c>
      <c r="AH806" s="37" t="s">
        <v>384</v>
      </c>
      <c r="AI806" s="11">
        <f>Table1[[#This Row],[Price]]/Table1[[#This Row],[Size (ml)]]*750</f>
        <v>45.98</v>
      </c>
      <c r="AJ806" s="37">
        <v>93</v>
      </c>
      <c r="AK806" s="37">
        <f>COUNTIF(UniqueID!A:A,Table1[[#This Row],[ID]])</f>
        <v>1</v>
      </c>
      <c r="AL806" s="37" t="str">
        <f>VLOOKUP(Table1[[#This Row],[Cellar Location]],Location!A:F,6,FALSE)</f>
        <v>S</v>
      </c>
      <c r="AO806" s="37" t="str">
        <f>TEXT(Table1[[#This Row],[Purchased]],"mmmm")</f>
        <v>January</v>
      </c>
      <c r="AP806" s="10" t="str">
        <f>TEXT(Table1[[#This Row],[Purchased]],"yyyy")</f>
        <v>1900</v>
      </c>
      <c r="AQ806" s="10"/>
    </row>
    <row r="807" spans="1:43" s="37" customFormat="1" x14ac:dyDescent="0.25">
      <c r="A807" s="37" t="str">
        <f t="shared" si="46"/>
        <v>2016Domaine du PegauChateauneuf du Pape Cuvee Reservee</v>
      </c>
      <c r="B807" s="37">
        <v>2016</v>
      </c>
      <c r="C807" s="37" t="s">
        <v>1318</v>
      </c>
      <c r="D807" s="37" t="s">
        <v>1319</v>
      </c>
      <c r="E807" s="67" t="s">
        <v>1320</v>
      </c>
      <c r="F807" s="37" t="s">
        <v>742</v>
      </c>
      <c r="G807" s="37" t="s">
        <v>759</v>
      </c>
      <c r="H807" s="37" t="s">
        <v>762</v>
      </c>
      <c r="I807" s="107">
        <v>1</v>
      </c>
      <c r="J807" s="9">
        <v>750</v>
      </c>
      <c r="K807" s="107" t="s">
        <v>661</v>
      </c>
      <c r="L807" s="10">
        <f>COUNTIF(Drank!A:A,Table1[[#This Row],[ID]])</f>
        <v>0</v>
      </c>
      <c r="M807" s="37" t="s">
        <v>202</v>
      </c>
      <c r="N807" s="37" t="s">
        <v>207</v>
      </c>
      <c r="O807" s="37">
        <v>1</v>
      </c>
      <c r="P807" s="10">
        <v>2020</v>
      </c>
      <c r="Q807" s="37">
        <v>2035</v>
      </c>
      <c r="R807" s="10" t="str">
        <f>IF(IFERROR(VLOOKUP(A807,Drank!A:S,15,FALSE),"")=0,"",IFERROR(VLOOKUP(A807,Drank!A:S,15,FALSE),""))</f>
        <v/>
      </c>
      <c r="S807" s="10" t="str">
        <f>IF(IFERROR(VLOOKUP(A807,Drank!A:S,16,FALSE),"")=0,"",IFERROR(VLOOKUP(A807,Drank!A:S,16,FALSE),""))</f>
        <v/>
      </c>
      <c r="T807" s="10"/>
      <c r="U807" s="37" t="s">
        <v>441</v>
      </c>
      <c r="V807" s="18" t="str">
        <f>IF(IFERROR(VLOOKUP(A807,Drank!A:T,19,FALSE),"")=0,"",IFERROR(VLOOKUP(A807,Drank!A:T,19,FALSE),""))</f>
        <v/>
      </c>
      <c r="W807" s="1" t="str">
        <f>IF(IFERROR(VLOOKUP(A807,Drank!A:T,20,FALSE),"")=0,"",IFERROR(VLOOKUP(A807,Drank!A:T,20,FALSE),""))</f>
        <v/>
      </c>
      <c r="X807" s="10">
        <f>SUMIF(A:A,A807,I:I)</f>
        <v>2</v>
      </c>
      <c r="Y807" s="10">
        <f>IF(Table1[[#This Row],[Drank]]&gt;0,VLOOKUP(Table1[[#This Row],[ID]],Drank!A:P,16,FALSE),IF(Table1[[#This Row],[WALDD]]&gt;0,VLOOKUP(Table1[[#This Row],[ID]],Wine1!A:Q,17,FALSE),Table1[[#This Row],[EP]]))</f>
        <v>2035</v>
      </c>
      <c r="Z807" s="18">
        <f>IF(Table1[[#This Row],[My Rating]]="",IF(Table1[[#This Row],[WA Rating Clean]]="","",Table1[[#This Row],[WA Rating Clean]]),Table1[[#This Row],[My Rating]])</f>
        <v>95</v>
      </c>
      <c r="AA807" s="37">
        <v>2027</v>
      </c>
      <c r="AB807" s="4">
        <v>63.36</v>
      </c>
      <c r="AC807" s="2">
        <f t="shared" si="47"/>
        <v>63.36</v>
      </c>
      <c r="AD807" s="8">
        <v>2</v>
      </c>
      <c r="AE807" s="10">
        <f>IF(Table1[[#This Row],[P/750]]&lt;20,1,IF(Table1[[#This Row],[P/750]]&lt;50,2,3))</f>
        <v>3</v>
      </c>
      <c r="AF807" s="10">
        <f>IF(Table1[[#This Row],[P/750]]&lt;Expenses!$C$30,1,IF(Table1[[#This Row],[P/750]]&lt;Expenses!$C$31,2,IF(Table1[[#This Row],[P/750]]&lt;Expenses!$C$32,3,4)))</f>
        <v>3</v>
      </c>
      <c r="AH807" s="37" t="s">
        <v>385</v>
      </c>
      <c r="AI807" s="11">
        <f>Table1[[#This Row],[Price]]/Table1[[#This Row],[Size (ml)]]*750</f>
        <v>63.36</v>
      </c>
      <c r="AJ807" s="37">
        <v>95</v>
      </c>
      <c r="AK807" s="10">
        <f>COUNTIF(UniqueID!A:A,Table1[[#This Row],[ID]])</f>
        <v>0</v>
      </c>
      <c r="AL807" s="10" t="str">
        <f>VLOOKUP(Table1[[#This Row],[Cellar Location]],Location!A:F,6,FALSE)</f>
        <v>S</v>
      </c>
      <c r="AN807" s="1">
        <v>43921</v>
      </c>
      <c r="AO807" s="10" t="str">
        <f>TEXT(Table1[[#This Row],[Purchased]],"mmmm")</f>
        <v>March</v>
      </c>
      <c r="AP807" s="10" t="str">
        <f>TEXT(Table1[[#This Row],[Purchased]],"yyyy")</f>
        <v>2020</v>
      </c>
      <c r="AQ807" s="10"/>
    </row>
    <row r="808" spans="1:43" s="37" customFormat="1" x14ac:dyDescent="0.25">
      <c r="A808" s="37" t="str">
        <f t="shared" si="46"/>
        <v>2016Produttori del BarbarescoBarbaresco</v>
      </c>
      <c r="B808" s="37">
        <v>2016</v>
      </c>
      <c r="C808" s="37" t="s">
        <v>248</v>
      </c>
      <c r="D808" s="37" t="s">
        <v>249</v>
      </c>
      <c r="E808" s="67" t="s">
        <v>1206</v>
      </c>
      <c r="F808" s="37" t="s">
        <v>728</v>
      </c>
      <c r="G808" s="37" t="s">
        <v>778</v>
      </c>
      <c r="H808" s="37" t="s">
        <v>249</v>
      </c>
      <c r="I808" s="107">
        <v>1</v>
      </c>
      <c r="J808" s="37">
        <v>750</v>
      </c>
      <c r="K808" s="107" t="s">
        <v>1408</v>
      </c>
      <c r="L808" s="37">
        <f>COUNTIF(Drank!A:A,Table1[[#This Row],[ID]])</f>
        <v>2</v>
      </c>
      <c r="M808" s="37" t="s">
        <v>202</v>
      </c>
      <c r="N808" s="37" t="s">
        <v>207</v>
      </c>
      <c r="O808" s="37">
        <v>1</v>
      </c>
      <c r="P808" s="37">
        <v>2022</v>
      </c>
      <c r="Q808" s="37">
        <v>2040</v>
      </c>
      <c r="R808" s="10">
        <f>IF(IFERROR(VLOOKUP(A808,Drank!A:S,15,FALSE),"")=0,"",IFERROR(VLOOKUP(A808,Drank!A:S,15,FALSE),""))</f>
        <v>2021</v>
      </c>
      <c r="S808" s="10">
        <f>IF(IFERROR(VLOOKUP(A808,Drank!A:S,16,FALSE),"")=0,"",IFERROR(VLOOKUP(A808,Drank!A:S,16,FALSE),""))</f>
        <v>2032</v>
      </c>
      <c r="T808" s="10"/>
      <c r="U808" s="37">
        <v>95</v>
      </c>
      <c r="V808" s="18">
        <f>IF(IFERROR(VLOOKUP(A808,Drank!A:T,19,FALSE),"")=0,"",IFERROR(VLOOKUP(A808,Drank!A:T,19,FALSE),""))</f>
        <v>95.5</v>
      </c>
      <c r="W808" s="1">
        <f>IF(IFERROR(VLOOKUP(A808,Drank!A:T,20,FALSE),"")=0,"",IFERROR(VLOOKUP(A808,Drank!A:T,20,FALSE),""))</f>
        <v>44079</v>
      </c>
      <c r="X808" s="10">
        <f>SUMIF(A:A,A808,I:I)</f>
        <v>41</v>
      </c>
      <c r="Y808" s="37">
        <f>IF(Table1[[#This Row],[Drank]]&gt;0,VLOOKUP(Table1[[#This Row],[ID]],Drank!A:P,16,FALSE),IF(Table1[[#This Row],[WALDD]]&gt;0,VLOOKUP(Table1[[#This Row],[ID]],Wine1!A:Q,17,FALSE),Table1[[#This Row],[EP]]))</f>
        <v>2032</v>
      </c>
      <c r="Z808" s="18">
        <f>IF(Table1[[#This Row],[My Rating]]="",IF(Table1[[#This Row],[WA Rating Clean]]="","",Table1[[#This Row],[WA Rating Clean]]),Table1[[#This Row],[My Rating]])</f>
        <v>95.5</v>
      </c>
      <c r="AA808" s="8">
        <v>2027</v>
      </c>
      <c r="AB808" s="4">
        <v>46.94</v>
      </c>
      <c r="AC808" s="2">
        <f t="shared" si="47"/>
        <v>46.94</v>
      </c>
      <c r="AD808" s="8">
        <v>2</v>
      </c>
      <c r="AE808" s="37">
        <f>IF(Table1[[#This Row],[P/750]]&lt;20,1,IF(Table1[[#This Row],[P/750]]&lt;50,2,3))</f>
        <v>2</v>
      </c>
      <c r="AF808" s="37">
        <f>IF(Table1[[#This Row],[P/750]]&lt;Expenses!$C$30,1,IF(Table1[[#This Row],[P/750]]&lt;Expenses!$C$31,2,IF(Table1[[#This Row],[P/750]]&lt;Expenses!$C$32,3,4)))</f>
        <v>3</v>
      </c>
      <c r="AH808" s="37" t="s">
        <v>1128</v>
      </c>
      <c r="AI808" s="11">
        <f>Table1[[#This Row],[Price]]/Table1[[#This Row],[Size (ml)]]*750</f>
        <v>46.94</v>
      </c>
      <c r="AJ808" s="37">
        <v>95</v>
      </c>
      <c r="AK808" s="37">
        <f>COUNTIF(UniqueID!A:A,Table1[[#This Row],[ID]])</f>
        <v>1</v>
      </c>
      <c r="AL808" s="37" t="str">
        <f>VLOOKUP(Table1[[#This Row],[Cellar Location]],Location!A:F,6,FALSE)</f>
        <v>S</v>
      </c>
      <c r="AN808" s="1">
        <v>43966</v>
      </c>
      <c r="AO808" s="37" t="str">
        <f>TEXT(Table1[[#This Row],[Purchased]],"mmmm")</f>
        <v>May</v>
      </c>
      <c r="AP808" s="10" t="str">
        <f>TEXT(Table1[[#This Row],[Purchased]],"yyyy")</f>
        <v>2020</v>
      </c>
      <c r="AQ808" s="10"/>
    </row>
    <row r="809" spans="1:43" s="37" customFormat="1" x14ac:dyDescent="0.25">
      <c r="A809" s="37" t="str">
        <f t="shared" si="46"/>
        <v>2016GrattamaccoBolgheri Superiore l'Alberello</v>
      </c>
      <c r="B809" s="37">
        <v>2016</v>
      </c>
      <c r="C809" s="37" t="s">
        <v>1802</v>
      </c>
      <c r="D809" s="37" t="s">
        <v>1334</v>
      </c>
      <c r="E809" s="67" t="s">
        <v>1335</v>
      </c>
      <c r="F809" s="67" t="s">
        <v>728</v>
      </c>
      <c r="G809" s="37" t="s">
        <v>790</v>
      </c>
      <c r="H809" s="37" t="s">
        <v>1336</v>
      </c>
      <c r="I809" s="8">
        <v>1</v>
      </c>
      <c r="J809" s="38">
        <v>750</v>
      </c>
      <c r="K809" s="38" t="s">
        <v>1572</v>
      </c>
      <c r="L809" s="10">
        <f>COUNTIF(Drank!A:A,Table1[[#This Row],[ID]])</f>
        <v>0</v>
      </c>
      <c r="M809" s="37" t="s">
        <v>202</v>
      </c>
      <c r="N809" s="37" t="s">
        <v>207</v>
      </c>
      <c r="O809" s="37">
        <v>1</v>
      </c>
      <c r="P809" s="10">
        <v>2020</v>
      </c>
      <c r="Q809" s="37">
        <v>2035</v>
      </c>
      <c r="R809" s="10" t="str">
        <f>IF(IFERROR(VLOOKUP(A809,Drank!A:S,15,FALSE),"")=0,"",IFERROR(VLOOKUP(A809,Drank!A:S,15,FALSE),""))</f>
        <v/>
      </c>
      <c r="S809" s="10" t="str">
        <f>IF(IFERROR(VLOOKUP(A809,Drank!A:S,16,FALSE),"")=0,"",IFERROR(VLOOKUP(A809,Drank!A:S,16,FALSE),""))</f>
        <v/>
      </c>
      <c r="T809" s="10"/>
      <c r="U809" s="37">
        <v>96</v>
      </c>
      <c r="V809" s="18" t="str">
        <f>IF(IFERROR(VLOOKUP(A809,Drank!A:T,19,FALSE),"")=0,"",IFERROR(VLOOKUP(A809,Drank!A:T,19,FALSE),""))</f>
        <v/>
      </c>
      <c r="W809" s="1" t="str">
        <f>IF(IFERROR(VLOOKUP(A809,Drank!A:T,20,FALSE),"")=0,"",IFERROR(VLOOKUP(A809,Drank!A:T,20,FALSE),""))</f>
        <v/>
      </c>
      <c r="X809" s="10">
        <f>SUMIF(A:A,A809,I:I)</f>
        <v>9</v>
      </c>
      <c r="Y809" s="10">
        <f>IF(Table1[[#This Row],[Drank]]&gt;0,VLOOKUP(Table1[[#This Row],[ID]],Drank!A:P,16,FALSE),IF(Table1[[#This Row],[WALDD]]&gt;0,VLOOKUP(Table1[[#This Row],[ID]],Wine1!A:Q,17,FALSE),Table1[[#This Row],[EP]]))</f>
        <v>2035</v>
      </c>
      <c r="Z809" s="18">
        <f>IF(Table1[[#This Row],[My Rating]]="",IF(Table1[[#This Row],[WA Rating Clean]]="","",Table1[[#This Row],[WA Rating Clean]]),Table1[[#This Row],[My Rating]])</f>
        <v>96</v>
      </c>
      <c r="AA809" s="8">
        <v>2027</v>
      </c>
      <c r="AB809" s="4">
        <v>60.08</v>
      </c>
      <c r="AC809" s="2">
        <f t="shared" si="47"/>
        <v>60.08</v>
      </c>
      <c r="AD809" s="8">
        <v>1</v>
      </c>
      <c r="AE809" s="10">
        <f>IF(Table1[[#This Row],[P/750]]&lt;20,1,IF(Table1[[#This Row],[P/750]]&lt;50,2,3))</f>
        <v>3</v>
      </c>
      <c r="AF809" s="10">
        <f>IF(Table1[[#This Row],[P/750]]&lt;Expenses!$C$30,1,IF(Table1[[#This Row],[P/750]]&lt;Expenses!$C$31,2,IF(Table1[[#This Row],[P/750]]&lt;Expenses!$C$32,3,4)))</f>
        <v>3</v>
      </c>
      <c r="AH809" s="37" t="s">
        <v>1572</v>
      </c>
      <c r="AI809" s="11">
        <f>Table1[[#This Row],[Price]]/Table1[[#This Row],[Size (ml)]]*750</f>
        <v>60.079999999999991</v>
      </c>
      <c r="AJ809" s="37">
        <v>96</v>
      </c>
      <c r="AK809" s="10">
        <f>COUNTIF(UniqueID!A:A,Table1[[#This Row],[ID]])</f>
        <v>0</v>
      </c>
      <c r="AL809" s="10" t="str">
        <f>VLOOKUP(Table1[[#This Row],[Cellar Location]],Location!A:F,6,FALSE)</f>
        <v>W</v>
      </c>
      <c r="AN809" s="1">
        <v>44055</v>
      </c>
      <c r="AO809" s="10" t="str">
        <f>TEXT(Table1[[#This Row],[Purchased]],"mmmm")</f>
        <v>August</v>
      </c>
      <c r="AP809" s="10" t="str">
        <f>TEXT(Table1[[#This Row],[Purchased]],"yyyy")</f>
        <v>2020</v>
      </c>
      <c r="AQ809" s="1">
        <v>44114</v>
      </c>
    </row>
    <row r="810" spans="1:43" s="37" customFormat="1" x14ac:dyDescent="0.25">
      <c r="A810" s="37" t="str">
        <f t="shared" si="46"/>
        <v>2011TedeschiAmarone della Valpolicella Classico Riserva Capitel Monte Olmi</v>
      </c>
      <c r="B810" s="8">
        <v>2011</v>
      </c>
      <c r="C810" s="8" t="s">
        <v>1821</v>
      </c>
      <c r="D810" s="19" t="s">
        <v>1822</v>
      </c>
      <c r="E810" s="63" t="s">
        <v>1823</v>
      </c>
      <c r="F810" s="37" t="s">
        <v>728</v>
      </c>
      <c r="G810" s="37" t="s">
        <v>799</v>
      </c>
      <c r="H810" s="37" t="s">
        <v>800</v>
      </c>
      <c r="I810" s="37">
        <v>1</v>
      </c>
      <c r="J810" s="38">
        <v>750</v>
      </c>
      <c r="K810" s="38" t="s">
        <v>1572</v>
      </c>
      <c r="L810" s="10">
        <f>COUNTIF(Drank!A:A,Table1[[#This Row],[ID]])</f>
        <v>0</v>
      </c>
      <c r="M810" s="37" t="s">
        <v>202</v>
      </c>
      <c r="N810" s="37" t="s">
        <v>207</v>
      </c>
      <c r="O810" s="37">
        <v>1</v>
      </c>
      <c r="P810" s="10">
        <v>2019</v>
      </c>
      <c r="Q810" s="37">
        <v>2035</v>
      </c>
      <c r="R810" s="10" t="str">
        <f>IF(IFERROR(VLOOKUP(A810,Drank!A:S,15,FALSE),"")=0,"",IFERROR(VLOOKUP(A810,Drank!A:S,15,FALSE),""))</f>
        <v/>
      </c>
      <c r="S810" s="10" t="str">
        <f>IF(IFERROR(VLOOKUP(A810,Drank!A:S,16,FALSE),"")=0,"",IFERROR(VLOOKUP(A810,Drank!A:S,16,FALSE),""))</f>
        <v/>
      </c>
      <c r="T810" s="10"/>
      <c r="U810" s="37" t="s">
        <v>17</v>
      </c>
      <c r="V810" s="18" t="str">
        <f>IF(IFERROR(VLOOKUP(A810,Drank!A:T,19,FALSE),"")=0,"",IFERROR(VLOOKUP(A810,Drank!A:T,19,FALSE),""))</f>
        <v/>
      </c>
      <c r="W810" s="1" t="str">
        <f>IF(IFERROR(VLOOKUP(A810,Drank!A:T,20,FALSE),"")=0,"",IFERROR(VLOOKUP(A810,Drank!A:T,20,FALSE),""))</f>
        <v/>
      </c>
      <c r="X810" s="10">
        <f>SUMIF(A:A,A810,I:I)</f>
        <v>1</v>
      </c>
      <c r="Y810" s="10">
        <f>IF(Table1[[#This Row],[Drank]]&gt;0,VLOOKUP(Table1[[#This Row],[ID]],Drank!A:P,16,FALSE),IF(Table1[[#This Row],[WALDD]]&gt;0,VLOOKUP(Table1[[#This Row],[ID]],Wine1!A:Q,17,FALSE),Table1[[#This Row],[EP]]))</f>
        <v>2035</v>
      </c>
      <c r="Z810" s="18">
        <f>IF(Table1[[#This Row],[My Rating]]="",IF(Table1[[#This Row],[WA Rating Clean]]="","",Table1[[#This Row],[WA Rating Clean]]),Table1[[#This Row],[My Rating]])</f>
        <v>94</v>
      </c>
      <c r="AA810" s="37">
        <v>2027</v>
      </c>
      <c r="AB810" s="128">
        <v>81.459999999999994</v>
      </c>
      <c r="AC810" s="2">
        <f t="shared" si="47"/>
        <v>81.459999999999994</v>
      </c>
      <c r="AD810" s="8"/>
      <c r="AE810" s="10">
        <f>IF(Table1[[#This Row],[P/750]]&lt;20,1,IF(Table1[[#This Row],[P/750]]&lt;50,2,3))</f>
        <v>3</v>
      </c>
      <c r="AF810" s="10">
        <f>IF(Table1[[#This Row],[P/750]]&lt;Expenses!$C$30,1,IF(Table1[[#This Row],[P/750]]&lt;Expenses!$C$31,2,IF(Table1[[#This Row],[P/750]]&lt;Expenses!$C$32,3,4)))</f>
        <v>4</v>
      </c>
      <c r="AH810" s="25" t="s">
        <v>1572</v>
      </c>
      <c r="AI810" s="11">
        <f>Table1[[#This Row],[Price]]/Table1[[#This Row],[Size (ml)]]*750</f>
        <v>81.459999999999994</v>
      </c>
      <c r="AJ810" s="37">
        <v>94</v>
      </c>
      <c r="AK810" s="10">
        <f>COUNTIF(UniqueID!A:A,Table1[[#This Row],[ID]])</f>
        <v>0</v>
      </c>
      <c r="AL810" s="10" t="str">
        <f>VLOOKUP(Table1[[#This Row],[Cellar Location]],Location!A:F,6,FALSE)</f>
        <v>W</v>
      </c>
      <c r="AN810" s="1">
        <v>44068</v>
      </c>
      <c r="AO810" s="10" t="str">
        <f>TEXT(Table1[[#This Row],[Purchased]],"mmmm")</f>
        <v>August</v>
      </c>
      <c r="AP810" s="10" t="str">
        <f>TEXT(Table1[[#This Row],[Purchased]],"yyyy")</f>
        <v>2020</v>
      </c>
      <c r="AQ810" s="1">
        <v>44114</v>
      </c>
    </row>
    <row r="811" spans="1:43" s="37" customFormat="1" x14ac:dyDescent="0.25">
      <c r="A811" s="37" t="str">
        <f t="shared" si="46"/>
        <v>2017Quinta do ValladoTouriga Nacional</v>
      </c>
      <c r="B811" s="8">
        <v>2017</v>
      </c>
      <c r="C811" s="9" t="s">
        <v>210</v>
      </c>
      <c r="D811" s="9" t="s">
        <v>211</v>
      </c>
      <c r="E811" s="68" t="s">
        <v>1221</v>
      </c>
      <c r="F811" s="9" t="s">
        <v>804</v>
      </c>
      <c r="G811" s="9" t="s">
        <v>805</v>
      </c>
      <c r="H811" s="9"/>
      <c r="I811" s="37">
        <v>1</v>
      </c>
      <c r="J811" s="38">
        <v>750</v>
      </c>
      <c r="K811" s="38" t="s">
        <v>384</v>
      </c>
      <c r="L811" s="10">
        <f>COUNTIF(Drank!A:A,Table1[[#This Row],[ID]])</f>
        <v>0</v>
      </c>
      <c r="M811" s="37" t="s">
        <v>202</v>
      </c>
      <c r="N811" s="37" t="s">
        <v>207</v>
      </c>
      <c r="O811" s="37">
        <v>1</v>
      </c>
      <c r="P811" s="37">
        <v>2020</v>
      </c>
      <c r="Q811" s="37">
        <v>2037</v>
      </c>
      <c r="R811" s="10" t="str">
        <f>IF(IFERROR(VLOOKUP(A811,Drank!A:S,15,FALSE),"")=0,"",IFERROR(VLOOKUP(A811,Drank!A:S,15,FALSE),""))</f>
        <v/>
      </c>
      <c r="S811" s="10" t="str">
        <f>IF(IFERROR(VLOOKUP(A811,Drank!A:S,16,FALSE),"")=0,"",IFERROR(VLOOKUP(A811,Drank!A:S,16,FALSE),""))</f>
        <v/>
      </c>
      <c r="T811" s="10"/>
      <c r="U811" s="37">
        <v>94</v>
      </c>
      <c r="V811" s="18" t="str">
        <f>IF(IFERROR(VLOOKUP(A811,Drank!A:T,19,FALSE),"")=0,"",IFERROR(VLOOKUP(A811,Drank!A:T,19,FALSE),""))</f>
        <v/>
      </c>
      <c r="W811" s="1" t="str">
        <f>IF(IFERROR(VLOOKUP(A811,Drank!A:T,20,FALSE),"")=0,"",IFERROR(VLOOKUP(A811,Drank!A:T,20,FALSE),""))</f>
        <v/>
      </c>
      <c r="X811" s="10">
        <f>SUMIF(A:A,A811,I:I)</f>
        <v>4</v>
      </c>
      <c r="Y811" s="10">
        <f>IF(Table1[[#This Row],[Drank]]&gt;0,VLOOKUP(Table1[[#This Row],[ID]],Drank!A:P,16,FALSE),IF(Table1[[#This Row],[WALDD]]&gt;0,VLOOKUP(Table1[[#This Row],[ID]],Wine1!A:Q,17,FALSE),Table1[[#This Row],[EP]]))</f>
        <v>2037</v>
      </c>
      <c r="Z811" s="18">
        <f>IF(Table1[[#This Row],[My Rating]]="",IF(Table1[[#This Row],[WA Rating Clean]]="","",Table1[[#This Row],[WA Rating Clean]]),Table1[[#This Row],[My Rating]])</f>
        <v>94</v>
      </c>
      <c r="AA811" s="37">
        <v>2027</v>
      </c>
      <c r="AB811" s="4">
        <v>27.15</v>
      </c>
      <c r="AC811" s="2">
        <f t="shared" si="47"/>
        <v>27.15</v>
      </c>
      <c r="AD811" s="8">
        <v>1</v>
      </c>
      <c r="AE811" s="10">
        <f>IF(Table1[[#This Row],[P/750]]&lt;20,1,IF(Table1[[#This Row],[P/750]]&lt;50,2,3))</f>
        <v>2</v>
      </c>
      <c r="AF811" s="10">
        <f>IF(Table1[[#This Row],[P/750]]&lt;Expenses!$C$30,1,IF(Table1[[#This Row],[P/750]]&lt;Expenses!$C$31,2,IF(Table1[[#This Row],[P/750]]&lt;Expenses!$C$32,3,4)))</f>
        <v>2</v>
      </c>
      <c r="AH811" s="37" t="s">
        <v>384</v>
      </c>
      <c r="AI811" s="11">
        <f>Table1[[#This Row],[Price]]/Table1[[#This Row],[Size (ml)]]*750</f>
        <v>27.15</v>
      </c>
      <c r="AJ811" s="37">
        <v>94</v>
      </c>
      <c r="AK811" s="10">
        <f>COUNTIF(UniqueID!A:A,Table1[[#This Row],[ID]])</f>
        <v>0</v>
      </c>
      <c r="AL811" s="10" t="str">
        <f>VLOOKUP(Table1[[#This Row],[Cellar Location]],Location!A:F,6,FALSE)</f>
        <v>W</v>
      </c>
      <c r="AN811" s="1">
        <v>44027</v>
      </c>
      <c r="AO811" s="10" t="str">
        <f>TEXT(Table1[[#This Row],[Purchased]],"mmmm")</f>
        <v>July</v>
      </c>
      <c r="AP811" s="10" t="str">
        <f>TEXT(Table1[[#This Row],[Purchased]],"yyyy")</f>
        <v>2020</v>
      </c>
      <c r="AQ811" s="1">
        <v>44138</v>
      </c>
    </row>
    <row r="812" spans="1:43" s="37" customFormat="1" x14ac:dyDescent="0.25">
      <c r="A812" s="37" t="str">
        <f t="shared" si="46"/>
        <v>2016FelsinaChianti Classico Riserva Rancia</v>
      </c>
      <c r="B812" s="37">
        <v>2016</v>
      </c>
      <c r="C812" s="37" t="s">
        <v>795</v>
      </c>
      <c r="D812" s="37" t="s">
        <v>845</v>
      </c>
      <c r="E812" s="67" t="s">
        <v>1250</v>
      </c>
      <c r="F812" s="37" t="s">
        <v>728</v>
      </c>
      <c r="G812" s="37" t="s">
        <v>790</v>
      </c>
      <c r="H812" s="37" t="s">
        <v>792</v>
      </c>
      <c r="I812" s="107">
        <v>1</v>
      </c>
      <c r="J812" s="37">
        <v>750</v>
      </c>
      <c r="K812" s="107" t="s">
        <v>927</v>
      </c>
      <c r="L812" s="10">
        <f>COUNTIF(Drank!A:A,Table1[[#This Row],[ID]])</f>
        <v>1</v>
      </c>
      <c r="M812" s="37" t="s">
        <v>202</v>
      </c>
      <c r="N812" s="37" t="s">
        <v>207</v>
      </c>
      <c r="O812" s="37">
        <v>1</v>
      </c>
      <c r="P812" s="10">
        <v>2020</v>
      </c>
      <c r="Q812" s="37">
        <v>2040</v>
      </c>
      <c r="R812" s="10">
        <f>IF(IFERROR(VLOOKUP(A812,Drank!A:S,15,FALSE),"")=0,"",IFERROR(VLOOKUP(A812,Drank!A:S,15,FALSE),""))</f>
        <v>2027</v>
      </c>
      <c r="S812" s="10">
        <f>IF(IFERROR(VLOOKUP(A812,Drank!A:S,16,FALSE),"")=0,"",IFERROR(VLOOKUP(A812,Drank!A:S,16,FALSE),""))</f>
        <v>2037</v>
      </c>
      <c r="T812" s="10"/>
      <c r="U812" s="37">
        <v>96</v>
      </c>
      <c r="V812" s="18">
        <f>IF(IFERROR(VLOOKUP(A812,Drank!A:T,19,FALSE),"")=0,"",IFERROR(VLOOKUP(A812,Drank!A:T,19,FALSE),""))</f>
        <v>96</v>
      </c>
      <c r="W812" s="1">
        <f>IF(IFERROR(VLOOKUP(A812,Drank!A:T,20,FALSE),"")=0,"",IFERROR(VLOOKUP(A812,Drank!A:T,20,FALSE),""))</f>
        <v>43897</v>
      </c>
      <c r="X812" s="10">
        <f>SUMIF(A:A,A812,I:I)</f>
        <v>5</v>
      </c>
      <c r="Y812" s="10">
        <f>IF(Table1[[#This Row],[Drank]]&gt;0,VLOOKUP(Table1[[#This Row],[ID]],Drank!A:P,16,FALSE),IF(Table1[[#This Row],[WALDD]]&gt;0,VLOOKUP(Table1[[#This Row],[ID]],Wine1!A:Q,17,FALSE),Table1[[#This Row],[EP]]))</f>
        <v>2037</v>
      </c>
      <c r="Z812" s="18">
        <f>IF(Table1[[#This Row],[My Rating]]="",IF(Table1[[#This Row],[WA Rating Clean]]="","",Table1[[#This Row],[WA Rating Clean]]),Table1[[#This Row],[My Rating]])</f>
        <v>96</v>
      </c>
      <c r="AA812" s="37">
        <v>2027</v>
      </c>
      <c r="AB812" s="4">
        <v>54.99</v>
      </c>
      <c r="AC812" s="2">
        <f t="shared" si="47"/>
        <v>54.99</v>
      </c>
      <c r="AD812" s="8">
        <v>2</v>
      </c>
      <c r="AE812" s="10">
        <f>IF(Table1[[#This Row],[P/750]]&lt;20,1,IF(Table1[[#This Row],[P/750]]&lt;50,2,3))</f>
        <v>3</v>
      </c>
      <c r="AF812" s="10">
        <f>IF(Table1[[#This Row],[P/750]]&lt;Expenses!$C$30,1,IF(Table1[[#This Row],[P/750]]&lt;Expenses!$C$31,2,IF(Table1[[#This Row],[P/750]]&lt;Expenses!$C$32,3,4)))</f>
        <v>3</v>
      </c>
      <c r="AH812" s="37" t="s">
        <v>1139</v>
      </c>
      <c r="AI812" s="11">
        <f>Table1[[#This Row],[Price]]/Table1[[#This Row],[Size (ml)]]*750</f>
        <v>54.989999999999995</v>
      </c>
      <c r="AJ812" s="37">
        <v>96</v>
      </c>
      <c r="AK812" s="10">
        <f>COUNTIF(UniqueID!A:A,Table1[[#This Row],[ID]])</f>
        <v>0</v>
      </c>
      <c r="AL812" s="37" t="str">
        <f>VLOOKUP(Table1[[#This Row],[Cellar Location]],Location!A:F,6,FALSE)</f>
        <v>S</v>
      </c>
      <c r="AO812" s="37" t="str">
        <f>TEXT(Table1[[#This Row],[Purchased]],"mmmm")</f>
        <v>January</v>
      </c>
      <c r="AP812" s="10" t="str">
        <f>TEXT(Table1[[#This Row],[Purchased]],"yyyy")</f>
        <v>1900</v>
      </c>
      <c r="AQ812" s="10"/>
    </row>
    <row r="813" spans="1:43" s="37" customFormat="1" x14ac:dyDescent="0.25">
      <c r="A813" s="37" t="str">
        <f t="shared" si="46"/>
        <v>2015Quinta do ValladoField Blend Reserva</v>
      </c>
      <c r="B813" s="8">
        <v>2015</v>
      </c>
      <c r="C813" s="30" t="s">
        <v>210</v>
      </c>
      <c r="D813" s="9" t="s">
        <v>1423</v>
      </c>
      <c r="E813" s="65" t="s">
        <v>274</v>
      </c>
      <c r="F813" s="37" t="s">
        <v>804</v>
      </c>
      <c r="G813" s="37" t="s">
        <v>1422</v>
      </c>
      <c r="H813" s="9"/>
      <c r="I813" s="37">
        <v>1</v>
      </c>
      <c r="J813" s="38">
        <v>750</v>
      </c>
      <c r="K813" s="38" t="s">
        <v>384</v>
      </c>
      <c r="L813" s="10">
        <f>COUNTIF(Drank!A:A,Table1[[#This Row],[ID]])</f>
        <v>0</v>
      </c>
      <c r="M813" s="37" t="s">
        <v>202</v>
      </c>
      <c r="N813" s="37" t="s">
        <v>207</v>
      </c>
      <c r="O813" s="37">
        <v>1</v>
      </c>
      <c r="P813" s="37">
        <v>2019</v>
      </c>
      <c r="Q813" s="37">
        <v>2040</v>
      </c>
      <c r="R813" s="10" t="str">
        <f>IF(IFERROR(VLOOKUP(A813,Drank!A:S,15,FALSE),"")=0,"",IFERROR(VLOOKUP(A813,Drank!A:S,15,FALSE),""))</f>
        <v/>
      </c>
      <c r="S813" s="10" t="str">
        <f>IF(IFERROR(VLOOKUP(A813,Drank!A:S,16,FALSE),"")=0,"",IFERROR(VLOOKUP(A813,Drank!A:S,16,FALSE),""))</f>
        <v/>
      </c>
      <c r="T813" s="10"/>
      <c r="U813" s="37">
        <v>93</v>
      </c>
      <c r="V813" s="18" t="str">
        <f>IF(IFERROR(VLOOKUP(A813,Drank!A:T,19,FALSE),"")=0,"",IFERROR(VLOOKUP(A813,Drank!A:T,19,FALSE),""))</f>
        <v/>
      </c>
      <c r="W813" s="1" t="str">
        <f>IF(IFERROR(VLOOKUP(A813,Drank!A:T,20,FALSE),"")=0,"",IFERROR(VLOOKUP(A813,Drank!A:T,20,FALSE),""))</f>
        <v/>
      </c>
      <c r="X813" s="10">
        <f>SUMIF(A:A,A813,I:I)</f>
        <v>4</v>
      </c>
      <c r="Y813" s="10">
        <f>IF(Table1[[#This Row],[Drank]]&gt;0,VLOOKUP(Table1[[#This Row],[ID]],Drank!A:P,16,FALSE),IF(Table1[[#This Row],[WALDD]]&gt;0,VLOOKUP(Table1[[#This Row],[ID]],Wine1!A:Q,17,FALSE),Table1[[#This Row],[EP]]))</f>
        <v>2040</v>
      </c>
      <c r="Z813" s="18">
        <f>IF(Table1[[#This Row],[My Rating]]="",IF(Table1[[#This Row],[WA Rating Clean]]="","",Table1[[#This Row],[WA Rating Clean]]),Table1[[#This Row],[My Rating]])</f>
        <v>93</v>
      </c>
      <c r="AA813" s="37">
        <v>2027</v>
      </c>
      <c r="AB813" s="4">
        <v>32.58</v>
      </c>
      <c r="AC813" s="2">
        <f t="shared" si="47"/>
        <v>32.58</v>
      </c>
      <c r="AD813" s="8">
        <v>1</v>
      </c>
      <c r="AE813" s="10">
        <f>IF(Table1[[#This Row],[P/750]]&lt;20,1,IF(Table1[[#This Row],[P/750]]&lt;50,2,3))</f>
        <v>2</v>
      </c>
      <c r="AF813" s="10">
        <f>IF(Table1[[#This Row],[P/750]]&lt;Expenses!$C$30,1,IF(Table1[[#This Row],[P/750]]&lt;Expenses!$C$31,2,IF(Table1[[#This Row],[P/750]]&lt;Expenses!$C$32,3,4)))</f>
        <v>3</v>
      </c>
      <c r="AH813" s="37" t="s">
        <v>384</v>
      </c>
      <c r="AI813" s="11">
        <f>Table1[[#This Row],[Price]]/Table1[[#This Row],[Size (ml)]]*750</f>
        <v>32.58</v>
      </c>
      <c r="AJ813" s="37">
        <v>93</v>
      </c>
      <c r="AK813" s="10">
        <f>COUNTIF(UniqueID!A:A,Table1[[#This Row],[ID]])</f>
        <v>0</v>
      </c>
      <c r="AL813" s="10" t="str">
        <f>VLOOKUP(Table1[[#This Row],[Cellar Location]],Location!A:F,6,FALSE)</f>
        <v>W</v>
      </c>
      <c r="AN813" s="1">
        <v>44027</v>
      </c>
      <c r="AO813" s="10" t="str">
        <f>TEXT(Table1[[#This Row],[Purchased]],"mmmm")</f>
        <v>July</v>
      </c>
      <c r="AP813" s="10" t="str">
        <f>TEXT(Table1[[#This Row],[Purchased]],"yyyy")</f>
        <v>2020</v>
      </c>
      <c r="AQ813" s="1">
        <v>44138</v>
      </c>
    </row>
    <row r="814" spans="1:43" s="37" customFormat="1" x14ac:dyDescent="0.25">
      <c r="A814" s="37" t="str">
        <f t="shared" si="46"/>
        <v>2016Marchesi AntinoriTignanello</v>
      </c>
      <c r="B814" s="37">
        <v>2016</v>
      </c>
      <c r="C814" s="37" t="s">
        <v>1699</v>
      </c>
      <c r="D814" s="37" t="s">
        <v>1774</v>
      </c>
      <c r="E814" s="67" t="s">
        <v>1775</v>
      </c>
      <c r="F814" s="37" t="s">
        <v>728</v>
      </c>
      <c r="G814" s="37" t="s">
        <v>790</v>
      </c>
      <c r="H814" s="37" t="s">
        <v>796</v>
      </c>
      <c r="I814" s="37">
        <v>1</v>
      </c>
      <c r="J814" s="107">
        <v>750</v>
      </c>
      <c r="K814" s="8" t="s">
        <v>1845</v>
      </c>
      <c r="L814" s="10">
        <f>COUNTIF(Drank!A:A,Table1[[#This Row],[ID]])</f>
        <v>0</v>
      </c>
      <c r="M814" s="37" t="s">
        <v>202</v>
      </c>
      <c r="N814" s="37" t="s">
        <v>207</v>
      </c>
      <c r="O814" s="37">
        <v>1</v>
      </c>
      <c r="P814" s="10">
        <v>2020</v>
      </c>
      <c r="Q814" s="37">
        <v>2045</v>
      </c>
      <c r="R814" s="10" t="str">
        <f>IF(IFERROR(VLOOKUP(A814,Drank!A:S,15,FALSE),"")=0,"",IFERROR(VLOOKUP(A814,Drank!A:S,15,FALSE),""))</f>
        <v/>
      </c>
      <c r="S814" s="10" t="str">
        <f>IF(IFERROR(VLOOKUP(A814,Drank!A:S,16,FALSE),"")=0,"",IFERROR(VLOOKUP(A814,Drank!A:S,16,FALSE),""))</f>
        <v/>
      </c>
      <c r="T814" s="10"/>
      <c r="U814" s="37">
        <v>97</v>
      </c>
      <c r="V814" s="18" t="str">
        <f>IF(IFERROR(VLOOKUP(A814,Drank!A:T,19,FALSE),"")=0,"",IFERROR(VLOOKUP(A814,Drank!A:T,19,FALSE),""))</f>
        <v/>
      </c>
      <c r="W814" s="1" t="str">
        <f>IF(IFERROR(VLOOKUP(A814,Drank!A:T,20,FALSE),"")=0,"",IFERROR(VLOOKUP(A814,Drank!A:T,20,FALSE),""))</f>
        <v/>
      </c>
      <c r="X814" s="10">
        <f>SUMIF(A:A,A814,I:I)</f>
        <v>6</v>
      </c>
      <c r="Y814" s="10">
        <f>IF(Table1[[#This Row],[Drank]]&gt;0,VLOOKUP(Table1[[#This Row],[ID]],Drank!A:P,16,FALSE),IF(Table1[[#This Row],[WALDD]]&gt;0,VLOOKUP(Table1[[#This Row],[ID]],Wine1!A:Q,17,FALSE),Table1[[#This Row],[EP]]))</f>
        <v>2045</v>
      </c>
      <c r="Z814" s="18">
        <f>IF(Table1[[#This Row],[My Rating]]="",IF(Table1[[#This Row],[WA Rating Clean]]="","",Table1[[#This Row],[WA Rating Clean]]),Table1[[#This Row],[My Rating]])</f>
        <v>97</v>
      </c>
      <c r="AA814" s="37">
        <v>2027</v>
      </c>
      <c r="AB814" s="129">
        <v>146.63</v>
      </c>
      <c r="AC814" s="2">
        <f t="shared" si="47"/>
        <v>146.63</v>
      </c>
      <c r="AD814" s="8">
        <v>1</v>
      </c>
      <c r="AE814" s="10">
        <f>IF(Table1[[#This Row],[P/750]]&lt;20,1,IF(Table1[[#This Row],[P/750]]&lt;50,2,3))</f>
        <v>3</v>
      </c>
      <c r="AF814" s="10">
        <f>IF(Table1[[#This Row],[P/750]]&lt;Expenses!$C$30,1,IF(Table1[[#This Row],[P/750]]&lt;Expenses!$C$31,2,IF(Table1[[#This Row],[P/750]]&lt;Expenses!$C$32,3,4)))</f>
        <v>4</v>
      </c>
      <c r="AH814" s="37" t="s">
        <v>1128</v>
      </c>
      <c r="AI814" s="11">
        <f>Table1[[#This Row],[Price]]/Table1[[#This Row],[Size (ml)]]*750</f>
        <v>146.63</v>
      </c>
      <c r="AJ814" s="37">
        <v>97</v>
      </c>
      <c r="AK814" s="10">
        <f>COUNTIF(UniqueID!A:A,Table1[[#This Row],[ID]])</f>
        <v>0</v>
      </c>
      <c r="AL814" s="10" t="str">
        <f>VLOOKUP(Table1[[#This Row],[Cellar Location]],Location!A:F,6,FALSE)</f>
        <v>S</v>
      </c>
      <c r="AN814" s="1">
        <v>44070</v>
      </c>
      <c r="AO814" s="10" t="str">
        <f>TEXT(Table1[[#This Row],[Purchased]],"mmmm")</f>
        <v>August</v>
      </c>
      <c r="AP814" s="10" t="str">
        <f>TEXT(Table1[[#This Row],[Purchased]],"yyyy")</f>
        <v>2020</v>
      </c>
      <c r="AQ814" s="1"/>
    </row>
    <row r="815" spans="1:43" s="37" customFormat="1" x14ac:dyDescent="0.25">
      <c r="A815" s="37" t="str">
        <f t="shared" si="46"/>
        <v>2016Lafaurie-PeyragueyLafaurie-Peyraguey</v>
      </c>
      <c r="B815" s="37">
        <v>2016</v>
      </c>
      <c r="C815" s="37" t="s">
        <v>125</v>
      </c>
      <c r="D815" s="37" t="s">
        <v>125</v>
      </c>
      <c r="E815" s="67" t="s">
        <v>1205</v>
      </c>
      <c r="F815" s="37" t="s">
        <v>742</v>
      </c>
      <c r="G815" s="37" t="s">
        <v>748</v>
      </c>
      <c r="H815" s="37" t="s">
        <v>260</v>
      </c>
      <c r="I815" s="107">
        <v>1</v>
      </c>
      <c r="J815" s="37">
        <v>375</v>
      </c>
      <c r="K815" s="107" t="s">
        <v>629</v>
      </c>
      <c r="L815" s="37">
        <f>COUNTIF(Drank!A:A,Table1[[#This Row],[ID]])</f>
        <v>0</v>
      </c>
      <c r="M815" s="37" t="s">
        <v>201</v>
      </c>
      <c r="N815" s="37" t="s">
        <v>206</v>
      </c>
      <c r="O815" s="37">
        <v>1</v>
      </c>
      <c r="P815" s="10">
        <v>2021</v>
      </c>
      <c r="Q815" s="37">
        <v>2060</v>
      </c>
      <c r="R815" s="10" t="str">
        <f>IF(IFERROR(VLOOKUP(A815,Drank!A:S,15,FALSE),"")=0,"",IFERROR(VLOOKUP(A815,Drank!A:S,15,FALSE),""))</f>
        <v/>
      </c>
      <c r="S815" s="10" t="str">
        <f>IF(IFERROR(VLOOKUP(A815,Drank!A:S,16,FALSE),"")=0,"",IFERROR(VLOOKUP(A815,Drank!A:S,16,FALSE),""))</f>
        <v/>
      </c>
      <c r="T815" s="10"/>
      <c r="U815" s="37" t="s">
        <v>441</v>
      </c>
      <c r="V815" s="18" t="str">
        <f>IF(IFERROR(VLOOKUP(A815,Drank!A:T,19,FALSE),"")=0,"",IFERROR(VLOOKUP(A815,Drank!A:T,19,FALSE),""))</f>
        <v/>
      </c>
      <c r="W815" s="1" t="str">
        <f>IF(IFERROR(VLOOKUP(A815,Drank!A:T,20,FALSE),"")=0,"",IFERROR(VLOOKUP(A815,Drank!A:T,20,FALSE),""))</f>
        <v/>
      </c>
      <c r="X815" s="10">
        <f>SUMIF(A:A,A815,I:I)</f>
        <v>12</v>
      </c>
      <c r="Y815" s="10">
        <f>IF(Table1[[#This Row],[Drank]]&gt;0,VLOOKUP(Table1[[#This Row],[ID]],Drank!A:P,16,FALSE),IF(Table1[[#This Row],[WALDD]]&gt;0,VLOOKUP(Table1[[#This Row],[ID]],Wine1!A:Q,17,FALSE),Table1[[#This Row],[EP]]))</f>
        <v>2060</v>
      </c>
      <c r="Z815" s="18">
        <f>IF(Table1[[#This Row],[My Rating]]="",IF(Table1[[#This Row],[WA Rating Clean]]="","",Table1[[#This Row],[WA Rating Clean]]),Table1[[#This Row],[My Rating]])</f>
        <v>95</v>
      </c>
      <c r="AA815" s="37">
        <v>2027</v>
      </c>
      <c r="AB815" s="4">
        <v>16</v>
      </c>
      <c r="AC815" s="2">
        <f t="shared" si="47"/>
        <v>16</v>
      </c>
      <c r="AD815" s="8">
        <v>2</v>
      </c>
      <c r="AE815" s="37">
        <f>IF(Table1[[#This Row],[P/750]]&lt;20,1,IF(Table1[[#This Row],[P/750]]&lt;50,2,3))</f>
        <v>2</v>
      </c>
      <c r="AF815" s="37">
        <f>IF(Table1[[#This Row],[P/750]]&lt;Expenses!$C$30,1,IF(Table1[[#This Row],[P/750]]&lt;Expenses!$C$31,2,IF(Table1[[#This Row],[P/750]]&lt;Expenses!$C$32,3,4)))</f>
        <v>3</v>
      </c>
      <c r="AH815" s="37" t="s">
        <v>385</v>
      </c>
      <c r="AI815" s="11">
        <f>Table1[[#This Row],[Price]]/Table1[[#This Row],[Size (ml)]]*750</f>
        <v>32</v>
      </c>
      <c r="AJ815" s="37">
        <v>95</v>
      </c>
      <c r="AK815" s="37">
        <f>COUNTIF(UniqueID!A:A,Table1[[#This Row],[ID]])</f>
        <v>1</v>
      </c>
      <c r="AL815" s="37" t="str">
        <f>VLOOKUP(Table1[[#This Row],[Cellar Location]],Location!A:F,6,FALSE)</f>
        <v>S</v>
      </c>
      <c r="AO815" s="37" t="str">
        <f>TEXT(Table1[[#This Row],[Purchased]],"mmmm")</f>
        <v>January</v>
      </c>
      <c r="AP815" s="10" t="str">
        <f>TEXT(Table1[[#This Row],[Purchased]],"yyyy")</f>
        <v>1900</v>
      </c>
      <c r="AQ815" s="10"/>
    </row>
    <row r="816" spans="1:43" s="37" customFormat="1" x14ac:dyDescent="0.25">
      <c r="A816" s="37" t="str">
        <f t="shared" si="46"/>
        <v>2008Piper-HeidsieckVintage Brut</v>
      </c>
      <c r="B816" s="37">
        <v>2008</v>
      </c>
      <c r="C816" s="37" t="s">
        <v>411</v>
      </c>
      <c r="D816" s="37" t="s">
        <v>412</v>
      </c>
      <c r="E816" s="64" t="s">
        <v>416</v>
      </c>
      <c r="F816" s="37" t="s">
        <v>742</v>
      </c>
      <c r="G816" s="37" t="s">
        <v>416</v>
      </c>
      <c r="I816" s="107">
        <v>1</v>
      </c>
      <c r="J816" s="37">
        <v>750</v>
      </c>
      <c r="K816" s="107" t="s">
        <v>644</v>
      </c>
      <c r="L816" s="37">
        <f>COUNTIF(Drank!A:A,Table1[[#This Row],[ID]])</f>
        <v>1</v>
      </c>
      <c r="M816" s="37" t="s">
        <v>201</v>
      </c>
      <c r="N816" s="37" t="s">
        <v>638</v>
      </c>
      <c r="O816" s="37">
        <v>1</v>
      </c>
      <c r="P816" s="37">
        <v>2018</v>
      </c>
      <c r="Q816" s="37">
        <v>2030</v>
      </c>
      <c r="R816" s="10" t="str">
        <f>IF(IFERROR(VLOOKUP(A816,Drank!A:S,15,FALSE),"")=0,"",IFERROR(VLOOKUP(A816,Drank!A:S,15,FALSE),""))</f>
        <v/>
      </c>
      <c r="S816" s="10" t="str">
        <f>IF(IFERROR(VLOOKUP(A816,Drank!A:S,16,FALSE),"")=0,"",IFERROR(VLOOKUP(A816,Drank!A:S,16,FALSE),""))</f>
        <v/>
      </c>
      <c r="T816" s="10"/>
      <c r="U816" s="37">
        <v>94</v>
      </c>
      <c r="V816" s="18">
        <f>IF(IFERROR(VLOOKUP(A816,Drank!A:T,19,FALSE),"")=0,"",IFERROR(VLOOKUP(A816,Drank!A:T,19,FALSE),""))</f>
        <v>94</v>
      </c>
      <c r="W816" s="1">
        <f>IF(IFERROR(VLOOKUP(A816,Drank!A:T,20,FALSE),"")=0,"",IFERROR(VLOOKUP(A816,Drank!A:T,20,FALSE),""))</f>
        <v>43831</v>
      </c>
      <c r="X816" s="10">
        <f>SUMIF(A:A,A816,I:I)</f>
        <v>1</v>
      </c>
      <c r="Y816" s="37">
        <f>IF(Table1[[#This Row],[Drank]]&gt;0,VLOOKUP(Table1[[#This Row],[ID]],Drank!A:P,16,FALSE),IF(Table1[[#This Row],[WALDD]]&gt;0,VLOOKUP(Table1[[#This Row],[ID]],Wine1!A:Q,17,FALSE),Table1[[#This Row],[EP]]))</f>
        <v>0</v>
      </c>
      <c r="Z816" s="18">
        <f>IF(Table1[[#This Row],[My Rating]]="",IF(Table1[[#This Row],[WA Rating Clean]]="","",Table1[[#This Row],[WA Rating Clean]]),Table1[[#This Row],[My Rating]])</f>
        <v>94</v>
      </c>
      <c r="AA816" s="37">
        <v>2028</v>
      </c>
      <c r="AB816" s="4">
        <v>60</v>
      </c>
      <c r="AC816" s="2">
        <f t="shared" si="47"/>
        <v>60</v>
      </c>
      <c r="AD816" s="8">
        <v>2</v>
      </c>
      <c r="AE816" s="37">
        <f>IF(Table1[[#This Row],[P/750]]&lt;20,1,IF(Table1[[#This Row],[P/750]]&lt;50,2,3))</f>
        <v>3</v>
      </c>
      <c r="AF816" s="37">
        <f>IF(Table1[[#This Row],[P/750]]&lt;Expenses!$C$30,1,IF(Table1[[#This Row],[P/750]]&lt;Expenses!$C$31,2,IF(Table1[[#This Row],[P/750]]&lt;Expenses!$C$32,3,4)))</f>
        <v>3</v>
      </c>
      <c r="AH816" s="37" t="s">
        <v>415</v>
      </c>
      <c r="AI816" s="11">
        <f>Table1[[#This Row],[Price]]/Table1[[#This Row],[Size (ml)]]*750</f>
        <v>60</v>
      </c>
      <c r="AJ816" s="37">
        <v>94</v>
      </c>
      <c r="AK816" s="37">
        <f>COUNTIF(UniqueID!A:A,Table1[[#This Row],[ID]])</f>
        <v>1</v>
      </c>
      <c r="AL816" s="37" t="str">
        <f>VLOOKUP(Table1[[#This Row],[Cellar Location]],Location!A:F,6,FALSE)</f>
        <v>S</v>
      </c>
      <c r="AO816" s="37" t="str">
        <f>TEXT(Table1[[#This Row],[Purchased]],"mmmm")</f>
        <v>January</v>
      </c>
      <c r="AP816" s="10" t="str">
        <f>TEXT(Table1[[#This Row],[Purchased]],"yyyy")</f>
        <v>1900</v>
      </c>
      <c r="AQ816" s="10"/>
    </row>
    <row r="817" spans="1:43" s="37" customFormat="1" x14ac:dyDescent="0.25">
      <c r="A817" s="37" t="str">
        <f t="shared" si="46"/>
        <v>2016Doisy-VedrinesPetit-Vedrines</v>
      </c>
      <c r="B817" s="37">
        <v>2016</v>
      </c>
      <c r="C817" s="37" t="s">
        <v>843</v>
      </c>
      <c r="D817" s="37" t="s">
        <v>1686</v>
      </c>
      <c r="E817" s="69" t="s">
        <v>1688</v>
      </c>
      <c r="F817" s="37" t="s">
        <v>742</v>
      </c>
      <c r="G817" s="37" t="s">
        <v>748</v>
      </c>
      <c r="H817" s="37" t="s">
        <v>260</v>
      </c>
      <c r="I817" s="8">
        <v>1</v>
      </c>
      <c r="J817" s="38">
        <v>375</v>
      </c>
      <c r="K817" s="38" t="s">
        <v>1687</v>
      </c>
      <c r="L817" s="10">
        <f>COUNTIF(Drank!A:A,Table1[[#This Row],[ID]])</f>
        <v>0</v>
      </c>
      <c r="M817" s="37" t="s">
        <v>201</v>
      </c>
      <c r="N817" s="37" t="s">
        <v>206</v>
      </c>
      <c r="O817" s="37">
        <v>0</v>
      </c>
      <c r="R817" s="10" t="str">
        <f>IF(IFERROR(VLOOKUP(A817,Drank!A:S,15,FALSE),"")=0,"",IFERROR(VLOOKUP(A817,Drank!A:S,15,FALSE),""))</f>
        <v/>
      </c>
      <c r="S817" s="10" t="str">
        <f>IF(IFERROR(VLOOKUP(A817,Drank!A:S,16,FALSE),"")=0,"",IFERROR(VLOOKUP(A817,Drank!A:S,16,FALSE),""))</f>
        <v/>
      </c>
      <c r="T817" s="10"/>
      <c r="V817" s="18" t="str">
        <f>IF(IFERROR(VLOOKUP(A817,Drank!A:T,19,FALSE),"")=0,"",IFERROR(VLOOKUP(A817,Drank!A:T,19,FALSE),""))</f>
        <v/>
      </c>
      <c r="W817" s="1" t="str">
        <f>IF(IFERROR(VLOOKUP(A817,Drank!A:T,20,FALSE),"")=0,"",IFERROR(VLOOKUP(A817,Drank!A:T,20,FALSE),""))</f>
        <v/>
      </c>
      <c r="X817" s="10">
        <f>SUMIF(A:A,A817,I:I)</f>
        <v>24</v>
      </c>
      <c r="Y817" s="10">
        <f>IF(Table1[[#This Row],[Drank]]&gt;0,VLOOKUP(Table1[[#This Row],[ID]],Drank!A:P,16,FALSE),IF(Table1[[#This Row],[WALDD]]&gt;0,VLOOKUP(Table1[[#This Row],[ID]],Wine1!A:Q,17,FALSE),Table1[[#This Row],[EP]]))</f>
        <v>0</v>
      </c>
      <c r="Z817" s="18" t="str">
        <f>IF(Table1[[#This Row],[My Rating]]="",IF(Table1[[#This Row],[WA Rating Clean]]="","",Table1[[#This Row],[WA Rating Clean]]),Table1[[#This Row],[My Rating]])</f>
        <v/>
      </c>
      <c r="AA817" s="8">
        <v>2028</v>
      </c>
      <c r="AB817" s="4">
        <v>16.399999999999999</v>
      </c>
      <c r="AC817" s="2">
        <f t="shared" si="47"/>
        <v>16.399999999999999</v>
      </c>
      <c r="AD817" s="8">
        <v>1</v>
      </c>
      <c r="AE817" s="10">
        <f>IF(Table1[[#This Row],[P/750]]&lt;20,1,IF(Table1[[#This Row],[P/750]]&lt;50,2,3))</f>
        <v>2</v>
      </c>
      <c r="AF817" s="10">
        <f>IF(Table1[[#This Row],[P/750]]&lt;Expenses!$C$30,1,IF(Table1[[#This Row],[P/750]]&lt;Expenses!$C$31,2,IF(Table1[[#This Row],[P/750]]&lt;Expenses!$C$32,3,4)))</f>
        <v>3</v>
      </c>
      <c r="AH817" s="37" t="s">
        <v>1189</v>
      </c>
      <c r="AI817" s="11">
        <f>Table1[[#This Row],[Price]]/Table1[[#This Row],[Size (ml)]]*750</f>
        <v>32.799999999999997</v>
      </c>
      <c r="AK817" s="10">
        <f>COUNTIF(UniqueID!A:A,Table1[[#This Row],[ID]])</f>
        <v>0</v>
      </c>
      <c r="AL817" s="10" t="str">
        <f>VLOOKUP(Table1[[#This Row],[Cellar Location]],Location!A:F,6,FALSE)</f>
        <v>W</v>
      </c>
      <c r="AN817" s="1">
        <v>44061</v>
      </c>
      <c r="AO817" s="10" t="str">
        <f>TEXT(Table1[[#This Row],[Purchased]],"mmmm")</f>
        <v>August</v>
      </c>
      <c r="AP817" s="10" t="str">
        <f>TEXT(Table1[[#This Row],[Purchased]],"yyyy")</f>
        <v>2020</v>
      </c>
      <c r="AQ817" s="1">
        <v>44137</v>
      </c>
    </row>
    <row r="818" spans="1:43" s="37" customFormat="1" x14ac:dyDescent="0.25">
      <c r="A818" s="37" t="str">
        <f t="shared" si="46"/>
        <v>2017AaltoAalto</v>
      </c>
      <c r="B818" s="37">
        <v>2017</v>
      </c>
      <c r="C818" s="37" t="s">
        <v>1184</v>
      </c>
      <c r="D818" s="37" t="s">
        <v>1184</v>
      </c>
      <c r="E818" s="67" t="s">
        <v>1220</v>
      </c>
      <c r="F818" s="37" t="s">
        <v>729</v>
      </c>
      <c r="G818" s="37" t="s">
        <v>1718</v>
      </c>
      <c r="H818" s="37" t="s">
        <v>818</v>
      </c>
      <c r="I818" s="8">
        <v>1</v>
      </c>
      <c r="J818" s="38">
        <v>750</v>
      </c>
      <c r="K818" s="38" t="s">
        <v>435</v>
      </c>
      <c r="L818" s="10">
        <f>COUNTIF(Drank!A:A,Table1[[#This Row],[ID]])</f>
        <v>0</v>
      </c>
      <c r="M818" s="37" t="s">
        <v>202</v>
      </c>
      <c r="N818" s="37" t="s">
        <v>207</v>
      </c>
      <c r="O818" s="37">
        <v>1</v>
      </c>
      <c r="P818" s="10">
        <v>2020</v>
      </c>
      <c r="Q818" s="37">
        <v>2025</v>
      </c>
      <c r="R818" s="10" t="str">
        <f>IF(IFERROR(VLOOKUP(A818,Drank!A:S,15,FALSE),"")=0,"",IFERROR(VLOOKUP(A818,Drank!A:S,15,FALSE),""))</f>
        <v/>
      </c>
      <c r="S818" s="10" t="str">
        <f>IF(IFERROR(VLOOKUP(A818,Drank!A:S,16,FALSE),"")=0,"",IFERROR(VLOOKUP(A818,Drank!A:S,16,FALSE),""))</f>
        <v/>
      </c>
      <c r="T818" s="10"/>
      <c r="U818" s="37">
        <v>94</v>
      </c>
      <c r="V818" s="18" t="str">
        <f>IF(IFERROR(VLOOKUP(A818,Drank!A:T,19,FALSE),"")=0,"",IFERROR(VLOOKUP(A818,Drank!A:T,19,FALSE),""))</f>
        <v/>
      </c>
      <c r="W818" s="1" t="str">
        <f>IF(IFERROR(VLOOKUP(A818,Drank!A:T,20,FALSE),"")=0,"",IFERROR(VLOOKUP(A818,Drank!A:T,20,FALSE),""))</f>
        <v/>
      </c>
      <c r="X818" s="10">
        <f>SUMIF(A:A,A818,I:I)</f>
        <v>5</v>
      </c>
      <c r="Y818" s="10">
        <f>IF(Table1[[#This Row],[Drank]]&gt;0,VLOOKUP(Table1[[#This Row],[ID]],Drank!A:P,16,FALSE),IF(Table1[[#This Row],[WALDD]]&gt;0,VLOOKUP(Table1[[#This Row],[ID]],Wine1!A:Q,17,FALSE),Table1[[#This Row],[EP]]))</f>
        <v>2025</v>
      </c>
      <c r="Z818" s="18">
        <f>IF(Table1[[#This Row],[My Rating]]="",IF(Table1[[#This Row],[WA Rating Clean]]="","",Table1[[#This Row],[WA Rating Clean]]),Table1[[#This Row],[My Rating]])</f>
        <v>94</v>
      </c>
      <c r="AA818" s="37">
        <v>2028</v>
      </c>
      <c r="AB818" s="4">
        <v>44.99</v>
      </c>
      <c r="AC818" s="2">
        <f t="shared" si="47"/>
        <v>44.99</v>
      </c>
      <c r="AD818" s="8">
        <v>1</v>
      </c>
      <c r="AE818" s="10">
        <f>IF(Table1[[#This Row],[P/750]]&lt;20,1,IF(Table1[[#This Row],[P/750]]&lt;50,2,3))</f>
        <v>2</v>
      </c>
      <c r="AF818" s="10">
        <f>IF(Table1[[#This Row],[P/750]]&lt;Expenses!$C$30,1,IF(Table1[[#This Row],[P/750]]&lt;Expenses!$C$31,2,IF(Table1[[#This Row],[P/750]]&lt;Expenses!$C$32,3,4)))</f>
        <v>3</v>
      </c>
      <c r="AH818" s="37" t="s">
        <v>1744</v>
      </c>
      <c r="AI818" s="11">
        <f>Table1[[#This Row],[Price]]/Table1[[#This Row],[Size (ml)]]*750</f>
        <v>44.99</v>
      </c>
      <c r="AJ818" s="37">
        <v>94</v>
      </c>
      <c r="AK818" s="10">
        <f>COUNTIF(UniqueID!A:A,Table1[[#This Row],[ID]])</f>
        <v>0</v>
      </c>
      <c r="AL818" s="10" t="str">
        <f>VLOOKUP(Table1[[#This Row],[Cellar Location]],Location!A:F,6,FALSE)</f>
        <v>W</v>
      </c>
      <c r="AN818" s="1">
        <v>44063</v>
      </c>
      <c r="AO818" s="10" t="str">
        <f>TEXT(Table1[[#This Row],[Purchased]],"mmmm")</f>
        <v>August</v>
      </c>
      <c r="AP818" s="10" t="str">
        <f>TEXT(Table1[[#This Row],[Purchased]],"yyyy")</f>
        <v>2020</v>
      </c>
      <c r="AQ818" s="1">
        <v>44114</v>
      </c>
    </row>
    <row r="819" spans="1:43" x14ac:dyDescent="0.25">
      <c r="A819" t="str">
        <f t="shared" si="46"/>
        <v>2016Domaine La Grangette Saint JosephGigondas la Grangette des Garrigues</v>
      </c>
      <c r="B819" s="37">
        <v>2016</v>
      </c>
      <c r="C819" s="37" t="s">
        <v>420</v>
      </c>
      <c r="D819" s="25" t="s">
        <v>421</v>
      </c>
      <c r="E819" s="69" t="s">
        <v>1225</v>
      </c>
      <c r="F819" s="37" t="s">
        <v>742</v>
      </c>
      <c r="G819" s="37" t="s">
        <v>759</v>
      </c>
      <c r="H819" s="37" t="s">
        <v>764</v>
      </c>
      <c r="I819" s="107">
        <v>1</v>
      </c>
      <c r="J819">
        <v>750</v>
      </c>
      <c r="K819" s="107" t="s">
        <v>647</v>
      </c>
      <c r="L819" s="37">
        <f>COUNTIF(Drank!A:A,Table1[[#This Row],[ID]])</f>
        <v>1</v>
      </c>
      <c r="M819" t="s">
        <v>202</v>
      </c>
      <c r="N819" t="s">
        <v>207</v>
      </c>
      <c r="O819">
        <v>1</v>
      </c>
      <c r="P819" s="37">
        <v>2018</v>
      </c>
      <c r="Q819">
        <v>2028</v>
      </c>
      <c r="R819" s="10">
        <f>IF(IFERROR(VLOOKUP(A819,Drank!A:S,15,FALSE),"")=0,"",IFERROR(VLOOKUP(A819,Drank!A:S,15,FALSE),""))</f>
        <v>2021</v>
      </c>
      <c r="S819" s="10">
        <f>IF(IFERROR(VLOOKUP(A819,Drank!A:S,16,FALSE),"")=0,"",IFERROR(VLOOKUP(A819,Drank!A:S,16,FALSE),""))</f>
        <v>2027</v>
      </c>
      <c r="T819" s="10"/>
      <c r="U819">
        <v>94</v>
      </c>
      <c r="V819" s="18">
        <f>IF(IFERROR(VLOOKUP(A819,Drank!A:T,19,FALSE),"")=0,"",IFERROR(VLOOKUP(A819,Drank!A:T,19,FALSE),""))</f>
        <v>92</v>
      </c>
      <c r="W819" s="1">
        <f>IF(IFERROR(VLOOKUP(A819,Drank!A:T,20,FALSE),"")=0,"",IFERROR(VLOOKUP(A819,Drank!A:T,20,FALSE),""))</f>
        <v>43834</v>
      </c>
      <c r="X819" s="10">
        <f>SUMIF(A:A,A819,I:I)</f>
        <v>11</v>
      </c>
      <c r="Y819" s="37">
        <f>IF(Table1[[#This Row],[Drank]]&gt;0,VLOOKUP(Table1[[#This Row],[ID]],Drank!A:P,16,FALSE),IF(Table1[[#This Row],[WALDD]]&gt;0,VLOOKUP(Table1[[#This Row],[ID]],Wine1!A:Q,17,FALSE),Table1[[#This Row],[EP]]))</f>
        <v>2027</v>
      </c>
      <c r="Z819" s="18">
        <f>IF(Table1[[#This Row],[My Rating]]="",IF(Table1[[#This Row],[WA Rating Clean]]="","",Table1[[#This Row],[WA Rating Clean]]),Table1[[#This Row],[My Rating]])</f>
        <v>92</v>
      </c>
      <c r="AA819" s="37">
        <v>2028</v>
      </c>
      <c r="AB819" s="4">
        <v>23</v>
      </c>
      <c r="AC819" s="2">
        <f t="shared" si="47"/>
        <v>23</v>
      </c>
      <c r="AD819" s="8">
        <v>2</v>
      </c>
      <c r="AE819" s="37">
        <f>IF(Table1[[#This Row],[P/750]]&lt;20,1,IF(Table1[[#This Row],[P/750]]&lt;50,2,3))</f>
        <v>2</v>
      </c>
      <c r="AF819" s="37">
        <f>IF(Table1[[#This Row],[P/750]]&lt;Expenses!$C$30,1,IF(Table1[[#This Row],[P/750]]&lt;Expenses!$C$31,2,IF(Table1[[#This Row],[P/750]]&lt;Expenses!$C$32,3,4)))</f>
        <v>2</v>
      </c>
      <c r="AH819" t="s">
        <v>384</v>
      </c>
      <c r="AI819" s="11">
        <f>Table1[[#This Row],[Price]]/Table1[[#This Row],[Size (ml)]]*750</f>
        <v>23</v>
      </c>
      <c r="AJ819">
        <v>94</v>
      </c>
      <c r="AK819" s="37">
        <f>COUNTIF(UniqueID!A:A,Table1[[#This Row],[ID]])</f>
        <v>1</v>
      </c>
      <c r="AL819" s="37" t="str">
        <f>VLOOKUP(Table1[[#This Row],[Cellar Location]],Location!A:F,6,FALSE)</f>
        <v>S</v>
      </c>
      <c r="AN819" s="37"/>
      <c r="AO819" s="37" t="str">
        <f>TEXT(Table1[[#This Row],[Purchased]],"mmmm")</f>
        <v>January</v>
      </c>
      <c r="AP819" s="10" t="str">
        <f>TEXT(Table1[[#This Row],[Purchased]],"yyyy")</f>
        <v>1900</v>
      </c>
      <c r="AQ819" s="10"/>
    </row>
    <row r="820" spans="1:43" x14ac:dyDescent="0.25">
      <c r="A820" t="str">
        <f t="shared" si="46"/>
        <v>2013Giuseppe CampagnolaAmarone della Valpolicella Classico Riserva Caterina Zardini</v>
      </c>
      <c r="B820" s="37">
        <v>2013</v>
      </c>
      <c r="C820" s="37" t="s">
        <v>311</v>
      </c>
      <c r="D820" s="37" t="s">
        <v>312</v>
      </c>
      <c r="E820" s="64" t="s">
        <v>313</v>
      </c>
      <c r="F820" s="37" t="s">
        <v>728</v>
      </c>
      <c r="G820" s="37" t="s">
        <v>799</v>
      </c>
      <c r="H820" s="37" t="s">
        <v>800</v>
      </c>
      <c r="I820" s="37">
        <v>1</v>
      </c>
      <c r="J820" s="107">
        <v>750</v>
      </c>
      <c r="K820" s="8" t="s">
        <v>1832</v>
      </c>
      <c r="L820" s="37">
        <f>COUNTIF(Drank!A:A,Table1[[#This Row],[ID]])</f>
        <v>0</v>
      </c>
      <c r="M820" t="s">
        <v>202</v>
      </c>
      <c r="N820" t="s">
        <v>207</v>
      </c>
      <c r="O820">
        <v>1</v>
      </c>
      <c r="P820" s="37">
        <v>2019</v>
      </c>
      <c r="Q820">
        <v>2027</v>
      </c>
      <c r="R820" s="10" t="str">
        <f>IF(IFERROR(VLOOKUP(A820,Drank!A:S,15,FALSE),"")=0,"",IFERROR(VLOOKUP(A820,Drank!A:S,15,FALSE),""))</f>
        <v/>
      </c>
      <c r="S820" s="10" t="str">
        <f>IF(IFERROR(VLOOKUP(A820,Drank!A:S,16,FALSE),"")=0,"",IFERROR(VLOOKUP(A820,Drank!A:S,16,FALSE),""))</f>
        <v/>
      </c>
      <c r="T820" s="10"/>
      <c r="U820">
        <v>93</v>
      </c>
      <c r="V820" s="18" t="str">
        <f>IF(IFERROR(VLOOKUP(A820,Drank!A:T,19,FALSE),"")=0,"",IFERROR(VLOOKUP(A820,Drank!A:T,19,FALSE),""))</f>
        <v/>
      </c>
      <c r="W820" s="1" t="str">
        <f>IF(IFERROR(VLOOKUP(A820,Drank!A:T,20,FALSE),"")=0,"",IFERROR(VLOOKUP(A820,Drank!A:T,20,FALSE),""))</f>
        <v/>
      </c>
      <c r="X820" s="10">
        <f>SUMIF(A:A,A820,I:I)</f>
        <v>2</v>
      </c>
      <c r="Y820" s="37">
        <f>IF(Table1[[#This Row],[Drank]]&gt;0,VLOOKUP(Table1[[#This Row],[ID]],Drank!A:P,16,FALSE),IF(Table1[[#This Row],[WALDD]]&gt;0,VLOOKUP(Table1[[#This Row],[ID]],Wine1!A:Q,17,FALSE),Table1[[#This Row],[EP]]))</f>
        <v>2027</v>
      </c>
      <c r="Z820" s="18">
        <f>IF(Table1[[#This Row],[My Rating]]="",IF(Table1[[#This Row],[WA Rating Clean]]="","",Table1[[#This Row],[WA Rating Clean]]),Table1[[#This Row],[My Rating]])</f>
        <v>93</v>
      </c>
      <c r="AA820" s="6">
        <v>2028</v>
      </c>
      <c r="AB820" s="4">
        <v>39.979999999999997</v>
      </c>
      <c r="AC820" s="2">
        <f t="shared" si="47"/>
        <v>39.979999999999997</v>
      </c>
      <c r="AD820" s="8">
        <v>0</v>
      </c>
      <c r="AE820" s="37">
        <f>IF(Table1[[#This Row],[P/750]]&lt;20,1,IF(Table1[[#This Row],[P/750]]&lt;50,2,3))</f>
        <v>2</v>
      </c>
      <c r="AF820" s="37">
        <f>IF(Table1[[#This Row],[P/750]]&lt;Expenses!$C$30,1,IF(Table1[[#This Row],[P/750]]&lt;Expenses!$C$31,2,IF(Table1[[#This Row],[P/750]]&lt;Expenses!$C$32,3,4)))</f>
        <v>3</v>
      </c>
      <c r="AH820" s="37" t="s">
        <v>384</v>
      </c>
      <c r="AI820" s="11">
        <f>Table1[[#This Row],[Price]]/Table1[[#This Row],[Size (ml)]]*750</f>
        <v>39.979999999999997</v>
      </c>
      <c r="AJ820">
        <v>93</v>
      </c>
      <c r="AK820" s="37">
        <f>COUNTIF(UniqueID!A:A,Table1[[#This Row],[ID]])</f>
        <v>1</v>
      </c>
      <c r="AL820" s="37" t="str">
        <f>VLOOKUP(Table1[[#This Row],[Cellar Location]],Location!A:F,6,FALSE)</f>
        <v>S</v>
      </c>
      <c r="AN820" s="37"/>
      <c r="AO820" s="37" t="str">
        <f>TEXT(Table1[[#This Row],[Purchased]],"mmmm")</f>
        <v>January</v>
      </c>
      <c r="AP820" s="10" t="str">
        <f>TEXT(Table1[[#This Row],[Purchased]],"yyyy")</f>
        <v>1900</v>
      </c>
      <c r="AQ820" s="10"/>
    </row>
    <row r="821" spans="1:43" x14ac:dyDescent="0.25">
      <c r="A821" t="str">
        <f t="shared" si="46"/>
        <v>2009Hermanos Perez PascuasEl Pedrosal Reserva</v>
      </c>
      <c r="B821">
        <v>2009</v>
      </c>
      <c r="C821" s="9" t="s">
        <v>1543</v>
      </c>
      <c r="D821" s="9" t="s">
        <v>1544</v>
      </c>
      <c r="E821" s="69" t="s">
        <v>276</v>
      </c>
      <c r="F821" s="37" t="s">
        <v>729</v>
      </c>
      <c r="G821" s="37" t="s">
        <v>1718</v>
      </c>
      <c r="H821" s="37" t="s">
        <v>818</v>
      </c>
      <c r="I821" s="78">
        <v>1</v>
      </c>
      <c r="J821" s="37">
        <v>750</v>
      </c>
      <c r="K821" s="78" t="s">
        <v>1545</v>
      </c>
      <c r="L821" s="10">
        <f>COUNTIF(Drank!A:A,Table1[[#This Row],[ID]])</f>
        <v>2</v>
      </c>
      <c r="M821" t="s">
        <v>202</v>
      </c>
      <c r="N821" t="s">
        <v>207</v>
      </c>
      <c r="O821">
        <v>1</v>
      </c>
      <c r="P821" s="37">
        <v>2020</v>
      </c>
      <c r="Q821">
        <v>2029</v>
      </c>
      <c r="R821" s="10">
        <f>IF(IFERROR(VLOOKUP(A821,Drank!A:S,15,FALSE),"")=0,"",IFERROR(VLOOKUP(A821,Drank!A:S,15,FALSE),""))</f>
        <v>2020</v>
      </c>
      <c r="S821" s="10">
        <f>IF(IFERROR(VLOOKUP(A821,Drank!A:S,16,FALSE),"")=0,"",IFERROR(VLOOKUP(A821,Drank!A:S,16,FALSE),""))</f>
        <v>2027</v>
      </c>
      <c r="T821" s="10"/>
      <c r="U821">
        <v>95</v>
      </c>
      <c r="V821" s="18">
        <f>IF(IFERROR(VLOOKUP(A821,Drank!A:T,19,FALSE),"")=0,"",IFERROR(VLOOKUP(A821,Drank!A:T,19,FALSE),""))</f>
        <v>94.5</v>
      </c>
      <c r="W821" s="1">
        <f>IF(IFERROR(VLOOKUP(A821,Drank!A:T,20,FALSE),"")=0,"",IFERROR(VLOOKUP(A821,Drank!A:T,20,FALSE),""))</f>
        <v>44079</v>
      </c>
      <c r="X821" s="10">
        <f>SUMIF(A:A,A821,I:I)</f>
        <v>17</v>
      </c>
      <c r="Y821" s="10">
        <f>IF(Table1[[#This Row],[Drank]]&gt;0,VLOOKUP(Table1[[#This Row],[ID]],Drank!A:P,16,FALSE),IF(Table1[[#This Row],[WALDD]]&gt;0,VLOOKUP(Table1[[#This Row],[ID]],Wine1!A:Q,17,FALSE),Table1[[#This Row],[EP]]))</f>
        <v>2027</v>
      </c>
      <c r="Z821" s="18">
        <f>IF(Table1[[#This Row],[My Rating]]="",IF(Table1[[#This Row],[WA Rating Clean]]="","",Table1[[#This Row],[WA Rating Clean]]),Table1[[#This Row],[My Rating]])</f>
        <v>94.5</v>
      </c>
      <c r="AA821" s="37">
        <v>2028</v>
      </c>
      <c r="AB821" s="4">
        <v>29.32</v>
      </c>
      <c r="AC821" s="2">
        <f t="shared" si="47"/>
        <v>29.32</v>
      </c>
      <c r="AD821" s="8">
        <v>2</v>
      </c>
      <c r="AE821" s="10">
        <f>IF(Table1[[#This Row],[P/750]]&lt;20,1,IF(Table1[[#This Row],[P/750]]&lt;50,2,3))</f>
        <v>2</v>
      </c>
      <c r="AF821" s="10">
        <f>IF(Table1[[#This Row],[P/750]]&lt;Expenses!$C$30,1,IF(Table1[[#This Row],[P/750]]&lt;Expenses!$C$31,2,IF(Table1[[#This Row],[P/750]]&lt;Expenses!$C$32,3,4)))</f>
        <v>2</v>
      </c>
      <c r="AH821" t="s">
        <v>1545</v>
      </c>
      <c r="AI821" s="11">
        <f>Table1[[#This Row],[Price]]/Table1[[#This Row],[Size (ml)]]*750</f>
        <v>29.32</v>
      </c>
      <c r="AJ821">
        <v>95</v>
      </c>
      <c r="AK821" s="10">
        <f>COUNTIF(UniqueID!A:A,Table1[[#This Row],[ID]])</f>
        <v>0</v>
      </c>
      <c r="AL821" s="10" t="str">
        <f>VLOOKUP(Table1[[#This Row],[Cellar Location]],Location!A:F,6,FALSE)</f>
        <v>W</v>
      </c>
      <c r="AN821" s="1">
        <v>44040</v>
      </c>
      <c r="AO821" s="10" t="str">
        <f>TEXT(Table1[[#This Row],[Purchased]],"mmmm")</f>
        <v>July</v>
      </c>
      <c r="AP821" s="10" t="str">
        <f>TEXT(Table1[[#This Row],[Purchased]],"yyyy")</f>
        <v>2020</v>
      </c>
      <c r="AQ821" s="10"/>
    </row>
    <row r="822" spans="1:43" s="37" customFormat="1" x14ac:dyDescent="0.25">
      <c r="A822" s="37" t="str">
        <f t="shared" si="46"/>
        <v>2015AllegriniAmarone della Valpolicella Classico</v>
      </c>
      <c r="B822" s="37">
        <v>2015</v>
      </c>
      <c r="C822" s="37" t="s">
        <v>111</v>
      </c>
      <c r="D822" s="9" t="s">
        <v>26</v>
      </c>
      <c r="E822" s="67" t="s">
        <v>1776</v>
      </c>
      <c r="F822" s="37" t="s">
        <v>728</v>
      </c>
      <c r="G822" s="37" t="s">
        <v>799</v>
      </c>
      <c r="H822" s="37" t="s">
        <v>800</v>
      </c>
      <c r="I822" s="37">
        <v>1</v>
      </c>
      <c r="J822" s="107">
        <v>750</v>
      </c>
      <c r="K822" s="8" t="s">
        <v>1830</v>
      </c>
      <c r="L822" s="10">
        <f>COUNTIF(Drank!A:A,Table1[[#This Row],[ID]])</f>
        <v>0</v>
      </c>
      <c r="M822" s="37" t="s">
        <v>202</v>
      </c>
      <c r="N822" s="37" t="s">
        <v>207</v>
      </c>
      <c r="O822" s="37">
        <v>1</v>
      </c>
      <c r="P822" s="10"/>
      <c r="R822" s="10" t="str">
        <f>IF(IFERROR(VLOOKUP(A822,Drank!A:S,15,FALSE),"")=0,"",IFERROR(VLOOKUP(A822,Drank!A:S,15,FALSE),""))</f>
        <v/>
      </c>
      <c r="S822" s="10" t="str">
        <f>IF(IFERROR(VLOOKUP(A822,Drank!A:S,16,FALSE),"")=0,"",IFERROR(VLOOKUP(A822,Drank!A:S,16,FALSE),""))</f>
        <v/>
      </c>
      <c r="T822" s="10">
        <v>2028</v>
      </c>
      <c r="V822" s="18" t="str">
        <f>IF(IFERROR(VLOOKUP(A822,Drank!A:T,19,FALSE),"")=0,"",IFERROR(VLOOKUP(A822,Drank!A:T,19,FALSE),""))</f>
        <v/>
      </c>
      <c r="W822" s="1" t="str">
        <f>IF(IFERROR(VLOOKUP(A822,Drank!A:T,20,FALSE),"")=0,"",IFERROR(VLOOKUP(A822,Drank!A:T,20,FALSE),""))</f>
        <v/>
      </c>
      <c r="X822" s="10">
        <f>SUMIF(A:A,A822,I:I)</f>
        <v>2</v>
      </c>
      <c r="Y822" s="10">
        <f>IF(Table1[[#This Row],[Drank]]&gt;0,VLOOKUP(Table1[[#This Row],[ID]],Drank!A:P,16,FALSE),IF(Table1[[#This Row],[WALDD]]&gt;0,VLOOKUP(Table1[[#This Row],[ID]],Wine1!A:Q,17,FALSE),Table1[[#This Row],[EP]]))</f>
        <v>2028</v>
      </c>
      <c r="Z822" s="18" t="str">
        <f>IF(Table1[[#This Row],[My Rating]]="",IF(Table1[[#This Row],[WA Rating Clean]]="","",Table1[[#This Row],[WA Rating Clean]]),Table1[[#This Row],[My Rating]])</f>
        <v/>
      </c>
      <c r="AA822" s="37">
        <v>2028</v>
      </c>
      <c r="AB822" s="129">
        <v>73.31</v>
      </c>
      <c r="AC822" s="2">
        <f t="shared" si="47"/>
        <v>73.31</v>
      </c>
      <c r="AD822" s="8">
        <v>1</v>
      </c>
      <c r="AE822" s="10">
        <f>IF(Table1[[#This Row],[P/750]]&lt;20,1,IF(Table1[[#This Row],[P/750]]&lt;50,2,3))</f>
        <v>3</v>
      </c>
      <c r="AF822" s="10">
        <f>IF(Table1[[#This Row],[P/750]]&lt;Expenses!$C$30,1,IF(Table1[[#This Row],[P/750]]&lt;Expenses!$C$31,2,IF(Table1[[#This Row],[P/750]]&lt;Expenses!$C$32,3,4)))</f>
        <v>4</v>
      </c>
      <c r="AH822" s="25" t="s">
        <v>1128</v>
      </c>
      <c r="AI822" s="11">
        <f>Table1[[#This Row],[Price]]/Table1[[#This Row],[Size (ml)]]*750</f>
        <v>73.31</v>
      </c>
      <c r="AK822" s="10">
        <f>COUNTIF(UniqueID!A:A,Table1[[#This Row],[ID]])</f>
        <v>0</v>
      </c>
      <c r="AL822" s="10" t="str">
        <f>VLOOKUP(Table1[[#This Row],[Cellar Location]],Location!A:F,6,FALSE)</f>
        <v>S</v>
      </c>
      <c r="AN822" s="1">
        <v>44070</v>
      </c>
      <c r="AO822" s="10" t="str">
        <f>TEXT(Table1[[#This Row],[Purchased]],"mmmm")</f>
        <v>August</v>
      </c>
      <c r="AP822" s="10" t="str">
        <f>TEXT(Table1[[#This Row],[Purchased]],"yyyy")</f>
        <v>2020</v>
      </c>
      <c r="AQ822" s="1"/>
    </row>
    <row r="823" spans="1:43" s="37" customFormat="1" x14ac:dyDescent="0.25">
      <c r="A823" s="37" t="str">
        <f t="shared" si="46"/>
        <v>2017Vintage LongbottomHenry's Drive Shiraz</v>
      </c>
      <c r="B823" s="8">
        <v>2017</v>
      </c>
      <c r="C823" s="37" t="s">
        <v>1547</v>
      </c>
      <c r="D823" s="32" t="s">
        <v>1548</v>
      </c>
      <c r="E823" s="69" t="s">
        <v>1549</v>
      </c>
      <c r="F823" s="37" t="s">
        <v>736</v>
      </c>
      <c r="G823" s="37" t="s">
        <v>737</v>
      </c>
      <c r="I823" s="37">
        <v>1</v>
      </c>
      <c r="J823" s="38">
        <v>750</v>
      </c>
      <c r="K823" s="38" t="s">
        <v>384</v>
      </c>
      <c r="L823" s="10">
        <f>COUNTIF(Drank!A:A,Table1[[#This Row],[ID]])</f>
        <v>0</v>
      </c>
      <c r="M823" s="37" t="s">
        <v>202</v>
      </c>
      <c r="N823" s="37" t="s">
        <v>207</v>
      </c>
      <c r="O823" s="37">
        <v>1</v>
      </c>
      <c r="P823" s="37">
        <v>2019</v>
      </c>
      <c r="Q823" s="37">
        <v>2028</v>
      </c>
      <c r="R823" s="10" t="str">
        <f>IF(IFERROR(VLOOKUP(A823,Drank!A:S,15,FALSE),"")=0,"",IFERROR(VLOOKUP(A823,Drank!A:S,15,FALSE),""))</f>
        <v/>
      </c>
      <c r="S823" s="10" t="str">
        <f>IF(IFERROR(VLOOKUP(A823,Drank!A:S,16,FALSE),"")=0,"",IFERROR(VLOOKUP(A823,Drank!A:S,16,FALSE),""))</f>
        <v/>
      </c>
      <c r="T823" s="10"/>
      <c r="U823" s="37">
        <v>92</v>
      </c>
      <c r="V823" s="18" t="str">
        <f>IF(IFERROR(VLOOKUP(A823,Drank!A:T,19,FALSE),"")=0,"",IFERROR(VLOOKUP(A823,Drank!A:T,19,FALSE),""))</f>
        <v/>
      </c>
      <c r="W823" s="1" t="str">
        <f>IF(IFERROR(VLOOKUP(A823,Drank!A:T,20,FALSE),"")=0,"",IFERROR(VLOOKUP(A823,Drank!A:T,20,FALSE),""))</f>
        <v/>
      </c>
      <c r="X823" s="10">
        <f>SUMIF(A:A,A823,I:I)</f>
        <v>4</v>
      </c>
      <c r="Y823" s="10">
        <f>IF(Table1[[#This Row],[Drank]]&gt;0,VLOOKUP(Table1[[#This Row],[ID]],Drank!A:P,16,FALSE),IF(Table1[[#This Row],[WALDD]]&gt;0,VLOOKUP(Table1[[#This Row],[ID]],Wine1!A:Q,17,FALSE),Table1[[#This Row],[EP]]))</f>
        <v>2028</v>
      </c>
      <c r="Z823" s="18">
        <f>IF(Table1[[#This Row],[My Rating]]="",IF(Table1[[#This Row],[WA Rating Clean]]="","",Table1[[#This Row],[WA Rating Clean]]),Table1[[#This Row],[My Rating]])</f>
        <v>92</v>
      </c>
      <c r="AA823" s="37">
        <v>2028</v>
      </c>
      <c r="AB823" s="4">
        <v>21.72</v>
      </c>
      <c r="AC823" s="2">
        <f t="shared" si="47"/>
        <v>21.72</v>
      </c>
      <c r="AD823" s="8">
        <v>1</v>
      </c>
      <c r="AE823" s="10">
        <f>IF(Table1[[#This Row],[P/750]]&lt;20,1,IF(Table1[[#This Row],[P/750]]&lt;50,2,3))</f>
        <v>2</v>
      </c>
      <c r="AF823" s="10">
        <f>IF(Table1[[#This Row],[P/750]]&lt;Expenses!$C$30,1,IF(Table1[[#This Row],[P/750]]&lt;Expenses!$C$31,2,IF(Table1[[#This Row],[P/750]]&lt;Expenses!$C$32,3,4)))</f>
        <v>2</v>
      </c>
      <c r="AH823" s="37" t="s">
        <v>384</v>
      </c>
      <c r="AI823" s="11">
        <f>Table1[[#This Row],[Price]]/Table1[[#This Row],[Size (ml)]]*750</f>
        <v>21.72</v>
      </c>
      <c r="AJ823" s="37">
        <v>92</v>
      </c>
      <c r="AK823" s="10">
        <f>COUNTIF(UniqueID!A:A,Table1[[#This Row],[ID]])</f>
        <v>0</v>
      </c>
      <c r="AL823" s="10" t="str">
        <f>VLOOKUP(Table1[[#This Row],[Cellar Location]],Location!A:F,6,FALSE)</f>
        <v>W</v>
      </c>
      <c r="AN823" s="1">
        <v>44036</v>
      </c>
      <c r="AO823" s="10" t="str">
        <f>TEXT(Table1[[#This Row],[Purchased]],"mmmm")</f>
        <v>July</v>
      </c>
      <c r="AP823" s="10" t="str">
        <f>TEXT(Table1[[#This Row],[Purchased]],"yyyy")</f>
        <v>2020</v>
      </c>
      <c r="AQ823" s="1">
        <v>44138</v>
      </c>
    </row>
    <row r="824" spans="1:43" s="37" customFormat="1" x14ac:dyDescent="0.25">
      <c r="A824" s="37" t="str">
        <f t="shared" si="46"/>
        <v>2017Domaine BelleCrozes Hermitage Cuvee Louis Belle</v>
      </c>
      <c r="B824" s="8">
        <v>2017</v>
      </c>
      <c r="C824" s="37" t="s">
        <v>1567</v>
      </c>
      <c r="D824" s="32" t="s">
        <v>1568</v>
      </c>
      <c r="E824" s="67" t="s">
        <v>1431</v>
      </c>
      <c r="F824" s="37" t="s">
        <v>742</v>
      </c>
      <c r="G824" s="37" t="s">
        <v>1569</v>
      </c>
      <c r="H824" s="37" t="s">
        <v>1626</v>
      </c>
      <c r="I824" s="37">
        <v>1</v>
      </c>
      <c r="J824" s="38">
        <v>750</v>
      </c>
      <c r="K824" s="38" t="s">
        <v>384</v>
      </c>
      <c r="L824" s="10">
        <f>COUNTIF(Drank!A:A,Table1[[#This Row],[ID]])</f>
        <v>0</v>
      </c>
      <c r="M824" s="37" t="s">
        <v>202</v>
      </c>
      <c r="N824" s="37" t="s">
        <v>207</v>
      </c>
      <c r="O824" s="37">
        <v>1</v>
      </c>
      <c r="P824" s="37">
        <v>2020</v>
      </c>
      <c r="Q824" s="37">
        <v>2028</v>
      </c>
      <c r="R824" s="10" t="str">
        <f>IF(IFERROR(VLOOKUP(A824,Drank!A:S,15,FALSE),"")=0,"",IFERROR(VLOOKUP(A824,Drank!A:S,15,FALSE),""))</f>
        <v/>
      </c>
      <c r="S824" s="10" t="str">
        <f>IF(IFERROR(VLOOKUP(A824,Drank!A:S,16,FALSE),"")=0,"",IFERROR(VLOOKUP(A824,Drank!A:S,16,FALSE),""))</f>
        <v/>
      </c>
      <c r="T824" s="10"/>
      <c r="U824" s="37">
        <v>92</v>
      </c>
      <c r="V824" s="18" t="str">
        <f>IF(IFERROR(VLOOKUP(A824,Drank!A:T,19,FALSE),"")=0,"",IFERROR(VLOOKUP(A824,Drank!A:T,19,FALSE),""))</f>
        <v/>
      </c>
      <c r="W824" s="1" t="str">
        <f>IF(IFERROR(VLOOKUP(A824,Drank!A:T,20,FALSE),"")=0,"",IFERROR(VLOOKUP(A824,Drank!A:T,20,FALSE),""))</f>
        <v/>
      </c>
      <c r="X824" s="10">
        <f>SUMIF(A:A,A824,I:I)</f>
        <v>4</v>
      </c>
      <c r="Y824" s="10">
        <f>IF(Table1[[#This Row],[Drank]]&gt;0,VLOOKUP(Table1[[#This Row],[ID]],Drank!A:P,16,FALSE),IF(Table1[[#This Row],[WALDD]]&gt;0,VLOOKUP(Table1[[#This Row],[ID]],Wine1!A:Q,17,FALSE),Table1[[#This Row],[EP]]))</f>
        <v>2028</v>
      </c>
      <c r="Z824" s="18">
        <f>IF(Table1[[#This Row],[My Rating]]="",IF(Table1[[#This Row],[WA Rating Clean]]="","",Table1[[#This Row],[WA Rating Clean]]),Table1[[#This Row],[My Rating]])</f>
        <v>92</v>
      </c>
      <c r="AA824" s="37">
        <v>2028</v>
      </c>
      <c r="AB824" s="4">
        <v>27.15</v>
      </c>
      <c r="AC824" s="2">
        <f t="shared" si="47"/>
        <v>27.15</v>
      </c>
      <c r="AD824" s="8">
        <v>1</v>
      </c>
      <c r="AE824" s="10">
        <f>IF(Table1[[#This Row],[P/750]]&lt;20,1,IF(Table1[[#This Row],[P/750]]&lt;50,2,3))</f>
        <v>2</v>
      </c>
      <c r="AF824" s="10">
        <f>IF(Table1[[#This Row],[P/750]]&lt;Expenses!$C$30,1,IF(Table1[[#This Row],[P/750]]&lt;Expenses!$C$31,2,IF(Table1[[#This Row],[P/750]]&lt;Expenses!$C$32,3,4)))</f>
        <v>2</v>
      </c>
      <c r="AH824" s="37" t="s">
        <v>384</v>
      </c>
      <c r="AI824" s="11">
        <f>Table1[[#This Row],[Price]]/Table1[[#This Row],[Size (ml)]]*750</f>
        <v>27.15</v>
      </c>
      <c r="AJ824" s="37">
        <v>92</v>
      </c>
      <c r="AK824" s="10">
        <f>COUNTIF(UniqueID!A:A,Table1[[#This Row],[ID]])</f>
        <v>0</v>
      </c>
      <c r="AL824" s="10" t="str">
        <f>VLOOKUP(Table1[[#This Row],[Cellar Location]],Location!A:F,6,FALSE)</f>
        <v>W</v>
      </c>
      <c r="AN824" s="1">
        <v>44050</v>
      </c>
      <c r="AO824" s="10" t="str">
        <f>TEXT(Table1[[#This Row],[Purchased]],"mmmm")</f>
        <v>August</v>
      </c>
      <c r="AP824" s="10" t="str">
        <f>TEXT(Table1[[#This Row],[Purchased]],"yyyy")</f>
        <v>2020</v>
      </c>
      <c r="AQ824" s="1">
        <v>44137</v>
      </c>
    </row>
    <row r="825" spans="1:43" s="37" customFormat="1" x14ac:dyDescent="0.25">
      <c r="A825" s="37" t="str">
        <f t="shared" si="46"/>
        <v>2015MazzeiCastello di Fonterutoli Concerto</v>
      </c>
      <c r="B825" s="37">
        <v>2015</v>
      </c>
      <c r="C825" s="37" t="s">
        <v>1166</v>
      </c>
      <c r="D825" s="37" t="s">
        <v>1580</v>
      </c>
      <c r="E825" s="67" t="s">
        <v>1581</v>
      </c>
      <c r="F825" s="37" t="s">
        <v>728</v>
      </c>
      <c r="G825" s="37" t="s">
        <v>790</v>
      </c>
      <c r="H825" s="37" t="s">
        <v>796</v>
      </c>
      <c r="I825" s="8">
        <v>1</v>
      </c>
      <c r="J825" s="38">
        <v>750</v>
      </c>
      <c r="K825" s="38" t="s">
        <v>384</v>
      </c>
      <c r="L825" s="10">
        <f>COUNTIF(Drank!A:A,Table1[[#This Row],[ID]])</f>
        <v>0</v>
      </c>
      <c r="M825" s="37" t="s">
        <v>202</v>
      </c>
      <c r="N825" s="37" t="s">
        <v>207</v>
      </c>
      <c r="P825" s="10">
        <v>2017</v>
      </c>
      <c r="Q825" s="37">
        <v>2028</v>
      </c>
      <c r="R825" s="10" t="str">
        <f>IF(IFERROR(VLOOKUP(A825,Drank!A:S,15,FALSE),"")=0,"",IFERROR(VLOOKUP(A825,Drank!A:S,15,FALSE),""))</f>
        <v/>
      </c>
      <c r="S825" s="10" t="str">
        <f>IF(IFERROR(VLOOKUP(A825,Drank!A:S,16,FALSE),"")=0,"",IFERROR(VLOOKUP(A825,Drank!A:S,16,FALSE),""))</f>
        <v/>
      </c>
      <c r="T825" s="10"/>
      <c r="U825" s="37">
        <v>92</v>
      </c>
      <c r="V825" s="18" t="str">
        <f>IF(IFERROR(VLOOKUP(A825,Drank!A:T,19,FALSE),"")=0,"",IFERROR(VLOOKUP(A825,Drank!A:T,19,FALSE),""))</f>
        <v/>
      </c>
      <c r="W825" s="1" t="str">
        <f>IF(IFERROR(VLOOKUP(A825,Drank!A:T,20,FALSE),"")=0,"",IFERROR(VLOOKUP(A825,Drank!A:T,20,FALSE),""))</f>
        <v/>
      </c>
      <c r="X825" s="10">
        <f>SUMIF(A:A,A825,I:I)</f>
        <v>4</v>
      </c>
      <c r="Y825" s="10">
        <f>IF(Table1[[#This Row],[Drank]]&gt;0,VLOOKUP(Table1[[#This Row],[ID]],Drank!A:P,16,FALSE),IF(Table1[[#This Row],[WALDD]]&gt;0,VLOOKUP(Table1[[#This Row],[ID]],Wine1!A:Q,17,FALSE),Table1[[#This Row],[EP]]))</f>
        <v>2028</v>
      </c>
      <c r="Z825" s="18">
        <f>IF(Table1[[#This Row],[My Rating]]="",IF(Table1[[#This Row],[WA Rating Clean]]="","",Table1[[#This Row],[WA Rating Clean]]),Table1[[#This Row],[My Rating]])</f>
        <v>92</v>
      </c>
      <c r="AA825" s="37">
        <v>2028</v>
      </c>
      <c r="AB825" s="4">
        <v>48.87</v>
      </c>
      <c r="AC825" s="2">
        <f t="shared" si="47"/>
        <v>48.87</v>
      </c>
      <c r="AD825" s="8">
        <v>1</v>
      </c>
      <c r="AE825" s="10">
        <f>IF(Table1[[#This Row],[P/750]]&lt;20,1,IF(Table1[[#This Row],[P/750]]&lt;50,2,3))</f>
        <v>2</v>
      </c>
      <c r="AF825" s="10">
        <f>IF(Table1[[#This Row],[P/750]]&lt;Expenses!$C$30,1,IF(Table1[[#This Row],[P/750]]&lt;Expenses!$C$31,2,IF(Table1[[#This Row],[P/750]]&lt;Expenses!$C$32,3,4)))</f>
        <v>3</v>
      </c>
      <c r="AH825" s="37" t="s">
        <v>384</v>
      </c>
      <c r="AI825" s="11">
        <f>Table1[[#This Row],[Price]]/Table1[[#This Row],[Size (ml)]]*750</f>
        <v>48.87</v>
      </c>
      <c r="AJ825" s="37">
        <v>92</v>
      </c>
      <c r="AK825" s="10">
        <f>COUNTIF(UniqueID!A:A,Table1[[#This Row],[ID]])</f>
        <v>0</v>
      </c>
      <c r="AL825" s="10" t="str">
        <f>VLOOKUP(Table1[[#This Row],[Cellar Location]],Location!A:F,6,FALSE)</f>
        <v>W</v>
      </c>
      <c r="AN825" s="1">
        <v>44057</v>
      </c>
      <c r="AO825" s="10" t="str">
        <f>TEXT(Table1[[#This Row],[Purchased]],"mmmm")</f>
        <v>August</v>
      </c>
      <c r="AP825" s="10" t="str">
        <f>TEXT(Table1[[#This Row],[Purchased]],"yyyy")</f>
        <v>2020</v>
      </c>
      <c r="AQ825" s="1">
        <v>44137</v>
      </c>
    </row>
    <row r="826" spans="1:43" s="37" customFormat="1" x14ac:dyDescent="0.25">
      <c r="A826" s="37" t="str">
        <f t="shared" si="46"/>
        <v>2008Tua RitaGiusto di Notri</v>
      </c>
      <c r="B826" s="37">
        <v>2008</v>
      </c>
      <c r="C826" s="37" t="s">
        <v>859</v>
      </c>
      <c r="D826" s="37" t="s">
        <v>860</v>
      </c>
      <c r="E826" s="67" t="s">
        <v>1563</v>
      </c>
      <c r="F826" s="37" t="s">
        <v>728</v>
      </c>
      <c r="G826" s="37" t="s">
        <v>790</v>
      </c>
      <c r="H826" s="37" t="s">
        <v>796</v>
      </c>
      <c r="I826" s="8">
        <v>1</v>
      </c>
      <c r="J826" s="38">
        <v>750</v>
      </c>
      <c r="K826" s="38" t="s">
        <v>1564</v>
      </c>
      <c r="L826" s="10">
        <f>COUNTIF(Drank!A:A,Table1[[#This Row],[ID]])</f>
        <v>0</v>
      </c>
      <c r="M826" s="37" t="s">
        <v>202</v>
      </c>
      <c r="N826" s="37" t="s">
        <v>207</v>
      </c>
      <c r="O826" s="37">
        <v>1</v>
      </c>
      <c r="P826" s="10">
        <v>2016</v>
      </c>
      <c r="Q826" s="37">
        <v>2028</v>
      </c>
      <c r="R826" s="10" t="str">
        <f>IF(IFERROR(VLOOKUP(A826,Drank!A:S,15,FALSE),"")=0,"",IFERROR(VLOOKUP(A826,Drank!A:S,15,FALSE),""))</f>
        <v/>
      </c>
      <c r="S826" s="10" t="str">
        <f>IF(IFERROR(VLOOKUP(A826,Drank!A:S,16,FALSE),"")=0,"",IFERROR(VLOOKUP(A826,Drank!A:S,16,FALSE),""))</f>
        <v/>
      </c>
      <c r="T826" s="10"/>
      <c r="U826" s="37">
        <v>94</v>
      </c>
      <c r="V826" s="18" t="str">
        <f>IF(IFERROR(VLOOKUP(A826,Drank!A:T,19,FALSE),"")=0,"",IFERROR(VLOOKUP(A826,Drank!A:T,19,FALSE),""))</f>
        <v/>
      </c>
      <c r="W826" s="1" t="str">
        <f>IF(IFERROR(VLOOKUP(A826,Drank!A:T,20,FALSE),"")=0,"",IFERROR(VLOOKUP(A826,Drank!A:T,20,FALSE),""))</f>
        <v/>
      </c>
      <c r="X826" s="10">
        <f>SUMIF(A:A,A826,I:I)</f>
        <v>12</v>
      </c>
      <c r="Y826" s="10">
        <f>IF(Table1[[#This Row],[Drank]]&gt;0,VLOOKUP(Table1[[#This Row],[ID]],Drank!A:P,16,FALSE),IF(Table1[[#This Row],[WALDD]]&gt;0,VLOOKUP(Table1[[#This Row],[ID]],Wine1!A:Q,17,FALSE),Table1[[#This Row],[EP]]))</f>
        <v>2028</v>
      </c>
      <c r="Z826" s="18">
        <f>IF(Table1[[#This Row],[My Rating]]="",IF(Table1[[#This Row],[WA Rating Clean]]="","",Table1[[#This Row],[WA Rating Clean]]),Table1[[#This Row],[My Rating]])</f>
        <v>94</v>
      </c>
      <c r="AA826" s="37">
        <v>2028</v>
      </c>
      <c r="AB826" s="4">
        <v>54.41</v>
      </c>
      <c r="AC826" s="2">
        <f t="shared" si="47"/>
        <v>54.41</v>
      </c>
      <c r="AD826" s="8">
        <v>1</v>
      </c>
      <c r="AE826" s="10">
        <f>IF(Table1[[#This Row],[P/750]]&lt;20,1,IF(Table1[[#This Row],[P/750]]&lt;50,2,3))</f>
        <v>3</v>
      </c>
      <c r="AF826" s="10">
        <f>IF(Table1[[#This Row],[P/750]]&lt;Expenses!$C$30,1,IF(Table1[[#This Row],[P/750]]&lt;Expenses!$C$31,2,IF(Table1[[#This Row],[P/750]]&lt;Expenses!$C$32,3,4)))</f>
        <v>3</v>
      </c>
      <c r="AH826" s="37" t="s">
        <v>1564</v>
      </c>
      <c r="AI826" s="11">
        <f>Table1[[#This Row],[Price]]/Table1[[#This Row],[Size (ml)]]*750</f>
        <v>54.41</v>
      </c>
      <c r="AJ826" s="37">
        <v>94</v>
      </c>
      <c r="AK826" s="10">
        <f>COUNTIF(UniqueID!A:A,Table1[[#This Row],[ID]])</f>
        <v>0</v>
      </c>
      <c r="AL826" s="10" t="str">
        <f>VLOOKUP(Table1[[#This Row],[Cellar Location]],Location!A:F,6,FALSE)</f>
        <v>W</v>
      </c>
      <c r="AN826" s="1">
        <v>44045</v>
      </c>
      <c r="AO826" s="10" t="str">
        <f>TEXT(Table1[[#This Row],[Purchased]],"mmmm")</f>
        <v>August</v>
      </c>
      <c r="AP826" s="10" t="str">
        <f>TEXT(Table1[[#This Row],[Purchased]],"yyyy")</f>
        <v>2020</v>
      </c>
      <c r="AQ826" s="1">
        <v>44094</v>
      </c>
    </row>
    <row r="827" spans="1:43" s="37" customFormat="1" x14ac:dyDescent="0.25">
      <c r="A827" s="37" t="str">
        <f t="shared" si="46"/>
        <v>2015Giuseppe CampagnolaAmarone della Valpolicella Classico Vigneti Vallata di Marano</v>
      </c>
      <c r="B827" s="37">
        <v>2015</v>
      </c>
      <c r="C827" s="37" t="s">
        <v>311</v>
      </c>
      <c r="D827" s="37" t="s">
        <v>592</v>
      </c>
      <c r="E827" s="64" t="s">
        <v>313</v>
      </c>
      <c r="F827" s="37" t="s">
        <v>728</v>
      </c>
      <c r="G827" s="37" t="s">
        <v>799</v>
      </c>
      <c r="H827" s="37" t="s">
        <v>800</v>
      </c>
      <c r="I827" s="8">
        <v>1</v>
      </c>
      <c r="J827" s="38">
        <v>750</v>
      </c>
      <c r="K827" s="38" t="s">
        <v>384</v>
      </c>
      <c r="L827" s="10">
        <f>COUNTIF(Drank!A:A,Table1[[#This Row],[ID]])</f>
        <v>1</v>
      </c>
      <c r="M827" s="37" t="s">
        <v>202</v>
      </c>
      <c r="N827" s="37" t="s">
        <v>207</v>
      </c>
      <c r="O827" s="37">
        <v>1</v>
      </c>
      <c r="P827" s="10">
        <v>2019</v>
      </c>
      <c r="Q827" s="37">
        <v>2028</v>
      </c>
      <c r="R827" s="10">
        <f>IF(IFERROR(VLOOKUP(A827,Drank!A:S,15,FALSE),"")=0,"",IFERROR(VLOOKUP(A827,Drank!A:S,15,FALSE),""))</f>
        <v>2025</v>
      </c>
      <c r="S827" s="10">
        <f>IF(IFERROR(VLOOKUP(A827,Drank!A:S,16,FALSE),"")=0,"",IFERROR(VLOOKUP(A827,Drank!A:S,16,FALSE),""))</f>
        <v>2028</v>
      </c>
      <c r="T827" s="10"/>
      <c r="U827" s="37">
        <v>91</v>
      </c>
      <c r="V827" s="18">
        <f>IF(IFERROR(VLOOKUP(A827,Drank!A:T,19,FALSE),"")=0,"",IFERROR(VLOOKUP(A827,Drank!A:T,19,FALSE),""))</f>
        <v>92</v>
      </c>
      <c r="W827" s="1">
        <f>IF(IFERROR(VLOOKUP(A827,Drank!A:T,20,FALSE),"")=0,"",IFERROR(VLOOKUP(A827,Drank!A:T,20,FALSE),""))</f>
        <v>43890</v>
      </c>
      <c r="X827" s="10">
        <f>SUMIF(A:A,A827,I:I)</f>
        <v>8</v>
      </c>
      <c r="Y827" s="10">
        <f>IF(Table1[[#This Row],[Drank]]&gt;0,VLOOKUP(Table1[[#This Row],[ID]],Drank!A:P,16,FALSE),IF(Table1[[#This Row],[WALDD]]&gt;0,VLOOKUP(Table1[[#This Row],[ID]],Wine1!A:Q,17,FALSE),Table1[[#This Row],[EP]]))</f>
        <v>2028</v>
      </c>
      <c r="Z827" s="18">
        <f>IF(Table1[[#This Row],[My Rating]]="",IF(Table1[[#This Row],[WA Rating Clean]]="","",Table1[[#This Row],[WA Rating Clean]]),Table1[[#This Row],[My Rating]])</f>
        <v>92</v>
      </c>
      <c r="AA827" s="37">
        <v>2028</v>
      </c>
      <c r="AB827" s="4">
        <v>32.58</v>
      </c>
      <c r="AC827" s="2">
        <f t="shared" si="47"/>
        <v>32.58</v>
      </c>
      <c r="AD827" s="8">
        <v>1</v>
      </c>
      <c r="AE827" s="10">
        <f>IF(Table1[[#This Row],[P/750]]&lt;20,1,IF(Table1[[#This Row],[P/750]]&lt;50,2,3))</f>
        <v>2</v>
      </c>
      <c r="AF827" s="10">
        <f>IF(Table1[[#This Row],[P/750]]&lt;Expenses!$C$30,1,IF(Table1[[#This Row],[P/750]]&lt;Expenses!$C$31,2,IF(Table1[[#This Row],[P/750]]&lt;Expenses!$C$32,3,4)))</f>
        <v>3</v>
      </c>
      <c r="AH827" s="37" t="s">
        <v>384</v>
      </c>
      <c r="AI827" s="11">
        <f>Table1[[#This Row],[Price]]/Table1[[#This Row],[Size (ml)]]*750</f>
        <v>32.58</v>
      </c>
      <c r="AJ827" s="37">
        <v>91</v>
      </c>
      <c r="AK827" s="10">
        <f>COUNTIF(UniqueID!A:A,Table1[[#This Row],[ID]])</f>
        <v>1</v>
      </c>
      <c r="AL827" s="10" t="str">
        <f>VLOOKUP(Table1[[#This Row],[Cellar Location]],Location!A:F,6,FALSE)</f>
        <v>W</v>
      </c>
      <c r="AN827" s="1">
        <v>44063</v>
      </c>
      <c r="AO827" s="10" t="str">
        <f>TEXT(Table1[[#This Row],[Purchased]],"mmmm")</f>
        <v>August</v>
      </c>
      <c r="AP827" s="10" t="str">
        <f>TEXT(Table1[[#This Row],[Purchased]],"yyyy")</f>
        <v>2020</v>
      </c>
      <c r="AQ827" s="1">
        <v>44137</v>
      </c>
    </row>
    <row r="828" spans="1:43" s="37" customFormat="1" x14ac:dyDescent="0.25">
      <c r="A828" s="37" t="str">
        <f t="shared" si="46"/>
        <v>2015Poggio LucinaBrunello di Montalcino</v>
      </c>
      <c r="B828" s="37">
        <v>2015</v>
      </c>
      <c r="C828" s="37" t="s">
        <v>1546</v>
      </c>
      <c r="D828" s="37" t="s">
        <v>19</v>
      </c>
      <c r="E828" s="67" t="s">
        <v>1250</v>
      </c>
      <c r="F828" s="37" t="s">
        <v>728</v>
      </c>
      <c r="G828" s="37" t="s">
        <v>790</v>
      </c>
      <c r="H828" s="37" t="s">
        <v>19</v>
      </c>
      <c r="I828" s="8">
        <v>1</v>
      </c>
      <c r="J828" s="38">
        <v>750</v>
      </c>
      <c r="K828" s="131" t="s">
        <v>384</v>
      </c>
      <c r="L828" s="10">
        <f>COUNTIF(Drank!A:A,Table1[[#This Row],[ID]])</f>
        <v>0</v>
      </c>
      <c r="M828" s="37" t="s">
        <v>202</v>
      </c>
      <c r="N828" s="37" t="s">
        <v>207</v>
      </c>
      <c r="O828" s="37">
        <v>0</v>
      </c>
      <c r="P828" s="10"/>
      <c r="R828" s="10" t="str">
        <f>IF(IFERROR(VLOOKUP(A828,Drank!A:S,15,FALSE),"")=0,"",IFERROR(VLOOKUP(A828,Drank!A:S,15,FALSE),""))</f>
        <v/>
      </c>
      <c r="S828" s="10" t="str">
        <f>IF(IFERROR(VLOOKUP(A828,Drank!A:S,16,FALSE),"")=0,"",IFERROR(VLOOKUP(A828,Drank!A:S,16,FALSE),""))</f>
        <v/>
      </c>
      <c r="T828" s="10">
        <v>2028</v>
      </c>
      <c r="V828" s="18" t="str">
        <f>IF(IFERROR(VLOOKUP(A828,Drank!A:T,19,FALSE),"")=0,"",IFERROR(VLOOKUP(A828,Drank!A:T,19,FALSE),""))</f>
        <v/>
      </c>
      <c r="W828" s="1" t="str">
        <f>IF(IFERROR(VLOOKUP(A828,Drank!A:T,20,FALSE),"")=0,"",IFERROR(VLOOKUP(A828,Drank!A:T,20,FALSE),""))</f>
        <v/>
      </c>
      <c r="X828" s="10">
        <f>SUMIF(A:A,A828,I:I)</f>
        <v>3</v>
      </c>
      <c r="Y828" s="10">
        <f>IF(Table1[[#This Row],[Drank]]&gt;0,VLOOKUP(Table1[[#This Row],[ID]],Drank!A:P,16,FALSE),IF(Table1[[#This Row],[WALDD]]&gt;0,VLOOKUP(Table1[[#This Row],[ID]],Wine1!A:Q,17,FALSE),Table1[[#This Row],[EP]]))</f>
        <v>2028</v>
      </c>
      <c r="Z828" s="18" t="str">
        <f>IF(Table1[[#This Row],[My Rating]]="",IF(Table1[[#This Row],[WA Rating Clean]]="","",Table1[[#This Row],[WA Rating Clean]]),Table1[[#This Row],[My Rating]])</f>
        <v/>
      </c>
      <c r="AA828" s="37">
        <v>2028</v>
      </c>
      <c r="AB828" s="4">
        <v>30.4</v>
      </c>
      <c r="AC828" s="2">
        <f t="shared" si="47"/>
        <v>30.4</v>
      </c>
      <c r="AD828" s="8">
        <v>1</v>
      </c>
      <c r="AE828" s="10">
        <f>IF(Table1[[#This Row],[P/750]]&lt;20,1,IF(Table1[[#This Row],[P/750]]&lt;50,2,3))</f>
        <v>2</v>
      </c>
      <c r="AF828" s="10">
        <f>IF(Table1[[#This Row],[P/750]]&lt;Expenses!$C$30,1,IF(Table1[[#This Row],[P/750]]&lt;Expenses!$C$31,2,IF(Table1[[#This Row],[P/750]]&lt;Expenses!$C$32,3,4)))</f>
        <v>3</v>
      </c>
      <c r="AH828" s="37" t="s">
        <v>384</v>
      </c>
      <c r="AI828" s="11">
        <f>Table1[[#This Row],[Price]]/Table1[[#This Row],[Size (ml)]]*750</f>
        <v>30.4</v>
      </c>
      <c r="AK828" s="10">
        <f>COUNTIF(UniqueID!A:A,Table1[[#This Row],[ID]])</f>
        <v>0</v>
      </c>
      <c r="AL828" s="10" t="str">
        <f>VLOOKUP(Table1[[#This Row],[Cellar Location]],Location!A:F,6,FALSE)</f>
        <v>W</v>
      </c>
      <c r="AN828" s="1">
        <v>44042</v>
      </c>
      <c r="AO828" s="10" t="str">
        <f>TEXT(Table1[[#This Row],[Purchased]],"mmmm")</f>
        <v>July</v>
      </c>
      <c r="AP828" s="10" t="str">
        <f>TEXT(Table1[[#This Row],[Purchased]],"yyyy")</f>
        <v>2020</v>
      </c>
      <c r="AQ828" s="1">
        <v>44138</v>
      </c>
    </row>
    <row r="829" spans="1:43" s="37" customFormat="1" x14ac:dyDescent="0.25">
      <c r="A829" s="37" t="str">
        <f t="shared" si="46"/>
        <v>2011Corte PavoneBrunello di Montalcino</v>
      </c>
      <c r="B829" s="37">
        <v>2011</v>
      </c>
      <c r="C829" s="37" t="s">
        <v>12</v>
      </c>
      <c r="D829" s="37" t="s">
        <v>19</v>
      </c>
      <c r="E829" s="64" t="s">
        <v>280</v>
      </c>
      <c r="F829" s="37" t="s">
        <v>728</v>
      </c>
      <c r="G829" s="37" t="s">
        <v>790</v>
      </c>
      <c r="H829" s="37" t="s">
        <v>19</v>
      </c>
      <c r="I829" s="37">
        <v>1</v>
      </c>
      <c r="J829" s="37">
        <v>750</v>
      </c>
      <c r="K829" s="8" t="s">
        <v>11</v>
      </c>
      <c r="L829" s="37">
        <f>COUNTIF(Drank!A:A,Table1[[#This Row],[ID]])</f>
        <v>1</v>
      </c>
      <c r="M829" s="37" t="s">
        <v>202</v>
      </c>
      <c r="N829" s="37" t="s">
        <v>207</v>
      </c>
      <c r="O829" s="37">
        <v>1</v>
      </c>
      <c r="P829" s="37">
        <v>2017</v>
      </c>
      <c r="Q829" s="37">
        <v>2030</v>
      </c>
      <c r="R829" s="37">
        <f>IF(IFERROR(VLOOKUP(A829,Drank!A:S,15,FALSE),"")=0,"",IFERROR(VLOOKUP(A829,Drank!A:S,15,FALSE),""))</f>
        <v>2023</v>
      </c>
      <c r="S829" s="37">
        <f>IF(IFERROR(VLOOKUP(A829,Drank!A:S,16,FALSE),"")=0,"",IFERROR(VLOOKUP(A829,Drank!A:S,16,FALSE),""))</f>
        <v>2028</v>
      </c>
      <c r="U829" s="37">
        <v>92</v>
      </c>
      <c r="V829" s="18">
        <f>IF(IFERROR(VLOOKUP(A829,Drank!A:T,19,FALSE),"")=0,"",IFERROR(VLOOKUP(A829,Drank!A:T,19,FALSE),""))</f>
        <v>90</v>
      </c>
      <c r="W829" s="1">
        <f>IF(IFERROR(VLOOKUP(A829,Drank!A:T,20,FALSE),"")=0,"",IFERROR(VLOOKUP(A829,Drank!A:T,20,FALSE),""))</f>
        <v>43526</v>
      </c>
      <c r="X829" s="37">
        <f>SUMIF(A:A,A829,I:I)</f>
        <v>2</v>
      </c>
      <c r="Y829" s="37">
        <f>IF(Table1[[#This Row],[Drank]]&gt;0,VLOOKUP(Table1[[#This Row],[ID]],Drank!A:P,16,FALSE),IF(Table1[[#This Row],[WALDD]]&gt;0,VLOOKUP(Table1[[#This Row],[ID]],Wine1!A:Q,17,FALSE),Table1[[#This Row],[EP]]))</f>
        <v>2028</v>
      </c>
      <c r="Z829" s="18">
        <f>IF(Table1[[#This Row],[My Rating]]="",IF(Table1[[#This Row],[WA Rating Clean]]="","",Table1[[#This Row],[WA Rating Clean]]),Table1[[#This Row],[My Rating]])</f>
        <v>90</v>
      </c>
      <c r="AA829" s="37">
        <v>2028</v>
      </c>
      <c r="AB829" s="4">
        <v>32.99</v>
      </c>
      <c r="AC829" s="2">
        <f t="shared" si="47"/>
        <v>32.99</v>
      </c>
      <c r="AD829" s="8">
        <v>0</v>
      </c>
      <c r="AE829" s="37">
        <f>IF(Table1[[#This Row],[P/750]]&lt;20,1,IF(Table1[[#This Row],[P/750]]&lt;50,2,3))</f>
        <v>2</v>
      </c>
      <c r="AF829" s="37">
        <f>IF(Table1[[#This Row],[P/750]]&lt;Expenses!$C$30,1,IF(Table1[[#This Row],[P/750]]&lt;Expenses!$C$31,2,IF(Table1[[#This Row],[P/750]]&lt;Expenses!$C$32,3,4)))</f>
        <v>3</v>
      </c>
      <c r="AH829" s="37" t="s">
        <v>384</v>
      </c>
      <c r="AI829" s="11">
        <f>Table1[[#This Row],[Price]]/Table1[[#This Row],[Size (ml)]]*750</f>
        <v>32.99</v>
      </c>
      <c r="AJ829" s="37">
        <v>92</v>
      </c>
      <c r="AK829" s="37">
        <f>COUNTIF(UniqueID!A:A,Table1[[#This Row],[ID]])</f>
        <v>1</v>
      </c>
      <c r="AL829" s="37" t="str">
        <f>VLOOKUP(Table1[[#This Row],[Cellar Location]],Location!A:F,6,FALSE)</f>
        <v>K</v>
      </c>
      <c r="AO829" s="37" t="str">
        <f>TEXT(Table1[[#This Row],[Purchased]],"mmmm")</f>
        <v>January</v>
      </c>
      <c r="AP829" s="10" t="str">
        <f>TEXT(Table1[[#This Row],[Purchased]],"yyyy")</f>
        <v>1900</v>
      </c>
      <c r="AQ829" s="10"/>
    </row>
    <row r="830" spans="1:43" s="37" customFormat="1" x14ac:dyDescent="0.25">
      <c r="A830" s="37" t="str">
        <f t="shared" si="46"/>
        <v>2012Eighty FourPetit Sirah</v>
      </c>
      <c r="B830" s="37">
        <v>2012</v>
      </c>
      <c r="C830" s="37" t="s">
        <v>318</v>
      </c>
      <c r="D830" s="37" t="s">
        <v>319</v>
      </c>
      <c r="E830" s="64" t="s">
        <v>320</v>
      </c>
      <c r="F830" s="37" t="s">
        <v>727</v>
      </c>
      <c r="G830" s="37" t="s">
        <v>806</v>
      </c>
      <c r="H830" s="37" t="s">
        <v>832</v>
      </c>
      <c r="I830" s="37">
        <v>1</v>
      </c>
      <c r="J830" s="107">
        <v>750</v>
      </c>
      <c r="K830" s="8" t="s">
        <v>1832</v>
      </c>
      <c r="L830" s="37">
        <f>COUNTIF(Drank!A:A,Table1[[#This Row],[ID]])</f>
        <v>1</v>
      </c>
      <c r="M830" s="37" t="s">
        <v>202</v>
      </c>
      <c r="N830" s="37" t="s">
        <v>207</v>
      </c>
      <c r="O830" s="37">
        <v>1</v>
      </c>
      <c r="R830" s="10">
        <f>IF(IFERROR(VLOOKUP(A830,Drank!A:S,15,FALSE),"")=0,"",IFERROR(VLOOKUP(A830,Drank!A:S,15,FALSE),""))</f>
        <v>2022</v>
      </c>
      <c r="S830" s="10">
        <f>IF(IFERROR(VLOOKUP(A830,Drank!A:S,16,FALSE),"")=0,"",IFERROR(VLOOKUP(A830,Drank!A:S,16,FALSE),""))</f>
        <v>2028</v>
      </c>
      <c r="T830" s="10"/>
      <c r="V830" s="18">
        <f>IF(IFERROR(VLOOKUP(A830,Drank!A:T,19,FALSE),"")=0,"",IFERROR(VLOOKUP(A830,Drank!A:T,19,FALSE),""))</f>
        <v>92</v>
      </c>
      <c r="W830" s="1">
        <f>IF(IFERROR(VLOOKUP(A830,Drank!A:T,20,FALSE),"")=0,"",IFERROR(VLOOKUP(A830,Drank!A:T,20,FALSE),""))</f>
        <v>43604</v>
      </c>
      <c r="X830" s="10">
        <f>SUMIF(A:A,A830,I:I)</f>
        <v>2</v>
      </c>
      <c r="Y830" s="37">
        <f>IF(Table1[[#This Row],[Drank]]&gt;0,VLOOKUP(Table1[[#This Row],[ID]],Drank!A:P,16,FALSE),IF(Table1[[#This Row],[WALDD]]&gt;0,VLOOKUP(Table1[[#This Row],[ID]],Wine1!A:Q,17,FALSE),Table1[[#This Row],[EP]]))</f>
        <v>2028</v>
      </c>
      <c r="Z830" s="18">
        <f>IF(Table1[[#This Row],[My Rating]]="",IF(Table1[[#This Row],[WA Rating Clean]]="","",Table1[[#This Row],[WA Rating Clean]]),Table1[[#This Row],[My Rating]])</f>
        <v>92</v>
      </c>
      <c r="AA830" s="37">
        <v>2028</v>
      </c>
      <c r="AB830" s="4">
        <v>39.99</v>
      </c>
      <c r="AC830" s="2">
        <f t="shared" si="47"/>
        <v>39.99</v>
      </c>
      <c r="AD830" s="8">
        <v>0</v>
      </c>
      <c r="AE830" s="37">
        <f>IF(Table1[[#This Row],[P/750]]&lt;20,1,IF(Table1[[#This Row],[P/750]]&lt;50,2,3))</f>
        <v>2</v>
      </c>
      <c r="AF830" s="37">
        <f>IF(Table1[[#This Row],[P/750]]&lt;Expenses!$C$30,1,IF(Table1[[#This Row],[P/750]]&lt;Expenses!$C$31,2,IF(Table1[[#This Row],[P/750]]&lt;Expenses!$C$32,3,4)))</f>
        <v>3</v>
      </c>
      <c r="AH830" s="37" t="s">
        <v>385</v>
      </c>
      <c r="AI830" s="11">
        <f>Table1[[#This Row],[Price]]/Table1[[#This Row],[Size (ml)]]*750</f>
        <v>39.99</v>
      </c>
      <c r="AK830" s="37">
        <f>COUNTIF(UniqueID!A:A,Table1[[#This Row],[ID]])</f>
        <v>1</v>
      </c>
      <c r="AL830" s="37" t="str">
        <f>VLOOKUP(Table1[[#This Row],[Cellar Location]],Location!A:F,6,FALSE)</f>
        <v>S</v>
      </c>
      <c r="AO830" s="37" t="str">
        <f>TEXT(Table1[[#This Row],[Purchased]],"mmmm")</f>
        <v>January</v>
      </c>
      <c r="AP830" s="10" t="str">
        <f>TEXT(Table1[[#This Row],[Purchased]],"yyyy")</f>
        <v>1900</v>
      </c>
      <c r="AQ830" s="10"/>
    </row>
    <row r="831" spans="1:43" s="37" customFormat="1" x14ac:dyDescent="0.25">
      <c r="A831" s="37" t="str">
        <f t="shared" si="46"/>
        <v>2015Luis Seabra VinhosTinto Xisto Cru</v>
      </c>
      <c r="B831" s="37">
        <v>2015</v>
      </c>
      <c r="C831" s="9" t="s">
        <v>250</v>
      </c>
      <c r="D831" s="9" t="s">
        <v>1275</v>
      </c>
      <c r="E831" s="65" t="s">
        <v>274</v>
      </c>
      <c r="F831" s="9" t="s">
        <v>804</v>
      </c>
      <c r="G831" s="9" t="s">
        <v>805</v>
      </c>
      <c r="H831" s="9"/>
      <c r="I831" s="107">
        <v>1</v>
      </c>
      <c r="J831" s="37">
        <v>750</v>
      </c>
      <c r="K831" s="107" t="s">
        <v>644</v>
      </c>
      <c r="L831" s="37">
        <f>COUNTIF(Drank!A:A,Table1[[#This Row],[ID]])</f>
        <v>1</v>
      </c>
      <c r="M831" s="37" t="s">
        <v>202</v>
      </c>
      <c r="N831" s="37" t="s">
        <v>207</v>
      </c>
      <c r="O831" s="37">
        <v>1</v>
      </c>
      <c r="P831" s="37">
        <v>2021</v>
      </c>
      <c r="Q831" s="37">
        <v>2040</v>
      </c>
      <c r="R831" s="37">
        <f>IF(IFERROR(VLOOKUP(A831,Drank!A:S,15,FALSE),"")=0,"",IFERROR(VLOOKUP(A831,Drank!A:S,15,FALSE),""))</f>
        <v>2021</v>
      </c>
      <c r="S831" s="37">
        <f>IF(IFERROR(VLOOKUP(A831,Drank!A:S,16,FALSE),"")=0,"",IFERROR(VLOOKUP(A831,Drank!A:S,16,FALSE),""))</f>
        <v>2028</v>
      </c>
      <c r="U831" s="37">
        <v>95</v>
      </c>
      <c r="V831" s="18">
        <f>IF(IFERROR(VLOOKUP(A831,Drank!A:T,19,FALSE),"")=0,"",IFERROR(VLOOKUP(A831,Drank!A:T,19,FALSE),""))</f>
        <v>95</v>
      </c>
      <c r="W831" s="1">
        <f>IF(IFERROR(VLOOKUP(A831,Drank!A:T,20,FALSE),"")=0,"",IFERROR(VLOOKUP(A831,Drank!A:T,20,FALSE),""))</f>
        <v>43576</v>
      </c>
      <c r="X831" s="37">
        <f>SUMIF(A:A,A831,I:I)</f>
        <v>3</v>
      </c>
      <c r="Y831" s="37">
        <f>IF(Table1[[#This Row],[Drank]]&gt;0,VLOOKUP(Table1[[#This Row],[ID]],Drank!A:P,16,FALSE),IF(Table1[[#This Row],[WALDD]]&gt;0,VLOOKUP(Table1[[#This Row],[ID]],Wine1!A:Q,17,FALSE),Table1[[#This Row],[EP]]))</f>
        <v>2028</v>
      </c>
      <c r="Z831" s="18">
        <f>IF(Table1[[#This Row],[My Rating]]="",IF(Table1[[#This Row],[WA Rating Clean]]="","",Table1[[#This Row],[WA Rating Clean]]),Table1[[#This Row],[My Rating]])</f>
        <v>95</v>
      </c>
      <c r="AA831" s="37">
        <v>2028</v>
      </c>
      <c r="AB831" s="4">
        <v>45</v>
      </c>
      <c r="AC831" s="2">
        <f t="shared" si="47"/>
        <v>45</v>
      </c>
      <c r="AD831" s="8">
        <v>2</v>
      </c>
      <c r="AE831" s="37">
        <f>IF(Table1[[#This Row],[P/750]]&lt;20,1,IF(Table1[[#This Row],[P/750]]&lt;50,2,3))</f>
        <v>2</v>
      </c>
      <c r="AF831" s="37">
        <f>IF(Table1[[#This Row],[P/750]]&lt;Expenses!$C$30,1,IF(Table1[[#This Row],[P/750]]&lt;Expenses!$C$31,2,IF(Table1[[#This Row],[P/750]]&lt;Expenses!$C$32,3,4)))</f>
        <v>3</v>
      </c>
      <c r="AH831" s="37" t="s">
        <v>385</v>
      </c>
      <c r="AI831" s="11">
        <f>Table1[[#This Row],[Price]]/Table1[[#This Row],[Size (ml)]]*750</f>
        <v>45</v>
      </c>
      <c r="AJ831" s="37">
        <v>95</v>
      </c>
      <c r="AK831" s="37">
        <f>COUNTIF(UniqueID!A:A,Table1[[#This Row],[ID]])</f>
        <v>1</v>
      </c>
      <c r="AL831" s="37" t="str">
        <f>VLOOKUP(Table1[[#This Row],[Cellar Location]],Location!A:F,6,FALSE)</f>
        <v>S</v>
      </c>
      <c r="AO831" s="37" t="str">
        <f>TEXT(Table1[[#This Row],[Purchased]],"mmmm")</f>
        <v>January</v>
      </c>
      <c r="AP831" s="10" t="str">
        <f>TEXT(Table1[[#This Row],[Purchased]],"yyyy")</f>
        <v>1900</v>
      </c>
      <c r="AQ831" s="10"/>
    </row>
    <row r="832" spans="1:43" s="37" customFormat="1" x14ac:dyDescent="0.25">
      <c r="A832" s="37" t="str">
        <f t="shared" si="46"/>
        <v>2014Produttori del BarbarescoBarbaresco</v>
      </c>
      <c r="B832" s="37">
        <v>2014</v>
      </c>
      <c r="C832" s="37" t="s">
        <v>248</v>
      </c>
      <c r="D832" s="37" t="s">
        <v>249</v>
      </c>
      <c r="E832" s="67" t="s">
        <v>1206</v>
      </c>
      <c r="F832" s="37" t="s">
        <v>728</v>
      </c>
      <c r="G832" s="37" t="s">
        <v>778</v>
      </c>
      <c r="H832" s="37" t="s">
        <v>249</v>
      </c>
      <c r="I832" s="37">
        <v>1</v>
      </c>
      <c r="J832" s="107">
        <v>750</v>
      </c>
      <c r="K832" s="8" t="s">
        <v>1832</v>
      </c>
      <c r="L832" s="37">
        <f>COUNTIF(Drank!A:A,Table1[[#This Row],[ID]])</f>
        <v>2</v>
      </c>
      <c r="M832" s="37" t="s">
        <v>202</v>
      </c>
      <c r="N832" s="37" t="s">
        <v>207</v>
      </c>
      <c r="O832" s="37">
        <v>1</v>
      </c>
      <c r="P832" s="37">
        <v>2018</v>
      </c>
      <c r="Q832" s="37">
        <v>2030</v>
      </c>
      <c r="R832" s="37">
        <f>IF(IFERROR(VLOOKUP(A832,Drank!A:S,15,FALSE),"")=0,"",IFERROR(VLOOKUP(A832,Drank!A:S,15,FALSE),""))</f>
        <v>2019</v>
      </c>
      <c r="S832" s="37">
        <f>IF(IFERROR(VLOOKUP(A832,Drank!A:S,16,FALSE),"")=0,"",IFERROR(VLOOKUP(A832,Drank!A:S,16,FALSE),""))</f>
        <v>2028</v>
      </c>
      <c r="U832" s="37">
        <v>94</v>
      </c>
      <c r="V832" s="18">
        <f>IF(IFERROR(VLOOKUP(A832,Drank!A:T,19,FALSE),"")=0,"",IFERROR(VLOOKUP(A832,Drank!A:T,19,FALSE),""))</f>
        <v>93</v>
      </c>
      <c r="W832" s="1">
        <f>IF(IFERROR(VLOOKUP(A832,Drank!A:T,20,FALSE),"")=0,"",IFERROR(VLOOKUP(A832,Drank!A:T,20,FALSE),""))</f>
        <v>43632</v>
      </c>
      <c r="X832" s="37">
        <f>SUMIF(A:A,A832,I:I)</f>
        <v>2</v>
      </c>
      <c r="Y832" s="37">
        <f>IF(Table1[[#This Row],[Drank]]&gt;0,VLOOKUP(Table1[[#This Row],[ID]],Drank!A:P,16,FALSE),IF(Table1[[#This Row],[WALDD]]&gt;0,VLOOKUP(Table1[[#This Row],[ID]],Wine1!A:Q,17,FALSE),Table1[[#This Row],[EP]]))</f>
        <v>2028</v>
      </c>
      <c r="Z832" s="18">
        <f>IF(Table1[[#This Row],[My Rating]]="",IF(Table1[[#This Row],[WA Rating Clean]]="","",Table1[[#This Row],[WA Rating Clean]]),Table1[[#This Row],[My Rating]])</f>
        <v>93</v>
      </c>
      <c r="AA832" s="37">
        <v>2028</v>
      </c>
      <c r="AB832" s="4">
        <v>39.99</v>
      </c>
      <c r="AC832" s="2">
        <f t="shared" si="47"/>
        <v>39.99</v>
      </c>
      <c r="AD832" s="8">
        <v>0</v>
      </c>
      <c r="AE832" s="37">
        <f>IF(Table1[[#This Row],[P/750]]&lt;20,1,IF(Table1[[#This Row],[P/750]]&lt;50,2,3))</f>
        <v>2</v>
      </c>
      <c r="AF832" s="37">
        <f>IF(Table1[[#This Row],[P/750]]&lt;Expenses!$C$30,1,IF(Table1[[#This Row],[P/750]]&lt;Expenses!$C$31,2,IF(Table1[[#This Row],[P/750]]&lt;Expenses!$C$32,3,4)))</f>
        <v>3</v>
      </c>
      <c r="AG832" s="37">
        <v>2</v>
      </c>
      <c r="AH832" s="37" t="s">
        <v>1128</v>
      </c>
      <c r="AI832" s="11">
        <f>Table1[[#This Row],[Price]]/Table1[[#This Row],[Size (ml)]]*750</f>
        <v>39.99</v>
      </c>
      <c r="AJ832" s="37">
        <v>94</v>
      </c>
      <c r="AK832" s="37">
        <f>COUNTIF(UniqueID!A:A,Table1[[#This Row],[ID]])</f>
        <v>1</v>
      </c>
      <c r="AL832" s="37" t="str">
        <f>VLOOKUP(Table1[[#This Row],[Cellar Location]],Location!A:F,6,FALSE)</f>
        <v>S</v>
      </c>
      <c r="AO832" s="37" t="str">
        <f>TEXT(Table1[[#This Row],[Purchased]],"mmmm")</f>
        <v>January</v>
      </c>
      <c r="AP832" s="10" t="str">
        <f>TEXT(Table1[[#This Row],[Purchased]],"yyyy")</f>
        <v>1900</v>
      </c>
      <c r="AQ832" s="10"/>
    </row>
    <row r="833" spans="1:43" s="37" customFormat="1" x14ac:dyDescent="0.25">
      <c r="A833" s="37" t="str">
        <f t="shared" si="46"/>
        <v>2016ViettiLanghe Nebbiolo Perbacco</v>
      </c>
      <c r="B833" s="37">
        <v>2016</v>
      </c>
      <c r="C833" s="37" t="s">
        <v>1186</v>
      </c>
      <c r="D833" s="37" t="s">
        <v>1187</v>
      </c>
      <c r="E833" s="67" t="s">
        <v>1206</v>
      </c>
      <c r="F833" s="37" t="s">
        <v>728</v>
      </c>
      <c r="G833" s="37" t="s">
        <v>778</v>
      </c>
      <c r="H833" s="37" t="s">
        <v>1193</v>
      </c>
      <c r="I833" s="107">
        <v>1</v>
      </c>
      <c r="J833" s="37">
        <v>750</v>
      </c>
      <c r="K833" s="107" t="s">
        <v>627</v>
      </c>
      <c r="L833" s="10">
        <f>COUNTIF(Drank!A:A,Table1[[#This Row],[ID]])</f>
        <v>1</v>
      </c>
      <c r="M833" s="37" t="s">
        <v>202</v>
      </c>
      <c r="N833" s="37" t="s">
        <v>207</v>
      </c>
      <c r="O833" s="37">
        <v>1</v>
      </c>
      <c r="P833" s="10">
        <v>2019</v>
      </c>
      <c r="Q833" s="37">
        <v>2026</v>
      </c>
      <c r="R833" s="10">
        <f>IF(IFERROR(VLOOKUP(A833,Drank!A:S,15,FALSE),"")=0,"",IFERROR(VLOOKUP(A833,Drank!A:S,15,FALSE),""))</f>
        <v>2028</v>
      </c>
      <c r="S833" s="10">
        <f>IF(IFERROR(VLOOKUP(A833,Drank!A:S,16,FALSE),"")=0,"",IFERROR(VLOOKUP(A833,Drank!A:S,16,FALSE),""))</f>
        <v>2028</v>
      </c>
      <c r="T833" s="10"/>
      <c r="U833" s="37">
        <v>93</v>
      </c>
      <c r="V833" s="18">
        <f>IF(IFERROR(VLOOKUP(A833,Drank!A:T,19,FALSE),"")=0,"",IFERROR(VLOOKUP(A833,Drank!A:T,19,FALSE),""))</f>
        <v>92</v>
      </c>
      <c r="W833" s="1">
        <f>IF(IFERROR(VLOOKUP(A833,Drank!A:T,20,FALSE),"")=0,"",IFERROR(VLOOKUP(A833,Drank!A:T,20,FALSE),""))</f>
        <v>43904</v>
      </c>
      <c r="X833" s="10">
        <f>SUMIF(A:A,A833,I:I)</f>
        <v>1</v>
      </c>
      <c r="Y833" s="10">
        <f>IF(Table1[[#This Row],[Drank]]&gt;0,VLOOKUP(Table1[[#This Row],[ID]],Drank!A:P,16,FALSE),IF(Table1[[#This Row],[WALDD]]&gt;0,VLOOKUP(Table1[[#This Row],[ID]],Wine1!A:Q,17,FALSE),Table1[[#This Row],[EP]]))</f>
        <v>2028</v>
      </c>
      <c r="Z833" s="18">
        <f>IF(Table1[[#This Row],[My Rating]]="",IF(Table1[[#This Row],[WA Rating Clean]]="","",Table1[[#This Row],[WA Rating Clean]]),Table1[[#This Row],[My Rating]])</f>
        <v>92</v>
      </c>
      <c r="AA833" s="37">
        <v>2028</v>
      </c>
      <c r="AB833" s="4">
        <v>18.940000000000001</v>
      </c>
      <c r="AC833" s="2">
        <f t="shared" si="47"/>
        <v>18.940000000000001</v>
      </c>
      <c r="AD833" s="8">
        <v>2</v>
      </c>
      <c r="AE833" s="10">
        <f>IF(Table1[[#This Row],[P/750]]&lt;20,1,IF(Table1[[#This Row],[P/750]]&lt;50,2,3))</f>
        <v>1</v>
      </c>
      <c r="AF833" s="10">
        <f>IF(Table1[[#This Row],[P/750]]&lt;Expenses!$C$30,1,IF(Table1[[#This Row],[P/750]]&lt;Expenses!$C$31,2,IF(Table1[[#This Row],[P/750]]&lt;Expenses!$C$32,3,4)))</f>
        <v>2</v>
      </c>
      <c r="AH833" s="37" t="s">
        <v>1189</v>
      </c>
      <c r="AI833" s="11">
        <f>Table1[[#This Row],[Price]]/Table1[[#This Row],[Size (ml)]]*750</f>
        <v>18.940000000000001</v>
      </c>
      <c r="AJ833" s="37">
        <v>93</v>
      </c>
      <c r="AK833" s="10">
        <f>COUNTIF(UniqueID!A:A,Table1[[#This Row],[ID]])</f>
        <v>1</v>
      </c>
      <c r="AL833" s="10" t="str">
        <f>VLOOKUP(Table1[[#This Row],[Cellar Location]],Location!A:F,6,FALSE)</f>
        <v>S</v>
      </c>
      <c r="AN833" s="1">
        <v>43860</v>
      </c>
      <c r="AO833" s="37" t="str">
        <f>TEXT(Table1[[#This Row],[Purchased]],"mmmm")</f>
        <v>January</v>
      </c>
      <c r="AP833" s="10" t="str">
        <f>TEXT(Table1[[#This Row],[Purchased]],"yyyy")</f>
        <v>2020</v>
      </c>
      <c r="AQ833" s="10"/>
    </row>
    <row r="834" spans="1:43" s="37" customFormat="1" x14ac:dyDescent="0.25">
      <c r="A834" s="37" t="str">
        <f t="shared" si="46"/>
        <v>2016Yves CheronGigondas La Grand Comtadine Heritiers Cheron-Misset</v>
      </c>
      <c r="B834" s="37">
        <v>2016</v>
      </c>
      <c r="C834" s="37" t="s">
        <v>413</v>
      </c>
      <c r="D834" s="25" t="s">
        <v>414</v>
      </c>
      <c r="E834" s="67" t="s">
        <v>1249</v>
      </c>
      <c r="F834" s="37" t="s">
        <v>742</v>
      </c>
      <c r="G834" s="37" t="s">
        <v>759</v>
      </c>
      <c r="H834" s="37" t="s">
        <v>764</v>
      </c>
      <c r="I834" s="107">
        <v>1</v>
      </c>
      <c r="J834" s="9">
        <v>750</v>
      </c>
      <c r="K834" s="107" t="s">
        <v>645</v>
      </c>
      <c r="L834" s="37">
        <f>COUNTIF(Drank!A:A,Table1[[#This Row],[ID]])</f>
        <v>1</v>
      </c>
      <c r="M834" s="37" t="s">
        <v>202</v>
      </c>
      <c r="N834" s="37" t="s">
        <v>207</v>
      </c>
      <c r="O834" s="37">
        <v>1</v>
      </c>
      <c r="P834" s="37">
        <v>2018</v>
      </c>
      <c r="Q834" s="37">
        <v>2028</v>
      </c>
      <c r="R834" s="10">
        <f>IF(IFERROR(VLOOKUP(A834,Drank!A:S,15,FALSE),"")=0,"",IFERROR(VLOOKUP(A834,Drank!A:S,15,FALSE),""))</f>
        <v>2022</v>
      </c>
      <c r="S834" s="10">
        <f>IF(IFERROR(VLOOKUP(A834,Drank!A:S,16,FALSE),"")=0,"",IFERROR(VLOOKUP(A834,Drank!A:S,16,FALSE),""))</f>
        <v>2028</v>
      </c>
      <c r="T834" s="10"/>
      <c r="U834" s="37">
        <v>93</v>
      </c>
      <c r="V834" s="18">
        <f>IF(IFERROR(VLOOKUP(A834,Drank!A:T,19,FALSE),"")=0,"",IFERROR(VLOOKUP(A834,Drank!A:T,19,FALSE),""))</f>
        <v>92</v>
      </c>
      <c r="W834" s="1">
        <f>IF(IFERROR(VLOOKUP(A834,Drank!A:T,20,FALSE),"")=0,"",IFERROR(VLOOKUP(A834,Drank!A:T,20,FALSE),""))</f>
        <v>43897</v>
      </c>
      <c r="X834" s="10">
        <f>SUMIF(A:A,A834,I:I)</f>
        <v>5</v>
      </c>
      <c r="Y834" s="37">
        <f>IF(Table1[[#This Row],[Drank]]&gt;0,VLOOKUP(Table1[[#This Row],[ID]],Drank!A:P,16,FALSE),IF(Table1[[#This Row],[WALDD]]&gt;0,VLOOKUP(Table1[[#This Row],[ID]],Wine1!A:Q,17,FALSE),Table1[[#This Row],[EP]]))</f>
        <v>2028</v>
      </c>
      <c r="Z834" s="18">
        <f>IF(Table1[[#This Row],[My Rating]]="",IF(Table1[[#This Row],[WA Rating Clean]]="","",Table1[[#This Row],[WA Rating Clean]]),Table1[[#This Row],[My Rating]])</f>
        <v>92</v>
      </c>
      <c r="AA834" s="37">
        <v>2028</v>
      </c>
      <c r="AB834" s="4">
        <v>23</v>
      </c>
      <c r="AC834" s="2">
        <f t="shared" si="47"/>
        <v>23</v>
      </c>
      <c r="AD834" s="8">
        <v>2</v>
      </c>
      <c r="AE834" s="37">
        <f>IF(Table1[[#This Row],[P/750]]&lt;20,1,IF(Table1[[#This Row],[P/750]]&lt;50,2,3))</f>
        <v>2</v>
      </c>
      <c r="AF834" s="37">
        <f>IF(Table1[[#This Row],[P/750]]&lt;Expenses!$C$30,1,IF(Table1[[#This Row],[P/750]]&lt;Expenses!$C$31,2,IF(Table1[[#This Row],[P/750]]&lt;Expenses!$C$32,3,4)))</f>
        <v>2</v>
      </c>
      <c r="AH834" s="37" t="s">
        <v>384</v>
      </c>
      <c r="AI834" s="11">
        <f>Table1[[#This Row],[Price]]/Table1[[#This Row],[Size (ml)]]*750</f>
        <v>23</v>
      </c>
      <c r="AJ834" s="37">
        <v>93</v>
      </c>
      <c r="AK834" s="37">
        <f>COUNTIF(UniqueID!A:A,Table1[[#This Row],[ID]])</f>
        <v>1</v>
      </c>
      <c r="AL834" s="37" t="str">
        <f>VLOOKUP(Table1[[#This Row],[Cellar Location]],Location!A:F,6,FALSE)</f>
        <v>S</v>
      </c>
      <c r="AO834" s="37" t="str">
        <f>TEXT(Table1[[#This Row],[Purchased]],"mmmm")</f>
        <v>January</v>
      </c>
      <c r="AP834" s="10" t="str">
        <f>TEXT(Table1[[#This Row],[Purchased]],"yyyy")</f>
        <v>1900</v>
      </c>
      <c r="AQ834" s="10"/>
    </row>
    <row r="835" spans="1:43" s="37" customFormat="1" x14ac:dyDescent="0.25">
      <c r="A835" s="37" t="str">
        <f t="shared" si="46"/>
        <v>2015PalaEssentija</v>
      </c>
      <c r="B835" s="8">
        <v>2015</v>
      </c>
      <c r="C835" s="8" t="s">
        <v>1825</v>
      </c>
      <c r="D835" s="19" t="s">
        <v>1827</v>
      </c>
      <c r="E835" s="63" t="s">
        <v>1824</v>
      </c>
      <c r="F835" s="37" t="s">
        <v>728</v>
      </c>
      <c r="G835" s="37" t="s">
        <v>787</v>
      </c>
      <c r="H835" s="37" t="s">
        <v>1826</v>
      </c>
      <c r="I835" s="37">
        <v>1</v>
      </c>
      <c r="J835" s="38">
        <v>750</v>
      </c>
      <c r="K835" s="38" t="s">
        <v>1572</v>
      </c>
      <c r="L835" s="10">
        <f>COUNTIF(Drank!A:A,Table1[[#This Row],[ID]])</f>
        <v>0</v>
      </c>
      <c r="M835" s="37" t="s">
        <v>202</v>
      </c>
      <c r="N835" s="37" t="s">
        <v>207</v>
      </c>
      <c r="O835" s="37">
        <v>0</v>
      </c>
      <c r="P835" s="10"/>
      <c r="R835" s="10" t="str">
        <f>IF(IFERROR(VLOOKUP(A835,Drank!A:S,15,FALSE),"")=0,"",IFERROR(VLOOKUP(A835,Drank!A:S,15,FALSE),""))</f>
        <v/>
      </c>
      <c r="S835" s="10" t="str">
        <f>IF(IFERROR(VLOOKUP(A835,Drank!A:S,16,FALSE),"")=0,"",IFERROR(VLOOKUP(A835,Drank!A:S,16,FALSE),""))</f>
        <v/>
      </c>
      <c r="T835" s="10">
        <v>2028</v>
      </c>
      <c r="V835" s="18" t="str">
        <f>IF(IFERROR(VLOOKUP(A835,Drank!A:T,19,FALSE),"")=0,"",IFERROR(VLOOKUP(A835,Drank!A:T,19,FALSE),""))</f>
        <v/>
      </c>
      <c r="W835" s="1" t="str">
        <f>IF(IFERROR(VLOOKUP(A835,Drank!A:T,20,FALSE),"")=0,"",IFERROR(VLOOKUP(A835,Drank!A:T,20,FALSE),""))</f>
        <v/>
      </c>
      <c r="X835" s="10">
        <f>SUMIF(A:A,A835,I:I)</f>
        <v>5</v>
      </c>
      <c r="Y835" s="10">
        <f>IF(Table1[[#This Row],[Drank]]&gt;0,VLOOKUP(Table1[[#This Row],[ID]],Drank!A:P,16,FALSE),IF(Table1[[#This Row],[WALDD]]&gt;0,VLOOKUP(Table1[[#This Row],[ID]],Wine1!A:Q,17,FALSE),Table1[[#This Row],[EP]]))</f>
        <v>2028</v>
      </c>
      <c r="Z835" s="18" t="str">
        <f>IF(Table1[[#This Row],[My Rating]]="",IF(Table1[[#This Row],[WA Rating Clean]]="","",Table1[[#This Row],[WA Rating Clean]]),Table1[[#This Row],[My Rating]])</f>
        <v/>
      </c>
      <c r="AA835" s="37">
        <v>2028</v>
      </c>
      <c r="AB835" s="128">
        <v>26.8</v>
      </c>
      <c r="AC835" s="2">
        <f t="shared" si="47"/>
        <v>26.8</v>
      </c>
      <c r="AD835" s="8"/>
      <c r="AE835" s="10">
        <f>IF(Table1[[#This Row],[P/750]]&lt;20,1,IF(Table1[[#This Row],[P/750]]&lt;50,2,3))</f>
        <v>2</v>
      </c>
      <c r="AF835" s="10">
        <f>IF(Table1[[#This Row],[P/750]]&lt;Expenses!$C$30,1,IF(Table1[[#This Row],[P/750]]&lt;Expenses!$C$31,2,IF(Table1[[#This Row],[P/750]]&lt;Expenses!$C$32,3,4)))</f>
        <v>2</v>
      </c>
      <c r="AH835" s="25" t="s">
        <v>1572</v>
      </c>
      <c r="AI835" s="11">
        <f>Table1[[#This Row],[Price]]/Table1[[#This Row],[Size (ml)]]*750</f>
        <v>26.8</v>
      </c>
      <c r="AK835" s="10">
        <f>COUNTIF(UniqueID!A:A,Table1[[#This Row],[ID]])</f>
        <v>0</v>
      </c>
      <c r="AL835" s="10" t="str">
        <f>VLOOKUP(Table1[[#This Row],[Cellar Location]],Location!A:F,6,FALSE)</f>
        <v>W</v>
      </c>
      <c r="AN835" s="1">
        <v>44068</v>
      </c>
      <c r="AO835" s="10" t="str">
        <f>TEXT(Table1[[#This Row],[Purchased]],"mmmm")</f>
        <v>August</v>
      </c>
      <c r="AP835" s="10" t="str">
        <f>TEXT(Table1[[#This Row],[Purchased]],"yyyy")</f>
        <v>2020</v>
      </c>
      <c r="AQ835" s="1">
        <v>44114</v>
      </c>
    </row>
    <row r="836" spans="1:43" x14ac:dyDescent="0.25">
      <c r="A836" t="str">
        <f t="shared" si="46"/>
        <v>2015Abbadia ArdengaBrunello di Montalcino</v>
      </c>
      <c r="B836" s="37">
        <v>2015</v>
      </c>
      <c r="C836" s="37" t="s">
        <v>1476</v>
      </c>
      <c r="D836" s="37" t="s">
        <v>19</v>
      </c>
      <c r="E836" s="67" t="s">
        <v>1250</v>
      </c>
      <c r="F836" s="37" t="s">
        <v>728</v>
      </c>
      <c r="G836" s="37" t="s">
        <v>790</v>
      </c>
      <c r="H836" s="37" t="s">
        <v>19</v>
      </c>
      <c r="I836" s="107">
        <v>1</v>
      </c>
      <c r="J836" s="37">
        <v>750</v>
      </c>
      <c r="K836" s="108" t="s">
        <v>1505</v>
      </c>
      <c r="L836" s="10">
        <f>COUNTIF(Drank!A:A,Table1[[#This Row],[ID]])</f>
        <v>1</v>
      </c>
      <c r="M836" t="s">
        <v>202</v>
      </c>
      <c r="N836" t="s">
        <v>207</v>
      </c>
      <c r="O836">
        <v>0</v>
      </c>
      <c r="P836" s="10"/>
      <c r="R836" s="10">
        <f>IF(IFERROR(VLOOKUP(A836,Drank!A:S,15,FALSE),"")=0,"",IFERROR(VLOOKUP(A836,Drank!A:S,15,FALSE),""))</f>
        <v>2027</v>
      </c>
      <c r="S836" s="10">
        <f>IF(IFERROR(VLOOKUP(A836,Drank!A:S,16,FALSE),"")=0,"",IFERROR(VLOOKUP(A836,Drank!A:S,16,FALSE),""))</f>
        <v>2029</v>
      </c>
      <c r="T836" s="10">
        <v>2028</v>
      </c>
      <c r="V836" s="18">
        <f>IF(IFERROR(VLOOKUP(A836,Drank!A:T,19,FALSE),"")=0,"",IFERROR(VLOOKUP(A836,Drank!A:T,19,FALSE),""))</f>
        <v>89</v>
      </c>
      <c r="W836" s="1">
        <f>IF(IFERROR(VLOOKUP(A836,Drank!A:T,20,FALSE),"")=0,"",IFERROR(VLOOKUP(A836,Drank!A:T,20,FALSE),""))</f>
        <v>44036</v>
      </c>
      <c r="X836" s="10">
        <f>SUMIF(A:A,A836,I:I)</f>
        <v>3</v>
      </c>
      <c r="Y836" s="10">
        <f>IF(Table1[[#This Row],[Drank]]&gt;0,VLOOKUP(Table1[[#This Row],[ID]],Drank!A:P,16,FALSE),IF(Table1[[#This Row],[WALDD]]&gt;0,VLOOKUP(Table1[[#This Row],[ID]],Wine1!A:Q,17,FALSE),Table1[[#This Row],[EP]]))</f>
        <v>2029</v>
      </c>
      <c r="Z836" s="18">
        <f>IF(Table1[[#This Row],[My Rating]]="",IF(Table1[[#This Row],[WA Rating Clean]]="","",Table1[[#This Row],[WA Rating Clean]]),Table1[[#This Row],[My Rating]])</f>
        <v>89</v>
      </c>
      <c r="AA836" s="37">
        <v>2028</v>
      </c>
      <c r="AB836" s="4">
        <v>29.32</v>
      </c>
      <c r="AC836" s="2">
        <f t="shared" si="47"/>
        <v>29.32</v>
      </c>
      <c r="AD836" s="8">
        <v>2</v>
      </c>
      <c r="AE836" s="10">
        <f>IF(Table1[[#This Row],[P/750]]&lt;20,1,IF(Table1[[#This Row],[P/750]]&lt;50,2,3))</f>
        <v>2</v>
      </c>
      <c r="AF836" s="10">
        <f>IF(Table1[[#This Row],[P/750]]&lt;Expenses!$C$30,1,IF(Table1[[#This Row],[P/750]]&lt;Expenses!$C$31,2,IF(Table1[[#This Row],[P/750]]&lt;Expenses!$C$32,3,4)))</f>
        <v>2</v>
      </c>
      <c r="AH836" s="37" t="s">
        <v>384</v>
      </c>
      <c r="AI836" s="11">
        <f>Table1[[#This Row],[Price]]/Table1[[#This Row],[Size (ml)]]*750</f>
        <v>29.32</v>
      </c>
      <c r="AK836" s="10">
        <f>COUNTIF(UniqueID!A:A,Table1[[#This Row],[ID]])</f>
        <v>0</v>
      </c>
      <c r="AL836" s="10" t="str">
        <f>VLOOKUP(Table1[[#This Row],[Cellar Location]],Location!A:F,6,FALSE)</f>
        <v>S</v>
      </c>
      <c r="AN836" s="1">
        <v>44017</v>
      </c>
      <c r="AO836" s="10" t="str">
        <f>TEXT(Table1[[#This Row],[Purchased]],"mmmm")</f>
        <v>July</v>
      </c>
      <c r="AP836" s="10" t="str">
        <f>TEXT(Table1[[#This Row],[Purchased]],"yyyy")</f>
        <v>2020</v>
      </c>
      <c r="AQ836" s="10"/>
    </row>
    <row r="837" spans="1:43" x14ac:dyDescent="0.25">
      <c r="A837" t="str">
        <f t="shared" si="46"/>
        <v>2016AaltoAalto</v>
      </c>
      <c r="B837" s="37">
        <v>2016</v>
      </c>
      <c r="C837" s="37" t="s">
        <v>1184</v>
      </c>
      <c r="D837" s="37" t="s">
        <v>1184</v>
      </c>
      <c r="E837" s="67" t="s">
        <v>1220</v>
      </c>
      <c r="F837" s="37" t="s">
        <v>729</v>
      </c>
      <c r="G837" s="37" t="s">
        <v>1718</v>
      </c>
      <c r="H837" s="37" t="s">
        <v>818</v>
      </c>
      <c r="I837" s="107">
        <v>1</v>
      </c>
      <c r="J837" s="37">
        <v>750</v>
      </c>
      <c r="K837" s="107" t="s">
        <v>1315</v>
      </c>
      <c r="L837" s="10">
        <f>COUNTIF(Drank!A:A,Table1[[#This Row],[ID]])</f>
        <v>1</v>
      </c>
      <c r="M837" t="s">
        <v>202</v>
      </c>
      <c r="N837" t="s">
        <v>207</v>
      </c>
      <c r="O837">
        <v>1</v>
      </c>
      <c r="P837" s="10">
        <v>2020</v>
      </c>
      <c r="Q837">
        <v>2026</v>
      </c>
      <c r="R837" s="10">
        <f>IF(IFERROR(VLOOKUP(A837,Drank!A:S,15,FALSE),"")=0,"",IFERROR(VLOOKUP(A837,Drank!A:S,15,FALSE),""))</f>
        <v>2026</v>
      </c>
      <c r="S837" s="10">
        <f>IF(IFERROR(VLOOKUP(A837,Drank!A:S,16,FALSE),"")=0,"",IFERROR(VLOOKUP(A837,Drank!A:S,16,FALSE),""))</f>
        <v>2029</v>
      </c>
      <c r="T837" s="10"/>
      <c r="U837" t="s">
        <v>1185</v>
      </c>
      <c r="V837" s="18">
        <f>IF(IFERROR(VLOOKUP(A837,Drank!A:T,19,FALSE),"")=0,"",IFERROR(VLOOKUP(A837,Drank!A:T,19,FALSE),""))</f>
        <v>94</v>
      </c>
      <c r="W837" s="1">
        <f>IF(IFERROR(VLOOKUP(A837,Drank!A:T,20,FALSE),"")=0,"",IFERROR(VLOOKUP(A837,Drank!A:T,20,FALSE),""))</f>
        <v>43870</v>
      </c>
      <c r="X837" s="10">
        <f>SUMIF(A:A,A837,I:I)</f>
        <v>7</v>
      </c>
      <c r="Y837" s="10">
        <f>IF(Table1[[#This Row],[Drank]]&gt;0,VLOOKUP(Table1[[#This Row],[ID]],Drank!A:P,16,FALSE),IF(Table1[[#This Row],[WALDD]]&gt;0,VLOOKUP(Table1[[#This Row],[ID]],Wine1!A:Q,17,FALSE),Table1[[#This Row],[EP]]))</f>
        <v>2029</v>
      </c>
      <c r="Z837" s="18">
        <f>IF(Table1[[#This Row],[My Rating]]="",IF(Table1[[#This Row],[WA Rating Clean]]="","",Table1[[#This Row],[WA Rating Clean]]),Table1[[#This Row],[My Rating]])</f>
        <v>94</v>
      </c>
      <c r="AA837" s="37">
        <v>2028</v>
      </c>
      <c r="AB837" s="4">
        <v>46.67</v>
      </c>
      <c r="AC837" s="2">
        <f t="shared" si="47"/>
        <v>46.67</v>
      </c>
      <c r="AD837" s="8">
        <v>2</v>
      </c>
      <c r="AE837" s="10">
        <f>IF(Table1[[#This Row],[P/750]]&lt;20,1,IF(Table1[[#This Row],[P/750]]&lt;50,2,3))</f>
        <v>2</v>
      </c>
      <c r="AF837" s="10">
        <f>IF(Table1[[#This Row],[P/750]]&lt;Expenses!$C$30,1,IF(Table1[[#This Row],[P/750]]&lt;Expenses!$C$31,2,IF(Table1[[#This Row],[P/750]]&lt;Expenses!$C$32,3,4)))</f>
        <v>3</v>
      </c>
      <c r="AH837" s="37" t="s">
        <v>1189</v>
      </c>
      <c r="AI837" s="11">
        <f>Table1[[#This Row],[Price]]/Table1[[#This Row],[Size (ml)]]*750</f>
        <v>46.67</v>
      </c>
      <c r="AJ837">
        <v>94</v>
      </c>
      <c r="AK837" s="10">
        <f>COUNTIF(UniqueID!A:A,Table1[[#This Row],[ID]])</f>
        <v>1</v>
      </c>
      <c r="AL837" s="10" t="str">
        <f>VLOOKUP(Table1[[#This Row],[Cellar Location]],Location!A:F,6,FALSE)</f>
        <v>S</v>
      </c>
      <c r="AN837" s="1">
        <v>43871</v>
      </c>
      <c r="AO837" s="37" t="str">
        <f>TEXT(Table1[[#This Row],[Purchased]],"mmmm")</f>
        <v>February</v>
      </c>
      <c r="AP837" s="10" t="str">
        <f>TEXT(Table1[[#This Row],[Purchased]],"yyyy")</f>
        <v>2020</v>
      </c>
      <c r="AQ837" s="10"/>
    </row>
    <row r="838" spans="1:43" x14ac:dyDescent="0.25">
      <c r="A838" t="str">
        <f t="shared" si="46"/>
        <v>2016ChauvinChauvin</v>
      </c>
      <c r="B838" s="37">
        <v>2016</v>
      </c>
      <c r="C838" s="37" t="s">
        <v>587</v>
      </c>
      <c r="D838" s="37" t="s">
        <v>587</v>
      </c>
      <c r="E838" s="64" t="s">
        <v>282</v>
      </c>
      <c r="F838" s="37" t="s">
        <v>742</v>
      </c>
      <c r="G838" s="37" t="s">
        <v>748</v>
      </c>
      <c r="H838" s="37" t="s">
        <v>751</v>
      </c>
      <c r="I838" s="107">
        <v>1</v>
      </c>
      <c r="J838" s="37">
        <v>750</v>
      </c>
      <c r="K838" s="107" t="s">
        <v>642</v>
      </c>
      <c r="L838" s="37">
        <f>COUNTIF(Drank!A:A,Table1[[#This Row],[ID]])</f>
        <v>0</v>
      </c>
      <c r="M838" t="s">
        <v>202</v>
      </c>
      <c r="N838" t="s">
        <v>207</v>
      </c>
      <c r="O838">
        <v>1</v>
      </c>
      <c r="P838" s="10">
        <v>2020</v>
      </c>
      <c r="Q838">
        <v>2029</v>
      </c>
      <c r="R838" s="10" t="str">
        <f>IF(IFERROR(VLOOKUP(A838,Drank!A:S,15,FALSE),"")=0,"",IFERROR(VLOOKUP(A838,Drank!A:S,15,FALSE),""))</f>
        <v/>
      </c>
      <c r="S838" s="10" t="str">
        <f>IF(IFERROR(VLOOKUP(A838,Drank!A:S,16,FALSE),"")=0,"",IFERROR(VLOOKUP(A838,Drank!A:S,16,FALSE),""))</f>
        <v/>
      </c>
      <c r="T838" s="10"/>
      <c r="U838">
        <v>92</v>
      </c>
      <c r="V838" s="18" t="str">
        <f>IF(IFERROR(VLOOKUP(A838,Drank!A:T,19,FALSE),"")=0,"",IFERROR(VLOOKUP(A838,Drank!A:T,19,FALSE),""))</f>
        <v/>
      </c>
      <c r="W838" s="1" t="str">
        <f>IF(IFERROR(VLOOKUP(A838,Drank!A:T,20,FALSE),"")=0,"",IFERROR(VLOOKUP(A838,Drank!A:T,20,FALSE),""))</f>
        <v/>
      </c>
      <c r="X838" s="10">
        <f>SUMIF(A:A,A838,I:I)</f>
        <v>2</v>
      </c>
      <c r="Y838" s="10">
        <f>IF(Table1[[#This Row],[Drank]]&gt;0,VLOOKUP(Table1[[#This Row],[ID]],Drank!A:P,16,FALSE),IF(Table1[[#This Row],[WALDD]]&gt;0,VLOOKUP(Table1[[#This Row],[ID]],Wine1!A:Q,17,FALSE),Table1[[#This Row],[EP]]))</f>
        <v>2029</v>
      </c>
      <c r="Z838" s="18">
        <f>IF(Table1[[#This Row],[My Rating]]="",IF(Table1[[#This Row],[WA Rating Clean]]="","",Table1[[#This Row],[WA Rating Clean]]),Table1[[#This Row],[My Rating]])</f>
        <v>92</v>
      </c>
      <c r="AA838" s="37">
        <v>2028</v>
      </c>
      <c r="AB838" s="4">
        <v>43.99</v>
      </c>
      <c r="AC838" s="2">
        <f t="shared" si="47"/>
        <v>43.99</v>
      </c>
      <c r="AD838" s="8">
        <v>2</v>
      </c>
      <c r="AE838" s="10">
        <f>IF(Table1[[#This Row],[P/750]]&lt;20,1,IF(Table1[[#This Row],[P/750]]&lt;50,2,3))</f>
        <v>2</v>
      </c>
      <c r="AF838" s="10">
        <f>IF(Table1[[#This Row],[P/750]]&lt;Expenses!$C$30,1,IF(Table1[[#This Row],[P/750]]&lt;Expenses!$C$31,2,IF(Table1[[#This Row],[P/750]]&lt;Expenses!$C$32,3,4)))</f>
        <v>3</v>
      </c>
      <c r="AH838" s="37" t="s">
        <v>1130</v>
      </c>
      <c r="AI838" s="11">
        <f>Table1[[#This Row],[Price]]/Table1[[#This Row],[Size (ml)]]*750</f>
        <v>43.99</v>
      </c>
      <c r="AJ838">
        <v>92</v>
      </c>
      <c r="AK838" s="37">
        <f>COUNTIF(UniqueID!A:A,Table1[[#This Row],[ID]])</f>
        <v>1</v>
      </c>
      <c r="AL838" s="37" t="str">
        <f>VLOOKUP(Table1[[#This Row],[Cellar Location]],Location!A:F,6,FALSE)</f>
        <v>S</v>
      </c>
      <c r="AN838" s="37"/>
      <c r="AO838" s="37" t="str">
        <f>TEXT(Table1[[#This Row],[Purchased]],"mmmm")</f>
        <v>January</v>
      </c>
      <c r="AP838" s="10" t="str">
        <f>TEXT(Table1[[#This Row],[Purchased]],"yyyy")</f>
        <v>1900</v>
      </c>
      <c r="AQ838" s="10"/>
    </row>
    <row r="839" spans="1:43" x14ac:dyDescent="0.25">
      <c r="A839" t="str">
        <f t="shared" si="46"/>
        <v>2016Luna BeberidePaixar</v>
      </c>
      <c r="B839" s="37">
        <v>2016</v>
      </c>
      <c r="C839" s="37" t="s">
        <v>357</v>
      </c>
      <c r="D839" s="37" t="s">
        <v>358</v>
      </c>
      <c r="E839" s="64" t="s">
        <v>363</v>
      </c>
      <c r="F839" s="37" t="s">
        <v>729</v>
      </c>
      <c r="G839" s="37" t="s">
        <v>1718</v>
      </c>
      <c r="H839" s="37" t="s">
        <v>815</v>
      </c>
      <c r="I839" s="107">
        <v>1</v>
      </c>
      <c r="J839" s="37">
        <v>750</v>
      </c>
      <c r="K839" s="107" t="s">
        <v>653</v>
      </c>
      <c r="L839" s="37">
        <f>COUNTIF(Drank!A:A,Table1[[#This Row],[ID]])</f>
        <v>1</v>
      </c>
      <c r="M839" t="s">
        <v>202</v>
      </c>
      <c r="N839" t="s">
        <v>207</v>
      </c>
      <c r="O839">
        <v>1</v>
      </c>
      <c r="P839" s="37">
        <v>2020</v>
      </c>
      <c r="Q839">
        <v>2030</v>
      </c>
      <c r="R839" s="10">
        <f>IF(IFERROR(VLOOKUP(A839,Drank!A:S,15,FALSE),"")=0,"",IFERROR(VLOOKUP(A839,Drank!A:S,15,FALSE),""))</f>
        <v>2024</v>
      </c>
      <c r="S839" s="10">
        <f>IF(IFERROR(VLOOKUP(A839,Drank!A:S,16,FALSE),"")=0,"",IFERROR(VLOOKUP(A839,Drank!A:S,16,FALSE),""))</f>
        <v>2029</v>
      </c>
      <c r="T839" s="10"/>
      <c r="U839">
        <v>95</v>
      </c>
      <c r="V839" s="18">
        <f>IF(IFERROR(VLOOKUP(A839,Drank!A:T,19,FALSE),"")=0,"",IFERROR(VLOOKUP(A839,Drank!A:T,19,FALSE),""))</f>
        <v>94</v>
      </c>
      <c r="W839" s="1">
        <f>IF(IFERROR(VLOOKUP(A839,Drank!A:T,20,FALSE),"")=0,"",IFERROR(VLOOKUP(A839,Drank!A:T,20,FALSE),""))</f>
        <v>43650</v>
      </c>
      <c r="X839" s="10">
        <f>SUMIF(A:A,A839,I:I)</f>
        <v>3</v>
      </c>
      <c r="Y839" s="37">
        <f>IF(Table1[[#This Row],[Drank]]&gt;0,VLOOKUP(Table1[[#This Row],[ID]],Drank!A:P,16,FALSE),IF(Table1[[#This Row],[WALDD]]&gt;0,VLOOKUP(Table1[[#This Row],[ID]],Wine1!A:Q,17,FALSE),Table1[[#This Row],[EP]]))</f>
        <v>2029</v>
      </c>
      <c r="Z839" s="18">
        <f>IF(Table1[[#This Row],[My Rating]]="",IF(Table1[[#This Row],[WA Rating Clean]]="","",Table1[[#This Row],[WA Rating Clean]]),Table1[[#This Row],[My Rating]])</f>
        <v>94</v>
      </c>
      <c r="AA839" s="8">
        <v>2028</v>
      </c>
      <c r="AB839" s="4">
        <v>37.99</v>
      </c>
      <c r="AC839" s="2">
        <f t="shared" si="47"/>
        <v>37.99</v>
      </c>
      <c r="AD839" s="8">
        <v>2</v>
      </c>
      <c r="AE839" s="37">
        <f>IF(Table1[[#This Row],[P/750]]&lt;20,1,IF(Table1[[#This Row],[P/750]]&lt;50,2,3))</f>
        <v>2</v>
      </c>
      <c r="AF839" s="37">
        <f>IF(Table1[[#This Row],[P/750]]&lt;Expenses!$C$30,1,IF(Table1[[#This Row],[P/750]]&lt;Expenses!$C$31,2,IF(Table1[[#This Row],[P/750]]&lt;Expenses!$C$32,3,4)))</f>
        <v>3</v>
      </c>
      <c r="AH839" s="37" t="s">
        <v>384</v>
      </c>
      <c r="AI839" s="11">
        <f>Table1[[#This Row],[Price]]/Table1[[#This Row],[Size (ml)]]*750</f>
        <v>37.99</v>
      </c>
      <c r="AJ839">
        <v>95</v>
      </c>
      <c r="AK839" s="37">
        <f>COUNTIF(UniqueID!A:A,Table1[[#This Row],[ID]])</f>
        <v>1</v>
      </c>
      <c r="AL839" s="37" t="str">
        <f>VLOOKUP(Table1[[#This Row],[Cellar Location]],Location!A:F,6,FALSE)</f>
        <v>S</v>
      </c>
      <c r="AN839" s="37"/>
      <c r="AO839" s="37" t="str">
        <f>TEXT(Table1[[#This Row],[Purchased]],"mmmm")</f>
        <v>January</v>
      </c>
      <c r="AP839" s="10" t="str">
        <f>TEXT(Table1[[#This Row],[Purchased]],"yyyy")</f>
        <v>1900</v>
      </c>
      <c r="AQ839" s="10"/>
    </row>
    <row r="840" spans="1:43" x14ac:dyDescent="0.25">
      <c r="A840" t="str">
        <f t="shared" si="46"/>
        <v>2017Richard RottiersMoulin-Ã -Vent Foudres</v>
      </c>
      <c r="B840" s="37">
        <v>2017</v>
      </c>
      <c r="C840" s="25" t="s">
        <v>445</v>
      </c>
      <c r="D840" s="37" t="s">
        <v>446</v>
      </c>
      <c r="E840" s="69" t="s">
        <v>336</v>
      </c>
      <c r="F840" s="37" t="s">
        <v>742</v>
      </c>
      <c r="G840" s="37" t="s">
        <v>745</v>
      </c>
      <c r="H840" s="37" t="s">
        <v>746</v>
      </c>
      <c r="I840" s="107">
        <v>1</v>
      </c>
      <c r="J840" s="37">
        <v>750</v>
      </c>
      <c r="K840" s="108" t="s">
        <v>591</v>
      </c>
      <c r="L840" s="10">
        <f>COUNTIF(Drank!A:A,Table1[[#This Row],[ID]])</f>
        <v>2</v>
      </c>
      <c r="M840" t="s">
        <v>202</v>
      </c>
      <c r="N840" t="s">
        <v>207</v>
      </c>
      <c r="O840">
        <v>1</v>
      </c>
      <c r="P840" s="10">
        <v>2019</v>
      </c>
      <c r="Q840">
        <v>2029</v>
      </c>
      <c r="R840" s="10">
        <f>IF(IFERROR(VLOOKUP(A840,Drank!A:S,15,FALSE),"")=0,"",IFERROR(VLOOKUP(A840,Drank!A:S,15,FALSE),""))</f>
        <v>2021</v>
      </c>
      <c r="S840" s="10">
        <f>IF(IFERROR(VLOOKUP(A840,Drank!A:S,16,FALSE),"")=0,"",IFERROR(VLOOKUP(A840,Drank!A:S,16,FALSE),""))</f>
        <v>2029</v>
      </c>
      <c r="T840" s="10"/>
      <c r="U840">
        <v>92</v>
      </c>
      <c r="V840" s="18">
        <f>IF(IFERROR(VLOOKUP(A840,Drank!A:T,19,FALSE),"")=0,"",IFERROR(VLOOKUP(A840,Drank!A:T,19,FALSE),""))</f>
        <v>90</v>
      </c>
      <c r="W840" s="1">
        <f>IF(IFERROR(VLOOKUP(A840,Drank!A:T,20,FALSE),"")=0,"",IFERROR(VLOOKUP(A840,Drank!A:T,20,FALSE),""))</f>
        <v>43835</v>
      </c>
      <c r="X840" s="10">
        <f>SUMIF(A:A,A840,I:I)</f>
        <v>10</v>
      </c>
      <c r="Y840" s="10">
        <f>IF(Table1[[#This Row],[Drank]]&gt;0,VLOOKUP(Table1[[#This Row],[ID]],Drank!A:P,16,FALSE),IF(Table1[[#This Row],[WALDD]]&gt;0,VLOOKUP(Table1[[#This Row],[ID]],Wine1!A:Q,17,FALSE),Table1[[#This Row],[EP]]))</f>
        <v>2029</v>
      </c>
      <c r="Z840" s="18">
        <f>IF(Table1[[#This Row],[My Rating]]="",IF(Table1[[#This Row],[WA Rating Clean]]="","",Table1[[#This Row],[WA Rating Clean]]),Table1[[#This Row],[My Rating]])</f>
        <v>90</v>
      </c>
      <c r="AA840" s="37">
        <v>2028</v>
      </c>
      <c r="AB840" s="4">
        <v>14.99</v>
      </c>
      <c r="AC840" s="2">
        <f t="shared" si="47"/>
        <v>14.99</v>
      </c>
      <c r="AD840" s="8">
        <v>2</v>
      </c>
      <c r="AE840" s="10">
        <f>IF(Table1[[#This Row],[P/750]]&lt;20,1,IF(Table1[[#This Row],[P/750]]&lt;50,2,3))</f>
        <v>1</v>
      </c>
      <c r="AF840" s="10">
        <f>IF(Table1[[#This Row],[P/750]]&lt;Expenses!$C$30,1,IF(Table1[[#This Row],[P/750]]&lt;Expenses!$C$31,2,IF(Table1[[#This Row],[P/750]]&lt;Expenses!$C$32,3,4)))</f>
        <v>1</v>
      </c>
      <c r="AH840" t="s">
        <v>384</v>
      </c>
      <c r="AI840" s="11">
        <f>Table1[[#This Row],[Price]]/Table1[[#This Row],[Size (ml)]]*750</f>
        <v>14.99</v>
      </c>
      <c r="AJ840">
        <v>92</v>
      </c>
      <c r="AK840" s="37">
        <f>COUNTIF(UniqueID!A:A,Table1[[#This Row],[ID]])</f>
        <v>1</v>
      </c>
      <c r="AL840" s="37" t="str">
        <f>VLOOKUP(Table1[[#This Row],[Cellar Location]],Location!A:F,6,FALSE)</f>
        <v>S</v>
      </c>
      <c r="AN840" s="37"/>
      <c r="AO840" s="37" t="str">
        <f>TEXT(Table1[[#This Row],[Purchased]],"mmmm")</f>
        <v>January</v>
      </c>
      <c r="AP840" s="10" t="str">
        <f>TEXT(Table1[[#This Row],[Purchased]],"yyyy")</f>
        <v>1900</v>
      </c>
      <c r="AQ840" s="10"/>
    </row>
    <row r="841" spans="1:43" x14ac:dyDescent="0.25">
      <c r="A841" t="str">
        <f t="shared" si="46"/>
        <v>2013BrancaiaIlatraia</v>
      </c>
      <c r="B841">
        <v>2013</v>
      </c>
      <c r="C841" s="37" t="s">
        <v>140</v>
      </c>
      <c r="D841" s="37" t="s">
        <v>372</v>
      </c>
      <c r="E841" s="67" t="s">
        <v>1637</v>
      </c>
      <c r="F841" s="37" t="s">
        <v>728</v>
      </c>
      <c r="G841" s="37" t="s">
        <v>790</v>
      </c>
      <c r="H841" s="37" t="s">
        <v>794</v>
      </c>
      <c r="I841" s="8">
        <v>1</v>
      </c>
      <c r="J841" s="107">
        <v>750</v>
      </c>
      <c r="K841" s="8" t="s">
        <v>1852</v>
      </c>
      <c r="L841" s="37">
        <f>COUNTIF(Drank!A:A,Table1[[#This Row],[ID]])</f>
        <v>1</v>
      </c>
      <c r="M841" t="s">
        <v>202</v>
      </c>
      <c r="N841" t="s">
        <v>207</v>
      </c>
      <c r="O841">
        <v>1</v>
      </c>
      <c r="P841" s="37">
        <v>2017</v>
      </c>
      <c r="Q841">
        <v>2030</v>
      </c>
      <c r="R841" s="10">
        <f>IF(IFERROR(VLOOKUP(A841,Drank!A:S,15,FALSE),"")=0,"",IFERROR(VLOOKUP(A841,Drank!A:S,15,FALSE),""))</f>
        <v>2027</v>
      </c>
      <c r="S841" s="10">
        <f>IF(IFERROR(VLOOKUP(A841,Drank!A:S,16,FALSE),"")=0,"",IFERROR(VLOOKUP(A841,Drank!A:S,16,FALSE),""))</f>
        <v>2030</v>
      </c>
      <c r="T841" s="10"/>
      <c r="U841">
        <v>97</v>
      </c>
      <c r="V841" s="18">
        <f>IF(IFERROR(VLOOKUP(A841,Drank!A:T,19,FALSE),"")=0,"",IFERROR(VLOOKUP(A841,Drank!A:T,19,FALSE),""))</f>
        <v>92</v>
      </c>
      <c r="W841" s="1">
        <f>IF(IFERROR(VLOOKUP(A841,Drank!A:T,20,FALSE),"")=0,"",IFERROR(VLOOKUP(A841,Drank!A:T,20,FALSE),""))</f>
        <v>44067</v>
      </c>
      <c r="X841" s="10">
        <f>SUMIF(A:A,A841,I:I)</f>
        <v>8</v>
      </c>
      <c r="Y841" s="37">
        <f>IF(Table1[[#This Row],[Drank]]&gt;0,VLOOKUP(Table1[[#This Row],[ID]],Drank!A:P,16,FALSE),IF(Table1[[#This Row],[WALDD]]&gt;0,VLOOKUP(Table1[[#This Row],[ID]],Wine1!A:Q,17,FALSE),Table1[[#This Row],[EP]]))</f>
        <v>2030</v>
      </c>
      <c r="Z841" s="18">
        <f>IF(Table1[[#This Row],[My Rating]]="",IF(Table1[[#This Row],[WA Rating Clean]]="","",Table1[[#This Row],[WA Rating Clean]]),Table1[[#This Row],[My Rating]])</f>
        <v>92</v>
      </c>
      <c r="AA841" s="8">
        <v>2028</v>
      </c>
      <c r="AB841" s="129">
        <v>50.69</v>
      </c>
      <c r="AC841" s="2">
        <f t="shared" si="47"/>
        <v>50.69</v>
      </c>
      <c r="AD841" s="8">
        <v>2</v>
      </c>
      <c r="AE841" s="37">
        <f>IF(Table1[[#This Row],[P/750]]&lt;20,1,IF(Table1[[#This Row],[P/750]]&lt;50,2,3))</f>
        <v>3</v>
      </c>
      <c r="AF841" s="37">
        <f>IF(Table1[[#This Row],[P/750]]&lt;Expenses!$C$30,1,IF(Table1[[#This Row],[P/750]]&lt;Expenses!$C$31,2,IF(Table1[[#This Row],[P/750]]&lt;Expenses!$C$32,3,4)))</f>
        <v>3</v>
      </c>
      <c r="AH841" s="37" t="s">
        <v>1128</v>
      </c>
      <c r="AI841" s="11">
        <f>Table1[[#This Row],[Price]]/Table1[[#This Row],[Size (ml)]]*750</f>
        <v>50.690000000000005</v>
      </c>
      <c r="AJ841">
        <v>97</v>
      </c>
      <c r="AK841" s="37">
        <f>COUNTIF(UniqueID!A:A,Table1[[#This Row],[ID]])</f>
        <v>1</v>
      </c>
      <c r="AL841" s="37" t="str">
        <f>VLOOKUP(Table1[[#This Row],[Cellar Location]],Location!A:F,6,FALSE)</f>
        <v>S</v>
      </c>
      <c r="AN841" s="1">
        <v>44070</v>
      </c>
      <c r="AO841" s="37" t="str">
        <f>TEXT(Table1[[#This Row],[Purchased]],"mmmm")</f>
        <v>August</v>
      </c>
      <c r="AP841" s="10" t="str">
        <f>TEXT(Table1[[#This Row],[Purchased]],"yyyy")</f>
        <v>2020</v>
      </c>
      <c r="AQ841" s="10"/>
    </row>
    <row r="842" spans="1:43" x14ac:dyDescent="0.25">
      <c r="A842" t="str">
        <f t="shared" si="46"/>
        <v>2017Altos Las HormigasMalbec Appellation Gualtallary</v>
      </c>
      <c r="B842" s="37">
        <v>2017</v>
      </c>
      <c r="C842" s="37" t="s">
        <v>232</v>
      </c>
      <c r="D842" s="9" t="s">
        <v>233</v>
      </c>
      <c r="E842" s="67" t="s">
        <v>1207</v>
      </c>
      <c r="F842" s="37" t="s">
        <v>731</v>
      </c>
      <c r="G842" s="37" t="s">
        <v>732</v>
      </c>
      <c r="H842" s="37" t="s">
        <v>1190</v>
      </c>
      <c r="I842" s="8">
        <v>1</v>
      </c>
      <c r="J842" s="107">
        <v>750</v>
      </c>
      <c r="K842" s="8" t="s">
        <v>1848</v>
      </c>
      <c r="L842" s="10">
        <f>COUNTIF(Drank!A:A,Table1[[#This Row],[ID]])</f>
        <v>1</v>
      </c>
      <c r="M842" t="s">
        <v>202</v>
      </c>
      <c r="N842" t="s">
        <v>207</v>
      </c>
      <c r="O842">
        <v>1</v>
      </c>
      <c r="P842" s="10">
        <v>2019</v>
      </c>
      <c r="Q842">
        <v>2030</v>
      </c>
      <c r="R842" s="10">
        <f>IF(IFERROR(VLOOKUP(A842,Drank!A:S,15,FALSE),"")=0,"",IFERROR(VLOOKUP(A842,Drank!A:S,15,FALSE),""))</f>
        <v>2022</v>
      </c>
      <c r="S842" s="10">
        <f>IF(IFERROR(VLOOKUP(A842,Drank!A:S,16,FALSE),"")=0,"",IFERROR(VLOOKUP(A842,Drank!A:S,16,FALSE),""))</f>
        <v>2030</v>
      </c>
      <c r="T842" s="10"/>
      <c r="U842" t="s">
        <v>1180</v>
      </c>
      <c r="V842" s="18">
        <f>IF(IFERROR(VLOOKUP(A842,Drank!A:T,19,FALSE),"")=0,"",IFERROR(VLOOKUP(A842,Drank!A:T,19,FALSE),""))</f>
        <v>94</v>
      </c>
      <c r="W842" s="1">
        <f>IF(IFERROR(VLOOKUP(A842,Drank!A:T,20,FALSE),"")=0,"",IFERROR(VLOOKUP(A842,Drank!A:T,20,FALSE),""))</f>
        <v>43953</v>
      </c>
      <c r="X842" s="10">
        <f>SUMIF(A:A,A842,I:I)</f>
        <v>38</v>
      </c>
      <c r="Y842" s="10">
        <f>IF(Table1[[#This Row],[Drank]]&gt;0,VLOOKUP(Table1[[#This Row],[ID]],Drank!A:P,16,FALSE),IF(Table1[[#This Row],[WALDD]]&gt;0,VLOOKUP(Table1[[#This Row],[ID]],Wine1!A:Q,17,FALSE),Table1[[#This Row],[EP]]))</f>
        <v>2030</v>
      </c>
      <c r="Z842" s="18">
        <f>IF(Table1[[#This Row],[My Rating]]="",IF(Table1[[#This Row],[WA Rating Clean]]="","",Table1[[#This Row],[WA Rating Clean]]),Table1[[#This Row],[My Rating]])</f>
        <v>94</v>
      </c>
      <c r="AA842" s="37">
        <v>2028</v>
      </c>
      <c r="AB842" s="129">
        <v>35.85</v>
      </c>
      <c r="AC842" s="2">
        <f t="shared" si="47"/>
        <v>35.85</v>
      </c>
      <c r="AD842" s="8">
        <v>1</v>
      </c>
      <c r="AE842" s="10">
        <f>IF(Table1[[#This Row],[P/750]]&lt;20,1,IF(Table1[[#This Row],[P/750]]&lt;50,2,3))</f>
        <v>2</v>
      </c>
      <c r="AF842" s="10">
        <f>IF(Table1[[#This Row],[P/750]]&lt;Expenses!$C$30,1,IF(Table1[[#This Row],[P/750]]&lt;Expenses!$C$31,2,IF(Table1[[#This Row],[P/750]]&lt;Expenses!$C$32,3,4)))</f>
        <v>3</v>
      </c>
      <c r="AH842" s="37" t="s">
        <v>1128</v>
      </c>
      <c r="AI842" s="11">
        <f>Table1[[#This Row],[Price]]/Table1[[#This Row],[Size (ml)]]*750</f>
        <v>35.85</v>
      </c>
      <c r="AJ842">
        <v>96</v>
      </c>
      <c r="AK842" s="10">
        <f>COUNTIF(UniqueID!A:A,Table1[[#This Row],[ID]])</f>
        <v>1</v>
      </c>
      <c r="AL842" s="10" t="str">
        <f>VLOOKUP(Table1[[#This Row],[Cellar Location]],Location!A:F,6,FALSE)</f>
        <v>S</v>
      </c>
      <c r="AN842" s="1">
        <v>44070</v>
      </c>
      <c r="AO842" s="10" t="str">
        <f>TEXT(Table1[[#This Row],[Purchased]],"mmmm")</f>
        <v>August</v>
      </c>
      <c r="AP842" s="10" t="str">
        <f>TEXT(Table1[[#This Row],[Purchased]],"yyyy")</f>
        <v>2020</v>
      </c>
      <c r="AQ842" s="1"/>
    </row>
    <row r="843" spans="1:43" x14ac:dyDescent="0.25">
      <c r="A843" t="str">
        <f t="shared" si="46"/>
        <v>2017Altos Las HormigasMalbec Appellation Gualtallary</v>
      </c>
      <c r="B843" s="37">
        <v>2017</v>
      </c>
      <c r="C843" s="37" t="s">
        <v>232</v>
      </c>
      <c r="D843" s="9" t="s">
        <v>233</v>
      </c>
      <c r="E843" s="67" t="s">
        <v>1207</v>
      </c>
      <c r="F843" s="37" t="s">
        <v>731</v>
      </c>
      <c r="G843" s="37" t="s">
        <v>732</v>
      </c>
      <c r="H843" s="37" t="s">
        <v>1190</v>
      </c>
      <c r="I843" s="8">
        <v>1</v>
      </c>
      <c r="J843" s="107">
        <v>750</v>
      </c>
      <c r="K843" s="8" t="s">
        <v>1848</v>
      </c>
      <c r="L843" s="10">
        <f>COUNTIF(Drank!A:A,Table1[[#This Row],[ID]])</f>
        <v>1</v>
      </c>
      <c r="M843" t="s">
        <v>202</v>
      </c>
      <c r="N843" t="s">
        <v>207</v>
      </c>
      <c r="O843">
        <v>1</v>
      </c>
      <c r="P843" s="10">
        <v>2019</v>
      </c>
      <c r="Q843">
        <v>2030</v>
      </c>
      <c r="R843" s="10">
        <f>IF(IFERROR(VLOOKUP(A843,Drank!A:S,15,FALSE),"")=0,"",IFERROR(VLOOKUP(A843,Drank!A:S,15,FALSE),""))</f>
        <v>2022</v>
      </c>
      <c r="S843" s="10">
        <f>IF(IFERROR(VLOOKUP(A843,Drank!A:S,16,FALSE),"")=0,"",IFERROR(VLOOKUP(A843,Drank!A:S,16,FALSE),""))</f>
        <v>2030</v>
      </c>
      <c r="T843" s="10"/>
      <c r="U843" t="s">
        <v>1180</v>
      </c>
      <c r="V843" s="18">
        <f>IF(IFERROR(VLOOKUP(A843,Drank!A:T,19,FALSE),"")=0,"",IFERROR(VLOOKUP(A843,Drank!A:T,19,FALSE),""))</f>
        <v>94</v>
      </c>
      <c r="W843" s="1">
        <f>IF(IFERROR(VLOOKUP(A843,Drank!A:T,20,FALSE),"")=0,"",IFERROR(VLOOKUP(A843,Drank!A:T,20,FALSE),""))</f>
        <v>43953</v>
      </c>
      <c r="X843" s="10">
        <f>SUMIF(A:A,A843,I:I)</f>
        <v>38</v>
      </c>
      <c r="Y843" s="10">
        <f>IF(Table1[[#This Row],[Drank]]&gt;0,VLOOKUP(Table1[[#This Row],[ID]],Drank!A:P,16,FALSE),IF(Table1[[#This Row],[WALDD]]&gt;0,VLOOKUP(Table1[[#This Row],[ID]],Wine1!A:Q,17,FALSE),Table1[[#This Row],[EP]]))</f>
        <v>2030</v>
      </c>
      <c r="Z843" s="18">
        <f>IF(Table1[[#This Row],[My Rating]]="",IF(Table1[[#This Row],[WA Rating Clean]]="","",Table1[[#This Row],[WA Rating Clean]]),Table1[[#This Row],[My Rating]])</f>
        <v>94</v>
      </c>
      <c r="AA843" s="37">
        <v>2028</v>
      </c>
      <c r="AB843" s="129">
        <v>35.85</v>
      </c>
      <c r="AC843" s="2">
        <f t="shared" si="47"/>
        <v>35.85</v>
      </c>
      <c r="AD843" s="8">
        <v>1</v>
      </c>
      <c r="AE843" s="10">
        <f>IF(Table1[[#This Row],[P/750]]&lt;20,1,IF(Table1[[#This Row],[P/750]]&lt;50,2,3))</f>
        <v>2</v>
      </c>
      <c r="AF843" s="10">
        <f>IF(Table1[[#This Row],[P/750]]&lt;Expenses!$C$30,1,IF(Table1[[#This Row],[P/750]]&lt;Expenses!$C$31,2,IF(Table1[[#This Row],[P/750]]&lt;Expenses!$C$32,3,4)))</f>
        <v>3</v>
      </c>
      <c r="AH843" s="37" t="s">
        <v>1128</v>
      </c>
      <c r="AI843" s="11">
        <f>Table1[[#This Row],[Price]]/Table1[[#This Row],[Size (ml)]]*750</f>
        <v>35.85</v>
      </c>
      <c r="AJ843">
        <v>96</v>
      </c>
      <c r="AK843" s="10">
        <f>COUNTIF(UniqueID!A:A,Table1[[#This Row],[ID]])</f>
        <v>1</v>
      </c>
      <c r="AL843" s="10" t="str">
        <f>VLOOKUP(Table1[[#This Row],[Cellar Location]],Location!A:F,6,FALSE)</f>
        <v>S</v>
      </c>
      <c r="AN843" s="1">
        <v>44070</v>
      </c>
      <c r="AO843" s="10" t="str">
        <f>TEXT(Table1[[#This Row],[Purchased]],"mmmm")</f>
        <v>August</v>
      </c>
      <c r="AP843" s="10" t="str">
        <f>TEXT(Table1[[#This Row],[Purchased]],"yyyy")</f>
        <v>2020</v>
      </c>
      <c r="AQ843" s="1"/>
    </row>
    <row r="844" spans="1:43" x14ac:dyDescent="0.25">
      <c r="A844" t="str">
        <f t="shared" si="46"/>
        <v>2015Tenuta VitanzaBrunello di Montalcino</v>
      </c>
      <c r="B844" s="37">
        <v>2015</v>
      </c>
      <c r="C844" s="19" t="s">
        <v>214</v>
      </c>
      <c r="D844" s="9" t="s">
        <v>19</v>
      </c>
      <c r="E844" s="68" t="s">
        <v>1250</v>
      </c>
      <c r="F844" s="37" t="s">
        <v>728</v>
      </c>
      <c r="G844" s="37" t="s">
        <v>790</v>
      </c>
      <c r="H844" s="37" t="s">
        <v>19</v>
      </c>
      <c r="I844" s="37">
        <v>1</v>
      </c>
      <c r="J844" s="38">
        <v>750</v>
      </c>
      <c r="K844" s="38" t="s">
        <v>384</v>
      </c>
      <c r="L844" s="10">
        <f>COUNTIF(Drank!A:A,Table1[[#This Row],[ID]])</f>
        <v>0</v>
      </c>
      <c r="M844" t="s">
        <v>202</v>
      </c>
      <c r="N844" t="s">
        <v>207</v>
      </c>
      <c r="O844">
        <v>0</v>
      </c>
      <c r="P844" s="37"/>
      <c r="R844" s="10" t="str">
        <f>IF(IFERROR(VLOOKUP(A844,Drank!A:S,15,FALSE),"")=0,"",IFERROR(VLOOKUP(A844,Drank!A:S,15,FALSE),""))</f>
        <v/>
      </c>
      <c r="S844" s="10" t="str">
        <f>IF(IFERROR(VLOOKUP(A844,Drank!A:S,16,FALSE),"")=0,"",IFERROR(VLOOKUP(A844,Drank!A:S,16,FALSE),""))</f>
        <v/>
      </c>
      <c r="T844" s="10">
        <v>2030</v>
      </c>
      <c r="V844" s="18" t="str">
        <f>IF(IFERROR(VLOOKUP(A844,Drank!A:T,19,FALSE),"")=0,"",IFERROR(VLOOKUP(A844,Drank!A:T,19,FALSE),""))</f>
        <v/>
      </c>
      <c r="W844" s="1" t="str">
        <f>IF(IFERROR(VLOOKUP(A844,Drank!A:T,20,FALSE),"")=0,"",IFERROR(VLOOKUP(A844,Drank!A:T,20,FALSE),""))</f>
        <v/>
      </c>
      <c r="X844" s="10">
        <f>SUMIF(A:A,A844,I:I)</f>
        <v>4</v>
      </c>
      <c r="Y844" s="10">
        <f>IF(Table1[[#This Row],[Drank]]&gt;0,VLOOKUP(Table1[[#This Row],[ID]],Drank!A:P,16,FALSE),IF(Table1[[#This Row],[WALDD]]&gt;0,VLOOKUP(Table1[[#This Row],[ID]],Wine1!A:Q,17,FALSE),Table1[[#This Row],[EP]]))</f>
        <v>2030</v>
      </c>
      <c r="Z844" s="18" t="str">
        <f>IF(Table1[[#This Row],[My Rating]]="",IF(Table1[[#This Row],[WA Rating Clean]]="","",Table1[[#This Row],[WA Rating Clean]]),Table1[[#This Row],[My Rating]])</f>
        <v/>
      </c>
      <c r="AA844" s="37">
        <v>2028</v>
      </c>
      <c r="AB844" s="4">
        <v>32.58</v>
      </c>
      <c r="AC844" s="2">
        <f t="shared" si="47"/>
        <v>32.58</v>
      </c>
      <c r="AD844" s="8">
        <v>1</v>
      </c>
      <c r="AE844" s="10">
        <f>IF(Table1[[#This Row],[P/750]]&lt;20,1,IF(Table1[[#This Row],[P/750]]&lt;50,2,3))</f>
        <v>2</v>
      </c>
      <c r="AF844" s="10">
        <f>IF(Table1[[#This Row],[P/750]]&lt;Expenses!$C$30,1,IF(Table1[[#This Row],[P/750]]&lt;Expenses!$C$31,2,IF(Table1[[#This Row],[P/750]]&lt;Expenses!$C$32,3,4)))</f>
        <v>3</v>
      </c>
      <c r="AH844" s="37" t="s">
        <v>384</v>
      </c>
      <c r="AI844" s="11">
        <f>Table1[[#This Row],[Price]]/Table1[[#This Row],[Size (ml)]]*750</f>
        <v>32.58</v>
      </c>
      <c r="AK844" s="10">
        <f>COUNTIF(UniqueID!A:A,Table1[[#This Row],[ID]])</f>
        <v>0</v>
      </c>
      <c r="AL844" s="10" t="str">
        <f>VLOOKUP(Table1[[#This Row],[Cellar Location]],Location!A:F,6,FALSE)</f>
        <v>W</v>
      </c>
      <c r="AN844" s="1">
        <v>44023</v>
      </c>
      <c r="AO844" s="10" t="str">
        <f>TEXT(Table1[[#This Row],[Purchased]],"mmmm")</f>
        <v>July</v>
      </c>
      <c r="AP844" s="10" t="str">
        <f>TEXT(Table1[[#This Row],[Purchased]],"yyyy")</f>
        <v>2020</v>
      </c>
      <c r="AQ844" s="1">
        <v>44137</v>
      </c>
    </row>
    <row r="845" spans="1:43" x14ac:dyDescent="0.25">
      <c r="A845" t="str">
        <f t="shared" si="46"/>
        <v>2016Domaine BenedettiLes Larmes Papales Chateauneuf du Pape</v>
      </c>
      <c r="B845" s="8">
        <v>2016</v>
      </c>
      <c r="C845" s="37" t="s">
        <v>1578</v>
      </c>
      <c r="D845" s="37" t="s">
        <v>1579</v>
      </c>
      <c r="E845" s="37" t="s">
        <v>1248</v>
      </c>
      <c r="F845" s="37" t="s">
        <v>742</v>
      </c>
      <c r="G845" s="37" t="s">
        <v>759</v>
      </c>
      <c r="H845" s="37" t="s">
        <v>762</v>
      </c>
      <c r="I845" s="8">
        <v>1</v>
      </c>
      <c r="J845" s="38">
        <v>750</v>
      </c>
      <c r="K845" s="38" t="s">
        <v>384</v>
      </c>
      <c r="L845" s="10">
        <f>COUNTIF(Drank!A:A,Table1[[#This Row],[ID]])</f>
        <v>0</v>
      </c>
      <c r="M845" t="s">
        <v>202</v>
      </c>
      <c r="N845" t="s">
        <v>207</v>
      </c>
      <c r="O845">
        <v>1</v>
      </c>
      <c r="P845" s="37">
        <v>2018</v>
      </c>
      <c r="Q845">
        <v>2030</v>
      </c>
      <c r="R845" s="10" t="str">
        <f>IF(IFERROR(VLOOKUP(A845,Drank!A:S,15,FALSE),"")=0,"",IFERROR(VLOOKUP(A845,Drank!A:S,15,FALSE),""))</f>
        <v/>
      </c>
      <c r="S845" s="10" t="str">
        <f>IF(IFERROR(VLOOKUP(A845,Drank!A:S,16,FALSE),"")=0,"",IFERROR(VLOOKUP(A845,Drank!A:S,16,FALSE),""))</f>
        <v/>
      </c>
      <c r="T845" s="10"/>
      <c r="U845">
        <v>95</v>
      </c>
      <c r="V845" s="18" t="str">
        <f>IF(IFERROR(VLOOKUP(A845,Drank!A:T,19,FALSE),"")=0,"",IFERROR(VLOOKUP(A845,Drank!A:T,19,FALSE),""))</f>
        <v/>
      </c>
      <c r="W845" s="1" t="str">
        <f>IF(IFERROR(VLOOKUP(A845,Drank!A:T,20,FALSE),"")=0,"",IFERROR(VLOOKUP(A845,Drank!A:T,20,FALSE),""))</f>
        <v/>
      </c>
      <c r="X845" s="10">
        <f>SUMIF(A:A,A845,I:I)</f>
        <v>8</v>
      </c>
      <c r="Y845" s="10">
        <f>IF(Table1[[#This Row],[Drank]]&gt;0,VLOOKUP(Table1[[#This Row],[ID]],Drank!A:P,16,FALSE),IF(Table1[[#This Row],[WALDD]]&gt;0,VLOOKUP(Table1[[#This Row],[ID]],Wine1!A:Q,17,FALSE),Table1[[#This Row],[EP]]))</f>
        <v>2030</v>
      </c>
      <c r="Z845" s="18">
        <f>IF(Table1[[#This Row],[My Rating]]="",IF(Table1[[#This Row],[WA Rating Clean]]="","",Table1[[#This Row],[WA Rating Clean]]),Table1[[#This Row],[My Rating]])</f>
        <v>95</v>
      </c>
      <c r="AA845" s="8">
        <v>2028</v>
      </c>
      <c r="AB845" s="4">
        <v>35.840000000000003</v>
      </c>
      <c r="AC845" s="2">
        <f t="shared" si="47"/>
        <v>35.840000000000003</v>
      </c>
      <c r="AD845" s="8">
        <v>1</v>
      </c>
      <c r="AE845" s="10">
        <f>IF(Table1[[#This Row],[P/750]]&lt;20,1,IF(Table1[[#This Row],[P/750]]&lt;50,2,3))</f>
        <v>2</v>
      </c>
      <c r="AF845" s="10">
        <f>IF(Table1[[#This Row],[P/750]]&lt;Expenses!$C$30,1,IF(Table1[[#This Row],[P/750]]&lt;Expenses!$C$31,2,IF(Table1[[#This Row],[P/750]]&lt;Expenses!$C$32,3,4)))</f>
        <v>3</v>
      </c>
      <c r="AH845" s="37" t="s">
        <v>384</v>
      </c>
      <c r="AI845" s="11">
        <f>Table1[[#This Row],[Price]]/Table1[[#This Row],[Size (ml)]]*750</f>
        <v>35.840000000000003</v>
      </c>
      <c r="AJ845">
        <v>95</v>
      </c>
      <c r="AK845" s="10">
        <f>COUNTIF(UniqueID!A:A,Table1[[#This Row],[ID]])</f>
        <v>0</v>
      </c>
      <c r="AL845" s="10" t="str">
        <f>VLOOKUP(Table1[[#This Row],[Cellar Location]],Location!A:F,6,FALSE)</f>
        <v>W</v>
      </c>
      <c r="AN845" s="1">
        <v>44056</v>
      </c>
      <c r="AO845" s="10" t="str">
        <f>TEXT(Table1[[#This Row],[Purchased]],"mmmm")</f>
        <v>August</v>
      </c>
      <c r="AP845" s="10" t="str">
        <f>TEXT(Table1[[#This Row],[Purchased]],"yyyy")</f>
        <v>2020</v>
      </c>
      <c r="AQ845" s="1">
        <v>44137</v>
      </c>
    </row>
    <row r="846" spans="1:43" s="37" customFormat="1" x14ac:dyDescent="0.25">
      <c r="A846" s="37" t="str">
        <f t="shared" si="46"/>
        <v>2016Domaine BenedettiLes Larmes Papales Chateauneuf du Pape</v>
      </c>
      <c r="B846" s="8">
        <v>2016</v>
      </c>
      <c r="C846" s="37" t="s">
        <v>1578</v>
      </c>
      <c r="D846" s="37" t="s">
        <v>1579</v>
      </c>
      <c r="E846" s="37" t="s">
        <v>1248</v>
      </c>
      <c r="F846" s="37" t="s">
        <v>742</v>
      </c>
      <c r="G846" s="37" t="s">
        <v>759</v>
      </c>
      <c r="H846" s="37" t="s">
        <v>762</v>
      </c>
      <c r="I846" s="8">
        <v>1</v>
      </c>
      <c r="J846" s="38">
        <v>750</v>
      </c>
      <c r="K846" s="38" t="s">
        <v>384</v>
      </c>
      <c r="L846" s="10">
        <f>COUNTIF(Drank!A:A,Table1[[#This Row],[ID]])</f>
        <v>0</v>
      </c>
      <c r="M846" s="37" t="s">
        <v>202</v>
      </c>
      <c r="N846" s="37" t="s">
        <v>207</v>
      </c>
      <c r="O846" s="37">
        <v>1</v>
      </c>
      <c r="P846" s="37">
        <v>2018</v>
      </c>
      <c r="Q846" s="37">
        <v>2030</v>
      </c>
      <c r="R846" s="10" t="str">
        <f>IF(IFERROR(VLOOKUP(A846,Drank!A:S,15,FALSE),"")=0,"",IFERROR(VLOOKUP(A846,Drank!A:S,15,FALSE),""))</f>
        <v/>
      </c>
      <c r="S846" s="10" t="str">
        <f>IF(IFERROR(VLOOKUP(A846,Drank!A:S,16,FALSE),"")=0,"",IFERROR(VLOOKUP(A846,Drank!A:S,16,FALSE),""))</f>
        <v/>
      </c>
      <c r="T846" s="10"/>
      <c r="U846" s="37">
        <v>95</v>
      </c>
      <c r="V846" s="18" t="str">
        <f>IF(IFERROR(VLOOKUP(A846,Drank!A:T,19,FALSE),"")=0,"",IFERROR(VLOOKUP(A846,Drank!A:T,19,FALSE),""))</f>
        <v/>
      </c>
      <c r="W846" s="1" t="str">
        <f>IF(IFERROR(VLOOKUP(A846,Drank!A:T,20,FALSE),"")=0,"",IFERROR(VLOOKUP(A846,Drank!A:T,20,FALSE),""))</f>
        <v/>
      </c>
      <c r="X846" s="10">
        <f>SUMIF(A:A,A846,I:I)</f>
        <v>8</v>
      </c>
      <c r="Y846" s="10">
        <f>IF(Table1[[#This Row],[Drank]]&gt;0,VLOOKUP(Table1[[#This Row],[ID]],Drank!A:P,16,FALSE),IF(Table1[[#This Row],[WALDD]]&gt;0,VLOOKUP(Table1[[#This Row],[ID]],Wine1!A:Q,17,FALSE),Table1[[#This Row],[EP]]))</f>
        <v>2030</v>
      </c>
      <c r="Z846" s="18">
        <f>IF(Table1[[#This Row],[My Rating]]="",IF(Table1[[#This Row],[WA Rating Clean]]="","",Table1[[#This Row],[WA Rating Clean]]),Table1[[#This Row],[My Rating]])</f>
        <v>95</v>
      </c>
      <c r="AA846" s="8">
        <v>2028</v>
      </c>
      <c r="AB846" s="4">
        <v>35.840000000000003</v>
      </c>
      <c r="AC846" s="2">
        <f t="shared" si="47"/>
        <v>35.840000000000003</v>
      </c>
      <c r="AD846" s="8">
        <v>1</v>
      </c>
      <c r="AE846" s="10">
        <f>IF(Table1[[#This Row],[P/750]]&lt;20,1,IF(Table1[[#This Row],[P/750]]&lt;50,2,3))</f>
        <v>2</v>
      </c>
      <c r="AF846" s="10">
        <f>IF(Table1[[#This Row],[P/750]]&lt;Expenses!$C$30,1,IF(Table1[[#This Row],[P/750]]&lt;Expenses!$C$31,2,IF(Table1[[#This Row],[P/750]]&lt;Expenses!$C$32,3,4)))</f>
        <v>3</v>
      </c>
      <c r="AH846" s="37" t="s">
        <v>384</v>
      </c>
      <c r="AI846" s="11">
        <f>Table1[[#This Row],[Price]]/Table1[[#This Row],[Size (ml)]]*750</f>
        <v>35.840000000000003</v>
      </c>
      <c r="AJ846" s="37">
        <v>95</v>
      </c>
      <c r="AK846" s="10">
        <f>COUNTIF(UniqueID!A:A,Table1[[#This Row],[ID]])</f>
        <v>0</v>
      </c>
      <c r="AL846" s="10" t="str">
        <f>VLOOKUP(Table1[[#This Row],[Cellar Location]],Location!A:F,6,FALSE)</f>
        <v>W</v>
      </c>
      <c r="AN846" s="1">
        <v>44056</v>
      </c>
      <c r="AO846" s="10" t="str">
        <f>TEXT(Table1[[#This Row],[Purchased]],"mmmm")</f>
        <v>August</v>
      </c>
      <c r="AP846" s="10" t="str">
        <f>TEXT(Table1[[#This Row],[Purchased]],"yyyy")</f>
        <v>2020</v>
      </c>
      <c r="AQ846" s="1">
        <v>44137</v>
      </c>
    </row>
    <row r="847" spans="1:43" s="37" customFormat="1" x14ac:dyDescent="0.25">
      <c r="A847" s="37" t="str">
        <f t="shared" si="46"/>
        <v>2016Domaine du Grand MontmirailGigondas Vieilles Vignes</v>
      </c>
      <c r="B847" s="37">
        <v>2016</v>
      </c>
      <c r="C847" s="37" t="s">
        <v>1387</v>
      </c>
      <c r="D847" s="37" t="s">
        <v>1576</v>
      </c>
      <c r="E847" s="67" t="s">
        <v>1249</v>
      </c>
      <c r="F847" s="37" t="s">
        <v>742</v>
      </c>
      <c r="G847" s="37" t="s">
        <v>759</v>
      </c>
      <c r="H847" s="37" t="s">
        <v>764</v>
      </c>
      <c r="I847" s="8">
        <v>1</v>
      </c>
      <c r="J847" s="38">
        <v>750</v>
      </c>
      <c r="K847" s="38" t="s">
        <v>384</v>
      </c>
      <c r="L847" s="10">
        <f>COUNTIF(Drank!A:A,Table1[[#This Row],[ID]])</f>
        <v>0</v>
      </c>
      <c r="M847" s="37" t="s">
        <v>202</v>
      </c>
      <c r="N847" s="37" t="s">
        <v>207</v>
      </c>
      <c r="O847" s="37">
        <v>1</v>
      </c>
      <c r="P847" s="10">
        <v>2020</v>
      </c>
      <c r="Q847" s="37">
        <v>2030</v>
      </c>
      <c r="R847" s="10" t="str">
        <f>IF(IFERROR(VLOOKUP(A847,Drank!A:S,15,FALSE),"")=0,"",IFERROR(VLOOKUP(A847,Drank!A:S,15,FALSE),""))</f>
        <v/>
      </c>
      <c r="S847" s="10" t="str">
        <f>IF(IFERROR(VLOOKUP(A847,Drank!A:S,16,FALSE),"")=0,"",IFERROR(VLOOKUP(A847,Drank!A:S,16,FALSE),""))</f>
        <v/>
      </c>
      <c r="T847" s="10"/>
      <c r="U847" s="37">
        <v>92</v>
      </c>
      <c r="V847" s="18" t="str">
        <f>IF(IFERROR(VLOOKUP(A847,Drank!A:T,19,FALSE),"")=0,"",IFERROR(VLOOKUP(A847,Drank!A:T,19,FALSE),""))</f>
        <v/>
      </c>
      <c r="W847" s="1" t="str">
        <f>IF(IFERROR(VLOOKUP(A847,Drank!A:T,20,FALSE),"")=0,"",IFERROR(VLOOKUP(A847,Drank!A:T,20,FALSE),""))</f>
        <v/>
      </c>
      <c r="X847" s="10">
        <f>SUMIF(A:A,A847,I:I)</f>
        <v>6</v>
      </c>
      <c r="Y847" s="10">
        <f>IF(Table1[[#This Row],[Drank]]&gt;0,VLOOKUP(Table1[[#This Row],[ID]],Drank!A:P,16,FALSE),IF(Table1[[#This Row],[WALDD]]&gt;0,VLOOKUP(Table1[[#This Row],[ID]],Wine1!A:Q,17,FALSE),Table1[[#This Row],[EP]]))</f>
        <v>2030</v>
      </c>
      <c r="Z847" s="18">
        <f>IF(Table1[[#This Row],[My Rating]]="",IF(Table1[[#This Row],[WA Rating Clean]]="","",Table1[[#This Row],[WA Rating Clean]]),Table1[[#This Row],[My Rating]])</f>
        <v>92</v>
      </c>
      <c r="AA847" s="37">
        <v>2028</v>
      </c>
      <c r="AB847" s="4">
        <v>24.97</v>
      </c>
      <c r="AC847" s="2">
        <f t="shared" si="47"/>
        <v>24.97</v>
      </c>
      <c r="AD847" s="8">
        <v>1</v>
      </c>
      <c r="AE847" s="10">
        <f>IF(Table1[[#This Row],[P/750]]&lt;20,1,IF(Table1[[#This Row],[P/750]]&lt;50,2,3))</f>
        <v>2</v>
      </c>
      <c r="AF847" s="10">
        <f>IF(Table1[[#This Row],[P/750]]&lt;Expenses!$C$30,1,IF(Table1[[#This Row],[P/750]]&lt;Expenses!$C$31,2,IF(Table1[[#This Row],[P/750]]&lt;Expenses!$C$32,3,4)))</f>
        <v>2</v>
      </c>
      <c r="AH847" s="37" t="s">
        <v>384</v>
      </c>
      <c r="AI847" s="11">
        <f>Table1[[#This Row],[Price]]/Table1[[#This Row],[Size (ml)]]*750</f>
        <v>24.970000000000002</v>
      </c>
      <c r="AJ847" s="37">
        <v>92</v>
      </c>
      <c r="AK847" s="10">
        <f>COUNTIF(UniqueID!A:A,Table1[[#This Row],[ID]])</f>
        <v>0</v>
      </c>
      <c r="AL847" s="10" t="str">
        <f>VLOOKUP(Table1[[#This Row],[Cellar Location]],Location!A:F,6,FALSE)</f>
        <v>W</v>
      </c>
      <c r="AN847" s="1">
        <v>44055</v>
      </c>
      <c r="AO847" s="10" t="str">
        <f>TEXT(Table1[[#This Row],[Purchased]],"mmmm")</f>
        <v>August</v>
      </c>
      <c r="AP847" s="10" t="str">
        <f>TEXT(Table1[[#This Row],[Purchased]],"yyyy")</f>
        <v>2020</v>
      </c>
      <c r="AQ847" s="1">
        <v>44137</v>
      </c>
    </row>
    <row r="848" spans="1:43" x14ac:dyDescent="0.25">
      <c r="A848" s="37" t="str">
        <f t="shared" si="46"/>
        <v>2015MasiAmarone della Valpolicella Classico Costasera</v>
      </c>
      <c r="B848" s="37">
        <v>2015</v>
      </c>
      <c r="C848" s="25" t="s">
        <v>37</v>
      </c>
      <c r="D848" s="37" t="s">
        <v>53</v>
      </c>
      <c r="E848" s="64" t="s">
        <v>313</v>
      </c>
      <c r="F848" s="37" t="s">
        <v>728</v>
      </c>
      <c r="G848" s="37" t="s">
        <v>799</v>
      </c>
      <c r="H848" s="37" t="s">
        <v>800</v>
      </c>
      <c r="I848" s="8">
        <v>1</v>
      </c>
      <c r="J848" s="107">
        <v>750</v>
      </c>
      <c r="K848" s="8" t="s">
        <v>1542</v>
      </c>
      <c r="L848" s="37">
        <f>COUNTIF(Drank!A:A,Table1[[#This Row],[ID]])</f>
        <v>1</v>
      </c>
      <c r="M848" s="37" t="s">
        <v>202</v>
      </c>
      <c r="N848" s="37" t="s">
        <v>207</v>
      </c>
      <c r="O848" s="37">
        <v>1</v>
      </c>
      <c r="P848" s="37"/>
      <c r="Q848" s="37"/>
      <c r="R848" s="10">
        <f>IF(IFERROR(VLOOKUP(A848,Drank!A:S,15,FALSE),"")=0,"",IFERROR(VLOOKUP(A848,Drank!A:S,15,FALSE),""))</f>
        <v>2030</v>
      </c>
      <c r="S848" s="10">
        <f>IF(IFERROR(VLOOKUP(A848,Drank!A:S,16,FALSE),"")=0,"",IFERROR(VLOOKUP(A848,Drank!A:S,16,FALSE),""))</f>
        <v>2030</v>
      </c>
      <c r="T848" s="10"/>
      <c r="U848" s="37"/>
      <c r="V848" s="18">
        <f>IF(IFERROR(VLOOKUP(A848,Drank!A:T,19,FALSE),"")=0,"",IFERROR(VLOOKUP(A848,Drank!A:T,19,FALSE),""))</f>
        <v>94</v>
      </c>
      <c r="W848" s="1">
        <f>IF(IFERROR(VLOOKUP(A848,Drank!A:T,20,FALSE),"")=0,"",IFERROR(VLOOKUP(A848,Drank!A:T,20,FALSE),""))</f>
        <v>43918</v>
      </c>
      <c r="X848" s="10">
        <f>SUMIF(A:A,A848,I:I)</f>
        <v>11</v>
      </c>
      <c r="Y848" s="37">
        <f>IF(Table1[[#This Row],[Drank]]&gt;0,VLOOKUP(Table1[[#This Row],[ID]],Drank!A:P,16,FALSE),IF(Table1[[#This Row],[WALDD]]&gt;0,VLOOKUP(Table1[[#This Row],[ID]],Wine1!A:Q,17,FALSE),Table1[[#This Row],[EP]]))</f>
        <v>2030</v>
      </c>
      <c r="Z848" s="18">
        <f>IF(Table1[[#This Row],[My Rating]]="",IF(Table1[[#This Row],[WA Rating Clean]]="","",Table1[[#This Row],[WA Rating Clean]]),Table1[[#This Row],[My Rating]])</f>
        <v>94</v>
      </c>
      <c r="AA848" s="37">
        <v>2028</v>
      </c>
      <c r="AB848" s="4">
        <v>58.65</v>
      </c>
      <c r="AC848" s="2">
        <f t="shared" si="47"/>
        <v>58.65</v>
      </c>
      <c r="AD848" s="8">
        <v>0</v>
      </c>
      <c r="AE848" s="37">
        <f>IF(Table1[[#This Row],[P/750]]&lt;20,1,IF(Table1[[#This Row],[P/750]]&lt;50,2,3))</f>
        <v>3</v>
      </c>
      <c r="AF848" s="37">
        <f>IF(Table1[[#This Row],[P/750]]&lt;Expenses!$C$30,1,IF(Table1[[#This Row],[P/750]]&lt;Expenses!$C$31,2,IF(Table1[[#This Row],[P/750]]&lt;Expenses!$C$32,3,4)))</f>
        <v>3</v>
      </c>
      <c r="AG848" s="37"/>
      <c r="AH848" s="37" t="s">
        <v>1128</v>
      </c>
      <c r="AI848" s="11">
        <f>Table1[[#This Row],[Price]]/Table1[[#This Row],[Size (ml)]]*750</f>
        <v>58.649999999999991</v>
      </c>
      <c r="AK848" s="37">
        <f>COUNTIF(UniqueID!A:A,Table1[[#This Row],[ID]])</f>
        <v>0</v>
      </c>
      <c r="AL848" s="37" t="str">
        <f>VLOOKUP(Table1[[#This Row],[Cellar Location]],Location!A:F,6,FALSE)</f>
        <v>S</v>
      </c>
      <c r="AN848" s="1">
        <v>44037</v>
      </c>
      <c r="AO848" s="37" t="str">
        <f>TEXT(Table1[[#This Row],[Purchased]],"mmmm")</f>
        <v>July</v>
      </c>
      <c r="AP848" s="10" t="str">
        <f>TEXT(Table1[[#This Row],[Purchased]],"yyyy")</f>
        <v>2020</v>
      </c>
      <c r="AQ848" s="10"/>
    </row>
    <row r="849" spans="1:43" x14ac:dyDescent="0.25">
      <c r="A849" t="str">
        <f t="shared" si="46"/>
        <v>2015MasiAmarone della Valpolicella Classico Costasera</v>
      </c>
      <c r="B849" s="37">
        <v>2015</v>
      </c>
      <c r="C849" s="25" t="s">
        <v>37</v>
      </c>
      <c r="D849" s="37" t="s">
        <v>53</v>
      </c>
      <c r="E849" s="64" t="s">
        <v>313</v>
      </c>
      <c r="F849" s="37" t="s">
        <v>728</v>
      </c>
      <c r="G849" s="37" t="s">
        <v>799</v>
      </c>
      <c r="H849" s="37" t="s">
        <v>800</v>
      </c>
      <c r="I849" s="8">
        <v>1</v>
      </c>
      <c r="J849" s="107">
        <v>750</v>
      </c>
      <c r="K849" s="8" t="s">
        <v>1542</v>
      </c>
      <c r="L849" s="37">
        <f>COUNTIF(Drank!A:A,Table1[[#This Row],[ID]])</f>
        <v>1</v>
      </c>
      <c r="M849" t="s">
        <v>202</v>
      </c>
      <c r="N849" t="s">
        <v>207</v>
      </c>
      <c r="O849">
        <v>1</v>
      </c>
      <c r="P849" s="37"/>
      <c r="R849" s="10">
        <f>IF(IFERROR(VLOOKUP(A849,Drank!A:S,15,FALSE),"")=0,"",IFERROR(VLOOKUP(A849,Drank!A:S,15,FALSE),""))</f>
        <v>2030</v>
      </c>
      <c r="S849" s="10">
        <f>IF(IFERROR(VLOOKUP(A849,Drank!A:S,16,FALSE),"")=0,"",IFERROR(VLOOKUP(A849,Drank!A:S,16,FALSE),""))</f>
        <v>2030</v>
      </c>
      <c r="T849" s="10"/>
      <c r="V849" s="18">
        <f>IF(IFERROR(VLOOKUP(A849,Drank!A:T,19,FALSE),"")=0,"",IFERROR(VLOOKUP(A849,Drank!A:T,19,FALSE),""))</f>
        <v>94</v>
      </c>
      <c r="W849" s="1">
        <f>IF(IFERROR(VLOOKUP(A849,Drank!A:T,20,FALSE),"")=0,"",IFERROR(VLOOKUP(A849,Drank!A:T,20,FALSE),""))</f>
        <v>43918</v>
      </c>
      <c r="X849" s="10">
        <f>SUMIF(A:A,A849,I:I)</f>
        <v>11</v>
      </c>
      <c r="Y849" s="37">
        <f>IF(Table1[[#This Row],[Drank]]&gt;0,VLOOKUP(Table1[[#This Row],[ID]],Drank!A:P,16,FALSE),IF(Table1[[#This Row],[WALDD]]&gt;0,VLOOKUP(Table1[[#This Row],[ID]],Wine1!A:Q,17,FALSE),Table1[[#This Row],[EP]]))</f>
        <v>2030</v>
      </c>
      <c r="Z849" s="18">
        <f>IF(Table1[[#This Row],[My Rating]]="",IF(Table1[[#This Row],[WA Rating Clean]]="","",Table1[[#This Row],[WA Rating Clean]]),Table1[[#This Row],[My Rating]])</f>
        <v>94</v>
      </c>
      <c r="AA849" s="37">
        <v>2028</v>
      </c>
      <c r="AB849" s="4">
        <v>58.65</v>
      </c>
      <c r="AC849" s="2">
        <f t="shared" si="47"/>
        <v>58.65</v>
      </c>
      <c r="AD849" s="8">
        <v>0</v>
      </c>
      <c r="AE849" s="37">
        <f>IF(Table1[[#This Row],[P/750]]&lt;20,1,IF(Table1[[#This Row],[P/750]]&lt;50,2,3))</f>
        <v>3</v>
      </c>
      <c r="AF849" s="37">
        <f>IF(Table1[[#This Row],[P/750]]&lt;Expenses!$C$30,1,IF(Table1[[#This Row],[P/750]]&lt;Expenses!$C$31,2,IF(Table1[[#This Row],[P/750]]&lt;Expenses!$C$32,3,4)))</f>
        <v>3</v>
      </c>
      <c r="AH849" s="37" t="s">
        <v>1128</v>
      </c>
      <c r="AI849" s="11">
        <f>Table1[[#This Row],[Price]]/Table1[[#This Row],[Size (ml)]]*750</f>
        <v>58.649999999999991</v>
      </c>
      <c r="AK849" s="37">
        <f>COUNTIF(UniqueID!A:A,Table1[[#This Row],[ID]])</f>
        <v>0</v>
      </c>
      <c r="AL849" s="37" t="str">
        <f>VLOOKUP(Table1[[#This Row],[Cellar Location]],Location!A:F,6,FALSE)</f>
        <v>S</v>
      </c>
      <c r="AN849" s="1">
        <v>44037</v>
      </c>
      <c r="AO849" s="37" t="str">
        <f>TEXT(Table1[[#This Row],[Purchased]],"mmmm")</f>
        <v>July</v>
      </c>
      <c r="AP849" s="10" t="str">
        <f>TEXT(Table1[[#This Row],[Purchased]],"yyyy")</f>
        <v>2020</v>
      </c>
      <c r="AQ849" s="10"/>
    </row>
    <row r="850" spans="1:43" x14ac:dyDescent="0.25">
      <c r="A850" t="str">
        <f t="shared" si="46"/>
        <v>2015Tenuta Sant'antonioAmarone della Valpolicella Selezione Antonio Castagnedi</v>
      </c>
      <c r="B850">
        <v>2015</v>
      </c>
      <c r="C850" s="37" t="s">
        <v>1613</v>
      </c>
      <c r="D850" s="37" t="s">
        <v>1183</v>
      </c>
      <c r="E850" s="67" t="s">
        <v>1194</v>
      </c>
      <c r="F850" s="37" t="s">
        <v>728</v>
      </c>
      <c r="G850" s="37" t="s">
        <v>799</v>
      </c>
      <c r="H850" s="37" t="s">
        <v>803</v>
      </c>
      <c r="I850" s="37">
        <v>1</v>
      </c>
      <c r="J850" s="38">
        <v>750</v>
      </c>
      <c r="K850" s="38" t="s">
        <v>1139</v>
      </c>
      <c r="L850" s="10">
        <f>COUNTIF(Drank!A:A,Table1[[#This Row],[ID]])</f>
        <v>0</v>
      </c>
      <c r="M850" t="s">
        <v>202</v>
      </c>
      <c r="N850" t="s">
        <v>207</v>
      </c>
      <c r="O850">
        <v>1</v>
      </c>
      <c r="P850" s="10">
        <v>2019</v>
      </c>
      <c r="Q850">
        <v>2030</v>
      </c>
      <c r="R850" s="10" t="str">
        <f>IF(IFERROR(VLOOKUP(A850,Drank!A:S,15,FALSE),"")=0,"",IFERROR(VLOOKUP(A850,Drank!A:S,15,FALSE),""))</f>
        <v/>
      </c>
      <c r="S850" s="10" t="str">
        <f>IF(IFERROR(VLOOKUP(A850,Drank!A:S,16,FALSE),"")=0,"",IFERROR(VLOOKUP(A850,Drank!A:S,16,FALSE),""))</f>
        <v/>
      </c>
      <c r="T850" s="10"/>
      <c r="U850">
        <v>93</v>
      </c>
      <c r="V850" s="18" t="str">
        <f>IF(IFERROR(VLOOKUP(A850,Drank!A:T,19,FALSE),"")=0,"",IFERROR(VLOOKUP(A850,Drank!A:T,19,FALSE),""))</f>
        <v/>
      </c>
      <c r="W850" s="1" t="str">
        <f>IF(IFERROR(VLOOKUP(A850,Drank!A:T,20,FALSE),"")=0,"",IFERROR(VLOOKUP(A850,Drank!A:T,20,FALSE),""))</f>
        <v/>
      </c>
      <c r="X850" s="10">
        <f>SUMIF(A:A,A850,I:I)</f>
        <v>4</v>
      </c>
      <c r="Y850" s="10">
        <f>IF(Table1[[#This Row],[Drank]]&gt;0,VLOOKUP(Table1[[#This Row],[ID]],Drank!A:P,16,FALSE),IF(Table1[[#This Row],[WALDD]]&gt;0,VLOOKUP(Table1[[#This Row],[ID]],Wine1!A:Q,17,FALSE),Table1[[#This Row],[EP]]))</f>
        <v>2030</v>
      </c>
      <c r="Z850" s="18">
        <f>IF(Table1[[#This Row],[My Rating]]="",IF(Table1[[#This Row],[WA Rating Clean]]="","",Table1[[#This Row],[WA Rating Clean]]),Table1[[#This Row],[My Rating]])</f>
        <v>93</v>
      </c>
      <c r="AA850" s="37">
        <v>2028</v>
      </c>
      <c r="AB850" s="4">
        <v>48.87</v>
      </c>
      <c r="AC850" s="2">
        <f t="shared" si="47"/>
        <v>48.87</v>
      </c>
      <c r="AD850" s="8">
        <v>1</v>
      </c>
      <c r="AE850" s="10">
        <f>IF(Table1[[#This Row],[P/750]]&lt;20,1,IF(Table1[[#This Row],[P/750]]&lt;50,2,3))</f>
        <v>2</v>
      </c>
      <c r="AF850" s="10">
        <f>IF(Table1[[#This Row],[P/750]]&lt;Expenses!$C$30,1,IF(Table1[[#This Row],[P/750]]&lt;Expenses!$C$31,2,IF(Table1[[#This Row],[P/750]]&lt;Expenses!$C$32,3,4)))</f>
        <v>3</v>
      </c>
      <c r="AH850" s="37" t="s">
        <v>1139</v>
      </c>
      <c r="AI850" s="11">
        <f>Table1[[#This Row],[Price]]/Table1[[#This Row],[Size (ml)]]*750</f>
        <v>48.87</v>
      </c>
      <c r="AJ850">
        <v>93</v>
      </c>
      <c r="AK850" s="10">
        <f>COUNTIF(UniqueID!A:A,Table1[[#This Row],[ID]])</f>
        <v>1</v>
      </c>
      <c r="AL850" s="10" t="str">
        <f>VLOOKUP(Table1[[#This Row],[Cellar Location]],Location!A:F,6,FALSE)</f>
        <v>W</v>
      </c>
      <c r="AN850" s="1">
        <v>44058</v>
      </c>
      <c r="AO850" s="10" t="str">
        <f>TEXT(Table1[[#This Row],[Purchased]],"mmmm")</f>
        <v>August</v>
      </c>
      <c r="AP850" s="10" t="str">
        <f>TEXT(Table1[[#This Row],[Purchased]],"yyyy")</f>
        <v>2020</v>
      </c>
      <c r="AQ850" s="1">
        <v>44132</v>
      </c>
    </row>
    <row r="851" spans="1:43" x14ac:dyDescent="0.25">
      <c r="A851" t="str">
        <f t="shared" si="46"/>
        <v>2017Tenuta San GuidoGuidalberto</v>
      </c>
      <c r="B851">
        <v>2017</v>
      </c>
      <c r="C851" s="37" t="s">
        <v>91</v>
      </c>
      <c r="D851" s="37" t="s">
        <v>1236</v>
      </c>
      <c r="E851" s="67" t="s">
        <v>1455</v>
      </c>
      <c r="F851" s="37" t="s">
        <v>728</v>
      </c>
      <c r="G851" s="37" t="s">
        <v>790</v>
      </c>
      <c r="H851" s="37" t="s">
        <v>796</v>
      </c>
      <c r="I851" s="107">
        <v>1</v>
      </c>
      <c r="J851" s="37">
        <v>750</v>
      </c>
      <c r="K851" s="107" t="s">
        <v>1407</v>
      </c>
      <c r="L851" s="10">
        <f>COUNTIF(Drank!A:A,Table1[[#This Row],[ID]])</f>
        <v>1</v>
      </c>
      <c r="M851" t="s">
        <v>202</v>
      </c>
      <c r="N851" t="s">
        <v>207</v>
      </c>
      <c r="O851">
        <v>1</v>
      </c>
      <c r="P851" s="37">
        <v>2019</v>
      </c>
      <c r="Q851">
        <v>2028</v>
      </c>
      <c r="R851" s="10">
        <f>IF(IFERROR(VLOOKUP(A851,Drank!A:S,15,FALSE),"")=0,"",IFERROR(VLOOKUP(A851,Drank!A:S,15,FALSE),""))</f>
        <v>2025</v>
      </c>
      <c r="S851" s="10">
        <f>IF(IFERROR(VLOOKUP(A851,Drank!A:S,16,FALSE),"")=0,"",IFERROR(VLOOKUP(A851,Drank!A:S,16,FALSE),""))</f>
        <v>2030</v>
      </c>
      <c r="T851" s="10"/>
      <c r="U851" t="s">
        <v>29</v>
      </c>
      <c r="V851" s="18">
        <f>IF(IFERROR(VLOOKUP(A851,Drank!A:T,19,FALSE),"")=0,"",IFERROR(VLOOKUP(A851,Drank!A:T,19,FALSE),""))</f>
        <v>94</v>
      </c>
      <c r="W851" s="1">
        <f>IF(IFERROR(VLOOKUP(A851,Drank!A:T,20,FALSE),"")=0,"",IFERROR(VLOOKUP(A851,Drank!A:T,20,FALSE),""))</f>
        <v>44010</v>
      </c>
      <c r="X851" s="10">
        <f>SUMIF(A:A,A851,I:I)</f>
        <v>5</v>
      </c>
      <c r="Y851" s="10">
        <f>IF(Table1[[#This Row],[Drank]]&gt;0,VLOOKUP(Table1[[#This Row],[ID]],Drank!A:P,16,FALSE),IF(Table1[[#This Row],[WALDD]]&gt;0,VLOOKUP(Table1[[#This Row],[ID]],Wine1!A:Q,17,FALSE),Table1[[#This Row],[EP]]))</f>
        <v>2030</v>
      </c>
      <c r="Z851" s="18">
        <f>IF(Table1[[#This Row],[My Rating]]="",IF(Table1[[#This Row],[WA Rating Clean]]="","",Table1[[#This Row],[WA Rating Clean]]),Table1[[#This Row],[My Rating]])</f>
        <v>94</v>
      </c>
      <c r="AA851" s="37">
        <v>2028</v>
      </c>
      <c r="AB851" s="4">
        <v>48.89</v>
      </c>
      <c r="AC851" s="2">
        <f t="shared" si="47"/>
        <v>48.89</v>
      </c>
      <c r="AD851" s="8">
        <v>2</v>
      </c>
      <c r="AE851" s="10">
        <f>IF(Table1[[#This Row],[P/750]]&lt;20,1,IF(Table1[[#This Row],[P/750]]&lt;50,2,3))</f>
        <v>2</v>
      </c>
      <c r="AF851" s="10">
        <f>IF(Table1[[#This Row],[P/750]]&lt;Expenses!$C$30,1,IF(Table1[[#This Row],[P/750]]&lt;Expenses!$C$31,2,IF(Table1[[#This Row],[P/750]]&lt;Expenses!$C$32,3,4)))</f>
        <v>3</v>
      </c>
      <c r="AH851" s="37" t="s">
        <v>1128</v>
      </c>
      <c r="AI851" s="11">
        <f>Table1[[#This Row],[Price]]/Table1[[#This Row],[Size (ml)]]*750</f>
        <v>48.89</v>
      </c>
      <c r="AJ851">
        <v>92</v>
      </c>
      <c r="AK851" s="10">
        <f>COUNTIF(UniqueID!A:A,Table1[[#This Row],[ID]])</f>
        <v>0</v>
      </c>
      <c r="AL851" s="10" t="str">
        <f>VLOOKUP(Table1[[#This Row],[Cellar Location]],Location!A:F,6,FALSE)</f>
        <v>S</v>
      </c>
      <c r="AN851" s="1">
        <v>43966</v>
      </c>
      <c r="AO851" s="10" t="str">
        <f>TEXT(Table1[[#This Row],[Purchased]],"mmmm")</f>
        <v>May</v>
      </c>
      <c r="AP851" s="10" t="str">
        <f>TEXT(Table1[[#This Row],[Purchased]],"yyyy")</f>
        <v>2020</v>
      </c>
      <c r="AQ851" s="10"/>
    </row>
    <row r="852" spans="1:43" x14ac:dyDescent="0.25">
      <c r="A852" t="str">
        <f t="shared" si="46"/>
        <v>2010Chateau Sigalas RabaudLieutenant de Sigalas</v>
      </c>
      <c r="B852" s="37">
        <v>2010</v>
      </c>
      <c r="C852" s="37" t="s">
        <v>1337</v>
      </c>
      <c r="D852" s="37" t="s">
        <v>1338</v>
      </c>
      <c r="E852" s="67" t="s">
        <v>1339</v>
      </c>
      <c r="F852" s="67" t="s">
        <v>742</v>
      </c>
      <c r="G852" s="37" t="s">
        <v>748</v>
      </c>
      <c r="H852" s="37" t="s">
        <v>260</v>
      </c>
      <c r="I852" s="107">
        <v>1</v>
      </c>
      <c r="J852" s="67">
        <v>375</v>
      </c>
      <c r="K852" s="107" t="s">
        <v>1504</v>
      </c>
      <c r="L852" s="10">
        <f>COUNTIF(Drank!A:A,Table1[[#This Row],[ID]])</f>
        <v>1</v>
      </c>
      <c r="M852" t="s">
        <v>201</v>
      </c>
      <c r="N852" t="s">
        <v>206</v>
      </c>
      <c r="O852">
        <v>0</v>
      </c>
      <c r="P852" s="10"/>
      <c r="R852" s="10">
        <f>IF(IFERROR(VLOOKUP(A852,Drank!A:S,15,FALSE),"")=0,"",IFERROR(VLOOKUP(A852,Drank!A:S,15,FALSE),""))</f>
        <v>2021</v>
      </c>
      <c r="S852" s="10">
        <f>IF(IFERROR(VLOOKUP(A852,Drank!A:S,16,FALSE),"")=0,"",IFERROR(VLOOKUP(A852,Drank!A:S,16,FALSE),""))</f>
        <v>2030</v>
      </c>
      <c r="T852" s="10">
        <v>2028</v>
      </c>
      <c r="V852" s="18">
        <f>IF(IFERROR(VLOOKUP(A852,Drank!A:T,19,FALSE),"")=0,"",IFERROR(VLOOKUP(A852,Drank!A:T,19,FALSE),""))</f>
        <v>88</v>
      </c>
      <c r="W852" s="1" t="str">
        <f>IF(IFERROR(VLOOKUP(A852,Drank!A:T,20,FALSE),"")=0,"",IFERROR(VLOOKUP(A852,Drank!A:T,20,FALSE),""))</f>
        <v/>
      </c>
      <c r="X852" s="10">
        <f>SUMIF(A:A,A852,I:I)</f>
        <v>9</v>
      </c>
      <c r="Y852" s="10">
        <f>IF(Table1[[#This Row],[Drank]]&gt;0,VLOOKUP(Table1[[#This Row],[ID]],Drank!A:P,16,FALSE),IF(Table1[[#This Row],[WALDD]]&gt;0,VLOOKUP(Table1[[#This Row],[ID]],Wine1!A:Q,17,FALSE),Table1[[#This Row],[EP]]))</f>
        <v>2030</v>
      </c>
      <c r="Z852" s="18">
        <f>IF(Table1[[#This Row],[My Rating]]="",IF(Table1[[#This Row],[WA Rating Clean]]="","",Table1[[#This Row],[WA Rating Clean]]),Table1[[#This Row],[My Rating]])</f>
        <v>88</v>
      </c>
      <c r="AA852" s="8">
        <v>2028</v>
      </c>
      <c r="AB852" s="4">
        <v>13.11</v>
      </c>
      <c r="AC852" s="2">
        <f t="shared" si="47"/>
        <v>13.11</v>
      </c>
      <c r="AD852" s="8">
        <v>2</v>
      </c>
      <c r="AE852" s="10">
        <f>IF(Table1[[#This Row],[P/750]]&lt;20,1,IF(Table1[[#This Row],[P/750]]&lt;50,2,3))</f>
        <v>2</v>
      </c>
      <c r="AF852" s="10">
        <f>IF(Table1[[#This Row],[P/750]]&lt;Expenses!$C$30,1,IF(Table1[[#This Row],[P/750]]&lt;Expenses!$C$31,2,IF(Table1[[#This Row],[P/750]]&lt;Expenses!$C$32,3,4)))</f>
        <v>2</v>
      </c>
      <c r="AH852" s="37" t="s">
        <v>385</v>
      </c>
      <c r="AI852" s="11">
        <f>Table1[[#This Row],[Price]]/Table1[[#This Row],[Size (ml)]]*750</f>
        <v>26.22</v>
      </c>
      <c r="AK852" s="10">
        <f>COUNTIF(UniqueID!A:A,Table1[[#This Row],[ID]])</f>
        <v>0</v>
      </c>
      <c r="AL852" s="10" t="str">
        <f>VLOOKUP(Table1[[#This Row],[Cellar Location]],Location!A:F,6,FALSE)</f>
        <v>S</v>
      </c>
      <c r="AN852" s="1">
        <v>43923</v>
      </c>
      <c r="AO852" s="10" t="str">
        <f>TEXT(Table1[[#This Row],[Purchased]],"mmmm")</f>
        <v>April</v>
      </c>
      <c r="AP852" s="10" t="str">
        <f>TEXT(Table1[[#This Row],[Purchased]],"yyyy")</f>
        <v>2020</v>
      </c>
      <c r="AQ852" s="10"/>
    </row>
    <row r="853" spans="1:43" x14ac:dyDescent="0.25">
      <c r="A853" t="str">
        <f t="shared" si="46"/>
        <v>2017Altos Las HormigasMalbec Appellation Gualtallary</v>
      </c>
      <c r="B853" s="37">
        <v>2017</v>
      </c>
      <c r="C853" s="37" t="s">
        <v>232</v>
      </c>
      <c r="D853" s="37" t="s">
        <v>233</v>
      </c>
      <c r="E853" s="67" t="s">
        <v>1207</v>
      </c>
      <c r="F853" s="37" t="s">
        <v>731</v>
      </c>
      <c r="G853" s="37" t="s">
        <v>732</v>
      </c>
      <c r="H853" s="37" t="s">
        <v>1190</v>
      </c>
      <c r="I853" s="107">
        <v>1</v>
      </c>
      <c r="J853">
        <v>750</v>
      </c>
      <c r="K853" s="107" t="s">
        <v>627</v>
      </c>
      <c r="L853" s="10">
        <f>COUNTIF(Drank!A:A,Table1[[#This Row],[ID]])</f>
        <v>1</v>
      </c>
      <c r="M853" t="s">
        <v>202</v>
      </c>
      <c r="N853" t="s">
        <v>207</v>
      </c>
      <c r="O853">
        <v>1</v>
      </c>
      <c r="P853" s="10">
        <v>2019</v>
      </c>
      <c r="Q853">
        <v>2030</v>
      </c>
      <c r="R853" s="10">
        <f>IF(IFERROR(VLOOKUP(A853,Drank!A:S,15,FALSE),"")=0,"",IFERROR(VLOOKUP(A853,Drank!A:S,15,FALSE),""))</f>
        <v>2022</v>
      </c>
      <c r="S853" s="10">
        <f>IF(IFERROR(VLOOKUP(A853,Drank!A:S,16,FALSE),"")=0,"",IFERROR(VLOOKUP(A853,Drank!A:S,16,FALSE),""))</f>
        <v>2030</v>
      </c>
      <c r="T853" s="10"/>
      <c r="U853" t="s">
        <v>1180</v>
      </c>
      <c r="V853" s="18">
        <f>IF(IFERROR(VLOOKUP(A853,Drank!A:T,19,FALSE),"")=0,"",IFERROR(VLOOKUP(A853,Drank!A:T,19,FALSE),""))</f>
        <v>94</v>
      </c>
      <c r="W853" s="1">
        <f>IF(IFERROR(VLOOKUP(A853,Drank!A:T,20,FALSE),"")=0,"",IFERROR(VLOOKUP(A853,Drank!A:T,20,FALSE),""))</f>
        <v>43953</v>
      </c>
      <c r="X853" s="10">
        <f>SUMIF(A:A,A853,I:I)</f>
        <v>38</v>
      </c>
      <c r="Y853" s="10">
        <f>IF(Table1[[#This Row],[Drank]]&gt;0,VLOOKUP(Table1[[#This Row],[ID]],Drank!A:P,16,FALSE),IF(Table1[[#This Row],[WALDD]]&gt;0,VLOOKUP(Table1[[#This Row],[ID]],Wine1!A:Q,17,FALSE),Table1[[#This Row],[EP]]))</f>
        <v>2030</v>
      </c>
      <c r="Z853" s="18">
        <f>IF(Table1[[#This Row],[My Rating]]="",IF(Table1[[#This Row],[WA Rating Clean]]="","",Table1[[#This Row],[WA Rating Clean]]),Table1[[#This Row],[My Rating]])</f>
        <v>94</v>
      </c>
      <c r="AA853" s="37">
        <v>2028</v>
      </c>
      <c r="AB853" s="4">
        <v>39.97</v>
      </c>
      <c r="AC853" s="2">
        <f t="shared" si="47"/>
        <v>39.97</v>
      </c>
      <c r="AD853" s="8">
        <v>2</v>
      </c>
      <c r="AE853" s="10">
        <f>IF(Table1[[#This Row],[P/750]]&lt;20,1,IF(Table1[[#This Row],[P/750]]&lt;50,2,3))</f>
        <v>2</v>
      </c>
      <c r="AF853" s="10">
        <f>IF(Table1[[#This Row],[P/750]]&lt;Expenses!$C$30,1,IF(Table1[[#This Row],[P/750]]&lt;Expenses!$C$31,2,IF(Table1[[#This Row],[P/750]]&lt;Expenses!$C$32,3,4)))</f>
        <v>3</v>
      </c>
      <c r="AH853" s="37" t="s">
        <v>1188</v>
      </c>
      <c r="AI853" s="11">
        <f>Table1[[#This Row],[Price]]/Table1[[#This Row],[Size (ml)]]*750</f>
        <v>39.97</v>
      </c>
      <c r="AJ853">
        <v>96</v>
      </c>
      <c r="AK853" s="10">
        <f>COUNTIF(UniqueID!A:A,Table1[[#This Row],[ID]])</f>
        <v>1</v>
      </c>
      <c r="AL853" s="10" t="str">
        <f>VLOOKUP(Table1[[#This Row],[Cellar Location]],Location!A:F,6,FALSE)</f>
        <v>S</v>
      </c>
      <c r="AN853" s="1">
        <v>43860</v>
      </c>
      <c r="AO853" s="37" t="str">
        <f>TEXT(Table1[[#This Row],[Purchased]],"mmmm")</f>
        <v>January</v>
      </c>
      <c r="AP853" s="10" t="str">
        <f>TEXT(Table1[[#This Row],[Purchased]],"yyyy")</f>
        <v>2020</v>
      </c>
      <c r="AQ853" s="10"/>
    </row>
    <row r="854" spans="1:43" x14ac:dyDescent="0.25">
      <c r="A854" t="str">
        <f t="shared" si="46"/>
        <v>2012BenjamÃ­n RomeoContador</v>
      </c>
      <c r="B854" s="37">
        <v>2012</v>
      </c>
      <c r="C854" s="37" t="s">
        <v>354</v>
      </c>
      <c r="D854" s="37" t="s">
        <v>355</v>
      </c>
      <c r="E854" s="64" t="s">
        <v>276</v>
      </c>
      <c r="F854" s="37" t="s">
        <v>729</v>
      </c>
      <c r="G854" s="37" t="s">
        <v>823</v>
      </c>
      <c r="H854" s="37" t="s">
        <v>824</v>
      </c>
      <c r="I854" s="37">
        <v>1</v>
      </c>
      <c r="J854">
        <v>750</v>
      </c>
      <c r="K854" s="8" t="s">
        <v>8</v>
      </c>
      <c r="L854" s="37">
        <f>COUNTIF(Drank!A:A,Table1[[#This Row],[ID]])</f>
        <v>0</v>
      </c>
      <c r="M854" t="s">
        <v>202</v>
      </c>
      <c r="N854" t="s">
        <v>207</v>
      </c>
      <c r="O854">
        <v>1</v>
      </c>
      <c r="P854" s="37">
        <v>2016</v>
      </c>
      <c r="Q854">
        <v>2030</v>
      </c>
      <c r="R854" s="10" t="str">
        <f>IF(IFERROR(VLOOKUP(A854,Drank!A:S,15,FALSE),"")=0,"",IFERROR(VLOOKUP(A854,Drank!A:S,15,FALSE),""))</f>
        <v/>
      </c>
      <c r="S854" s="10" t="str">
        <f>IF(IFERROR(VLOOKUP(A854,Drank!A:S,16,FALSE),"")=0,"",IFERROR(VLOOKUP(A854,Drank!A:S,16,FALSE),""))</f>
        <v/>
      </c>
      <c r="T854" s="10"/>
      <c r="U854" t="s">
        <v>356</v>
      </c>
      <c r="V854" s="18" t="str">
        <f>IF(IFERROR(VLOOKUP(A854,Drank!A:T,19,FALSE),"")=0,"",IFERROR(VLOOKUP(A854,Drank!A:T,19,FALSE),""))</f>
        <v/>
      </c>
      <c r="W854" s="1" t="str">
        <f>IF(IFERROR(VLOOKUP(A854,Drank!A:T,20,FALSE),"")=0,"",IFERROR(VLOOKUP(A854,Drank!A:T,20,FALSE),""))</f>
        <v/>
      </c>
      <c r="X854" s="10">
        <f>SUMIF(A:A,A854,I:I)</f>
        <v>2</v>
      </c>
      <c r="Y854" s="37">
        <f>IF(Table1[[#This Row],[Drank]]&gt;0,VLOOKUP(Table1[[#This Row],[ID]],Drank!A:P,16,FALSE),IF(Table1[[#This Row],[WALDD]]&gt;0,VLOOKUP(Table1[[#This Row],[ID]],Wine1!A:Q,17,FALSE),Table1[[#This Row],[EP]]))</f>
        <v>2030</v>
      </c>
      <c r="Z854" s="18">
        <f>IF(Table1[[#This Row],[My Rating]]="",IF(Table1[[#This Row],[WA Rating Clean]]="","",Table1[[#This Row],[WA Rating Clean]]),Table1[[#This Row],[My Rating]])</f>
        <v>97</v>
      </c>
      <c r="AA854" s="8">
        <v>2028</v>
      </c>
      <c r="AB854" s="4">
        <v>205</v>
      </c>
      <c r="AC854" s="2">
        <f t="shared" si="47"/>
        <v>205</v>
      </c>
      <c r="AD854" s="8">
        <v>0</v>
      </c>
      <c r="AE854" s="37">
        <f>IF(Table1[[#This Row],[P/750]]&lt;20,1,IF(Table1[[#This Row],[P/750]]&lt;50,2,3))</f>
        <v>3</v>
      </c>
      <c r="AF854" s="37">
        <f>IF(Table1[[#This Row],[P/750]]&lt;Expenses!$C$30,1,IF(Table1[[#This Row],[P/750]]&lt;Expenses!$C$31,2,IF(Table1[[#This Row],[P/750]]&lt;Expenses!$C$32,3,4)))</f>
        <v>4</v>
      </c>
      <c r="AH854" s="37" t="s">
        <v>385</v>
      </c>
      <c r="AI854" s="11">
        <f>Table1[[#This Row],[Price]]/Table1[[#This Row],[Size (ml)]]*750</f>
        <v>205</v>
      </c>
      <c r="AJ854">
        <v>97</v>
      </c>
      <c r="AK854" s="37">
        <f>COUNTIF(UniqueID!A:A,Table1[[#This Row],[ID]])</f>
        <v>1</v>
      </c>
      <c r="AL854" s="37" t="str">
        <f>VLOOKUP(Table1[[#This Row],[Cellar Location]],Location!A:F,6,FALSE)</f>
        <v>K</v>
      </c>
      <c r="AN854" s="37"/>
      <c r="AO854" s="37" t="str">
        <f>TEXT(Table1[[#This Row],[Purchased]],"mmmm")</f>
        <v>January</v>
      </c>
      <c r="AP854" s="10" t="str">
        <f>TEXT(Table1[[#This Row],[Purchased]],"yyyy")</f>
        <v>1900</v>
      </c>
      <c r="AQ854" s="10"/>
    </row>
    <row r="855" spans="1:43" x14ac:dyDescent="0.25">
      <c r="A855" t="str">
        <f t="shared" si="46"/>
        <v>2007BertaniAmarone della Valpolicella Classico</v>
      </c>
      <c r="B855" s="37">
        <v>2007</v>
      </c>
      <c r="C855" s="37" t="s">
        <v>9</v>
      </c>
      <c r="D855" s="37" t="s">
        <v>26</v>
      </c>
      <c r="E855" s="64" t="s">
        <v>313</v>
      </c>
      <c r="F855" s="37" t="s">
        <v>728</v>
      </c>
      <c r="G855" s="37" t="s">
        <v>799</v>
      </c>
      <c r="H855" s="37" t="s">
        <v>800</v>
      </c>
      <c r="I855" s="37">
        <v>1</v>
      </c>
      <c r="J855">
        <v>750</v>
      </c>
      <c r="K855" s="8" t="s">
        <v>11</v>
      </c>
      <c r="L855" s="37">
        <f>COUNTIF(Drank!A:A,Table1[[#This Row],[ID]])</f>
        <v>0</v>
      </c>
      <c r="M855" t="s">
        <v>202</v>
      </c>
      <c r="N855" t="s">
        <v>207</v>
      </c>
      <c r="O855">
        <v>1</v>
      </c>
      <c r="P855" s="37">
        <v>2015</v>
      </c>
      <c r="Q855">
        <v>2030</v>
      </c>
      <c r="R855" s="37" t="str">
        <f>IF(IFERROR(VLOOKUP(A855,Drank!A:S,15,FALSE),"")=0,"",IFERROR(VLOOKUP(A855,Drank!A:S,15,FALSE),""))</f>
        <v/>
      </c>
      <c r="S855" s="37" t="str">
        <f>IF(IFERROR(VLOOKUP(A855,Drank!A:S,16,FALSE),"")=0,"",IFERROR(VLOOKUP(A855,Drank!A:S,16,FALSE),""))</f>
        <v/>
      </c>
      <c r="T855" s="37"/>
      <c r="U855" t="s">
        <v>17</v>
      </c>
      <c r="V855" s="18" t="str">
        <f>IF(IFERROR(VLOOKUP(A855,Drank!A:T,19,FALSE),"")=0,"",IFERROR(VLOOKUP(A855,Drank!A:T,19,FALSE),""))</f>
        <v/>
      </c>
      <c r="W855" s="1" t="str">
        <f>IF(IFERROR(VLOOKUP(A855,Drank!A:T,20,FALSE),"")=0,"",IFERROR(VLOOKUP(A855,Drank!A:T,20,FALSE),""))</f>
        <v/>
      </c>
      <c r="X855" s="37">
        <f>SUMIF(A:A,A855,I:I)</f>
        <v>1</v>
      </c>
      <c r="Y855" s="37">
        <f>IF(Table1[[#This Row],[Drank]]&gt;0,VLOOKUP(Table1[[#This Row],[ID]],Drank!A:P,16,FALSE),IF(Table1[[#This Row],[WALDD]]&gt;0,VLOOKUP(Table1[[#This Row],[ID]],Wine1!A:Q,17,FALSE),Table1[[#This Row],[EP]]))</f>
        <v>2030</v>
      </c>
      <c r="Z855" s="18">
        <f>IF(Table1[[#This Row],[My Rating]]="",IF(Table1[[#This Row],[WA Rating Clean]]="","",Table1[[#This Row],[WA Rating Clean]]),Table1[[#This Row],[My Rating]])</f>
        <v>94</v>
      </c>
      <c r="AA855" s="37">
        <v>2028</v>
      </c>
      <c r="AB855" s="3">
        <v>105</v>
      </c>
      <c r="AC855" s="2">
        <f t="shared" si="47"/>
        <v>105</v>
      </c>
      <c r="AD855" s="8">
        <v>0</v>
      </c>
      <c r="AE855" s="37">
        <f>IF(Table1[[#This Row],[P/750]]&lt;20,1,IF(Table1[[#This Row],[P/750]]&lt;50,2,3))</f>
        <v>3</v>
      </c>
      <c r="AF855" s="37">
        <f>IF(Table1[[#This Row],[P/750]]&lt;Expenses!$C$30,1,IF(Table1[[#This Row],[P/750]]&lt;Expenses!$C$31,2,IF(Table1[[#This Row],[P/750]]&lt;Expenses!$C$32,3,4)))</f>
        <v>4</v>
      </c>
      <c r="AH855" s="37" t="s">
        <v>1131</v>
      </c>
      <c r="AI855" s="11">
        <f>Table1[[#This Row],[Price]]/Table1[[#This Row],[Size (ml)]]*750</f>
        <v>105.00000000000001</v>
      </c>
      <c r="AJ855">
        <v>94</v>
      </c>
      <c r="AK855" s="37">
        <f>COUNTIF(UniqueID!A:A,Table1[[#This Row],[ID]])</f>
        <v>1</v>
      </c>
      <c r="AL855" s="37" t="str">
        <f>VLOOKUP(Table1[[#This Row],[Cellar Location]],Location!A:F,6,FALSE)</f>
        <v>K</v>
      </c>
      <c r="AN855" s="37"/>
      <c r="AO855" s="37" t="str">
        <f>TEXT(Table1[[#This Row],[Purchased]],"mmmm")</f>
        <v>January</v>
      </c>
      <c r="AP855" s="10" t="str">
        <f>TEXT(Table1[[#This Row],[Purchased]],"yyyy")</f>
        <v>1900</v>
      </c>
      <c r="AQ855" s="10"/>
    </row>
    <row r="856" spans="1:43" x14ac:dyDescent="0.25">
      <c r="A856" s="37" t="str">
        <f t="shared" si="46"/>
        <v>2016Casanova di NeriPietradonice</v>
      </c>
      <c r="B856" s="37">
        <v>2016</v>
      </c>
      <c r="C856" s="37" t="s">
        <v>18</v>
      </c>
      <c r="D856" s="37" t="s">
        <v>1179</v>
      </c>
      <c r="E856" s="64" t="s">
        <v>32</v>
      </c>
      <c r="F856" s="37" t="s">
        <v>728</v>
      </c>
      <c r="G856" s="37" t="s">
        <v>790</v>
      </c>
      <c r="H856" s="37" t="s">
        <v>796</v>
      </c>
      <c r="I856" s="107">
        <v>1</v>
      </c>
      <c r="J856" s="37">
        <v>750</v>
      </c>
      <c r="K856" s="107" t="s">
        <v>627</v>
      </c>
      <c r="L856" s="10">
        <f>COUNTIF(Drank!A:A,Table1[[#This Row],[ID]])</f>
        <v>0</v>
      </c>
      <c r="M856" t="s">
        <v>202</v>
      </c>
      <c r="N856" t="s">
        <v>207</v>
      </c>
      <c r="O856">
        <v>1</v>
      </c>
      <c r="P856" s="10">
        <v>2019</v>
      </c>
      <c r="Q856">
        <v>2030</v>
      </c>
      <c r="R856" s="10" t="str">
        <f>IF(IFERROR(VLOOKUP(A856,Drank!A:S,15,FALSE),"")=0,"",IFERROR(VLOOKUP(A856,Drank!A:S,15,FALSE),""))</f>
        <v/>
      </c>
      <c r="S856" s="10" t="str">
        <f>IF(IFERROR(VLOOKUP(A856,Drank!A:S,16,FALSE),"")=0,"",IFERROR(VLOOKUP(A856,Drank!A:S,16,FALSE),""))</f>
        <v/>
      </c>
      <c r="T856" s="10"/>
      <c r="U856" t="s">
        <v>17</v>
      </c>
      <c r="V856" s="18" t="str">
        <f>IF(IFERROR(VLOOKUP(A856,Drank!A:T,19,FALSE),"")=0,"",IFERROR(VLOOKUP(A856,Drank!A:T,19,FALSE),""))</f>
        <v/>
      </c>
      <c r="W856" s="1" t="str">
        <f>IF(IFERROR(VLOOKUP(A856,Drank!A:T,20,FALSE),"")=0,"",IFERROR(VLOOKUP(A856,Drank!A:T,20,FALSE),""))</f>
        <v/>
      </c>
      <c r="X856" s="10">
        <f>SUMIF(A:A,A856,I:I)</f>
        <v>2</v>
      </c>
      <c r="Y856" s="10">
        <f>IF(Table1[[#This Row],[Drank]]&gt;0,VLOOKUP(Table1[[#This Row],[ID]],Drank!A:P,16,FALSE),IF(Table1[[#This Row],[WALDD]]&gt;0,VLOOKUP(Table1[[#This Row],[ID]],Wine1!A:Q,17,FALSE),Table1[[#This Row],[EP]]))</f>
        <v>2030</v>
      </c>
      <c r="Z856" s="18">
        <f>IF(Table1[[#This Row],[My Rating]]="",IF(Table1[[#This Row],[WA Rating Clean]]="","",Table1[[#This Row],[WA Rating Clean]]),Table1[[#This Row],[My Rating]])</f>
        <v>94</v>
      </c>
      <c r="AA856" s="6">
        <v>2028</v>
      </c>
      <c r="AB856" s="4">
        <v>68.94</v>
      </c>
      <c r="AC856" s="2">
        <f t="shared" si="47"/>
        <v>68.94</v>
      </c>
      <c r="AD856" s="8">
        <v>2</v>
      </c>
      <c r="AE856" s="10">
        <f>IF(Table1[[#This Row],[P/750]]&lt;20,1,IF(Table1[[#This Row],[P/750]]&lt;50,2,3))</f>
        <v>3</v>
      </c>
      <c r="AF856" s="10">
        <f>IF(Table1[[#This Row],[P/750]]&lt;Expenses!$C$30,1,IF(Table1[[#This Row],[P/750]]&lt;Expenses!$C$31,2,IF(Table1[[#This Row],[P/750]]&lt;Expenses!$C$32,3,4)))</f>
        <v>4</v>
      </c>
      <c r="AH856" s="37" t="s">
        <v>1189</v>
      </c>
      <c r="AI856" s="11">
        <f>Table1[[#This Row],[Price]]/Table1[[#This Row],[Size (ml)]]*750</f>
        <v>68.94</v>
      </c>
      <c r="AJ856">
        <v>94</v>
      </c>
      <c r="AK856" s="10">
        <f>COUNTIF(UniqueID!A:A,Table1[[#This Row],[ID]])</f>
        <v>1</v>
      </c>
      <c r="AL856" s="10" t="str">
        <f>VLOOKUP(Table1[[#This Row],[Cellar Location]],Location!A:F,6,FALSE)</f>
        <v>S</v>
      </c>
      <c r="AN856" s="1">
        <v>43860</v>
      </c>
      <c r="AO856" s="37" t="str">
        <f>TEXT(Table1[[#This Row],[Purchased]],"mmmm")</f>
        <v>January</v>
      </c>
      <c r="AP856" s="10" t="str">
        <f>TEXT(Table1[[#This Row],[Purchased]],"yyyy")</f>
        <v>2020</v>
      </c>
      <c r="AQ856" s="10"/>
    </row>
    <row r="857" spans="1:43" x14ac:dyDescent="0.25">
      <c r="A857" t="str">
        <f t="shared" si="46"/>
        <v>2013Castello di AmaChianti Classico Gran Selezione San Lorenzo</v>
      </c>
      <c r="B857" s="37">
        <v>2013</v>
      </c>
      <c r="C857" s="9" t="s">
        <v>75</v>
      </c>
      <c r="D857" s="9" t="s">
        <v>76</v>
      </c>
      <c r="E857" s="64" t="s">
        <v>399</v>
      </c>
      <c r="F857" s="37" t="s">
        <v>728</v>
      </c>
      <c r="G857" s="37" t="s">
        <v>790</v>
      </c>
      <c r="H857" s="37" t="s">
        <v>792</v>
      </c>
      <c r="I857" s="37">
        <v>1</v>
      </c>
      <c r="J857">
        <v>750</v>
      </c>
      <c r="K857" s="8" t="s">
        <v>11</v>
      </c>
      <c r="L857" s="37">
        <f>COUNTIF(Drank!A:A,Table1[[#This Row],[ID]])</f>
        <v>0</v>
      </c>
      <c r="M857" t="s">
        <v>202</v>
      </c>
      <c r="N857" t="s">
        <v>207</v>
      </c>
      <c r="O857">
        <v>1</v>
      </c>
      <c r="P857" s="37">
        <v>2017</v>
      </c>
      <c r="Q857">
        <v>2030</v>
      </c>
      <c r="R857" s="37" t="str">
        <f>IF(IFERROR(VLOOKUP(A857,Drank!A:S,15,FALSE),"")=0,"",IFERROR(VLOOKUP(A857,Drank!A:S,15,FALSE),""))</f>
        <v/>
      </c>
      <c r="S857" s="37" t="str">
        <f>IF(IFERROR(VLOOKUP(A857,Drank!A:S,16,FALSE),"")=0,"",IFERROR(VLOOKUP(A857,Drank!A:S,16,FALSE),""))</f>
        <v/>
      </c>
      <c r="T857" s="37"/>
      <c r="U857">
        <v>93</v>
      </c>
      <c r="V857" s="18" t="str">
        <f>IF(IFERROR(VLOOKUP(A857,Drank!A:T,19,FALSE),"")=0,"",IFERROR(VLOOKUP(A857,Drank!A:T,19,FALSE),""))</f>
        <v/>
      </c>
      <c r="W857" s="1" t="str">
        <f>IF(IFERROR(VLOOKUP(A857,Drank!A:T,20,FALSE),"")=0,"",IFERROR(VLOOKUP(A857,Drank!A:T,20,FALSE),""))</f>
        <v/>
      </c>
      <c r="X857" s="37">
        <f>SUMIF(A:A,A857,I:I)</f>
        <v>1</v>
      </c>
      <c r="Y857" s="37">
        <f>IF(Table1[[#This Row],[Drank]]&gt;0,VLOOKUP(Table1[[#This Row],[ID]],Drank!A:P,16,FALSE),IF(Table1[[#This Row],[WALDD]]&gt;0,VLOOKUP(Table1[[#This Row],[ID]],Wine1!A:Q,17,FALSE),Table1[[#This Row],[EP]]))</f>
        <v>2030</v>
      </c>
      <c r="Z857" s="18">
        <f>IF(Table1[[#This Row],[My Rating]]="",IF(Table1[[#This Row],[WA Rating Clean]]="","",Table1[[#This Row],[WA Rating Clean]]),Table1[[#This Row],[My Rating]])</f>
        <v>93</v>
      </c>
      <c r="AA857" s="37">
        <v>2028</v>
      </c>
      <c r="AB857" s="3">
        <v>44</v>
      </c>
      <c r="AC857" s="2">
        <f t="shared" si="47"/>
        <v>44</v>
      </c>
      <c r="AD857" s="8">
        <v>0</v>
      </c>
      <c r="AE857" s="37">
        <f>IF(Table1[[#This Row],[P/750]]&lt;20,1,IF(Table1[[#This Row],[P/750]]&lt;50,2,3))</f>
        <v>2</v>
      </c>
      <c r="AF857" s="37">
        <f>IF(Table1[[#This Row],[P/750]]&lt;Expenses!$C$30,1,IF(Table1[[#This Row],[P/750]]&lt;Expenses!$C$31,2,IF(Table1[[#This Row],[P/750]]&lt;Expenses!$C$32,3,4)))</f>
        <v>3</v>
      </c>
      <c r="AH857" s="37" t="s">
        <v>1131</v>
      </c>
      <c r="AI857" s="11">
        <f>Table1[[#This Row],[Price]]/Table1[[#This Row],[Size (ml)]]*750</f>
        <v>44</v>
      </c>
      <c r="AJ857">
        <v>93</v>
      </c>
      <c r="AK857" s="37">
        <f>COUNTIF(UniqueID!A:A,Table1[[#This Row],[ID]])</f>
        <v>1</v>
      </c>
      <c r="AL857" s="37" t="str">
        <f>VLOOKUP(Table1[[#This Row],[Cellar Location]],Location!A:F,6,FALSE)</f>
        <v>K</v>
      </c>
      <c r="AN857" s="37"/>
      <c r="AO857" s="37" t="str">
        <f>TEXT(Table1[[#This Row],[Purchased]],"mmmm")</f>
        <v>January</v>
      </c>
      <c r="AP857" s="10" t="str">
        <f>TEXT(Table1[[#This Row],[Purchased]],"yyyy")</f>
        <v>1900</v>
      </c>
      <c r="AQ857" s="10"/>
    </row>
    <row r="858" spans="1:43" x14ac:dyDescent="0.25">
      <c r="A858" t="str">
        <f t="shared" si="46"/>
        <v>2016Castello RomitorioIl Toro</v>
      </c>
      <c r="B858" s="37">
        <v>2016</v>
      </c>
      <c r="C858" s="37" t="s">
        <v>689</v>
      </c>
      <c r="D858" s="37" t="s">
        <v>846</v>
      </c>
      <c r="E858" s="69" t="s">
        <v>1271</v>
      </c>
      <c r="F858" s="37" t="s">
        <v>728</v>
      </c>
      <c r="G858" s="37" t="s">
        <v>790</v>
      </c>
      <c r="H858" s="37" t="s">
        <v>796</v>
      </c>
      <c r="I858" s="107">
        <v>1</v>
      </c>
      <c r="J858">
        <v>750</v>
      </c>
      <c r="K858" s="107" t="s">
        <v>927</v>
      </c>
      <c r="L858" s="10">
        <f>COUNTIF(Drank!A:A,Table1[[#This Row],[ID]])</f>
        <v>1</v>
      </c>
      <c r="M858" t="s">
        <v>202</v>
      </c>
      <c r="N858" t="s">
        <v>207</v>
      </c>
      <c r="O858">
        <v>1</v>
      </c>
      <c r="P858" s="10">
        <v>2019</v>
      </c>
      <c r="Q858">
        <v>2028</v>
      </c>
      <c r="R858" s="10">
        <f>IF(IFERROR(VLOOKUP(A858,Drank!A:S,15,FALSE),"")=0,"",IFERROR(VLOOKUP(A858,Drank!A:S,15,FALSE),""))</f>
        <v>2024</v>
      </c>
      <c r="S858" s="10">
        <f>IF(IFERROR(VLOOKUP(A858,Drank!A:S,16,FALSE),"")=0,"",IFERROR(VLOOKUP(A858,Drank!A:S,16,FALSE),""))</f>
        <v>2030</v>
      </c>
      <c r="T858" s="10"/>
      <c r="U858">
        <v>95</v>
      </c>
      <c r="V858" s="18">
        <f>IF(IFERROR(VLOOKUP(A858,Drank!A:T,19,FALSE),"")=0,"",IFERROR(VLOOKUP(A858,Drank!A:T,19,FALSE),""))</f>
        <v>93</v>
      </c>
      <c r="W858" s="1">
        <f>IF(IFERROR(VLOOKUP(A858,Drank!A:T,20,FALSE),"")=0,"",IFERROR(VLOOKUP(A858,Drank!A:T,20,FALSE),""))</f>
        <v>43842</v>
      </c>
      <c r="X858" s="10">
        <f>SUMIF(A:A,A858,I:I)</f>
        <v>3</v>
      </c>
      <c r="Y858" s="10">
        <f>IF(Table1[[#This Row],[Drank]]&gt;0,VLOOKUP(Table1[[#This Row],[ID]],Drank!A:P,16,FALSE),IF(Table1[[#This Row],[WALDD]]&gt;0,VLOOKUP(Table1[[#This Row],[ID]],Wine1!A:Q,17,FALSE),Table1[[#This Row],[EP]]))</f>
        <v>2030</v>
      </c>
      <c r="Z858" s="18">
        <f>IF(Table1[[#This Row],[My Rating]]="",IF(Table1[[#This Row],[WA Rating Clean]]="","",Table1[[#This Row],[WA Rating Clean]]),Table1[[#This Row],[My Rating]])</f>
        <v>93</v>
      </c>
      <c r="AA858" s="37">
        <v>2028</v>
      </c>
      <c r="AB858" s="4">
        <v>24.99</v>
      </c>
      <c r="AC858" s="2">
        <f t="shared" si="47"/>
        <v>24.99</v>
      </c>
      <c r="AD858" s="8">
        <v>2</v>
      </c>
      <c r="AE858" s="10">
        <f>IF(Table1[[#This Row],[P/750]]&lt;20,1,IF(Table1[[#This Row],[P/750]]&lt;50,2,3))</f>
        <v>2</v>
      </c>
      <c r="AF858" s="10">
        <f>IF(Table1[[#This Row],[P/750]]&lt;Expenses!$C$30,1,IF(Table1[[#This Row],[P/750]]&lt;Expenses!$C$31,2,IF(Table1[[#This Row],[P/750]]&lt;Expenses!$C$32,3,4)))</f>
        <v>2</v>
      </c>
      <c r="AH858" s="37" t="s">
        <v>1139</v>
      </c>
      <c r="AI858" s="11">
        <f>Table1[[#This Row],[Price]]/Table1[[#This Row],[Size (ml)]]*750</f>
        <v>24.989999999999995</v>
      </c>
      <c r="AJ858">
        <v>95</v>
      </c>
      <c r="AK858" s="10">
        <f>COUNTIF(UniqueID!A:A,Table1[[#This Row],[ID]])</f>
        <v>1</v>
      </c>
      <c r="AL858" s="37" t="str">
        <f>VLOOKUP(Table1[[#This Row],[Cellar Location]],Location!A:F,6,FALSE)</f>
        <v>S</v>
      </c>
      <c r="AN858" s="37"/>
      <c r="AO858" s="37" t="str">
        <f>TEXT(Table1[[#This Row],[Purchased]],"mmmm")</f>
        <v>January</v>
      </c>
      <c r="AP858" s="10" t="str">
        <f>TEXT(Table1[[#This Row],[Purchased]],"yyyy")</f>
        <v>1900</v>
      </c>
      <c r="AQ858" s="10"/>
    </row>
    <row r="859" spans="1:43" x14ac:dyDescent="0.25">
      <c r="A859" s="8" t="str">
        <f t="shared" si="46"/>
        <v>2018Castello RomitorioRomiToro</v>
      </c>
      <c r="B859" s="37">
        <v>2018</v>
      </c>
      <c r="C859" s="37" t="s">
        <v>689</v>
      </c>
      <c r="D859" s="37" t="s">
        <v>1511</v>
      </c>
      <c r="E859" s="69" t="s">
        <v>1271</v>
      </c>
      <c r="F859" s="37" t="s">
        <v>728</v>
      </c>
      <c r="G859" s="37" t="s">
        <v>790</v>
      </c>
      <c r="H859" s="37" t="s">
        <v>796</v>
      </c>
      <c r="I859" s="107">
        <v>1</v>
      </c>
      <c r="J859" s="37">
        <v>750</v>
      </c>
      <c r="K859" s="107" t="s">
        <v>661</v>
      </c>
      <c r="L859" s="10">
        <f>COUNTIF(Drank!A:A,Table1[[#This Row],[ID]])</f>
        <v>1</v>
      </c>
      <c r="M859" t="s">
        <v>202</v>
      </c>
      <c r="N859" t="s">
        <v>207</v>
      </c>
      <c r="O859">
        <v>1</v>
      </c>
      <c r="P859" s="10">
        <v>2021</v>
      </c>
      <c r="Q859">
        <v>2030</v>
      </c>
      <c r="R859" s="10">
        <f>IF(IFERROR(VLOOKUP(A859,Drank!A:S,15,FALSE),"")=0,"",IFERROR(VLOOKUP(A859,Drank!A:S,15,FALSE),""))</f>
        <v>2026</v>
      </c>
      <c r="S859" s="10">
        <f>IF(IFERROR(VLOOKUP(A859,Drank!A:S,16,FALSE),"")=0,"",IFERROR(VLOOKUP(A859,Drank!A:S,16,FALSE),""))</f>
        <v>2030</v>
      </c>
      <c r="T859" s="10"/>
      <c r="U859" t="s">
        <v>74</v>
      </c>
      <c r="V859" s="18">
        <f>IF(IFERROR(VLOOKUP(A859,Drank!A:T,19,FALSE),"")=0,"",IFERROR(VLOOKUP(A859,Drank!A:T,19,FALSE),""))</f>
        <v>91</v>
      </c>
      <c r="W859" s="1">
        <f>IF(IFERROR(VLOOKUP(A859,Drank!A:T,20,FALSE),"")=0,"",IFERROR(VLOOKUP(A859,Drank!A:T,20,FALSE),""))</f>
        <v>44053</v>
      </c>
      <c r="X859" s="10">
        <f>SUMIF(A:A,A859,I:I)</f>
        <v>5</v>
      </c>
      <c r="Y859" s="10">
        <f>IF(Table1[[#This Row],[Drank]]&gt;0,VLOOKUP(Table1[[#This Row],[ID]],Drank!A:P,16,FALSE),IF(Table1[[#This Row],[WALDD]]&gt;0,VLOOKUP(Table1[[#This Row],[ID]],Wine1!A:Q,17,FALSE),Table1[[#This Row],[EP]]))</f>
        <v>2030</v>
      </c>
      <c r="Z859" s="18">
        <f>IF(Table1[[#This Row],[My Rating]]="",IF(Table1[[#This Row],[WA Rating Clean]]="","",Table1[[#This Row],[WA Rating Clean]]),Table1[[#This Row],[My Rating]])</f>
        <v>91</v>
      </c>
      <c r="AA859" s="37">
        <v>2028</v>
      </c>
      <c r="AB859" s="4">
        <v>19.54</v>
      </c>
      <c r="AC859" s="2">
        <f t="shared" si="47"/>
        <v>19.54</v>
      </c>
      <c r="AD859" s="8">
        <v>2</v>
      </c>
      <c r="AE859" s="10">
        <f>IF(Table1[[#This Row],[P/750]]&lt;20,1,IF(Table1[[#This Row],[P/750]]&lt;50,2,3))</f>
        <v>1</v>
      </c>
      <c r="AF859" s="10">
        <f>IF(Table1[[#This Row],[P/750]]&lt;Expenses!$C$30,1,IF(Table1[[#This Row],[P/750]]&lt;Expenses!$C$31,2,IF(Table1[[#This Row],[P/750]]&lt;Expenses!$C$32,3,4)))</f>
        <v>2</v>
      </c>
      <c r="AH859" s="37" t="s">
        <v>384</v>
      </c>
      <c r="AI859" s="11">
        <f>Table1[[#This Row],[Price]]/Table1[[#This Row],[Size (ml)]]*750</f>
        <v>19.54</v>
      </c>
      <c r="AJ859">
        <v>93</v>
      </c>
      <c r="AK859" s="10">
        <f>COUNTIF(UniqueID!A:A,Table1[[#This Row],[ID]])</f>
        <v>0</v>
      </c>
      <c r="AL859" s="10" t="str">
        <f>VLOOKUP(Table1[[#This Row],[Cellar Location]],Location!A:F,6,FALSE)</f>
        <v>S</v>
      </c>
      <c r="AN859" s="1">
        <v>44026</v>
      </c>
      <c r="AO859" s="10" t="str">
        <f>TEXT(Table1[[#This Row],[Purchased]],"mmmm")</f>
        <v>July</v>
      </c>
      <c r="AP859" s="10" t="str">
        <f>TEXT(Table1[[#This Row],[Purchased]],"yyyy")</f>
        <v>2020</v>
      </c>
      <c r="AQ859" s="10"/>
    </row>
    <row r="860" spans="1:43" x14ac:dyDescent="0.25">
      <c r="A860" t="str">
        <f t="shared" si="46"/>
        <v>2013CortonesiBrunello di Montalcino La Mannella</v>
      </c>
      <c r="B860">
        <v>2013</v>
      </c>
      <c r="C860" s="37" t="s">
        <v>72</v>
      </c>
      <c r="D860" s="25" t="s">
        <v>73</v>
      </c>
      <c r="E860" s="67" t="s">
        <v>1250</v>
      </c>
      <c r="F860" s="37" t="s">
        <v>728</v>
      </c>
      <c r="G860" s="37" t="s">
        <v>790</v>
      </c>
      <c r="H860" s="37" t="s">
        <v>19</v>
      </c>
      <c r="I860" s="107">
        <v>1</v>
      </c>
      <c r="J860" s="37">
        <v>750</v>
      </c>
      <c r="K860" s="107" t="s">
        <v>645</v>
      </c>
      <c r="L860" s="37">
        <f>COUNTIF(Drank!A:A,Table1[[#This Row],[ID]])</f>
        <v>1</v>
      </c>
      <c r="M860" t="s">
        <v>202</v>
      </c>
      <c r="N860" t="s">
        <v>207</v>
      </c>
      <c r="O860">
        <v>1</v>
      </c>
      <c r="P860" s="37">
        <v>2020</v>
      </c>
      <c r="Q860">
        <v>2033</v>
      </c>
      <c r="R860" s="37">
        <f>IF(IFERROR(VLOOKUP(A860,Drank!A:S,15,FALSE),"")=0,"",IFERROR(VLOOKUP(A860,Drank!A:S,15,FALSE),""))</f>
        <v>2024</v>
      </c>
      <c r="S860" s="37">
        <f>IF(IFERROR(VLOOKUP(A860,Drank!A:S,16,FALSE),"")=0,"",IFERROR(VLOOKUP(A860,Drank!A:S,16,FALSE),""))</f>
        <v>2030</v>
      </c>
      <c r="T860" s="37"/>
      <c r="U860" t="s">
        <v>74</v>
      </c>
      <c r="V860" s="18">
        <f>IF(IFERROR(VLOOKUP(A860,Drank!A:T,19,FALSE),"")=0,"",IFERROR(VLOOKUP(A860,Drank!A:T,19,FALSE),""))</f>
        <v>93</v>
      </c>
      <c r="W860" s="1">
        <f>IF(IFERROR(VLOOKUP(A860,Drank!A:T,20,FALSE),"")=0,"",IFERROR(VLOOKUP(A860,Drank!A:T,20,FALSE),""))</f>
        <v>43924</v>
      </c>
      <c r="X860" s="37">
        <f>SUMIF(A:A,A860,I:I)</f>
        <v>5</v>
      </c>
      <c r="Y860" s="37">
        <f>IF(Table1[[#This Row],[Drank]]&gt;0,VLOOKUP(Table1[[#This Row],[ID]],Drank!A:P,16,FALSE),IF(Table1[[#This Row],[WALDD]]&gt;0,VLOOKUP(Table1[[#This Row],[ID]],Wine1!A:Q,17,FALSE),Table1[[#This Row],[EP]]))</f>
        <v>2030</v>
      </c>
      <c r="Z860" s="18">
        <f>IF(Table1[[#This Row],[My Rating]]="",IF(Table1[[#This Row],[WA Rating Clean]]="","",Table1[[#This Row],[WA Rating Clean]]),Table1[[#This Row],[My Rating]])</f>
        <v>93</v>
      </c>
      <c r="AA860" s="37">
        <v>2028</v>
      </c>
      <c r="AB860" s="4">
        <v>33.99</v>
      </c>
      <c r="AC860" s="2">
        <f t="shared" si="47"/>
        <v>33.99</v>
      </c>
      <c r="AD860" s="8">
        <v>2</v>
      </c>
      <c r="AE860" s="37">
        <f>IF(Table1[[#This Row],[P/750]]&lt;20,1,IF(Table1[[#This Row],[P/750]]&lt;50,2,3))</f>
        <v>2</v>
      </c>
      <c r="AF860" s="37">
        <f>IF(Table1[[#This Row],[P/750]]&lt;Expenses!$C$30,1,IF(Table1[[#This Row],[P/750]]&lt;Expenses!$C$31,2,IF(Table1[[#This Row],[P/750]]&lt;Expenses!$C$32,3,4)))</f>
        <v>3</v>
      </c>
      <c r="AH860" s="37" t="s">
        <v>1131</v>
      </c>
      <c r="AI860" s="11">
        <f>Table1[[#This Row],[Price]]/Table1[[#This Row],[Size (ml)]]*750</f>
        <v>33.99</v>
      </c>
      <c r="AJ860">
        <v>93</v>
      </c>
      <c r="AK860" s="37">
        <f>COUNTIF(UniqueID!A:A,Table1[[#This Row],[ID]])</f>
        <v>1</v>
      </c>
      <c r="AL860" s="37" t="str">
        <f>VLOOKUP(Table1[[#This Row],[Cellar Location]],Location!A:F,6,FALSE)</f>
        <v>S</v>
      </c>
      <c r="AN860" s="37"/>
      <c r="AO860" s="37" t="str">
        <f>TEXT(Table1[[#This Row],[Purchased]],"mmmm")</f>
        <v>January</v>
      </c>
      <c r="AP860" s="10" t="str">
        <f>TEXT(Table1[[#This Row],[Purchased]],"yyyy")</f>
        <v>1900</v>
      </c>
      <c r="AQ860" s="10"/>
    </row>
    <row r="861" spans="1:43" x14ac:dyDescent="0.25">
      <c r="A861" t="str">
        <f t="shared" ref="A861:A924" si="48">CONCATENATE(B861,C861,D861)</f>
        <v>2015D'IssanBlason d'Issan</v>
      </c>
      <c r="B861">
        <v>2015</v>
      </c>
      <c r="C861" s="9" t="s">
        <v>123</v>
      </c>
      <c r="D861" s="9" t="s">
        <v>124</v>
      </c>
      <c r="E861" s="64" t="s">
        <v>1443</v>
      </c>
      <c r="F861" s="37" t="s">
        <v>742</v>
      </c>
      <c r="G861" s="37" t="s">
        <v>748</v>
      </c>
      <c r="H861" s="37" t="s">
        <v>750</v>
      </c>
      <c r="I861" s="37">
        <v>1</v>
      </c>
      <c r="J861" s="37">
        <v>750</v>
      </c>
      <c r="K861" s="8" t="s">
        <v>8</v>
      </c>
      <c r="L861" s="37">
        <f>COUNTIF(Drank!A:A,Table1[[#This Row],[ID]])</f>
        <v>0</v>
      </c>
      <c r="M861" t="s">
        <v>202</v>
      </c>
      <c r="N861" t="s">
        <v>207</v>
      </c>
      <c r="O861">
        <v>1</v>
      </c>
      <c r="P861" s="37">
        <v>2019</v>
      </c>
      <c r="Q861">
        <v>2030</v>
      </c>
      <c r="R861" s="37" t="str">
        <f>IF(IFERROR(VLOOKUP(A861,Drank!A:S,15,FALSE),"")=0,"",IFERROR(VLOOKUP(A861,Drank!A:S,15,FALSE),""))</f>
        <v/>
      </c>
      <c r="S861" s="37" t="str">
        <f>IF(IFERROR(VLOOKUP(A861,Drank!A:S,16,FALSE),"")=0,"",IFERROR(VLOOKUP(A861,Drank!A:S,16,FALSE),""))</f>
        <v/>
      </c>
      <c r="T861" s="37"/>
      <c r="U861" t="s">
        <v>117</v>
      </c>
      <c r="V861" s="18" t="str">
        <f>IF(IFERROR(VLOOKUP(A861,Drank!A:T,19,FALSE),"")=0,"",IFERROR(VLOOKUP(A861,Drank!A:T,19,FALSE),""))</f>
        <v/>
      </c>
      <c r="W861" s="1" t="str">
        <f>IF(IFERROR(VLOOKUP(A861,Drank!A:T,20,FALSE),"")=0,"",IFERROR(VLOOKUP(A861,Drank!A:T,20,FALSE),""))</f>
        <v/>
      </c>
      <c r="X861" s="37">
        <f>SUMIF(A:A,A861,I:I)</f>
        <v>1</v>
      </c>
      <c r="Y861" s="37">
        <f>IF(Table1[[#This Row],[Drank]]&gt;0,VLOOKUP(Table1[[#This Row],[ID]],Drank!A:P,16,FALSE),IF(Table1[[#This Row],[WALDD]]&gt;0,VLOOKUP(Table1[[#This Row],[ID]],Wine1!A:Q,17,FALSE),Table1[[#This Row],[EP]]))</f>
        <v>2030</v>
      </c>
      <c r="Z861" s="18">
        <f>IF(Table1[[#This Row],[My Rating]]="",IF(Table1[[#This Row],[WA Rating Clean]]="","",Table1[[#This Row],[WA Rating Clean]]),Table1[[#This Row],[My Rating]])</f>
        <v>90</v>
      </c>
      <c r="AA861" s="37">
        <v>2028</v>
      </c>
      <c r="AB861" s="3">
        <v>23</v>
      </c>
      <c r="AC861" s="2">
        <f t="shared" ref="AC861:AC924" si="49">AB861*I861</f>
        <v>23</v>
      </c>
      <c r="AD861" s="8">
        <v>0</v>
      </c>
      <c r="AE861" s="37">
        <f>IF(Table1[[#This Row],[P/750]]&lt;20,1,IF(Table1[[#This Row],[P/750]]&lt;50,2,3))</f>
        <v>2</v>
      </c>
      <c r="AF861" s="37">
        <f>IF(Table1[[#This Row],[P/750]]&lt;Expenses!$C$30,1,IF(Table1[[#This Row],[P/750]]&lt;Expenses!$C$31,2,IF(Table1[[#This Row],[P/750]]&lt;Expenses!$C$32,3,4)))</f>
        <v>2</v>
      </c>
      <c r="AH861" s="37" t="s">
        <v>1131</v>
      </c>
      <c r="AI861" s="11">
        <f>Table1[[#This Row],[Price]]/Table1[[#This Row],[Size (ml)]]*750</f>
        <v>23</v>
      </c>
      <c r="AJ861">
        <v>90</v>
      </c>
      <c r="AK861" s="37">
        <f>COUNTIF(UniqueID!A:A,Table1[[#This Row],[ID]])</f>
        <v>1</v>
      </c>
      <c r="AL861" s="37" t="str">
        <f>VLOOKUP(Table1[[#This Row],[Cellar Location]],Location!A:F,6,FALSE)</f>
        <v>K</v>
      </c>
      <c r="AN861" s="37"/>
      <c r="AO861" s="37" t="str">
        <f>TEXT(Table1[[#This Row],[Purchased]],"mmmm")</f>
        <v>January</v>
      </c>
      <c r="AP861" s="10" t="str">
        <f>TEXT(Table1[[#This Row],[Purchased]],"yyyy")</f>
        <v>1900</v>
      </c>
      <c r="AQ861" s="10"/>
    </row>
    <row r="862" spans="1:43" x14ac:dyDescent="0.25">
      <c r="A862" t="str">
        <f t="shared" si="48"/>
        <v>2017Domaine du Grand MontmirailGigondas le Coteau de Mon Reve</v>
      </c>
      <c r="B862" s="37">
        <v>2017</v>
      </c>
      <c r="C862" s="8" t="s">
        <v>1387</v>
      </c>
      <c r="D862" s="37" t="s">
        <v>1388</v>
      </c>
      <c r="E862" s="67" t="s">
        <v>1360</v>
      </c>
      <c r="F862" s="37" t="s">
        <v>742</v>
      </c>
      <c r="G862" s="37" t="s">
        <v>759</v>
      </c>
      <c r="H862" s="37" t="s">
        <v>764</v>
      </c>
      <c r="I862" s="37">
        <v>1</v>
      </c>
      <c r="J862" s="107">
        <v>1500</v>
      </c>
      <c r="K862" s="37" t="s">
        <v>1403</v>
      </c>
      <c r="L862" s="10">
        <f>COUNTIF(Drank!A:A,Table1[[#This Row],[ID]])</f>
        <v>2</v>
      </c>
      <c r="M862" t="s">
        <v>202</v>
      </c>
      <c r="N862" t="s">
        <v>207</v>
      </c>
      <c r="O862">
        <v>1</v>
      </c>
      <c r="P862" s="10">
        <v>2020</v>
      </c>
      <c r="Q862">
        <v>2030</v>
      </c>
      <c r="R862" s="10">
        <f>IF(IFERROR(VLOOKUP(A862,Drank!A:S,15,FALSE),"")=0,"",IFERROR(VLOOKUP(A862,Drank!A:S,15,FALSE),""))</f>
        <v>2022</v>
      </c>
      <c r="S862" s="10">
        <f>IF(IFERROR(VLOOKUP(A862,Drank!A:S,16,FALSE),"")=0,"",IFERROR(VLOOKUP(A862,Drank!A:S,16,FALSE),""))</f>
        <v>2030</v>
      </c>
      <c r="T862" s="10"/>
      <c r="U862">
        <v>96</v>
      </c>
      <c r="V862" s="18">
        <f>IF(IFERROR(VLOOKUP(A862,Drank!A:T,19,FALSE),"")=0,"",IFERROR(VLOOKUP(A862,Drank!A:T,19,FALSE),""))</f>
        <v>93</v>
      </c>
      <c r="W862" s="1">
        <f>IF(IFERROR(VLOOKUP(A862,Drank!A:T,20,FALSE),"")=0,"",IFERROR(VLOOKUP(A862,Drank!A:T,20,FALSE),""))</f>
        <v>43976</v>
      </c>
      <c r="X862" s="10">
        <f>SUMIF(A:A,A862,I:I)</f>
        <v>10</v>
      </c>
      <c r="Y862" s="10">
        <f>IF(Table1[[#This Row],[Drank]]&gt;0,VLOOKUP(Table1[[#This Row],[ID]],Drank!A:P,16,FALSE),IF(Table1[[#This Row],[WALDD]]&gt;0,VLOOKUP(Table1[[#This Row],[ID]],Wine1!A:Q,17,FALSE),Table1[[#This Row],[EP]]))</f>
        <v>2030</v>
      </c>
      <c r="Z862" s="18">
        <f>IF(Table1[[#This Row],[My Rating]]="",IF(Table1[[#This Row],[WA Rating Clean]]="","",Table1[[#This Row],[WA Rating Clean]]),Table1[[#This Row],[My Rating]])</f>
        <v>93</v>
      </c>
      <c r="AA862" s="37">
        <v>2028</v>
      </c>
      <c r="AB862" s="4">
        <v>57.56</v>
      </c>
      <c r="AC862" s="2">
        <f t="shared" si="49"/>
        <v>57.56</v>
      </c>
      <c r="AD862" s="8">
        <v>0</v>
      </c>
      <c r="AE862" s="10">
        <f>IF(Table1[[#This Row],[P/750]]&lt;20,1,IF(Table1[[#This Row],[P/750]]&lt;50,2,3))</f>
        <v>2</v>
      </c>
      <c r="AF862" s="10">
        <f>IF(Table1[[#This Row],[P/750]]&lt;Expenses!$C$30,1,IF(Table1[[#This Row],[P/750]]&lt;Expenses!$C$31,2,IF(Table1[[#This Row],[P/750]]&lt;Expenses!$C$32,3,4)))</f>
        <v>2</v>
      </c>
      <c r="AH862" s="37" t="s">
        <v>384</v>
      </c>
      <c r="AI862" s="11">
        <f>Table1[[#This Row],[Price]]/Table1[[#This Row],[Size (ml)]]*750</f>
        <v>28.78</v>
      </c>
      <c r="AJ862">
        <v>96</v>
      </c>
      <c r="AK862" s="10">
        <f>COUNTIF(UniqueID!A:A,Table1[[#This Row],[ID]])</f>
        <v>0</v>
      </c>
      <c r="AL862" s="10" t="str">
        <f>VLOOKUP(Table1[[#This Row],[Cellar Location]],Location!A:F,6,FALSE)</f>
        <v>S</v>
      </c>
      <c r="AN862" s="1">
        <v>43963</v>
      </c>
      <c r="AO862" s="10" t="str">
        <f>TEXT(Table1[[#This Row],[Purchased]],"mmmm")</f>
        <v>May</v>
      </c>
      <c r="AP862" s="10" t="str">
        <f>TEXT(Table1[[#This Row],[Purchased]],"yyyy")</f>
        <v>2020</v>
      </c>
      <c r="AQ862" s="10"/>
    </row>
    <row r="863" spans="1:43" x14ac:dyDescent="0.25">
      <c r="A863" t="str">
        <f t="shared" si="48"/>
        <v>2017Domaine du Grand MontmirailGigondas le Coteau de Mon Reve</v>
      </c>
      <c r="B863" s="37">
        <v>2017</v>
      </c>
      <c r="C863" s="37" t="s">
        <v>1387</v>
      </c>
      <c r="D863" s="37" t="s">
        <v>1388</v>
      </c>
      <c r="E863" s="67" t="s">
        <v>1360</v>
      </c>
      <c r="F863" s="37" t="s">
        <v>742</v>
      </c>
      <c r="G863" s="37" t="s">
        <v>759</v>
      </c>
      <c r="H863" s="37" t="s">
        <v>764</v>
      </c>
      <c r="I863" s="107">
        <v>1</v>
      </c>
      <c r="J863" s="37">
        <v>750</v>
      </c>
      <c r="K863" s="107" t="s">
        <v>1196</v>
      </c>
      <c r="L863" s="10">
        <f>COUNTIF(Drank!A:A,Table1[[#This Row],[ID]])</f>
        <v>2</v>
      </c>
      <c r="M863" t="s">
        <v>202</v>
      </c>
      <c r="N863" t="s">
        <v>207</v>
      </c>
      <c r="O863">
        <v>1</v>
      </c>
      <c r="P863" s="10">
        <v>2020</v>
      </c>
      <c r="Q863">
        <v>2030</v>
      </c>
      <c r="R863" s="10">
        <f>IF(IFERROR(VLOOKUP(A863,Drank!A:S,15,FALSE),"")=0,"",IFERROR(VLOOKUP(A863,Drank!A:S,15,FALSE),""))</f>
        <v>2022</v>
      </c>
      <c r="S863" s="10">
        <f>IF(IFERROR(VLOOKUP(A863,Drank!A:S,16,FALSE),"")=0,"",IFERROR(VLOOKUP(A863,Drank!A:S,16,FALSE),""))</f>
        <v>2030</v>
      </c>
      <c r="T863" s="10"/>
      <c r="U863">
        <v>96</v>
      </c>
      <c r="V863" s="18">
        <f>IF(IFERROR(VLOOKUP(A863,Drank!A:T,19,FALSE),"")=0,"",IFERROR(VLOOKUP(A863,Drank!A:T,19,FALSE),""))</f>
        <v>93</v>
      </c>
      <c r="W863" s="1">
        <f>IF(IFERROR(VLOOKUP(A863,Drank!A:T,20,FALSE),"")=0,"",IFERROR(VLOOKUP(A863,Drank!A:T,20,FALSE),""))</f>
        <v>43976</v>
      </c>
      <c r="X863" s="10">
        <f>SUMIF(A:A,A863,I:I)</f>
        <v>10</v>
      </c>
      <c r="Y863" s="10">
        <f>IF(Table1[[#This Row],[Drank]]&gt;0,VLOOKUP(Table1[[#This Row],[ID]],Drank!A:P,16,FALSE),IF(Table1[[#This Row],[WALDD]]&gt;0,VLOOKUP(Table1[[#This Row],[ID]],Wine1!A:Q,17,FALSE),Table1[[#This Row],[EP]]))</f>
        <v>2030</v>
      </c>
      <c r="Z863" s="18">
        <f>IF(Table1[[#This Row],[My Rating]]="",IF(Table1[[#This Row],[WA Rating Clean]]="","",Table1[[#This Row],[WA Rating Clean]]),Table1[[#This Row],[My Rating]])</f>
        <v>93</v>
      </c>
      <c r="AA863" s="37">
        <v>2028</v>
      </c>
      <c r="AB863" s="4">
        <v>24.97</v>
      </c>
      <c r="AC863" s="2">
        <f t="shared" si="49"/>
        <v>24.97</v>
      </c>
      <c r="AD863" s="8">
        <v>2</v>
      </c>
      <c r="AE863" s="10">
        <f>IF(Table1[[#This Row],[P/750]]&lt;20,1,IF(Table1[[#This Row],[P/750]]&lt;50,2,3))</f>
        <v>2</v>
      </c>
      <c r="AF863" s="10">
        <f>IF(Table1[[#This Row],[P/750]]&lt;Expenses!$C$30,1,IF(Table1[[#This Row],[P/750]]&lt;Expenses!$C$31,2,IF(Table1[[#This Row],[P/750]]&lt;Expenses!$C$32,3,4)))</f>
        <v>2</v>
      </c>
      <c r="AH863" s="37" t="s">
        <v>384</v>
      </c>
      <c r="AI863" s="11">
        <f>Table1[[#This Row],[Price]]/Table1[[#This Row],[Size (ml)]]*750</f>
        <v>24.970000000000002</v>
      </c>
      <c r="AJ863">
        <v>96</v>
      </c>
      <c r="AK863" s="10">
        <f>COUNTIF(UniqueID!A:A,Table1[[#This Row],[ID]])</f>
        <v>0</v>
      </c>
      <c r="AL863" s="10" t="str">
        <f>VLOOKUP(Table1[[#This Row],[Cellar Location]],Location!A:F,6,FALSE)</f>
        <v>S</v>
      </c>
      <c r="AN863" s="1">
        <v>43948</v>
      </c>
      <c r="AO863" s="10" t="str">
        <f>TEXT(Table1[[#This Row],[Purchased]],"mmmm")</f>
        <v>April</v>
      </c>
      <c r="AP863" s="10" t="str">
        <f>TEXT(Table1[[#This Row],[Purchased]],"yyyy")</f>
        <v>2020</v>
      </c>
      <c r="AQ863" s="10"/>
    </row>
    <row r="864" spans="1:43" x14ac:dyDescent="0.25">
      <c r="A864" t="str">
        <f t="shared" si="48"/>
        <v>2016Domaine du Grand TinelChateauneuf du Pape Cuvee Alexis Establet</v>
      </c>
      <c r="B864" s="37">
        <v>2016</v>
      </c>
      <c r="C864" s="37" t="s">
        <v>1168</v>
      </c>
      <c r="D864" s="37" t="s">
        <v>1169</v>
      </c>
      <c r="E864" s="67" t="s">
        <v>1248</v>
      </c>
      <c r="F864" s="37" t="s">
        <v>742</v>
      </c>
      <c r="G864" s="37" t="s">
        <v>759</v>
      </c>
      <c r="H864" s="9" t="s">
        <v>762</v>
      </c>
      <c r="I864" s="107">
        <v>1</v>
      </c>
      <c r="J864" s="37">
        <v>750</v>
      </c>
      <c r="K864" s="107" t="s">
        <v>1150</v>
      </c>
      <c r="L864" s="10">
        <f>COUNTIF(Drank!A:A,Table1[[#This Row],[ID]])</f>
        <v>0</v>
      </c>
      <c r="M864" t="s">
        <v>202</v>
      </c>
      <c r="N864" t="s">
        <v>207</v>
      </c>
      <c r="O864">
        <v>1</v>
      </c>
      <c r="P864" s="10">
        <v>2019</v>
      </c>
      <c r="Q864">
        <v>2030</v>
      </c>
      <c r="R864" s="10" t="str">
        <f>IF(IFERROR(VLOOKUP(A864,Drank!A:S,15,FALSE),"")=0,"",IFERROR(VLOOKUP(A864,Drank!A:S,15,FALSE),""))</f>
        <v/>
      </c>
      <c r="S864" s="10" t="str">
        <f>IF(IFERROR(VLOOKUP(A864,Drank!A:S,16,FALSE),"")=0,"",IFERROR(VLOOKUP(A864,Drank!A:S,16,FALSE),""))</f>
        <v/>
      </c>
      <c r="T864" s="10"/>
      <c r="U864" t="s">
        <v>1170</v>
      </c>
      <c r="V864" s="18" t="str">
        <f>IF(IFERROR(VLOOKUP(A864,Drank!A:T,19,FALSE),"")=0,"",IFERROR(VLOOKUP(A864,Drank!A:T,19,FALSE),""))</f>
        <v/>
      </c>
      <c r="W864" s="1" t="str">
        <f>IF(IFERROR(VLOOKUP(A864,Drank!A:T,20,FALSE),"")=0,"",IFERROR(VLOOKUP(A864,Drank!A:T,20,FALSE),""))</f>
        <v/>
      </c>
      <c r="X864" s="10">
        <f>SUMIF(A:A,A864,I:I)</f>
        <v>4</v>
      </c>
      <c r="Y864" s="10">
        <f>IF(Table1[[#This Row],[Drank]]&gt;0,VLOOKUP(Table1[[#This Row],[ID]],Drank!A:P,16,FALSE),IF(Table1[[#This Row],[WALDD]]&gt;0,VLOOKUP(Table1[[#This Row],[ID]],Wine1!A:Q,17,FALSE),Table1[[#This Row],[EP]]))</f>
        <v>2030</v>
      </c>
      <c r="Z864" s="18">
        <f>IF(Table1[[#This Row],[My Rating]]="",IF(Table1[[#This Row],[WA Rating Clean]]="","",Table1[[#This Row],[WA Rating Clean]]),Table1[[#This Row],[My Rating]])</f>
        <v>95</v>
      </c>
      <c r="AA864" s="37">
        <v>2028</v>
      </c>
      <c r="AB864" s="4">
        <v>39.99</v>
      </c>
      <c r="AC864" s="2">
        <f t="shared" si="49"/>
        <v>39.99</v>
      </c>
      <c r="AD864" s="8">
        <v>2</v>
      </c>
      <c r="AE864" s="10">
        <f>IF(Table1[[#This Row],[P/750]]&lt;20,1,IF(Table1[[#This Row],[P/750]]&lt;50,2,3))</f>
        <v>2</v>
      </c>
      <c r="AF864" s="10">
        <f>IF(Table1[[#This Row],[P/750]]&lt;Expenses!$C$30,1,IF(Table1[[#This Row],[P/750]]&lt;Expenses!$C$31,2,IF(Table1[[#This Row],[P/750]]&lt;Expenses!$C$32,3,4)))</f>
        <v>3</v>
      </c>
      <c r="AH864" s="37" t="s">
        <v>384</v>
      </c>
      <c r="AI864" s="11">
        <f>Table1[[#This Row],[Price]]/Table1[[#This Row],[Size (ml)]]*750</f>
        <v>39.99</v>
      </c>
      <c r="AJ864">
        <v>95</v>
      </c>
      <c r="AK864" s="10">
        <f>COUNTIF(UniqueID!A:A,Table1[[#This Row],[ID]])</f>
        <v>1</v>
      </c>
      <c r="AL864" s="10" t="str">
        <f>VLOOKUP(Table1[[#This Row],[Cellar Location]],Location!A:F,6,FALSE)</f>
        <v>S</v>
      </c>
      <c r="AN864" s="1">
        <v>43854</v>
      </c>
      <c r="AO864" s="37" t="str">
        <f>TEXT(Table1[[#This Row],[Purchased]],"mmmm")</f>
        <v>January</v>
      </c>
      <c r="AP864" s="10" t="str">
        <f>TEXT(Table1[[#This Row],[Purchased]],"yyyy")</f>
        <v>2020</v>
      </c>
      <c r="AQ864" s="10"/>
    </row>
    <row r="865" spans="1:43" x14ac:dyDescent="0.25">
      <c r="A865" t="str">
        <f t="shared" si="48"/>
        <v>2015Domaine FerrandoChateauneuf du Pape Colombis</v>
      </c>
      <c r="B865" s="37">
        <v>2015</v>
      </c>
      <c r="C865" s="37" t="s">
        <v>133</v>
      </c>
      <c r="D865" s="37" t="s">
        <v>134</v>
      </c>
      <c r="E865" s="64" t="s">
        <v>284</v>
      </c>
      <c r="F865" s="37" t="s">
        <v>742</v>
      </c>
      <c r="G865" s="37" t="s">
        <v>759</v>
      </c>
      <c r="H865" s="9" t="s">
        <v>762</v>
      </c>
      <c r="I865" s="37">
        <v>1</v>
      </c>
      <c r="J865" s="37">
        <v>750</v>
      </c>
      <c r="K865" s="8" t="s">
        <v>11</v>
      </c>
      <c r="L865" s="37">
        <f>COUNTIF(Drank!A:A,Table1[[#This Row],[ID]])</f>
        <v>0</v>
      </c>
      <c r="M865" t="s">
        <v>202</v>
      </c>
      <c r="N865" t="s">
        <v>207</v>
      </c>
      <c r="O865">
        <v>1</v>
      </c>
      <c r="P865" s="37">
        <v>2017</v>
      </c>
      <c r="Q865">
        <v>2030</v>
      </c>
      <c r="R865" s="37" t="str">
        <f>IF(IFERROR(VLOOKUP(A865,Drank!A:S,15,FALSE),"")=0,"",IFERROR(VLOOKUP(A865,Drank!A:S,15,FALSE),""))</f>
        <v/>
      </c>
      <c r="S865" s="37" t="str">
        <f>IF(IFERROR(VLOOKUP(A865,Drank!A:S,16,FALSE),"")=0,"",IFERROR(VLOOKUP(A865,Drank!A:S,16,FALSE),""))</f>
        <v/>
      </c>
      <c r="T865" s="37"/>
      <c r="U865">
        <v>96</v>
      </c>
      <c r="V865" s="18" t="str">
        <f>IF(IFERROR(VLOOKUP(A865,Drank!A:T,19,FALSE),"")=0,"",IFERROR(VLOOKUP(A865,Drank!A:T,19,FALSE),""))</f>
        <v/>
      </c>
      <c r="W865" s="1" t="str">
        <f>IF(IFERROR(VLOOKUP(A865,Drank!A:T,20,FALSE),"")=0,"",IFERROR(VLOOKUP(A865,Drank!A:T,20,FALSE),""))</f>
        <v/>
      </c>
      <c r="X865" s="37">
        <f>SUMIF(A:A,A865,I:I)</f>
        <v>1</v>
      </c>
      <c r="Y865" s="37">
        <f>IF(Table1[[#This Row],[Drank]]&gt;0,VLOOKUP(Table1[[#This Row],[ID]],Drank!A:P,16,FALSE),IF(Table1[[#This Row],[WALDD]]&gt;0,VLOOKUP(Table1[[#This Row],[ID]],Wine1!A:Q,17,FALSE),Table1[[#This Row],[EP]]))</f>
        <v>2030</v>
      </c>
      <c r="Z865" s="18">
        <f>IF(Table1[[#This Row],[My Rating]]="",IF(Table1[[#This Row],[WA Rating Clean]]="","",Table1[[#This Row],[WA Rating Clean]]),Table1[[#This Row],[My Rating]])</f>
        <v>96</v>
      </c>
      <c r="AA865" s="37">
        <v>2028</v>
      </c>
      <c r="AB865" s="3">
        <v>61</v>
      </c>
      <c r="AC865" s="2">
        <f t="shared" si="49"/>
        <v>61</v>
      </c>
      <c r="AD865" s="8">
        <v>0</v>
      </c>
      <c r="AE865" s="37">
        <f>IF(Table1[[#This Row],[P/750]]&lt;20,1,IF(Table1[[#This Row],[P/750]]&lt;50,2,3))</f>
        <v>3</v>
      </c>
      <c r="AF865" s="37">
        <f>IF(Table1[[#This Row],[P/750]]&lt;Expenses!$C$30,1,IF(Table1[[#This Row],[P/750]]&lt;Expenses!$C$31,2,IF(Table1[[#This Row],[P/750]]&lt;Expenses!$C$32,3,4)))</f>
        <v>3</v>
      </c>
      <c r="AH865" s="37" t="s">
        <v>1131</v>
      </c>
      <c r="AI865" s="11">
        <f>Table1[[#This Row],[Price]]/Table1[[#This Row],[Size (ml)]]*750</f>
        <v>60.999999999999993</v>
      </c>
      <c r="AJ865">
        <v>96</v>
      </c>
      <c r="AK865" s="37">
        <f>COUNTIF(UniqueID!A:A,Table1[[#This Row],[ID]])</f>
        <v>1</v>
      </c>
      <c r="AL865" s="37" t="str">
        <f>VLOOKUP(Table1[[#This Row],[Cellar Location]],Location!A:F,6,FALSE)</f>
        <v>K</v>
      </c>
      <c r="AN865" s="37"/>
      <c r="AO865" s="37" t="str">
        <f>TEXT(Table1[[#This Row],[Purchased]],"mmmm")</f>
        <v>January</v>
      </c>
      <c r="AP865" s="10" t="str">
        <f>TEXT(Table1[[#This Row],[Purchased]],"yyyy")</f>
        <v>1900</v>
      </c>
      <c r="AQ865" s="10"/>
    </row>
    <row r="866" spans="1:43" x14ac:dyDescent="0.25">
      <c r="A866" t="str">
        <f t="shared" si="48"/>
        <v>2007López de HerediaViña Tondonia Reserva</v>
      </c>
      <c r="B866" s="37">
        <v>2007</v>
      </c>
      <c r="C866" s="37" t="s">
        <v>1263</v>
      </c>
      <c r="D866" s="37" t="s">
        <v>1264</v>
      </c>
      <c r="E866" s="67" t="s">
        <v>1265</v>
      </c>
      <c r="F866" s="37" t="s">
        <v>729</v>
      </c>
      <c r="G866" s="37" t="s">
        <v>823</v>
      </c>
      <c r="I866" s="107">
        <v>1</v>
      </c>
      <c r="J866" s="37">
        <v>750</v>
      </c>
      <c r="K866" s="107" t="s">
        <v>927</v>
      </c>
      <c r="L866" s="10">
        <f>COUNTIF(Drank!A:A,Table1[[#This Row],[ID]])</f>
        <v>0</v>
      </c>
      <c r="M866" t="s">
        <v>202</v>
      </c>
      <c r="N866" t="s">
        <v>207</v>
      </c>
      <c r="O866">
        <v>1</v>
      </c>
      <c r="P866" s="10">
        <v>2019</v>
      </c>
      <c r="Q866">
        <v>2030</v>
      </c>
      <c r="R866" s="10" t="str">
        <f>IF(IFERROR(VLOOKUP(A866,Drank!A:S,15,FALSE),"")=0,"",IFERROR(VLOOKUP(A866,Drank!A:S,15,FALSE),""))</f>
        <v/>
      </c>
      <c r="S866" s="10" t="str">
        <f>IF(IFERROR(VLOOKUP(A866,Drank!A:S,16,FALSE),"")=0,"",IFERROR(VLOOKUP(A866,Drank!A:S,16,FALSE),""))</f>
        <v/>
      </c>
      <c r="T866" s="10"/>
      <c r="U866">
        <v>96</v>
      </c>
      <c r="V866" s="18" t="str">
        <f>IF(IFERROR(VLOOKUP(A866,Drank!A:T,19,FALSE),"")=0,"",IFERROR(VLOOKUP(A866,Drank!A:T,19,FALSE),""))</f>
        <v/>
      </c>
      <c r="W866" s="1" t="str">
        <f>IF(IFERROR(VLOOKUP(A866,Drank!A:T,20,FALSE),"")=0,"",IFERROR(VLOOKUP(A866,Drank!A:T,20,FALSE),""))</f>
        <v/>
      </c>
      <c r="X866" s="10">
        <f>SUMIF(A:A,A866,I:I)</f>
        <v>4</v>
      </c>
      <c r="Y866" s="10">
        <f>IF(Table1[[#This Row],[Drank]]&gt;0,VLOOKUP(Table1[[#This Row],[ID]],Drank!A:P,16,FALSE),IF(Table1[[#This Row],[WALDD]]&gt;0,VLOOKUP(Table1[[#This Row],[ID]],Wine1!A:Q,17,FALSE),Table1[[#This Row],[EP]]))</f>
        <v>2030</v>
      </c>
      <c r="Z866" s="18">
        <f>IF(Table1[[#This Row],[My Rating]]="",IF(Table1[[#This Row],[WA Rating Clean]]="","",Table1[[#This Row],[WA Rating Clean]]),Table1[[#This Row],[My Rating]])</f>
        <v>96</v>
      </c>
      <c r="AA866" s="37">
        <v>2028</v>
      </c>
      <c r="AB866" s="4">
        <v>43.99</v>
      </c>
      <c r="AC866" s="2">
        <f t="shared" si="49"/>
        <v>43.99</v>
      </c>
      <c r="AD866" s="8">
        <v>2</v>
      </c>
      <c r="AE866" s="10">
        <f>IF(Table1[[#This Row],[P/750]]&lt;20,1,IF(Table1[[#This Row],[P/750]]&lt;50,2,3))</f>
        <v>2</v>
      </c>
      <c r="AF866" s="10">
        <f>IF(Table1[[#This Row],[P/750]]&lt;Expenses!$C$30,1,IF(Table1[[#This Row],[P/750]]&lt;Expenses!$C$31,2,IF(Table1[[#This Row],[P/750]]&lt;Expenses!$C$32,3,4)))</f>
        <v>3</v>
      </c>
      <c r="AH866" s="37" t="s">
        <v>1139</v>
      </c>
      <c r="AI866" s="11">
        <f>Table1[[#This Row],[Price]]/Table1[[#This Row],[Size (ml)]]*750</f>
        <v>43.99</v>
      </c>
      <c r="AJ866">
        <v>96</v>
      </c>
      <c r="AK866" s="10">
        <f>COUNTIF(UniqueID!A:A,Table1[[#This Row],[ID]])</f>
        <v>1</v>
      </c>
      <c r="AL866" s="37" t="str">
        <f>VLOOKUP(Table1[[#This Row],[Cellar Location]],Location!A:F,6,FALSE)</f>
        <v>S</v>
      </c>
      <c r="AN866" s="37"/>
      <c r="AO866" s="37" t="str">
        <f>TEXT(Table1[[#This Row],[Purchased]],"mmmm")</f>
        <v>January</v>
      </c>
      <c r="AP866" s="10" t="str">
        <f>TEXT(Table1[[#This Row],[Purchased]],"yyyy")</f>
        <v>1900</v>
      </c>
      <c r="AQ866" s="10"/>
    </row>
    <row r="867" spans="1:43" x14ac:dyDescent="0.25">
      <c r="A867" t="str">
        <f t="shared" si="48"/>
        <v>2012San RusticoAmarone della Valpolicella Classico</v>
      </c>
      <c r="B867" s="37">
        <v>2012</v>
      </c>
      <c r="C867" s="37" t="s">
        <v>444</v>
      </c>
      <c r="D867" s="37" t="s">
        <v>26</v>
      </c>
      <c r="E867" s="69" t="s">
        <v>1252</v>
      </c>
      <c r="F867" s="37" t="s">
        <v>728</v>
      </c>
      <c r="G867" s="37" t="s">
        <v>799</v>
      </c>
      <c r="H867" s="37" t="s">
        <v>800</v>
      </c>
      <c r="I867" s="107">
        <v>1</v>
      </c>
      <c r="J867" s="37">
        <v>750</v>
      </c>
      <c r="K867" s="107" t="s">
        <v>642</v>
      </c>
      <c r="L867" s="10">
        <f>COUNTIF(Drank!A:A,Table1[[#This Row],[ID]])</f>
        <v>1</v>
      </c>
      <c r="M867" t="s">
        <v>202</v>
      </c>
      <c r="N867" t="s">
        <v>207</v>
      </c>
      <c r="O867">
        <v>1</v>
      </c>
      <c r="P867" s="10">
        <v>2019</v>
      </c>
      <c r="Q867">
        <v>2027</v>
      </c>
      <c r="R867" s="10">
        <f>IF(IFERROR(VLOOKUP(A867,Drank!A:S,15,FALSE),"")=0,"",IFERROR(VLOOKUP(A867,Drank!A:S,15,FALSE),""))</f>
        <v>2022</v>
      </c>
      <c r="S867" s="10">
        <f>IF(IFERROR(VLOOKUP(A867,Drank!A:S,16,FALSE),"")=0,"",IFERROR(VLOOKUP(A867,Drank!A:S,16,FALSE),""))</f>
        <v>2030</v>
      </c>
      <c r="T867" s="10"/>
      <c r="U867">
        <v>91</v>
      </c>
      <c r="V867" s="18">
        <f>IF(IFERROR(VLOOKUP(A867,Drank!A:T,19,FALSE),"")=0,"",IFERROR(VLOOKUP(A867,Drank!A:T,19,FALSE),""))</f>
        <v>91</v>
      </c>
      <c r="W867" s="1">
        <f>IF(IFERROR(VLOOKUP(A867,Drank!A:T,20,FALSE),"")=0,"",IFERROR(VLOOKUP(A867,Drank!A:T,20,FALSE),""))</f>
        <v>43834</v>
      </c>
      <c r="X867" s="10">
        <f>SUMIF(A:A,A867,I:I)</f>
        <v>5</v>
      </c>
      <c r="Y867" s="10">
        <f>IF(Table1[[#This Row],[Drank]]&gt;0,VLOOKUP(Table1[[#This Row],[ID]],Drank!A:P,16,FALSE),IF(Table1[[#This Row],[WALDD]]&gt;0,VLOOKUP(Table1[[#This Row],[ID]],Wine1!A:Q,17,FALSE),Table1[[#This Row],[EP]]))</f>
        <v>2030</v>
      </c>
      <c r="Z867" s="18">
        <f>IF(Table1[[#This Row],[My Rating]]="",IF(Table1[[#This Row],[WA Rating Clean]]="","",Table1[[#This Row],[WA Rating Clean]]),Table1[[#This Row],[My Rating]])</f>
        <v>91</v>
      </c>
      <c r="AA867" s="37">
        <v>2028</v>
      </c>
      <c r="AB867" s="4">
        <v>24.99</v>
      </c>
      <c r="AC867" s="2">
        <f t="shared" si="49"/>
        <v>24.99</v>
      </c>
      <c r="AD867" s="8">
        <v>2</v>
      </c>
      <c r="AE867" s="10">
        <f>IF(Table1[[#This Row],[P/750]]&lt;20,1,IF(Table1[[#This Row],[P/750]]&lt;50,2,3))</f>
        <v>2</v>
      </c>
      <c r="AF867" s="10">
        <f>IF(Table1[[#This Row],[P/750]]&lt;Expenses!$C$30,1,IF(Table1[[#This Row],[P/750]]&lt;Expenses!$C$31,2,IF(Table1[[#This Row],[P/750]]&lt;Expenses!$C$32,3,4)))</f>
        <v>2</v>
      </c>
      <c r="AH867" s="37" t="s">
        <v>384</v>
      </c>
      <c r="AI867" s="11">
        <f>Table1[[#This Row],[Price]]/Table1[[#This Row],[Size (ml)]]*750</f>
        <v>24.989999999999995</v>
      </c>
      <c r="AJ867">
        <v>91</v>
      </c>
      <c r="AK867" s="37">
        <f>COUNTIF(UniqueID!A:A,Table1[[#This Row],[ID]])</f>
        <v>1</v>
      </c>
      <c r="AL867" s="37" t="str">
        <f>VLOOKUP(Table1[[#This Row],[Cellar Location]],Location!A:F,6,FALSE)</f>
        <v>S</v>
      </c>
      <c r="AN867" s="37"/>
      <c r="AO867" s="37" t="str">
        <f>TEXT(Table1[[#This Row],[Purchased]],"mmmm")</f>
        <v>January</v>
      </c>
      <c r="AP867" s="10" t="str">
        <f>TEXT(Table1[[#This Row],[Purchased]],"yyyy")</f>
        <v>1900</v>
      </c>
      <c r="AQ867" s="10"/>
    </row>
    <row r="868" spans="1:43" s="37" customFormat="1" x14ac:dyDescent="0.25">
      <c r="A868" s="37" t="str">
        <f t="shared" si="48"/>
        <v>2015SubstanceCabernet Sauvignon Stoneridge Vineyard</v>
      </c>
      <c r="B868" s="37">
        <v>2015</v>
      </c>
      <c r="C868" s="37" t="s">
        <v>1329</v>
      </c>
      <c r="D868" s="37" t="s">
        <v>1330</v>
      </c>
      <c r="E868" s="69" t="s">
        <v>1331</v>
      </c>
      <c r="F868" s="67" t="s">
        <v>727</v>
      </c>
      <c r="G868" s="37" t="s">
        <v>833</v>
      </c>
      <c r="H868" s="37" t="s">
        <v>834</v>
      </c>
      <c r="I868" s="107">
        <v>1</v>
      </c>
      <c r="J868" s="37">
        <v>750</v>
      </c>
      <c r="K868" s="107" t="s">
        <v>1405</v>
      </c>
      <c r="L868" s="10">
        <f>COUNTIF(Drank!A:A,Table1[[#This Row],[ID]])</f>
        <v>0</v>
      </c>
      <c r="M868" s="37" t="s">
        <v>202</v>
      </c>
      <c r="N868" s="37" t="s">
        <v>207</v>
      </c>
      <c r="O868" s="37">
        <v>1</v>
      </c>
      <c r="P868" s="10">
        <v>2021</v>
      </c>
      <c r="Q868" s="37">
        <v>2030</v>
      </c>
      <c r="R868" s="10" t="str">
        <f>IF(IFERROR(VLOOKUP(A868,Drank!A:S,15,FALSE),"")=0,"",IFERROR(VLOOKUP(A868,Drank!A:S,15,FALSE),""))</f>
        <v/>
      </c>
      <c r="S868" s="10" t="str">
        <f>IF(IFERROR(VLOOKUP(A868,Drank!A:S,16,FALSE),"")=0,"",IFERROR(VLOOKUP(A868,Drank!A:S,16,FALSE),""))</f>
        <v/>
      </c>
      <c r="T868" s="10"/>
      <c r="U868" s="37" t="s">
        <v>29</v>
      </c>
      <c r="V868" s="18" t="str">
        <f>IF(IFERROR(VLOOKUP(A868,Drank!A:T,19,FALSE),"")=0,"",IFERROR(VLOOKUP(A868,Drank!A:T,19,FALSE),""))</f>
        <v/>
      </c>
      <c r="W868" s="1" t="str">
        <f>IF(IFERROR(VLOOKUP(A868,Drank!A:T,20,FALSE),"")=0,"",IFERROR(VLOOKUP(A868,Drank!A:T,20,FALSE),""))</f>
        <v/>
      </c>
      <c r="X868" s="10">
        <f>SUMIF(A:A,A868,I:I)</f>
        <v>2</v>
      </c>
      <c r="Y868" s="10">
        <f>IF(Table1[[#This Row],[Drank]]&gt;0,VLOOKUP(Table1[[#This Row],[ID]],Drank!A:P,16,FALSE),IF(Table1[[#This Row],[WALDD]]&gt;0,VLOOKUP(Table1[[#This Row],[ID]],Wine1!A:Q,17,FALSE),Table1[[#This Row],[EP]]))</f>
        <v>2030</v>
      </c>
      <c r="Z868" s="18">
        <f>IF(Table1[[#This Row],[My Rating]]="",IF(Table1[[#This Row],[WA Rating Clean]]="","",Table1[[#This Row],[WA Rating Clean]]),Table1[[#This Row],[My Rating]])</f>
        <v>92</v>
      </c>
      <c r="AA868" s="37">
        <v>2028</v>
      </c>
      <c r="AB868" s="4">
        <v>32.770000000000003</v>
      </c>
      <c r="AC868" s="2">
        <f t="shared" si="49"/>
        <v>32.770000000000003</v>
      </c>
      <c r="AD868" s="8">
        <v>2</v>
      </c>
      <c r="AE868" s="10">
        <f>IF(Table1[[#This Row],[P/750]]&lt;20,1,IF(Table1[[#This Row],[P/750]]&lt;50,2,3))</f>
        <v>2</v>
      </c>
      <c r="AF868" s="10">
        <f>IF(Table1[[#This Row],[P/750]]&lt;Expenses!$C$30,1,IF(Table1[[#This Row],[P/750]]&lt;Expenses!$C$31,2,IF(Table1[[#This Row],[P/750]]&lt;Expenses!$C$32,3,4)))</f>
        <v>3</v>
      </c>
      <c r="AH868" s="37" t="s">
        <v>385</v>
      </c>
      <c r="AI868" s="11">
        <f>Table1[[#This Row],[Price]]/Table1[[#This Row],[Size (ml)]]*750</f>
        <v>32.770000000000003</v>
      </c>
      <c r="AJ868" s="37">
        <v>92</v>
      </c>
      <c r="AK868" s="10">
        <f>COUNTIF(UniqueID!A:A,Table1[[#This Row],[ID]])</f>
        <v>0</v>
      </c>
      <c r="AL868" s="10" t="str">
        <f>VLOOKUP(Table1[[#This Row],[Cellar Location]],Location!A:F,6,FALSE)</f>
        <v>S</v>
      </c>
      <c r="AN868" s="1">
        <v>43923</v>
      </c>
      <c r="AO868" s="10" t="str">
        <f>TEXT(Table1[[#This Row],[Purchased]],"mmmm")</f>
        <v>April</v>
      </c>
      <c r="AP868" s="10" t="str">
        <f>TEXT(Table1[[#This Row],[Purchased]],"yyyy")</f>
        <v>2020</v>
      </c>
      <c r="AQ868" s="10"/>
    </row>
    <row r="869" spans="1:43" s="37" customFormat="1" x14ac:dyDescent="0.25">
      <c r="A869" s="37" t="str">
        <f t="shared" si="48"/>
        <v>2014Telmo RodriguezPegaso Barrancos de Pizarra</v>
      </c>
      <c r="B869" s="37">
        <v>2014</v>
      </c>
      <c r="C869" s="37" t="s">
        <v>816</v>
      </c>
      <c r="D869" s="25" t="s">
        <v>432</v>
      </c>
      <c r="E869" s="67" t="s">
        <v>1248</v>
      </c>
      <c r="F869" s="37" t="s">
        <v>729</v>
      </c>
      <c r="G869" s="37" t="s">
        <v>1718</v>
      </c>
      <c r="H869" s="37" t="s">
        <v>817</v>
      </c>
      <c r="I869" s="107">
        <v>1</v>
      </c>
      <c r="J869" s="37">
        <v>750</v>
      </c>
      <c r="K869" s="107" t="s">
        <v>649</v>
      </c>
      <c r="L869" s="10">
        <f>COUNTIF(Drank!A:A,Table1[[#This Row],[ID]])</f>
        <v>0</v>
      </c>
      <c r="M869" s="37" t="s">
        <v>202</v>
      </c>
      <c r="N869" s="37" t="s">
        <v>207</v>
      </c>
      <c r="O869" s="37">
        <v>1</v>
      </c>
      <c r="P869" s="37">
        <v>2017</v>
      </c>
      <c r="Q869" s="37">
        <v>2030</v>
      </c>
      <c r="R869" s="10" t="str">
        <f>IF(IFERROR(VLOOKUP(A869,Drank!A:S,15,FALSE),"")=0,"",IFERROR(VLOOKUP(A869,Drank!A:S,15,FALSE),""))</f>
        <v/>
      </c>
      <c r="S869" s="10" t="str">
        <f>IF(IFERROR(VLOOKUP(A869,Drank!A:S,16,FALSE),"")=0,"",IFERROR(VLOOKUP(A869,Drank!A:S,16,FALSE),""))</f>
        <v/>
      </c>
      <c r="T869" s="10"/>
      <c r="U869" s="37">
        <v>95</v>
      </c>
      <c r="V869" s="18" t="str">
        <f>IF(IFERROR(VLOOKUP(A869,Drank!A:T,19,FALSE),"")=0,"",IFERROR(VLOOKUP(A869,Drank!A:T,19,FALSE),""))</f>
        <v/>
      </c>
      <c r="W869" s="1" t="str">
        <f>IF(IFERROR(VLOOKUP(A869,Drank!A:T,20,FALSE),"")=0,"",IFERROR(VLOOKUP(A869,Drank!A:T,20,FALSE),""))</f>
        <v/>
      </c>
      <c r="X869" s="10">
        <f>SUMIF(A:A,A869,I:I)</f>
        <v>6</v>
      </c>
      <c r="Y869" s="10">
        <f>IF(Table1[[#This Row],[Drank]]&gt;0,VLOOKUP(Table1[[#This Row],[ID]],Drank!A:P,16,FALSE),IF(Table1[[#This Row],[WALDD]]&gt;0,VLOOKUP(Table1[[#This Row],[ID]],Wine1!A:Q,17,FALSE),Table1[[#This Row],[EP]]))</f>
        <v>2030</v>
      </c>
      <c r="Z869" s="18">
        <f>IF(Table1[[#This Row],[My Rating]]="",IF(Table1[[#This Row],[WA Rating Clean]]="","",Table1[[#This Row],[WA Rating Clean]]),Table1[[#This Row],[My Rating]])</f>
        <v>95</v>
      </c>
      <c r="AA869" s="37">
        <v>2028</v>
      </c>
      <c r="AB869" s="4">
        <v>25</v>
      </c>
      <c r="AC869" s="2">
        <f t="shared" si="49"/>
        <v>25</v>
      </c>
      <c r="AD869" s="8">
        <v>2</v>
      </c>
      <c r="AE869" s="37">
        <f>IF(Table1[[#This Row],[P/750]]&lt;20,1,IF(Table1[[#This Row],[P/750]]&lt;50,2,3))</f>
        <v>2</v>
      </c>
      <c r="AF869" s="37">
        <f>IF(Table1[[#This Row],[P/750]]&lt;Expenses!$C$30,1,IF(Table1[[#This Row],[P/750]]&lt;Expenses!$C$31,2,IF(Table1[[#This Row],[P/750]]&lt;Expenses!$C$32,3,4)))</f>
        <v>2</v>
      </c>
      <c r="AH869" s="37" t="s">
        <v>385</v>
      </c>
      <c r="AI869" s="11">
        <f>Table1[[#This Row],[Price]]/Table1[[#This Row],[Size (ml)]]*750</f>
        <v>25</v>
      </c>
      <c r="AJ869" s="37">
        <v>95</v>
      </c>
      <c r="AK869" s="37">
        <f>COUNTIF(UniqueID!A:A,Table1[[#This Row],[ID]])</f>
        <v>1</v>
      </c>
      <c r="AL869" s="37" t="str">
        <f>VLOOKUP(Table1[[#This Row],[Cellar Location]],Location!A:F,6,FALSE)</f>
        <v>S</v>
      </c>
      <c r="AO869" s="37" t="str">
        <f>TEXT(Table1[[#This Row],[Purchased]],"mmmm")</f>
        <v>January</v>
      </c>
      <c r="AP869" s="10" t="str">
        <f>TEXT(Table1[[#This Row],[Purchased]],"yyyy")</f>
        <v>1900</v>
      </c>
      <c r="AQ869" s="10"/>
    </row>
    <row r="870" spans="1:43" s="37" customFormat="1" x14ac:dyDescent="0.25">
      <c r="A870" s="37" t="str">
        <f t="shared" si="48"/>
        <v>2013Tenuta CarrettaRoero Riserva Bric Paradiso</v>
      </c>
      <c r="B870" s="37">
        <v>2013</v>
      </c>
      <c r="C870" s="37" t="s">
        <v>452</v>
      </c>
      <c r="D870" s="37" t="s">
        <v>453</v>
      </c>
      <c r="E870" s="67" t="s">
        <v>1206</v>
      </c>
      <c r="F870" s="37" t="s">
        <v>728</v>
      </c>
      <c r="G870" s="37" t="s">
        <v>778</v>
      </c>
      <c r="H870" s="37" t="s">
        <v>773</v>
      </c>
      <c r="I870" s="107">
        <v>1</v>
      </c>
      <c r="J870" s="37">
        <v>750</v>
      </c>
      <c r="K870" s="107" t="s">
        <v>641</v>
      </c>
      <c r="L870" s="10">
        <f>COUNTIF(Drank!A:A,Table1[[#This Row],[ID]])</f>
        <v>1</v>
      </c>
      <c r="M870" s="37" t="s">
        <v>202</v>
      </c>
      <c r="N870" s="37" t="s">
        <v>207</v>
      </c>
      <c r="O870" s="37">
        <v>1</v>
      </c>
      <c r="P870" s="10">
        <v>2018</v>
      </c>
      <c r="Q870" s="37">
        <v>2028</v>
      </c>
      <c r="R870" s="10">
        <f>IF(IFERROR(VLOOKUP(A870,Drank!A:S,15,FALSE),"")=0,"",IFERROR(VLOOKUP(A870,Drank!A:S,15,FALSE),""))</f>
        <v>2022</v>
      </c>
      <c r="S870" s="10">
        <f>IF(IFERROR(VLOOKUP(A870,Drank!A:S,16,FALSE),"")=0,"",IFERROR(VLOOKUP(A870,Drank!A:S,16,FALSE),""))</f>
        <v>2030</v>
      </c>
      <c r="T870" s="10"/>
      <c r="U870" s="37" t="s">
        <v>196</v>
      </c>
      <c r="V870" s="18">
        <f>IF(IFERROR(VLOOKUP(A870,Drank!A:T,19,FALSE),"")=0,"",IFERROR(VLOOKUP(A870,Drank!A:T,19,FALSE),""))</f>
        <v>94</v>
      </c>
      <c r="W870" s="1">
        <f>IF(IFERROR(VLOOKUP(A870,Drank!A:T,20,FALSE),"")=0,"",IFERROR(VLOOKUP(A870,Drank!A:T,20,FALSE),""))</f>
        <v>43849</v>
      </c>
      <c r="X870" s="10">
        <f>SUMIF(A:A,A870,I:I)</f>
        <v>5</v>
      </c>
      <c r="Y870" s="10">
        <f>IF(Table1[[#This Row],[Drank]]&gt;0,VLOOKUP(Table1[[#This Row],[ID]],Drank!A:P,16,FALSE),IF(Table1[[#This Row],[WALDD]]&gt;0,VLOOKUP(Table1[[#This Row],[ID]],Wine1!A:Q,17,FALSE),Table1[[#This Row],[EP]]))</f>
        <v>2030</v>
      </c>
      <c r="Z870" s="18">
        <f>IF(Table1[[#This Row],[My Rating]]="",IF(Table1[[#This Row],[WA Rating Clean]]="","",Table1[[#This Row],[WA Rating Clean]]),Table1[[#This Row],[My Rating]])</f>
        <v>94</v>
      </c>
      <c r="AA870" s="37">
        <v>2028</v>
      </c>
      <c r="AB870" s="4">
        <v>26</v>
      </c>
      <c r="AC870" s="2">
        <f t="shared" si="49"/>
        <v>26</v>
      </c>
      <c r="AD870" s="8">
        <v>2</v>
      </c>
      <c r="AE870" s="10">
        <f>IF(Table1[[#This Row],[P/750]]&lt;20,1,IF(Table1[[#This Row],[P/750]]&lt;50,2,3))</f>
        <v>2</v>
      </c>
      <c r="AF870" s="10">
        <f>IF(Table1[[#This Row],[P/750]]&lt;Expenses!$C$30,1,IF(Table1[[#This Row],[P/750]]&lt;Expenses!$C$31,2,IF(Table1[[#This Row],[P/750]]&lt;Expenses!$C$32,3,4)))</f>
        <v>2</v>
      </c>
      <c r="AH870" s="37" t="s">
        <v>385</v>
      </c>
      <c r="AI870" s="11">
        <f>Table1[[#This Row],[Price]]/Table1[[#This Row],[Size (ml)]]*750</f>
        <v>26</v>
      </c>
      <c r="AJ870" s="37">
        <v>91</v>
      </c>
      <c r="AK870" s="37">
        <f>COUNTIF(UniqueID!A:A,Table1[[#This Row],[ID]])</f>
        <v>1</v>
      </c>
      <c r="AL870" s="37" t="str">
        <f>VLOOKUP(Table1[[#This Row],[Cellar Location]],Location!A:F,6,FALSE)</f>
        <v>S</v>
      </c>
      <c r="AO870" s="37" t="str">
        <f>TEXT(Table1[[#This Row],[Purchased]],"mmmm")</f>
        <v>January</v>
      </c>
      <c r="AP870" s="10" t="str">
        <f>TEXT(Table1[[#This Row],[Purchased]],"yyyy")</f>
        <v>1900</v>
      </c>
      <c r="AQ870" s="10"/>
    </row>
    <row r="871" spans="1:43" s="37" customFormat="1" x14ac:dyDescent="0.25">
      <c r="A871" s="37" t="str">
        <f t="shared" si="48"/>
        <v>2015Tenuta di NozzoleChianti Classico Riserva Nozzole</v>
      </c>
      <c r="B871" s="37">
        <v>2015</v>
      </c>
      <c r="C871" s="37" t="s">
        <v>100</v>
      </c>
      <c r="D871" s="37" t="s">
        <v>101</v>
      </c>
      <c r="E871" s="69" t="s">
        <v>399</v>
      </c>
      <c r="F871" s="37" t="s">
        <v>728</v>
      </c>
      <c r="G871" s="37" t="s">
        <v>790</v>
      </c>
      <c r="H871" s="37" t="s">
        <v>792</v>
      </c>
      <c r="I871" s="107">
        <v>1</v>
      </c>
      <c r="J871" s="37">
        <v>750</v>
      </c>
      <c r="K871" s="107" t="s">
        <v>648</v>
      </c>
      <c r="L871" s="37">
        <f>COUNTIF(Drank!A:A,Table1[[#This Row],[ID]])</f>
        <v>6</v>
      </c>
      <c r="M871" s="37" t="s">
        <v>202</v>
      </c>
      <c r="N871" s="37" t="s">
        <v>207</v>
      </c>
      <c r="O871" s="37">
        <v>1</v>
      </c>
      <c r="P871" s="37">
        <v>2018</v>
      </c>
      <c r="Q871" s="37">
        <v>2028</v>
      </c>
      <c r="R871" s="10">
        <f>IF(IFERROR(VLOOKUP(A871,Drank!A:S,15,FALSE),"")=0,"",IFERROR(VLOOKUP(A871,Drank!A:S,15,FALSE),""))</f>
        <v>2020</v>
      </c>
      <c r="S871" s="10">
        <f>IF(IFERROR(VLOOKUP(A871,Drank!A:S,16,FALSE),"")=0,"",IFERROR(VLOOKUP(A871,Drank!A:S,16,FALSE),""))</f>
        <v>2030</v>
      </c>
      <c r="T871" s="10"/>
      <c r="U871" s="37">
        <v>92</v>
      </c>
      <c r="V871" s="18">
        <f>IF(IFERROR(VLOOKUP(A871,Drank!A:T,19,FALSE),"")=0,"",IFERROR(VLOOKUP(A871,Drank!A:T,19,FALSE),""))</f>
        <v>91</v>
      </c>
      <c r="W871" s="1">
        <f>IF(IFERROR(VLOOKUP(A871,Drank!A:T,20,FALSE),"")=0,"",IFERROR(VLOOKUP(A871,Drank!A:T,20,FALSE),""))</f>
        <v>43779</v>
      </c>
      <c r="X871" s="10">
        <f>SUMIF(A:A,A871,I:I)</f>
        <v>4</v>
      </c>
      <c r="Y871" s="37">
        <f>IF(Table1[[#This Row],[Drank]]&gt;0,VLOOKUP(Table1[[#This Row],[ID]],Drank!A:P,16,FALSE),IF(Table1[[#This Row],[WALDD]]&gt;0,VLOOKUP(Table1[[#This Row],[ID]],Wine1!A:Q,17,FALSE),Table1[[#This Row],[EP]]))</f>
        <v>2030</v>
      </c>
      <c r="Z871" s="18">
        <f>IF(Table1[[#This Row],[My Rating]]="",IF(Table1[[#This Row],[WA Rating Clean]]="","",Table1[[#This Row],[WA Rating Clean]]),Table1[[#This Row],[My Rating]])</f>
        <v>91</v>
      </c>
      <c r="AA871" s="8">
        <v>2028</v>
      </c>
      <c r="AB871" s="4">
        <v>19.79</v>
      </c>
      <c r="AC871" s="2">
        <f t="shared" si="49"/>
        <v>19.79</v>
      </c>
      <c r="AD871" s="8">
        <v>2</v>
      </c>
      <c r="AE871" s="37">
        <f>IF(Table1[[#This Row],[P/750]]&lt;20,1,IF(Table1[[#This Row],[P/750]]&lt;50,2,3))</f>
        <v>1</v>
      </c>
      <c r="AF871" s="37">
        <f>IF(Table1[[#This Row],[P/750]]&lt;Expenses!$C$30,1,IF(Table1[[#This Row],[P/750]]&lt;Expenses!$C$31,2,IF(Table1[[#This Row],[P/750]]&lt;Expenses!$C$32,3,4)))</f>
        <v>2</v>
      </c>
      <c r="AG871" s="37">
        <v>4</v>
      </c>
      <c r="AH871" s="25" t="s">
        <v>1128</v>
      </c>
      <c r="AI871" s="11">
        <f>Table1[[#This Row],[Price]]/Table1[[#This Row],[Size (ml)]]*750</f>
        <v>19.79</v>
      </c>
      <c r="AJ871" s="37">
        <v>92</v>
      </c>
      <c r="AK871" s="37">
        <f>COUNTIF(UniqueID!A:A,Table1[[#This Row],[ID]])</f>
        <v>1</v>
      </c>
      <c r="AL871" s="37" t="str">
        <f>VLOOKUP(Table1[[#This Row],[Cellar Location]],Location!A:F,6,FALSE)</f>
        <v>S</v>
      </c>
      <c r="AO871" s="37" t="str">
        <f>TEXT(Table1[[#This Row],[Purchased]],"mmmm")</f>
        <v>January</v>
      </c>
      <c r="AP871" s="10" t="str">
        <f>TEXT(Table1[[#This Row],[Purchased]],"yyyy")</f>
        <v>1900</v>
      </c>
      <c r="AQ871" s="10"/>
    </row>
    <row r="872" spans="1:43" s="37" customFormat="1" x14ac:dyDescent="0.25">
      <c r="A872" s="37" t="str">
        <f t="shared" si="48"/>
        <v>2016Tenuta San GuidoGuidalberto</v>
      </c>
      <c r="B872" s="37">
        <v>2016</v>
      </c>
      <c r="C872" s="37" t="s">
        <v>91</v>
      </c>
      <c r="D872" s="37" t="s">
        <v>1236</v>
      </c>
      <c r="E872" s="67" t="s">
        <v>1455</v>
      </c>
      <c r="F872" s="37" t="s">
        <v>728</v>
      </c>
      <c r="G872" s="37" t="s">
        <v>790</v>
      </c>
      <c r="H872" s="37" t="s">
        <v>796</v>
      </c>
      <c r="I872" s="107">
        <v>1</v>
      </c>
      <c r="J872" s="37">
        <v>750</v>
      </c>
      <c r="K872" s="107" t="s">
        <v>1315</v>
      </c>
      <c r="L872" s="10">
        <f>COUNTIF(Drank!A:A,Table1[[#This Row],[ID]])</f>
        <v>1</v>
      </c>
      <c r="M872" s="37" t="s">
        <v>202</v>
      </c>
      <c r="N872" s="37" t="s">
        <v>207</v>
      </c>
      <c r="O872" s="37">
        <v>1</v>
      </c>
      <c r="P872" s="37">
        <v>2019</v>
      </c>
      <c r="Q872" s="37">
        <v>2030</v>
      </c>
      <c r="R872" s="10">
        <f>IF(IFERROR(VLOOKUP(A872,Drank!A:S,15,FALSE),"")=0,"",IFERROR(VLOOKUP(A872,Drank!A:S,15,FALSE),""))</f>
        <v>2025</v>
      </c>
      <c r="S872" s="10">
        <f>IF(IFERROR(VLOOKUP(A872,Drank!A:S,16,FALSE),"")=0,"",IFERROR(VLOOKUP(A872,Drank!A:S,16,FALSE),""))</f>
        <v>2030</v>
      </c>
      <c r="T872" s="10"/>
      <c r="U872" s="37" t="s">
        <v>17</v>
      </c>
      <c r="V872" s="18">
        <f>IF(IFERROR(VLOOKUP(A872,Drank!A:T,19,FALSE),"")=0,"",IFERROR(VLOOKUP(A872,Drank!A:T,19,FALSE),""))</f>
        <v>93</v>
      </c>
      <c r="W872" s="1">
        <f>IF(IFERROR(VLOOKUP(A872,Drank!A:T,20,FALSE),"")=0,"",IFERROR(VLOOKUP(A872,Drank!A:T,20,FALSE),""))</f>
        <v>43866</v>
      </c>
      <c r="X872" s="10">
        <f>SUMIF(A:A,A872,I:I)</f>
        <v>6</v>
      </c>
      <c r="Y872" s="10">
        <f>IF(Table1[[#This Row],[Drank]]&gt;0,VLOOKUP(Table1[[#This Row],[ID]],Drank!A:P,16,FALSE),IF(Table1[[#This Row],[WALDD]]&gt;0,VLOOKUP(Table1[[#This Row],[ID]],Wine1!A:Q,17,FALSE),Table1[[#This Row],[EP]]))</f>
        <v>2030</v>
      </c>
      <c r="Z872" s="18">
        <f>IF(Table1[[#This Row],[My Rating]]="",IF(Table1[[#This Row],[WA Rating Clean]]="","",Table1[[#This Row],[WA Rating Clean]]),Table1[[#This Row],[My Rating]])</f>
        <v>93</v>
      </c>
      <c r="AA872" s="37">
        <v>2028</v>
      </c>
      <c r="AB872" s="4">
        <v>44.25</v>
      </c>
      <c r="AC872" s="2">
        <f t="shared" si="49"/>
        <v>44.25</v>
      </c>
      <c r="AD872" s="8">
        <v>2</v>
      </c>
      <c r="AE872" s="10">
        <f>IF(Table1[[#This Row],[P/750]]&lt;20,1,IF(Table1[[#This Row],[P/750]]&lt;50,2,3))</f>
        <v>2</v>
      </c>
      <c r="AF872" s="10">
        <f>IF(Table1[[#This Row],[P/750]]&lt;Expenses!$C$30,1,IF(Table1[[#This Row],[P/750]]&lt;Expenses!$C$31,2,IF(Table1[[#This Row],[P/750]]&lt;Expenses!$C$32,3,4)))</f>
        <v>3</v>
      </c>
      <c r="AH872" s="37" t="s">
        <v>1238</v>
      </c>
      <c r="AI872" s="11">
        <f>Table1[[#This Row],[Price]]/Table1[[#This Row],[Size (ml)]]*750</f>
        <v>44.25</v>
      </c>
      <c r="AJ872" s="37">
        <v>94</v>
      </c>
      <c r="AK872" s="10">
        <f>COUNTIF(UniqueID!A:A,Table1[[#This Row],[ID]])</f>
        <v>1</v>
      </c>
      <c r="AL872" s="10" t="str">
        <f>VLOOKUP(Table1[[#This Row],[Cellar Location]],Location!A:F,6,FALSE)</f>
        <v>S</v>
      </c>
      <c r="AN872" s="1">
        <v>43869</v>
      </c>
      <c r="AO872" s="37" t="str">
        <f>TEXT(Table1[[#This Row],[Purchased]],"mmmm")</f>
        <v>February</v>
      </c>
      <c r="AP872" s="10" t="str">
        <f>TEXT(Table1[[#This Row],[Purchased]],"yyyy")</f>
        <v>2020</v>
      </c>
      <c r="AQ872" s="10"/>
    </row>
    <row r="873" spans="1:43" s="37" customFormat="1" x14ac:dyDescent="0.25">
      <c r="A873" s="37" t="str">
        <f t="shared" si="48"/>
        <v>2016Tour Saint-MichelChateauneuf du Pape Cuvee du Lion</v>
      </c>
      <c r="B873" s="37">
        <v>2016</v>
      </c>
      <c r="C873" s="37" t="s">
        <v>712</v>
      </c>
      <c r="D873" s="37" t="s">
        <v>1359</v>
      </c>
      <c r="E873" s="67" t="s">
        <v>1360</v>
      </c>
      <c r="F873" s="37" t="s">
        <v>742</v>
      </c>
      <c r="G873" s="37" t="s">
        <v>759</v>
      </c>
      <c r="H873" s="37" t="s">
        <v>762</v>
      </c>
      <c r="I873" s="107">
        <v>1</v>
      </c>
      <c r="J873" s="9">
        <v>750</v>
      </c>
      <c r="K873" s="107" t="s">
        <v>661</v>
      </c>
      <c r="L873" s="10">
        <f>COUNTIF(Drank!A:A,Table1[[#This Row],[ID]])</f>
        <v>1</v>
      </c>
      <c r="M873" s="37" t="s">
        <v>202</v>
      </c>
      <c r="N873" s="37" t="s">
        <v>207</v>
      </c>
      <c r="O873" s="37">
        <v>1</v>
      </c>
      <c r="P873" s="10">
        <v>2018</v>
      </c>
      <c r="Q873" s="37">
        <v>2030</v>
      </c>
      <c r="R873" s="10">
        <f>IF(IFERROR(VLOOKUP(A873,Drank!A:S,15,FALSE),"")=0,"",IFERROR(VLOOKUP(A873,Drank!A:S,15,FALSE),""))</f>
        <v>2024</v>
      </c>
      <c r="S873" s="10">
        <f>IF(IFERROR(VLOOKUP(A873,Drank!A:S,16,FALSE),"")=0,"",IFERROR(VLOOKUP(A873,Drank!A:S,16,FALSE),""))</f>
        <v>2030</v>
      </c>
      <c r="T873" s="10"/>
      <c r="U873" s="37">
        <v>94</v>
      </c>
      <c r="V873" s="18">
        <f>IF(IFERROR(VLOOKUP(A873,Drank!A:T,19,FALSE),"")=0,"",IFERROR(VLOOKUP(A873,Drank!A:T,19,FALSE),""))</f>
        <v>92</v>
      </c>
      <c r="W873" s="1">
        <f>IF(IFERROR(VLOOKUP(A873,Drank!A:T,20,FALSE),"")=0,"",IFERROR(VLOOKUP(A873,Drank!A:T,20,FALSE),""))</f>
        <v>44056</v>
      </c>
      <c r="X873" s="10">
        <f>SUMIF(A:A,A873,I:I)</f>
        <v>5</v>
      </c>
      <c r="Y873" s="10">
        <f>IF(Table1[[#This Row],[Drank]]&gt;0,VLOOKUP(Table1[[#This Row],[ID]],Drank!A:P,16,FALSE),IF(Table1[[#This Row],[WALDD]]&gt;0,VLOOKUP(Table1[[#This Row],[ID]],Wine1!A:Q,17,FALSE),Table1[[#This Row],[EP]]))</f>
        <v>2030</v>
      </c>
      <c r="Z873" s="18">
        <f>IF(Table1[[#This Row],[My Rating]]="",IF(Table1[[#This Row],[WA Rating Clean]]="","",Table1[[#This Row],[WA Rating Clean]]),Table1[[#This Row],[My Rating]])</f>
        <v>92</v>
      </c>
      <c r="AA873" s="37">
        <v>2028</v>
      </c>
      <c r="AB873" s="4">
        <v>32.58</v>
      </c>
      <c r="AC873" s="2">
        <f t="shared" si="49"/>
        <v>32.58</v>
      </c>
      <c r="AD873" s="8">
        <v>2</v>
      </c>
      <c r="AE873" s="10">
        <f>IF(Table1[[#This Row],[P/750]]&lt;20,1,IF(Table1[[#This Row],[P/750]]&lt;50,2,3))</f>
        <v>2</v>
      </c>
      <c r="AF873" s="10">
        <f>IF(Table1[[#This Row],[P/750]]&lt;Expenses!$C$30,1,IF(Table1[[#This Row],[P/750]]&lt;Expenses!$C$31,2,IF(Table1[[#This Row],[P/750]]&lt;Expenses!$C$32,3,4)))</f>
        <v>3</v>
      </c>
      <c r="AH873" s="37" t="s">
        <v>384</v>
      </c>
      <c r="AI873" s="11">
        <f>Table1[[#This Row],[Price]]/Table1[[#This Row],[Size (ml)]]*750</f>
        <v>32.58</v>
      </c>
      <c r="AJ873" s="37">
        <v>94</v>
      </c>
      <c r="AK873" s="10">
        <f>COUNTIF(UniqueID!A:A,Table1[[#This Row],[ID]])</f>
        <v>0</v>
      </c>
      <c r="AL873" s="10" t="str">
        <f>VLOOKUP(Table1[[#This Row],[Cellar Location]],Location!A:F,6,FALSE)</f>
        <v>S</v>
      </c>
      <c r="AN873" s="1">
        <v>43934</v>
      </c>
      <c r="AO873" s="10" t="str">
        <f>TEXT(Table1[[#This Row],[Purchased]],"mmmm")</f>
        <v>April</v>
      </c>
      <c r="AP873" s="10" t="str">
        <f>TEXT(Table1[[#This Row],[Purchased]],"yyyy")</f>
        <v>2020</v>
      </c>
      <c r="AQ873" s="10"/>
    </row>
    <row r="874" spans="1:43" s="37" customFormat="1" x14ac:dyDescent="0.25">
      <c r="A874" s="37" t="str">
        <f t="shared" si="48"/>
        <v>2012La FortunaBrunello di Montalcino Riserva</v>
      </c>
      <c r="B874" s="37">
        <v>2012</v>
      </c>
      <c r="C874" s="37" t="s">
        <v>65</v>
      </c>
      <c r="D874" s="37" t="s">
        <v>13</v>
      </c>
      <c r="E874" s="65" t="s">
        <v>280</v>
      </c>
      <c r="F874" s="37" t="s">
        <v>728</v>
      </c>
      <c r="G874" s="37" t="s">
        <v>790</v>
      </c>
      <c r="H874" s="37" t="s">
        <v>19</v>
      </c>
      <c r="I874" s="37">
        <v>1</v>
      </c>
      <c r="J874" s="37">
        <v>750</v>
      </c>
      <c r="K874" s="8" t="s">
        <v>8</v>
      </c>
      <c r="L874" s="37">
        <f>COUNTIF(Drank!A:A,Table1[[#This Row],[ID]])</f>
        <v>0</v>
      </c>
      <c r="M874" s="37" t="s">
        <v>202</v>
      </c>
      <c r="N874" s="37" t="s">
        <v>207</v>
      </c>
      <c r="O874" s="37">
        <v>0</v>
      </c>
      <c r="R874" s="37" t="str">
        <f>IF(IFERROR(VLOOKUP(A874,Drank!A:S,15,FALSE),"")=0,"",IFERROR(VLOOKUP(A874,Drank!A:S,15,FALSE),""))</f>
        <v/>
      </c>
      <c r="S874" s="37" t="str">
        <f>IF(IFERROR(VLOOKUP(A874,Drank!A:S,16,FALSE),"")=0,"",IFERROR(VLOOKUP(A874,Drank!A:S,16,FALSE),""))</f>
        <v/>
      </c>
      <c r="T874" s="37">
        <v>2030</v>
      </c>
      <c r="V874" s="18" t="str">
        <f>IF(IFERROR(VLOOKUP(A874,Drank!A:T,19,FALSE),"")=0,"",IFERROR(VLOOKUP(A874,Drank!A:T,19,FALSE),""))</f>
        <v/>
      </c>
      <c r="W874" s="1" t="str">
        <f>IF(IFERROR(VLOOKUP(A874,Drank!A:T,20,FALSE),"")=0,"",IFERROR(VLOOKUP(A874,Drank!A:T,20,FALSE),""))</f>
        <v/>
      </c>
      <c r="X874" s="37">
        <f>SUMIF(A:A,A874,I:I)</f>
        <v>2</v>
      </c>
      <c r="Y874" s="37">
        <f>IF(Table1[[#This Row],[Drank]]&gt;0,VLOOKUP(Table1[[#This Row],[ID]],Drank!A:P,16,FALSE),IF(Table1[[#This Row],[WALDD]]&gt;0,VLOOKUP(Table1[[#This Row],[ID]],Wine1!A:Q,17,FALSE),Table1[[#This Row],[EP]]))</f>
        <v>2030</v>
      </c>
      <c r="Z874" s="18" t="str">
        <f>IF(Table1[[#This Row],[My Rating]]="",IF(Table1[[#This Row],[WA Rating Clean]]="","",Table1[[#This Row],[WA Rating Clean]]),Table1[[#This Row],[My Rating]])</f>
        <v/>
      </c>
      <c r="AA874" s="37">
        <v>2028</v>
      </c>
      <c r="AB874" s="2">
        <v>73.78</v>
      </c>
      <c r="AC874" s="2">
        <f t="shared" si="49"/>
        <v>73.78</v>
      </c>
      <c r="AD874" s="8">
        <v>0</v>
      </c>
      <c r="AE874" s="37">
        <f>IF(Table1[[#This Row],[P/750]]&lt;20,1,IF(Table1[[#This Row],[P/750]]&lt;50,2,3))</f>
        <v>3</v>
      </c>
      <c r="AF874" s="37">
        <f>IF(Table1[[#This Row],[P/750]]&lt;Expenses!$C$30,1,IF(Table1[[#This Row],[P/750]]&lt;Expenses!$C$31,2,IF(Table1[[#This Row],[P/750]]&lt;Expenses!$C$32,3,4)))</f>
        <v>4</v>
      </c>
      <c r="AH874" s="37" t="s">
        <v>385</v>
      </c>
      <c r="AI874" s="11">
        <f>Table1[[#This Row],[Price]]/Table1[[#This Row],[Size (ml)]]*750</f>
        <v>73.78</v>
      </c>
      <c r="AK874" s="37">
        <f>COUNTIF(UniqueID!A:A,Table1[[#This Row],[ID]])</f>
        <v>1</v>
      </c>
      <c r="AL874" s="37" t="str">
        <f>VLOOKUP(Table1[[#This Row],[Cellar Location]],Location!A:F,6,FALSE)</f>
        <v>K</v>
      </c>
      <c r="AO874" s="37" t="str">
        <f>TEXT(Table1[[#This Row],[Purchased]],"mmmm")</f>
        <v>January</v>
      </c>
      <c r="AP874" s="10" t="str">
        <f>TEXT(Table1[[#This Row],[Purchased]],"yyyy")</f>
        <v>1900</v>
      </c>
      <c r="AQ874" s="10"/>
    </row>
    <row r="875" spans="1:43" s="37" customFormat="1" x14ac:dyDescent="0.25">
      <c r="A875" s="37" t="str">
        <f t="shared" si="48"/>
        <v>2013Giovanni ManzoneBarolo Gramolere</v>
      </c>
      <c r="B875" s="8">
        <v>2013</v>
      </c>
      <c r="C875" s="37" t="s">
        <v>294</v>
      </c>
      <c r="D875" s="37" t="s">
        <v>305</v>
      </c>
      <c r="E875" s="67" t="s">
        <v>1206</v>
      </c>
      <c r="F875" s="37" t="s">
        <v>728</v>
      </c>
      <c r="G875" s="37" t="s">
        <v>778</v>
      </c>
      <c r="H875" s="37" t="s">
        <v>781</v>
      </c>
      <c r="I875" s="107">
        <v>1</v>
      </c>
      <c r="J875" s="37">
        <v>750</v>
      </c>
      <c r="K875" s="107" t="s">
        <v>619</v>
      </c>
      <c r="L875" s="37">
        <f>COUNTIF(Drank!A:A,Table1[[#This Row],[ID]])</f>
        <v>1</v>
      </c>
      <c r="M875" s="37" t="s">
        <v>202</v>
      </c>
      <c r="N875" s="37" t="s">
        <v>207</v>
      </c>
      <c r="O875" s="37">
        <v>1</v>
      </c>
      <c r="P875" s="37">
        <v>2018</v>
      </c>
      <c r="Q875" s="37">
        <v>2030</v>
      </c>
      <c r="R875" s="10">
        <f>IF(IFERROR(VLOOKUP(A875,Drank!A:S,15,FALSE),"")=0,"",IFERROR(VLOOKUP(A875,Drank!A:S,15,FALSE),""))</f>
        <v>2024</v>
      </c>
      <c r="S875" s="10">
        <f>IF(IFERROR(VLOOKUP(A875,Drank!A:S,16,FALSE),"")=0,"",IFERROR(VLOOKUP(A875,Drank!A:S,16,FALSE),""))</f>
        <v>2032</v>
      </c>
      <c r="T875" s="10"/>
      <c r="U875" s="37">
        <v>94</v>
      </c>
      <c r="V875" s="18">
        <f>IF(IFERROR(VLOOKUP(A875,Drank!A:T,19,FALSE),"")=0,"",IFERROR(VLOOKUP(A875,Drank!A:T,19,FALSE),""))</f>
        <v>94</v>
      </c>
      <c r="W875" s="1">
        <f>IF(IFERROR(VLOOKUP(A875,Drank!A:T,20,FALSE),"")=0,"",IFERROR(VLOOKUP(A875,Drank!A:T,20,FALSE),""))</f>
        <v>43597</v>
      </c>
      <c r="X875" s="10">
        <f>SUMIF(A:A,A875,I:I)</f>
        <v>3</v>
      </c>
      <c r="Y875" s="37">
        <f>IF(Table1[[#This Row],[Drank]]&gt;0,VLOOKUP(Table1[[#This Row],[ID]],Drank!A:P,16,FALSE),IF(Table1[[#This Row],[WALDD]]&gt;0,VLOOKUP(Table1[[#This Row],[ID]],Wine1!A:Q,17,FALSE),Table1[[#This Row],[EP]]))</f>
        <v>2032</v>
      </c>
      <c r="Z875" s="18">
        <f>IF(Table1[[#This Row],[My Rating]]="",IF(Table1[[#This Row],[WA Rating Clean]]="","",Table1[[#This Row],[WA Rating Clean]]),Table1[[#This Row],[My Rating]])</f>
        <v>94</v>
      </c>
      <c r="AA875" s="8">
        <v>2028</v>
      </c>
      <c r="AB875" s="4">
        <v>45</v>
      </c>
      <c r="AC875" s="2">
        <f t="shared" si="49"/>
        <v>45</v>
      </c>
      <c r="AD875" s="8">
        <v>2</v>
      </c>
      <c r="AE875" s="37">
        <f>IF(Table1[[#This Row],[P/750]]&lt;20,1,IF(Table1[[#This Row],[P/750]]&lt;50,2,3))</f>
        <v>2</v>
      </c>
      <c r="AF875" s="37">
        <f>IF(Table1[[#This Row],[P/750]]&lt;Expenses!$C$30,1,IF(Table1[[#This Row],[P/750]]&lt;Expenses!$C$31,2,IF(Table1[[#This Row],[P/750]]&lt;Expenses!$C$32,3,4)))</f>
        <v>3</v>
      </c>
      <c r="AH875" s="37" t="s">
        <v>385</v>
      </c>
      <c r="AI875" s="11">
        <f>Table1[[#This Row],[Price]]/Table1[[#This Row],[Size (ml)]]*750</f>
        <v>45</v>
      </c>
      <c r="AJ875" s="37">
        <v>94</v>
      </c>
      <c r="AK875" s="37">
        <f>COUNTIF(UniqueID!A:A,Table1[[#This Row],[ID]])</f>
        <v>1</v>
      </c>
      <c r="AL875" s="37" t="str">
        <f>VLOOKUP(Table1[[#This Row],[Cellar Location]],Location!A:F,6,FALSE)</f>
        <v>S</v>
      </c>
      <c r="AO875" s="37" t="str">
        <f>TEXT(Table1[[#This Row],[Purchased]],"mmmm")</f>
        <v>January</v>
      </c>
      <c r="AP875" s="10" t="str">
        <f>TEXT(Table1[[#This Row],[Purchased]],"yyyy")</f>
        <v>1900</v>
      </c>
      <c r="AQ875" s="10"/>
    </row>
    <row r="876" spans="1:43" s="37" customFormat="1" x14ac:dyDescent="0.25">
      <c r="A876" s="37" t="str">
        <f t="shared" si="48"/>
        <v>2013Giovanni ManzoneBarolo Bricat</v>
      </c>
      <c r="B876" s="8">
        <v>2013</v>
      </c>
      <c r="C876" s="37" t="s">
        <v>294</v>
      </c>
      <c r="D876" s="37" t="s">
        <v>295</v>
      </c>
      <c r="E876" s="67" t="s">
        <v>1206</v>
      </c>
      <c r="F876" s="37" t="s">
        <v>728</v>
      </c>
      <c r="G876" s="37" t="s">
        <v>778</v>
      </c>
      <c r="H876" s="9" t="s">
        <v>268</v>
      </c>
      <c r="I876" s="107">
        <v>1</v>
      </c>
      <c r="J876" s="37">
        <v>750</v>
      </c>
      <c r="K876" s="107" t="s">
        <v>619</v>
      </c>
      <c r="L876" s="37">
        <f>COUNTIF(Drank!A:A,Table1[[#This Row],[ID]])</f>
        <v>1</v>
      </c>
      <c r="M876" s="37" t="s">
        <v>202</v>
      </c>
      <c r="N876" s="37" t="s">
        <v>207</v>
      </c>
      <c r="O876" s="37">
        <v>1</v>
      </c>
      <c r="P876" s="37">
        <v>2018</v>
      </c>
      <c r="Q876" s="37">
        <v>2032</v>
      </c>
      <c r="R876" s="10">
        <f>IF(IFERROR(VLOOKUP(A876,Drank!A:S,15,FALSE),"")=0,"",IFERROR(VLOOKUP(A876,Drank!A:S,15,FALSE),""))</f>
        <v>2024</v>
      </c>
      <c r="S876" s="10">
        <f>IF(IFERROR(VLOOKUP(A876,Drank!A:S,16,FALSE),"")=0,"",IFERROR(VLOOKUP(A876,Drank!A:S,16,FALSE),""))</f>
        <v>2032</v>
      </c>
      <c r="T876" s="10"/>
      <c r="U876" s="37" t="s">
        <v>17</v>
      </c>
      <c r="V876" s="18">
        <f>IF(IFERROR(VLOOKUP(A876,Drank!A:T,19,FALSE),"")=0,"",IFERROR(VLOOKUP(A876,Drank!A:T,19,FALSE),""))</f>
        <v>91</v>
      </c>
      <c r="W876" s="1">
        <f>IF(IFERROR(VLOOKUP(A876,Drank!A:T,20,FALSE),"")=0,"",IFERROR(VLOOKUP(A876,Drank!A:T,20,FALSE),""))</f>
        <v>43583</v>
      </c>
      <c r="X876" s="10">
        <f>SUMIF(A:A,A876,I:I)</f>
        <v>3</v>
      </c>
      <c r="Y876" s="37">
        <f>IF(Table1[[#This Row],[Drank]]&gt;0,VLOOKUP(Table1[[#This Row],[ID]],Drank!A:P,16,FALSE),IF(Table1[[#This Row],[WALDD]]&gt;0,VLOOKUP(Table1[[#This Row],[ID]],Wine1!A:Q,17,FALSE),Table1[[#This Row],[EP]]))</f>
        <v>2032</v>
      </c>
      <c r="Z876" s="18">
        <f>IF(Table1[[#This Row],[My Rating]]="",IF(Table1[[#This Row],[WA Rating Clean]]="","",Table1[[#This Row],[WA Rating Clean]]),Table1[[#This Row],[My Rating]])</f>
        <v>91</v>
      </c>
      <c r="AA876" s="8">
        <v>2028</v>
      </c>
      <c r="AB876" s="4">
        <v>45</v>
      </c>
      <c r="AC876" s="2">
        <f t="shared" si="49"/>
        <v>45</v>
      </c>
      <c r="AD876" s="8">
        <v>2</v>
      </c>
      <c r="AE876" s="37">
        <f>IF(Table1[[#This Row],[P/750]]&lt;20,1,IF(Table1[[#This Row],[P/750]]&lt;50,2,3))</f>
        <v>2</v>
      </c>
      <c r="AF876" s="37">
        <f>IF(Table1[[#This Row],[P/750]]&lt;Expenses!$C$30,1,IF(Table1[[#This Row],[P/750]]&lt;Expenses!$C$31,2,IF(Table1[[#This Row],[P/750]]&lt;Expenses!$C$32,3,4)))</f>
        <v>3</v>
      </c>
      <c r="AH876" s="37" t="s">
        <v>385</v>
      </c>
      <c r="AI876" s="11">
        <f>Table1[[#This Row],[Price]]/Table1[[#This Row],[Size (ml)]]*750</f>
        <v>45</v>
      </c>
      <c r="AJ876" s="37">
        <v>94</v>
      </c>
      <c r="AK876" s="37">
        <f>COUNTIF(UniqueID!A:A,Table1[[#This Row],[ID]])</f>
        <v>1</v>
      </c>
      <c r="AL876" s="37" t="str">
        <f>VLOOKUP(Table1[[#This Row],[Cellar Location]],Location!A:F,6,FALSE)</f>
        <v>S</v>
      </c>
      <c r="AO876" s="37" t="str">
        <f>TEXT(Table1[[#This Row],[Purchased]],"mmmm")</f>
        <v>January</v>
      </c>
      <c r="AP876" s="10" t="str">
        <f>TEXT(Table1[[#This Row],[Purchased]],"yyyy")</f>
        <v>1900</v>
      </c>
      <c r="AQ876" s="10"/>
    </row>
    <row r="877" spans="1:43" x14ac:dyDescent="0.25">
      <c r="A877" t="str">
        <f t="shared" si="48"/>
        <v>2013MasiAmarone della Valpolicella Classico Costasera</v>
      </c>
      <c r="B877" s="37">
        <v>2013</v>
      </c>
      <c r="C877" s="25" t="s">
        <v>37</v>
      </c>
      <c r="D877" s="37" t="s">
        <v>53</v>
      </c>
      <c r="E877" s="64" t="s">
        <v>313</v>
      </c>
      <c r="F877" s="37" t="s">
        <v>728</v>
      </c>
      <c r="G877" s="37" t="s">
        <v>799</v>
      </c>
      <c r="H877" s="37" t="s">
        <v>800</v>
      </c>
      <c r="I877" s="107">
        <v>1</v>
      </c>
      <c r="J877" s="37">
        <v>750</v>
      </c>
      <c r="K877" s="108" t="s">
        <v>591</v>
      </c>
      <c r="L877" s="37">
        <f>COUNTIF(Drank!A:A,Table1[[#This Row],[ID]])</f>
        <v>1</v>
      </c>
      <c r="M877" t="s">
        <v>202</v>
      </c>
      <c r="N877" t="s">
        <v>207</v>
      </c>
      <c r="O877">
        <v>1</v>
      </c>
      <c r="P877" s="37">
        <v>2019</v>
      </c>
      <c r="Q877">
        <v>2030</v>
      </c>
      <c r="R877" s="10">
        <f>IF(IFERROR(VLOOKUP(A877,Drank!A:S,15,FALSE),"")=0,"",IFERROR(VLOOKUP(A877,Drank!A:S,15,FALSE),""))</f>
        <v>2028</v>
      </c>
      <c r="S877" s="10">
        <f>IF(IFERROR(VLOOKUP(A877,Drank!A:S,16,FALSE),"")=0,"",IFERROR(VLOOKUP(A877,Drank!A:S,16,FALSE),""))</f>
        <v>2032</v>
      </c>
      <c r="T877" s="10">
        <v>2028</v>
      </c>
      <c r="U877">
        <v>92</v>
      </c>
      <c r="V877" s="18">
        <f>IF(IFERROR(VLOOKUP(A877,Drank!A:T,19,FALSE),"")=0,"",IFERROR(VLOOKUP(A877,Drank!A:T,19,FALSE),""))</f>
        <v>92</v>
      </c>
      <c r="W877" s="1">
        <f>IF(IFERROR(VLOOKUP(A877,Drank!A:T,20,FALSE),"")=0,"",IFERROR(VLOOKUP(A877,Drank!A:T,20,FALSE),""))</f>
        <v>43824</v>
      </c>
      <c r="X877" s="10">
        <f>SUMIF(A:A,A877,I:I)</f>
        <v>2</v>
      </c>
      <c r="Y877" s="37">
        <f>IF(Table1[[#This Row],[Drank]]&gt;0,VLOOKUP(Table1[[#This Row],[ID]],Drank!A:P,16,FALSE),IF(Table1[[#This Row],[WALDD]]&gt;0,VLOOKUP(Table1[[#This Row],[ID]],Wine1!A:Q,17,FALSE),Table1[[#This Row],[EP]]))</f>
        <v>2032</v>
      </c>
      <c r="Z877" s="18">
        <f>IF(Table1[[#This Row],[My Rating]]="",IF(Table1[[#This Row],[WA Rating Clean]]="","",Table1[[#This Row],[WA Rating Clean]]),Table1[[#This Row],[My Rating]])</f>
        <v>92</v>
      </c>
      <c r="AA877" s="37">
        <v>2028</v>
      </c>
      <c r="AB877" s="4">
        <v>53.99</v>
      </c>
      <c r="AC877" s="2">
        <f t="shared" si="49"/>
        <v>53.99</v>
      </c>
      <c r="AD877" s="8">
        <v>2</v>
      </c>
      <c r="AE877" s="37">
        <f>IF(Table1[[#This Row],[P/750]]&lt;20,1,IF(Table1[[#This Row],[P/750]]&lt;50,2,3))</f>
        <v>3</v>
      </c>
      <c r="AF877" s="37">
        <f>IF(Table1[[#This Row],[P/750]]&lt;Expenses!$C$30,1,IF(Table1[[#This Row],[P/750]]&lt;Expenses!$C$31,2,IF(Table1[[#This Row],[P/750]]&lt;Expenses!$C$32,3,4)))</f>
        <v>3</v>
      </c>
      <c r="AH877" s="37" t="s">
        <v>1128</v>
      </c>
      <c r="AI877" s="11">
        <f>Table1[[#This Row],[Price]]/Table1[[#This Row],[Size (ml)]]*750</f>
        <v>53.99</v>
      </c>
      <c r="AK877" s="37">
        <f>COUNTIF(UniqueID!A:A,Table1[[#This Row],[ID]])</f>
        <v>1</v>
      </c>
      <c r="AL877" s="37" t="str">
        <f>VLOOKUP(Table1[[#This Row],[Cellar Location]],Location!A:F,6,FALSE)</f>
        <v>S</v>
      </c>
      <c r="AN877" s="37"/>
      <c r="AO877" s="37" t="str">
        <f>TEXT(Table1[[#This Row],[Purchased]],"mmmm")</f>
        <v>January</v>
      </c>
      <c r="AP877" s="10" t="str">
        <f>TEXT(Table1[[#This Row],[Purchased]],"yyyy")</f>
        <v>1900</v>
      </c>
      <c r="AQ877" s="10"/>
    </row>
    <row r="878" spans="1:43" x14ac:dyDescent="0.25">
      <c r="A878" s="37" t="str">
        <f t="shared" si="48"/>
        <v>2015Produttori del BarbarescoBarbaresco</v>
      </c>
      <c r="B878" s="8">
        <v>2015</v>
      </c>
      <c r="C878" s="37" t="s">
        <v>248</v>
      </c>
      <c r="D878" s="37" t="s">
        <v>249</v>
      </c>
      <c r="E878" s="67" t="s">
        <v>1206</v>
      </c>
      <c r="F878" s="37" t="s">
        <v>728</v>
      </c>
      <c r="G878" s="37" t="s">
        <v>778</v>
      </c>
      <c r="H878" s="37" t="s">
        <v>249</v>
      </c>
      <c r="I878" s="107">
        <v>1</v>
      </c>
      <c r="J878" s="37">
        <v>750</v>
      </c>
      <c r="K878" s="107" t="s">
        <v>1313</v>
      </c>
      <c r="L878" s="37">
        <f>COUNTIF(Drank!A:A,Table1[[#This Row],[ID]])</f>
        <v>2</v>
      </c>
      <c r="M878" s="37" t="s">
        <v>202</v>
      </c>
      <c r="N878" s="37" t="s">
        <v>207</v>
      </c>
      <c r="O878" s="37">
        <v>1</v>
      </c>
      <c r="P878" s="37">
        <v>2020</v>
      </c>
      <c r="Q878" s="37">
        <v>2038</v>
      </c>
      <c r="R878" s="10">
        <f>IF(IFERROR(VLOOKUP(A878,Drank!A:S,15,FALSE),"")=0,"",IFERROR(VLOOKUP(A878,Drank!A:S,15,FALSE),""))</f>
        <v>2024</v>
      </c>
      <c r="S878" s="10">
        <f>IF(IFERROR(VLOOKUP(A878,Drank!A:S,16,FALSE),"")=0,"",IFERROR(VLOOKUP(A878,Drank!A:S,16,FALSE),""))</f>
        <v>2032</v>
      </c>
      <c r="T878" s="10"/>
      <c r="U878" s="37">
        <v>93</v>
      </c>
      <c r="V878" s="18">
        <f>IF(IFERROR(VLOOKUP(A878,Drank!A:T,19,FALSE),"")=0,"",IFERROR(VLOOKUP(A878,Drank!A:T,19,FALSE),""))</f>
        <v>93.5</v>
      </c>
      <c r="W878" s="1">
        <f>IF(IFERROR(VLOOKUP(A878,Drank!A:T,20,FALSE),"")=0,"",IFERROR(VLOOKUP(A878,Drank!A:T,20,FALSE),""))</f>
        <v>43757</v>
      </c>
      <c r="X878" s="10">
        <f>SUMIF(A:A,A878,I:I)</f>
        <v>5</v>
      </c>
      <c r="Y878" s="37">
        <f>IF(Table1[[#This Row],[Drank]]&gt;0,VLOOKUP(Table1[[#This Row],[ID]],Drank!A:P,16,FALSE),IF(Table1[[#This Row],[WALDD]]&gt;0,VLOOKUP(Table1[[#This Row],[ID]],Wine1!A:Q,17,FALSE),Table1[[#This Row],[EP]]))</f>
        <v>2032</v>
      </c>
      <c r="Z878" s="18">
        <f>IF(Table1[[#This Row],[My Rating]]="",IF(Table1[[#This Row],[WA Rating Clean]]="","",Table1[[#This Row],[WA Rating Clean]]),Table1[[#This Row],[My Rating]])</f>
        <v>93.5</v>
      </c>
      <c r="AA878" s="8">
        <v>2028</v>
      </c>
      <c r="AB878" s="4">
        <v>40.39</v>
      </c>
      <c r="AC878" s="2">
        <f t="shared" si="49"/>
        <v>40.39</v>
      </c>
      <c r="AD878" s="8">
        <v>2</v>
      </c>
      <c r="AE878" s="37">
        <f>IF(Table1[[#This Row],[P/750]]&lt;20,1,IF(Table1[[#This Row],[P/750]]&lt;50,2,3))</f>
        <v>2</v>
      </c>
      <c r="AF878" s="37">
        <f>IF(Table1[[#This Row],[P/750]]&lt;Expenses!$C$30,1,IF(Table1[[#This Row],[P/750]]&lt;Expenses!$C$31,2,IF(Table1[[#This Row],[P/750]]&lt;Expenses!$C$32,3,4)))</f>
        <v>3</v>
      </c>
      <c r="AG878" s="37"/>
      <c r="AH878" s="37" t="s">
        <v>1128</v>
      </c>
      <c r="AI878" s="11">
        <f>Table1[[#This Row],[Price]]/Table1[[#This Row],[Size (ml)]]*750</f>
        <v>40.39</v>
      </c>
      <c r="AJ878">
        <v>93</v>
      </c>
      <c r="AK878" s="37">
        <f>COUNTIF(UniqueID!A:A,Table1[[#This Row],[ID]])</f>
        <v>1</v>
      </c>
      <c r="AL878" s="37" t="str">
        <f>VLOOKUP(Table1[[#This Row],[Cellar Location]],Location!A:F,6,FALSE)</f>
        <v>S</v>
      </c>
      <c r="AN878" s="1">
        <v>43879</v>
      </c>
      <c r="AO878" s="37" t="str">
        <f>TEXT(Table1[[#This Row],[Purchased]],"mmmm")</f>
        <v>February</v>
      </c>
      <c r="AP878" s="10" t="str">
        <f>TEXT(Table1[[#This Row],[Purchased]],"yyyy")</f>
        <v>2020</v>
      </c>
      <c r="AQ878" s="10"/>
    </row>
    <row r="879" spans="1:43" x14ac:dyDescent="0.25">
      <c r="A879" t="str">
        <f t="shared" si="48"/>
        <v>2015CortonesiBrunello di Montalcino La Mannella</v>
      </c>
      <c r="B879" s="37">
        <v>2015</v>
      </c>
      <c r="C879" s="37" t="s">
        <v>72</v>
      </c>
      <c r="D879" s="25" t="s">
        <v>73</v>
      </c>
      <c r="E879" s="67" t="s">
        <v>1250</v>
      </c>
      <c r="F879" s="37" t="s">
        <v>728</v>
      </c>
      <c r="G879" s="37" t="s">
        <v>790</v>
      </c>
      <c r="H879" s="37" t="s">
        <v>19</v>
      </c>
      <c r="I879" s="8">
        <v>1</v>
      </c>
      <c r="J879" s="38">
        <v>750</v>
      </c>
      <c r="K879" s="38" t="s">
        <v>384</v>
      </c>
      <c r="L879" s="10">
        <f>COUNTIF(Drank!A:A,Table1[[#This Row],[ID]])</f>
        <v>1</v>
      </c>
      <c r="M879" t="s">
        <v>202</v>
      </c>
      <c r="N879" t="s">
        <v>207</v>
      </c>
      <c r="O879">
        <v>1</v>
      </c>
      <c r="P879" s="37">
        <v>2021</v>
      </c>
      <c r="Q879">
        <v>2035</v>
      </c>
      <c r="R879" s="10">
        <f>IF(IFERROR(VLOOKUP(A879,Drank!A:S,15,FALSE),"")=0,"",IFERROR(VLOOKUP(A879,Drank!A:S,15,FALSE),""))</f>
        <v>2026</v>
      </c>
      <c r="S879" s="10">
        <f>IF(IFERROR(VLOOKUP(A879,Drank!A:S,16,FALSE),"")=0,"",IFERROR(VLOOKUP(A879,Drank!A:S,16,FALSE),""))</f>
        <v>2033</v>
      </c>
      <c r="T879" s="10"/>
      <c r="U879">
        <v>94</v>
      </c>
      <c r="V879" s="18">
        <f>IF(IFERROR(VLOOKUP(A879,Drank!A:T,19,FALSE),"")=0,"",IFERROR(VLOOKUP(A879,Drank!A:T,19,FALSE),""))</f>
        <v>94</v>
      </c>
      <c r="W879" s="1">
        <f>IF(IFERROR(VLOOKUP(A879,Drank!A:T,20,FALSE),"")=0,"",IFERROR(VLOOKUP(A879,Drank!A:T,20,FALSE),""))</f>
        <v>43995</v>
      </c>
      <c r="X879" s="10">
        <f>SUMIF(A:A,A879,I:I)</f>
        <v>23</v>
      </c>
      <c r="Y879" s="10">
        <f>IF(Table1[[#This Row],[Drank]]&gt;0,VLOOKUP(Table1[[#This Row],[ID]],Drank!A:P,16,FALSE),IF(Table1[[#This Row],[WALDD]]&gt;0,VLOOKUP(Table1[[#This Row],[ID]],Wine1!A:Q,17,FALSE),Table1[[#This Row],[EP]]))</f>
        <v>2033</v>
      </c>
      <c r="Z879" s="18">
        <f>IF(Table1[[#This Row],[My Rating]]="",IF(Table1[[#This Row],[WA Rating Clean]]="","",Table1[[#This Row],[WA Rating Clean]]),Table1[[#This Row],[My Rating]])</f>
        <v>94</v>
      </c>
      <c r="AA879" s="37">
        <v>2028</v>
      </c>
      <c r="AB879" s="4">
        <v>36.92</v>
      </c>
      <c r="AC879" s="2">
        <f t="shared" si="49"/>
        <v>36.92</v>
      </c>
      <c r="AD879" s="8">
        <v>1</v>
      </c>
      <c r="AE879" s="10">
        <f>IF(Table1[[#This Row],[P/750]]&lt;20,1,IF(Table1[[#This Row],[P/750]]&lt;50,2,3))</f>
        <v>2</v>
      </c>
      <c r="AF879" s="10">
        <f>IF(Table1[[#This Row],[P/750]]&lt;Expenses!$C$30,1,IF(Table1[[#This Row],[P/750]]&lt;Expenses!$C$31,2,IF(Table1[[#This Row],[P/750]]&lt;Expenses!$C$32,3,4)))</f>
        <v>3</v>
      </c>
      <c r="AH879" s="37" t="s">
        <v>384</v>
      </c>
      <c r="AI879" s="11">
        <f>Table1[[#This Row],[Price]]/Table1[[#This Row],[Size (ml)]]*750</f>
        <v>36.92</v>
      </c>
      <c r="AJ879">
        <v>94</v>
      </c>
      <c r="AK879" s="10">
        <f>COUNTIF(UniqueID!A:A,Table1[[#This Row],[ID]])</f>
        <v>0</v>
      </c>
      <c r="AL879" s="10" t="str">
        <f>VLOOKUP(Table1[[#This Row],[Cellar Location]],Location!A:F,6,FALSE)</f>
        <v>W</v>
      </c>
      <c r="AN879" s="1">
        <v>44045</v>
      </c>
      <c r="AO879" s="10" t="str">
        <f>TEXT(Table1[[#This Row],[Purchased]],"mmmm")</f>
        <v>August</v>
      </c>
      <c r="AP879" s="10" t="str">
        <f>TEXT(Table1[[#This Row],[Purchased]],"yyyy")</f>
        <v>2020</v>
      </c>
      <c r="AQ879" s="1">
        <v>44138</v>
      </c>
    </row>
    <row r="880" spans="1:43" x14ac:dyDescent="0.25">
      <c r="A880" t="str">
        <f t="shared" si="48"/>
        <v>2013G.D. VajraBarolo Albe</v>
      </c>
      <c r="B880" s="37">
        <v>2013</v>
      </c>
      <c r="C880" s="9" t="s">
        <v>81</v>
      </c>
      <c r="D880" s="9" t="s">
        <v>82</v>
      </c>
      <c r="E880" s="67" t="s">
        <v>1206</v>
      </c>
      <c r="F880" s="37" t="s">
        <v>728</v>
      </c>
      <c r="G880" s="37" t="s">
        <v>778</v>
      </c>
      <c r="H880" s="37" t="s">
        <v>268</v>
      </c>
      <c r="I880" s="37">
        <v>1</v>
      </c>
      <c r="J880" s="37">
        <v>750</v>
      </c>
      <c r="K880" s="8" t="s">
        <v>11</v>
      </c>
      <c r="L880" s="37">
        <f>COUNTIF(Drank!A:A,Table1[[#This Row],[ID]])</f>
        <v>0</v>
      </c>
      <c r="M880" t="s">
        <v>202</v>
      </c>
      <c r="N880" t="s">
        <v>207</v>
      </c>
      <c r="O880">
        <v>0</v>
      </c>
      <c r="P880" s="37"/>
      <c r="R880" s="37" t="str">
        <f>IF(IFERROR(VLOOKUP(A880,Drank!A:S,15,FALSE),"")=0,"",IFERROR(VLOOKUP(A880,Drank!A:S,15,FALSE),""))</f>
        <v/>
      </c>
      <c r="S880" s="37" t="str">
        <f>IF(IFERROR(VLOOKUP(A880,Drank!A:S,16,FALSE),"")=0,"",IFERROR(VLOOKUP(A880,Drank!A:S,16,FALSE),""))</f>
        <v/>
      </c>
      <c r="T880" s="37">
        <v>2033</v>
      </c>
      <c r="V880" s="18" t="str">
        <f>IF(IFERROR(VLOOKUP(A880,Drank!A:T,19,FALSE),"")=0,"",IFERROR(VLOOKUP(A880,Drank!A:T,19,FALSE),""))</f>
        <v/>
      </c>
      <c r="W880" s="1" t="str">
        <f>IF(IFERROR(VLOOKUP(A880,Drank!A:T,20,FALSE),"")=0,"",IFERROR(VLOOKUP(A880,Drank!A:T,20,FALSE),""))</f>
        <v/>
      </c>
      <c r="X880" s="37">
        <f>SUMIF(A:A,A880,I:I)</f>
        <v>1</v>
      </c>
      <c r="Y880" s="37">
        <f>IF(Table1[[#This Row],[Drank]]&gt;0,VLOOKUP(Table1[[#This Row],[ID]],Drank!A:P,16,FALSE),IF(Table1[[#This Row],[WALDD]]&gt;0,VLOOKUP(Table1[[#This Row],[ID]],Wine1!A:Q,17,FALSE),Table1[[#This Row],[EP]]))</f>
        <v>2033</v>
      </c>
      <c r="Z880" s="18" t="str">
        <f>IF(Table1[[#This Row],[My Rating]]="",IF(Table1[[#This Row],[WA Rating Clean]]="","",Table1[[#This Row],[WA Rating Clean]]),Table1[[#This Row],[My Rating]])</f>
        <v/>
      </c>
      <c r="AA880" s="37">
        <v>2028</v>
      </c>
      <c r="AB880" s="3">
        <v>40</v>
      </c>
      <c r="AC880" s="2">
        <f t="shared" si="49"/>
        <v>40</v>
      </c>
      <c r="AD880" s="8">
        <v>0</v>
      </c>
      <c r="AE880" s="37">
        <f>IF(Table1[[#This Row],[P/750]]&lt;20,1,IF(Table1[[#This Row],[P/750]]&lt;50,2,3))</f>
        <v>2</v>
      </c>
      <c r="AF880" s="37">
        <f>IF(Table1[[#This Row],[P/750]]&lt;Expenses!$C$30,1,IF(Table1[[#This Row],[P/750]]&lt;Expenses!$C$31,2,IF(Table1[[#This Row],[P/750]]&lt;Expenses!$C$32,3,4)))</f>
        <v>3</v>
      </c>
      <c r="AH880" t="s">
        <v>1131</v>
      </c>
      <c r="AI880" s="11">
        <f>Table1[[#This Row],[Price]]/Table1[[#This Row],[Size (ml)]]*750</f>
        <v>40</v>
      </c>
      <c r="AK880" s="37">
        <f>COUNTIF(UniqueID!A:A,Table1[[#This Row],[ID]])</f>
        <v>1</v>
      </c>
      <c r="AL880" s="37" t="str">
        <f>VLOOKUP(Table1[[#This Row],[Cellar Location]],Location!A:F,6,FALSE)</f>
        <v>K</v>
      </c>
      <c r="AN880" s="37"/>
      <c r="AO880" s="37" t="str">
        <f>TEXT(Table1[[#This Row],[Purchased]],"mmmm")</f>
        <v>January</v>
      </c>
      <c r="AP880" s="10" t="str">
        <f>TEXT(Table1[[#This Row],[Purchased]],"yyyy")</f>
        <v>1900</v>
      </c>
      <c r="AQ880" s="10"/>
    </row>
    <row r="881" spans="1:43" x14ac:dyDescent="0.25">
      <c r="A881" t="str">
        <f t="shared" si="48"/>
        <v>2016MontepelosoEneo</v>
      </c>
      <c r="B881" s="37">
        <v>2016</v>
      </c>
      <c r="C881" s="37" t="s">
        <v>1799</v>
      </c>
      <c r="D881" s="9" t="s">
        <v>1800</v>
      </c>
      <c r="E881" s="67" t="s">
        <v>1801</v>
      </c>
      <c r="F881" s="37" t="s">
        <v>728</v>
      </c>
      <c r="G881" s="37" t="s">
        <v>790</v>
      </c>
      <c r="H881" s="37" t="s">
        <v>796</v>
      </c>
      <c r="I881" s="78">
        <v>1</v>
      </c>
      <c r="J881" s="37">
        <v>750</v>
      </c>
      <c r="K881" s="78" t="s">
        <v>1545</v>
      </c>
      <c r="L881" s="10">
        <f>COUNTIF(Drank!A:A,Table1[[#This Row],[ID]])</f>
        <v>1</v>
      </c>
      <c r="M881" t="s">
        <v>202</v>
      </c>
      <c r="N881" t="s">
        <v>207</v>
      </c>
      <c r="O881">
        <v>1</v>
      </c>
      <c r="P881" s="10"/>
      <c r="R881" s="10" t="str">
        <f>IF(IFERROR(VLOOKUP(A881,Drank!A:S,15,FALSE),"")=0,"",IFERROR(VLOOKUP(A881,Drank!A:S,15,FALSE),""))</f>
        <v/>
      </c>
      <c r="S881" s="10" t="str">
        <f>IF(IFERROR(VLOOKUP(A881,Drank!A:S,16,FALSE),"")=0,"",IFERROR(VLOOKUP(A881,Drank!A:S,16,FALSE),""))</f>
        <v/>
      </c>
      <c r="T881" s="10">
        <v>2034</v>
      </c>
      <c r="V881" s="18">
        <f>IF(IFERROR(VLOOKUP(A881,Drank!A:T,19,FALSE),"")=0,"",IFERROR(VLOOKUP(A881,Drank!A:T,19,FALSE),""))</f>
        <v>93</v>
      </c>
      <c r="W881" s="1">
        <f>IF(IFERROR(VLOOKUP(A881,Drank!A:T,20,FALSE),"")=0,"",IFERROR(VLOOKUP(A881,Drank!A:T,20,FALSE),""))</f>
        <v>44074</v>
      </c>
      <c r="X881" s="10">
        <f>SUMIF(A:A,A881,I:I)</f>
        <v>7</v>
      </c>
      <c r="Y881" s="10">
        <f>IF(Table1[[#This Row],[Drank]]&gt;0,VLOOKUP(Table1[[#This Row],[ID]],Drank!A:P,16,FALSE),IF(Table1[[#This Row],[WALDD]]&gt;0,VLOOKUP(Table1[[#This Row],[ID]],Wine1!A:Q,17,FALSE),Table1[[#This Row],[EP]]))</f>
        <v>0</v>
      </c>
      <c r="Z881" s="18">
        <f>IF(Table1[[#This Row],[My Rating]]="",IF(Table1[[#This Row],[WA Rating Clean]]="","",Table1[[#This Row],[WA Rating Clean]]),Table1[[#This Row],[My Rating]])</f>
        <v>93</v>
      </c>
      <c r="AA881" s="37">
        <v>2028</v>
      </c>
      <c r="AB881" s="128">
        <v>43.87</v>
      </c>
      <c r="AC881" s="2">
        <f t="shared" si="49"/>
        <v>43.87</v>
      </c>
      <c r="AD881" s="8"/>
      <c r="AE881" s="10">
        <f>IF(Table1[[#This Row],[P/750]]&lt;20,1,IF(Table1[[#This Row],[P/750]]&lt;50,2,3))</f>
        <v>2</v>
      </c>
      <c r="AF881" s="10">
        <f>IF(Table1[[#This Row],[P/750]]&lt;Expenses!$C$30,1,IF(Table1[[#This Row],[P/750]]&lt;Expenses!$C$31,2,IF(Table1[[#This Row],[P/750]]&lt;Expenses!$C$32,3,4)))</f>
        <v>3</v>
      </c>
      <c r="AH881" s="37" t="s">
        <v>1545</v>
      </c>
      <c r="AI881" s="11">
        <f>Table1[[#This Row],[Price]]/Table1[[#This Row],[Size (ml)]]*750</f>
        <v>43.87</v>
      </c>
      <c r="AK881" s="10">
        <f>COUNTIF(UniqueID!A:A,Table1[[#This Row],[ID]])</f>
        <v>0</v>
      </c>
      <c r="AL881" s="10" t="str">
        <f>VLOOKUP(Table1[[#This Row],[Cellar Location]],Location!A:F,6,FALSE)</f>
        <v>W</v>
      </c>
      <c r="AN881" s="1">
        <v>44065</v>
      </c>
      <c r="AO881" s="10" t="str">
        <f>TEXT(Table1[[#This Row],[Purchased]],"mmmm")</f>
        <v>August</v>
      </c>
      <c r="AP881" s="10" t="str">
        <f>TEXT(Table1[[#This Row],[Purchased]],"yyyy")</f>
        <v>2020</v>
      </c>
      <c r="AQ881" s="10"/>
    </row>
    <row r="882" spans="1:43" s="37" customFormat="1" x14ac:dyDescent="0.25">
      <c r="A882" s="37" t="str">
        <f t="shared" si="48"/>
        <v>2016MontepelosoEneo</v>
      </c>
      <c r="B882" s="37">
        <v>2016</v>
      </c>
      <c r="C882" s="37" t="s">
        <v>1799</v>
      </c>
      <c r="D882" s="9" t="s">
        <v>1800</v>
      </c>
      <c r="E882" s="67" t="s">
        <v>1801</v>
      </c>
      <c r="F882" s="37" t="s">
        <v>728</v>
      </c>
      <c r="G882" s="37" t="s">
        <v>790</v>
      </c>
      <c r="H882" s="37" t="s">
        <v>796</v>
      </c>
      <c r="I882" s="78">
        <v>1</v>
      </c>
      <c r="J882" s="37">
        <v>750</v>
      </c>
      <c r="K882" s="78" t="s">
        <v>1545</v>
      </c>
      <c r="L882" s="10">
        <f>COUNTIF(Drank!A:A,Table1[[#This Row],[ID]])</f>
        <v>1</v>
      </c>
      <c r="M882" s="37" t="s">
        <v>202</v>
      </c>
      <c r="N882" s="37" t="s">
        <v>207</v>
      </c>
      <c r="O882" s="37">
        <v>1</v>
      </c>
      <c r="P882" s="10"/>
      <c r="R882" s="10" t="str">
        <f>IF(IFERROR(VLOOKUP(A882,Drank!A:S,15,FALSE),"")=0,"",IFERROR(VLOOKUP(A882,Drank!A:S,15,FALSE),""))</f>
        <v/>
      </c>
      <c r="S882" s="10" t="str">
        <f>IF(IFERROR(VLOOKUP(A882,Drank!A:S,16,FALSE),"")=0,"",IFERROR(VLOOKUP(A882,Drank!A:S,16,FALSE),""))</f>
        <v/>
      </c>
      <c r="T882" s="10">
        <v>2034</v>
      </c>
      <c r="V882" s="18">
        <f>IF(IFERROR(VLOOKUP(A882,Drank!A:T,19,FALSE),"")=0,"",IFERROR(VLOOKUP(A882,Drank!A:T,19,FALSE),""))</f>
        <v>93</v>
      </c>
      <c r="W882" s="1">
        <f>IF(IFERROR(VLOOKUP(A882,Drank!A:T,20,FALSE),"")=0,"",IFERROR(VLOOKUP(A882,Drank!A:T,20,FALSE),""))</f>
        <v>44074</v>
      </c>
      <c r="X882" s="10">
        <f>SUMIF(A:A,A882,I:I)</f>
        <v>7</v>
      </c>
      <c r="Y882" s="10">
        <f>IF(Table1[[#This Row],[Drank]]&gt;0,VLOOKUP(Table1[[#This Row],[ID]],Drank!A:P,16,FALSE),IF(Table1[[#This Row],[WALDD]]&gt;0,VLOOKUP(Table1[[#This Row],[ID]],Wine1!A:Q,17,FALSE),Table1[[#This Row],[EP]]))</f>
        <v>0</v>
      </c>
      <c r="Z882" s="18">
        <f>IF(Table1[[#This Row],[My Rating]]="",IF(Table1[[#This Row],[WA Rating Clean]]="","",Table1[[#This Row],[WA Rating Clean]]),Table1[[#This Row],[My Rating]])</f>
        <v>93</v>
      </c>
      <c r="AA882" s="37">
        <v>2029</v>
      </c>
      <c r="AB882" s="128">
        <v>43.87</v>
      </c>
      <c r="AC882" s="2">
        <f t="shared" si="49"/>
        <v>43.87</v>
      </c>
      <c r="AD882" s="8"/>
      <c r="AE882" s="10">
        <f>IF(Table1[[#This Row],[P/750]]&lt;20,1,IF(Table1[[#This Row],[P/750]]&lt;50,2,3))</f>
        <v>2</v>
      </c>
      <c r="AF882" s="10">
        <f>IF(Table1[[#This Row],[P/750]]&lt;Expenses!$C$30,1,IF(Table1[[#This Row],[P/750]]&lt;Expenses!$C$31,2,IF(Table1[[#This Row],[P/750]]&lt;Expenses!$C$32,3,4)))</f>
        <v>3</v>
      </c>
      <c r="AH882" s="37" t="s">
        <v>1545</v>
      </c>
      <c r="AI882" s="11">
        <f>Table1[[#This Row],[Price]]/Table1[[#This Row],[Size (ml)]]*750</f>
        <v>43.87</v>
      </c>
      <c r="AK882" s="10">
        <f>COUNTIF(UniqueID!A:A,Table1[[#This Row],[ID]])</f>
        <v>0</v>
      </c>
      <c r="AL882" s="10" t="str">
        <f>VLOOKUP(Table1[[#This Row],[Cellar Location]],Location!A:F,6,FALSE)</f>
        <v>W</v>
      </c>
      <c r="AN882" s="1">
        <v>44076</v>
      </c>
      <c r="AO882" s="10" t="str">
        <f>TEXT(Table1[[#This Row],[Purchased]],"mmmm")</f>
        <v>September</v>
      </c>
      <c r="AP882" s="10" t="str">
        <f>TEXT(Table1[[#This Row],[Purchased]],"yyyy")</f>
        <v>2020</v>
      </c>
      <c r="AQ882" s="10"/>
    </row>
    <row r="883" spans="1:43" s="37" customFormat="1" x14ac:dyDescent="0.25">
      <c r="A883" s="37" t="str">
        <f t="shared" si="48"/>
        <v>2016MontepelosoEneo</v>
      </c>
      <c r="B883" s="37">
        <v>2016</v>
      </c>
      <c r="C883" s="37" t="s">
        <v>1799</v>
      </c>
      <c r="D883" s="9" t="s">
        <v>1800</v>
      </c>
      <c r="E883" s="67" t="s">
        <v>1801</v>
      </c>
      <c r="F883" s="37" t="s">
        <v>728</v>
      </c>
      <c r="G883" s="37" t="s">
        <v>790</v>
      </c>
      <c r="H883" s="37" t="s">
        <v>796</v>
      </c>
      <c r="I883" s="78">
        <v>1</v>
      </c>
      <c r="J883" s="37">
        <v>750</v>
      </c>
      <c r="K883" s="78" t="s">
        <v>1545</v>
      </c>
      <c r="L883" s="10">
        <f>COUNTIF(Drank!A:A,Table1[[#This Row],[ID]])</f>
        <v>1</v>
      </c>
      <c r="M883" s="37" t="s">
        <v>202</v>
      </c>
      <c r="N883" s="37" t="s">
        <v>207</v>
      </c>
      <c r="O883" s="37">
        <v>1</v>
      </c>
      <c r="P883" s="10"/>
      <c r="R883" s="10" t="str">
        <f>IF(IFERROR(VLOOKUP(A883,Drank!A:S,15,FALSE),"")=0,"",IFERROR(VLOOKUP(A883,Drank!A:S,15,FALSE),""))</f>
        <v/>
      </c>
      <c r="S883" s="10" t="str">
        <f>IF(IFERROR(VLOOKUP(A883,Drank!A:S,16,FALSE),"")=0,"",IFERROR(VLOOKUP(A883,Drank!A:S,16,FALSE),""))</f>
        <v/>
      </c>
      <c r="T883" s="10">
        <v>2034</v>
      </c>
      <c r="V883" s="18">
        <f>IF(IFERROR(VLOOKUP(A883,Drank!A:T,19,FALSE),"")=0,"",IFERROR(VLOOKUP(A883,Drank!A:T,19,FALSE),""))</f>
        <v>93</v>
      </c>
      <c r="W883" s="1">
        <f>IF(IFERROR(VLOOKUP(A883,Drank!A:T,20,FALSE),"")=0,"",IFERROR(VLOOKUP(A883,Drank!A:T,20,FALSE),""))</f>
        <v>44074</v>
      </c>
      <c r="X883" s="10">
        <f>SUMIF(A:A,A883,I:I)</f>
        <v>7</v>
      </c>
      <c r="Y883" s="10">
        <f>IF(Table1[[#This Row],[Drank]]&gt;0,VLOOKUP(Table1[[#This Row],[ID]],Drank!A:P,16,FALSE),IF(Table1[[#This Row],[WALDD]]&gt;0,VLOOKUP(Table1[[#This Row],[ID]],Wine1!A:Q,17,FALSE),Table1[[#This Row],[EP]]))</f>
        <v>0</v>
      </c>
      <c r="Z883" s="18">
        <f>IF(Table1[[#This Row],[My Rating]]="",IF(Table1[[#This Row],[WA Rating Clean]]="","",Table1[[#This Row],[WA Rating Clean]]),Table1[[#This Row],[My Rating]])</f>
        <v>93</v>
      </c>
      <c r="AA883" s="37">
        <v>2030</v>
      </c>
      <c r="AB883" s="128">
        <v>43.87</v>
      </c>
      <c r="AC883" s="2">
        <f t="shared" si="49"/>
        <v>43.87</v>
      </c>
      <c r="AD883" s="8"/>
      <c r="AE883" s="10">
        <f>IF(Table1[[#This Row],[P/750]]&lt;20,1,IF(Table1[[#This Row],[P/750]]&lt;50,2,3))</f>
        <v>2</v>
      </c>
      <c r="AF883" s="10">
        <f>IF(Table1[[#This Row],[P/750]]&lt;Expenses!$C$30,1,IF(Table1[[#This Row],[P/750]]&lt;Expenses!$C$31,2,IF(Table1[[#This Row],[P/750]]&lt;Expenses!$C$32,3,4)))</f>
        <v>3</v>
      </c>
      <c r="AH883" s="37" t="s">
        <v>1545</v>
      </c>
      <c r="AI883" s="11">
        <f>Table1[[#This Row],[Price]]/Table1[[#This Row],[Size (ml)]]*750</f>
        <v>43.87</v>
      </c>
      <c r="AK883" s="10">
        <f>COUNTIF(UniqueID!A:A,Table1[[#This Row],[ID]])</f>
        <v>0</v>
      </c>
      <c r="AL883" s="10" t="str">
        <f>VLOOKUP(Table1[[#This Row],[Cellar Location]],Location!A:F,6,FALSE)</f>
        <v>W</v>
      </c>
      <c r="AN883" s="1">
        <v>44076</v>
      </c>
      <c r="AO883" s="10" t="str">
        <f>TEXT(Table1[[#This Row],[Purchased]],"mmmm")</f>
        <v>September</v>
      </c>
      <c r="AP883" s="10" t="str">
        <f>TEXT(Table1[[#This Row],[Purchased]],"yyyy")</f>
        <v>2020</v>
      </c>
      <c r="AQ883" s="10"/>
    </row>
    <row r="884" spans="1:43" s="37" customFormat="1" x14ac:dyDescent="0.25">
      <c r="A884" s="37" t="str">
        <f t="shared" si="48"/>
        <v>2016MontepelosoEneo</v>
      </c>
      <c r="B884" s="37">
        <v>2016</v>
      </c>
      <c r="C884" s="37" t="s">
        <v>1799</v>
      </c>
      <c r="D884" s="9" t="s">
        <v>1800</v>
      </c>
      <c r="E884" s="67" t="s">
        <v>1801</v>
      </c>
      <c r="F884" s="37" t="s">
        <v>728</v>
      </c>
      <c r="G884" s="37" t="s">
        <v>790</v>
      </c>
      <c r="H884" s="37" t="s">
        <v>796</v>
      </c>
      <c r="I884" s="78">
        <v>1</v>
      </c>
      <c r="J884" s="37">
        <v>750</v>
      </c>
      <c r="K884" s="78" t="s">
        <v>1545</v>
      </c>
      <c r="L884" s="10">
        <f>COUNTIF(Drank!A:A,Table1[[#This Row],[ID]])</f>
        <v>1</v>
      </c>
      <c r="M884" s="37" t="s">
        <v>202</v>
      </c>
      <c r="N884" s="37" t="s">
        <v>207</v>
      </c>
      <c r="O884" s="37">
        <v>1</v>
      </c>
      <c r="P884" s="10"/>
      <c r="R884" s="10" t="str">
        <f>IF(IFERROR(VLOOKUP(A884,Drank!A:S,15,FALSE),"")=0,"",IFERROR(VLOOKUP(A884,Drank!A:S,15,FALSE),""))</f>
        <v/>
      </c>
      <c r="S884" s="10" t="str">
        <f>IF(IFERROR(VLOOKUP(A884,Drank!A:S,16,FALSE),"")=0,"",IFERROR(VLOOKUP(A884,Drank!A:S,16,FALSE),""))</f>
        <v/>
      </c>
      <c r="T884" s="10">
        <v>2034</v>
      </c>
      <c r="V884" s="18">
        <f>IF(IFERROR(VLOOKUP(A884,Drank!A:T,19,FALSE),"")=0,"",IFERROR(VLOOKUP(A884,Drank!A:T,19,FALSE),""))</f>
        <v>93</v>
      </c>
      <c r="W884" s="1">
        <f>IF(IFERROR(VLOOKUP(A884,Drank!A:T,20,FALSE),"")=0,"",IFERROR(VLOOKUP(A884,Drank!A:T,20,FALSE),""))</f>
        <v>44074</v>
      </c>
      <c r="X884" s="10">
        <f>SUMIF(A:A,A884,I:I)</f>
        <v>7</v>
      </c>
      <c r="Y884" s="10">
        <f>IF(Table1[[#This Row],[Drank]]&gt;0,VLOOKUP(Table1[[#This Row],[ID]],Drank!A:P,16,FALSE),IF(Table1[[#This Row],[WALDD]]&gt;0,VLOOKUP(Table1[[#This Row],[ID]],Wine1!A:Q,17,FALSE),Table1[[#This Row],[EP]]))</f>
        <v>0</v>
      </c>
      <c r="Z884" s="18">
        <f>IF(Table1[[#This Row],[My Rating]]="",IF(Table1[[#This Row],[WA Rating Clean]]="","",Table1[[#This Row],[WA Rating Clean]]),Table1[[#This Row],[My Rating]])</f>
        <v>93</v>
      </c>
      <c r="AA884" s="37">
        <v>2031</v>
      </c>
      <c r="AB884" s="128">
        <v>43.87</v>
      </c>
      <c r="AC884" s="2">
        <f t="shared" si="49"/>
        <v>43.87</v>
      </c>
      <c r="AD884" s="8"/>
      <c r="AE884" s="10">
        <f>IF(Table1[[#This Row],[P/750]]&lt;20,1,IF(Table1[[#This Row],[P/750]]&lt;50,2,3))</f>
        <v>2</v>
      </c>
      <c r="AF884" s="10">
        <f>IF(Table1[[#This Row],[P/750]]&lt;Expenses!$C$30,1,IF(Table1[[#This Row],[P/750]]&lt;Expenses!$C$31,2,IF(Table1[[#This Row],[P/750]]&lt;Expenses!$C$32,3,4)))</f>
        <v>3</v>
      </c>
      <c r="AH884" s="37" t="s">
        <v>1545</v>
      </c>
      <c r="AI884" s="11">
        <f>Table1[[#This Row],[Price]]/Table1[[#This Row],[Size (ml)]]*750</f>
        <v>43.87</v>
      </c>
      <c r="AK884" s="10">
        <f>COUNTIF(UniqueID!A:A,Table1[[#This Row],[ID]])</f>
        <v>0</v>
      </c>
      <c r="AL884" s="10" t="str">
        <f>VLOOKUP(Table1[[#This Row],[Cellar Location]],Location!A:F,6,FALSE)</f>
        <v>W</v>
      </c>
      <c r="AN884" s="1">
        <v>44076</v>
      </c>
      <c r="AO884" s="10" t="str">
        <f>TEXT(Table1[[#This Row],[Purchased]],"mmmm")</f>
        <v>September</v>
      </c>
      <c r="AP884" s="10" t="str">
        <f>TEXT(Table1[[#This Row],[Purchased]],"yyyy")</f>
        <v>2020</v>
      </c>
      <c r="AQ884" s="10"/>
    </row>
    <row r="885" spans="1:43" s="37" customFormat="1" x14ac:dyDescent="0.25">
      <c r="A885" s="37" t="str">
        <f t="shared" si="48"/>
        <v>2016MontepelosoEneo</v>
      </c>
      <c r="B885" s="37">
        <v>2016</v>
      </c>
      <c r="C885" s="37" t="s">
        <v>1799</v>
      </c>
      <c r="D885" s="9" t="s">
        <v>1800</v>
      </c>
      <c r="E885" s="67" t="s">
        <v>1801</v>
      </c>
      <c r="F885" s="37" t="s">
        <v>728</v>
      </c>
      <c r="G885" s="37" t="s">
        <v>790</v>
      </c>
      <c r="H885" s="37" t="s">
        <v>796</v>
      </c>
      <c r="I885" s="78">
        <v>1</v>
      </c>
      <c r="J885" s="37">
        <v>750</v>
      </c>
      <c r="K885" s="78" t="s">
        <v>1545</v>
      </c>
      <c r="L885" s="10">
        <f>COUNTIF(Drank!A:A,Table1[[#This Row],[ID]])</f>
        <v>1</v>
      </c>
      <c r="M885" s="37" t="s">
        <v>202</v>
      </c>
      <c r="N885" s="37" t="s">
        <v>207</v>
      </c>
      <c r="O885" s="37">
        <v>1</v>
      </c>
      <c r="P885" s="10"/>
      <c r="R885" s="10" t="str">
        <f>IF(IFERROR(VLOOKUP(A885,Drank!A:S,15,FALSE),"")=0,"",IFERROR(VLOOKUP(A885,Drank!A:S,15,FALSE),""))</f>
        <v/>
      </c>
      <c r="S885" s="10" t="str">
        <f>IF(IFERROR(VLOOKUP(A885,Drank!A:S,16,FALSE),"")=0,"",IFERROR(VLOOKUP(A885,Drank!A:S,16,FALSE),""))</f>
        <v/>
      </c>
      <c r="T885" s="10">
        <v>2034</v>
      </c>
      <c r="V885" s="18">
        <f>IF(IFERROR(VLOOKUP(A885,Drank!A:T,19,FALSE),"")=0,"",IFERROR(VLOOKUP(A885,Drank!A:T,19,FALSE),""))</f>
        <v>93</v>
      </c>
      <c r="W885" s="1">
        <f>IF(IFERROR(VLOOKUP(A885,Drank!A:T,20,FALSE),"")=0,"",IFERROR(VLOOKUP(A885,Drank!A:T,20,FALSE),""))</f>
        <v>44074</v>
      </c>
      <c r="X885" s="10">
        <f>SUMIF(A:A,A885,I:I)</f>
        <v>7</v>
      </c>
      <c r="Y885" s="10">
        <f>IF(Table1[[#This Row],[Drank]]&gt;0,VLOOKUP(Table1[[#This Row],[ID]],Drank!A:P,16,FALSE),IF(Table1[[#This Row],[WALDD]]&gt;0,VLOOKUP(Table1[[#This Row],[ID]],Wine1!A:Q,17,FALSE),Table1[[#This Row],[EP]]))</f>
        <v>0</v>
      </c>
      <c r="Z885" s="18">
        <f>IF(Table1[[#This Row],[My Rating]]="",IF(Table1[[#This Row],[WA Rating Clean]]="","",Table1[[#This Row],[WA Rating Clean]]),Table1[[#This Row],[My Rating]])</f>
        <v>93</v>
      </c>
      <c r="AA885" s="37">
        <v>2032</v>
      </c>
      <c r="AB885" s="128">
        <v>43.87</v>
      </c>
      <c r="AC885" s="2">
        <f t="shared" si="49"/>
        <v>43.87</v>
      </c>
      <c r="AD885" s="8"/>
      <c r="AE885" s="10">
        <f>IF(Table1[[#This Row],[P/750]]&lt;20,1,IF(Table1[[#This Row],[P/750]]&lt;50,2,3))</f>
        <v>2</v>
      </c>
      <c r="AF885" s="10">
        <f>IF(Table1[[#This Row],[P/750]]&lt;Expenses!$C$30,1,IF(Table1[[#This Row],[P/750]]&lt;Expenses!$C$31,2,IF(Table1[[#This Row],[P/750]]&lt;Expenses!$C$32,3,4)))</f>
        <v>3</v>
      </c>
      <c r="AH885" s="37" t="s">
        <v>1545</v>
      </c>
      <c r="AI885" s="11">
        <f>Table1[[#This Row],[Price]]/Table1[[#This Row],[Size (ml)]]*750</f>
        <v>43.87</v>
      </c>
      <c r="AK885" s="10">
        <f>COUNTIF(UniqueID!A:A,Table1[[#This Row],[ID]])</f>
        <v>0</v>
      </c>
      <c r="AL885" s="10" t="str">
        <f>VLOOKUP(Table1[[#This Row],[Cellar Location]],Location!A:F,6,FALSE)</f>
        <v>W</v>
      </c>
      <c r="AN885" s="1">
        <v>44076</v>
      </c>
      <c r="AO885" s="10" t="str">
        <f>TEXT(Table1[[#This Row],[Purchased]],"mmmm")</f>
        <v>September</v>
      </c>
      <c r="AP885" s="10" t="str">
        <f>TEXT(Table1[[#This Row],[Purchased]],"yyyy")</f>
        <v>2020</v>
      </c>
      <c r="AQ885" s="10"/>
    </row>
    <row r="886" spans="1:43" s="37" customFormat="1" x14ac:dyDescent="0.25">
      <c r="A886" s="37" t="str">
        <f t="shared" si="48"/>
        <v>2016Paolo ScavinoBarolo Bric del Fiasc</v>
      </c>
      <c r="B886" s="37">
        <v>2016</v>
      </c>
      <c r="C886" s="37" t="s">
        <v>1796</v>
      </c>
      <c r="D886" s="9" t="s">
        <v>1878</v>
      </c>
      <c r="E886" s="67" t="s">
        <v>1206</v>
      </c>
      <c r="F886" s="37" t="s">
        <v>728</v>
      </c>
      <c r="G886" s="37" t="s">
        <v>778</v>
      </c>
      <c r="H886" s="37" t="s">
        <v>1692</v>
      </c>
      <c r="I886" s="78">
        <v>1</v>
      </c>
      <c r="J886" s="37">
        <v>750</v>
      </c>
      <c r="K886" s="78" t="s">
        <v>1545</v>
      </c>
      <c r="L886" s="10">
        <f>COUNTIF(Drank!A:A,Table1[[#This Row],[ID]])</f>
        <v>0</v>
      </c>
      <c r="M886" s="37" t="s">
        <v>202</v>
      </c>
      <c r="N886" s="37" t="s">
        <v>207</v>
      </c>
      <c r="O886" s="37">
        <v>1</v>
      </c>
      <c r="P886" s="10">
        <v>2024</v>
      </c>
      <c r="Q886" s="37">
        <v>2050</v>
      </c>
      <c r="R886" s="10" t="str">
        <f>IF(IFERROR(VLOOKUP(A886,Drank!A:S,15,FALSE),"")=0,"",IFERROR(VLOOKUP(A886,Drank!A:S,15,FALSE),""))</f>
        <v/>
      </c>
      <c r="S886" s="10" t="str">
        <f>IF(IFERROR(VLOOKUP(A886,Drank!A:S,16,FALSE),"")=0,"",IFERROR(VLOOKUP(A886,Drank!A:S,16,FALSE),""))</f>
        <v/>
      </c>
      <c r="T886" s="10"/>
      <c r="U886" s="37">
        <v>98</v>
      </c>
      <c r="V886" s="18" t="str">
        <f>IF(IFERROR(VLOOKUP(A886,Drank!A:T,19,FALSE),"")=0,"",IFERROR(VLOOKUP(A886,Drank!A:T,19,FALSE),""))</f>
        <v/>
      </c>
      <c r="W886" s="1" t="str">
        <f>IF(IFERROR(VLOOKUP(A886,Drank!A:T,20,FALSE),"")=0,"",IFERROR(VLOOKUP(A886,Drank!A:T,20,FALSE),""))</f>
        <v/>
      </c>
      <c r="X886" s="10">
        <f>SUMIF(A:A,A886,I:I)</f>
        <v>3</v>
      </c>
      <c r="Y886" s="10">
        <f>IF(Table1[[#This Row],[Drank]]&gt;0,VLOOKUP(Table1[[#This Row],[ID]],Drank!A:P,16,FALSE),IF(Table1[[#This Row],[WALDD]]&gt;0,VLOOKUP(Table1[[#This Row],[ID]],Wine1!A:Q,17,FALSE),Table1[[#This Row],[EP]]))</f>
        <v>2050</v>
      </c>
      <c r="Z886" s="18">
        <f>IF(Table1[[#This Row],[My Rating]]="",IF(Table1[[#This Row],[WA Rating Clean]]="","",Table1[[#This Row],[WA Rating Clean]]),Table1[[#This Row],[My Rating]])</f>
        <v>98</v>
      </c>
      <c r="AA886" s="37">
        <v>2039</v>
      </c>
      <c r="AB886" s="128">
        <v>92.32</v>
      </c>
      <c r="AC886" s="2">
        <f t="shared" si="49"/>
        <v>92.32</v>
      </c>
      <c r="AD886" s="8"/>
      <c r="AE886" s="10">
        <f>IF(Table1[[#This Row],[P/750]]&lt;20,1,IF(Table1[[#This Row],[P/750]]&lt;50,2,3))</f>
        <v>3</v>
      </c>
      <c r="AF886" s="10">
        <f>IF(Table1[[#This Row],[P/750]]&lt;Expenses!$C$30,1,IF(Table1[[#This Row],[P/750]]&lt;Expenses!$C$31,2,IF(Table1[[#This Row],[P/750]]&lt;Expenses!$C$32,3,4)))</f>
        <v>4</v>
      </c>
      <c r="AH886" s="37" t="s">
        <v>1545</v>
      </c>
      <c r="AI886" s="11">
        <f>Table1[[#This Row],[Price]]/Table1[[#This Row],[Size (ml)]]*750</f>
        <v>92.32</v>
      </c>
      <c r="AJ886" s="37">
        <v>98</v>
      </c>
      <c r="AK886" s="10">
        <f>COUNTIF(UniqueID!A:A,Table1[[#This Row],[ID]])</f>
        <v>0</v>
      </c>
      <c r="AL886" s="10" t="str">
        <f>VLOOKUP(Table1[[#This Row],[Cellar Location]],Location!A:F,6,FALSE)</f>
        <v>W</v>
      </c>
      <c r="AN886" s="1">
        <v>44076</v>
      </c>
      <c r="AO886" s="10" t="str">
        <f>TEXT(Table1[[#This Row],[Purchased]],"mmmm")</f>
        <v>September</v>
      </c>
      <c r="AP886" s="10" t="str">
        <f>TEXT(Table1[[#This Row],[Purchased]],"yyyy")</f>
        <v>2020</v>
      </c>
      <c r="AQ886" s="10"/>
    </row>
    <row r="887" spans="1:43" s="37" customFormat="1" x14ac:dyDescent="0.25">
      <c r="A887" s="37" t="str">
        <f t="shared" si="48"/>
        <v>2016Paolo ScavinoBarolo Bric del Fiasc</v>
      </c>
      <c r="B887" s="37">
        <v>2016</v>
      </c>
      <c r="C887" s="37" t="s">
        <v>1796</v>
      </c>
      <c r="D887" s="9" t="s">
        <v>1878</v>
      </c>
      <c r="E887" s="67" t="s">
        <v>1206</v>
      </c>
      <c r="F887" s="37" t="s">
        <v>728</v>
      </c>
      <c r="G887" s="37" t="s">
        <v>778</v>
      </c>
      <c r="H887" s="37" t="s">
        <v>1692</v>
      </c>
      <c r="I887" s="78">
        <v>1</v>
      </c>
      <c r="J887" s="37">
        <v>750</v>
      </c>
      <c r="K887" s="78" t="s">
        <v>1545</v>
      </c>
      <c r="L887" s="10">
        <f>COUNTIF(Drank!A:A,Table1[[#This Row],[ID]])</f>
        <v>0</v>
      </c>
      <c r="M887" s="37" t="s">
        <v>202</v>
      </c>
      <c r="N887" s="37" t="s">
        <v>207</v>
      </c>
      <c r="O887" s="37">
        <v>1</v>
      </c>
      <c r="P887" s="10">
        <v>2024</v>
      </c>
      <c r="Q887" s="37">
        <v>2050</v>
      </c>
      <c r="R887" s="10" t="str">
        <f>IF(IFERROR(VLOOKUP(A887,Drank!A:S,15,FALSE),"")=0,"",IFERROR(VLOOKUP(A887,Drank!A:S,15,FALSE),""))</f>
        <v/>
      </c>
      <c r="S887" s="10" t="str">
        <f>IF(IFERROR(VLOOKUP(A887,Drank!A:S,16,FALSE),"")=0,"",IFERROR(VLOOKUP(A887,Drank!A:S,16,FALSE),""))</f>
        <v/>
      </c>
      <c r="T887" s="10"/>
      <c r="U887" s="37">
        <v>98</v>
      </c>
      <c r="V887" s="18" t="str">
        <f>IF(IFERROR(VLOOKUP(A887,Drank!A:T,19,FALSE),"")=0,"",IFERROR(VLOOKUP(A887,Drank!A:T,19,FALSE),""))</f>
        <v/>
      </c>
      <c r="W887" s="1" t="str">
        <f>IF(IFERROR(VLOOKUP(A887,Drank!A:T,20,FALSE),"")=0,"",IFERROR(VLOOKUP(A887,Drank!A:T,20,FALSE),""))</f>
        <v/>
      </c>
      <c r="X887" s="10">
        <f>SUMIF(A:A,A887,I:I)</f>
        <v>3</v>
      </c>
      <c r="Y887" s="10">
        <f>IF(Table1[[#This Row],[Drank]]&gt;0,VLOOKUP(Table1[[#This Row],[ID]],Drank!A:P,16,FALSE),IF(Table1[[#This Row],[WALDD]]&gt;0,VLOOKUP(Table1[[#This Row],[ID]],Wine1!A:Q,17,FALSE),Table1[[#This Row],[EP]]))</f>
        <v>2050</v>
      </c>
      <c r="Z887" s="18">
        <f>IF(Table1[[#This Row],[My Rating]]="",IF(Table1[[#This Row],[WA Rating Clean]]="","",Table1[[#This Row],[WA Rating Clean]]),Table1[[#This Row],[My Rating]])</f>
        <v>98</v>
      </c>
      <c r="AA887" s="37">
        <v>2044</v>
      </c>
      <c r="AB887" s="128">
        <v>92.32</v>
      </c>
      <c r="AC887" s="2">
        <f t="shared" si="49"/>
        <v>92.32</v>
      </c>
      <c r="AD887" s="8"/>
      <c r="AE887" s="10">
        <f>IF(Table1[[#This Row],[P/750]]&lt;20,1,IF(Table1[[#This Row],[P/750]]&lt;50,2,3))</f>
        <v>3</v>
      </c>
      <c r="AF887" s="10">
        <f>IF(Table1[[#This Row],[P/750]]&lt;Expenses!$C$30,1,IF(Table1[[#This Row],[P/750]]&lt;Expenses!$C$31,2,IF(Table1[[#This Row],[P/750]]&lt;Expenses!$C$32,3,4)))</f>
        <v>4</v>
      </c>
      <c r="AH887" s="37" t="s">
        <v>1545</v>
      </c>
      <c r="AI887" s="11">
        <f>Table1[[#This Row],[Price]]/Table1[[#This Row],[Size (ml)]]*750</f>
        <v>92.32</v>
      </c>
      <c r="AJ887" s="37">
        <v>98</v>
      </c>
      <c r="AK887" s="10">
        <f>COUNTIF(UniqueID!A:A,Table1[[#This Row],[ID]])</f>
        <v>0</v>
      </c>
      <c r="AL887" s="10" t="str">
        <f>VLOOKUP(Table1[[#This Row],[Cellar Location]],Location!A:F,6,FALSE)</f>
        <v>W</v>
      </c>
      <c r="AN887" s="1">
        <v>44076</v>
      </c>
      <c r="AO887" s="10" t="str">
        <f>TEXT(Table1[[#This Row],[Purchased]],"mmmm")</f>
        <v>September</v>
      </c>
      <c r="AP887" s="10" t="str">
        <f>TEXT(Table1[[#This Row],[Purchased]],"yyyy")</f>
        <v>2020</v>
      </c>
      <c r="AQ887" s="10"/>
    </row>
    <row r="888" spans="1:43" s="37" customFormat="1" x14ac:dyDescent="0.25">
      <c r="A888" s="37" t="str">
        <f t="shared" si="48"/>
        <v>2016Paolo ScavinoBarolo Bric del Fiasc</v>
      </c>
      <c r="B888" s="37">
        <v>2016</v>
      </c>
      <c r="C888" s="37" t="s">
        <v>1796</v>
      </c>
      <c r="D888" s="9" t="s">
        <v>1878</v>
      </c>
      <c r="E888" s="67" t="s">
        <v>1206</v>
      </c>
      <c r="F888" s="37" t="s">
        <v>728</v>
      </c>
      <c r="G888" s="37" t="s">
        <v>778</v>
      </c>
      <c r="H888" s="37" t="s">
        <v>1692</v>
      </c>
      <c r="I888" s="78">
        <v>1</v>
      </c>
      <c r="J888" s="37">
        <v>750</v>
      </c>
      <c r="K888" s="78" t="s">
        <v>1545</v>
      </c>
      <c r="L888" s="10">
        <f>COUNTIF(Drank!A:A,Table1[[#This Row],[ID]])</f>
        <v>0</v>
      </c>
      <c r="M888" s="37" t="s">
        <v>202</v>
      </c>
      <c r="N888" s="37" t="s">
        <v>207</v>
      </c>
      <c r="O888" s="37">
        <v>1</v>
      </c>
      <c r="P888" s="10">
        <v>2024</v>
      </c>
      <c r="Q888" s="37">
        <v>2050</v>
      </c>
      <c r="R888" s="10" t="str">
        <f>IF(IFERROR(VLOOKUP(A888,Drank!A:S,15,FALSE),"")=0,"",IFERROR(VLOOKUP(A888,Drank!A:S,15,FALSE),""))</f>
        <v/>
      </c>
      <c r="S888" s="10" t="str">
        <f>IF(IFERROR(VLOOKUP(A888,Drank!A:S,16,FALSE),"")=0,"",IFERROR(VLOOKUP(A888,Drank!A:S,16,FALSE),""))</f>
        <v/>
      </c>
      <c r="T888" s="10"/>
      <c r="U888" s="37">
        <v>98</v>
      </c>
      <c r="V888" s="18" t="str">
        <f>IF(IFERROR(VLOOKUP(A888,Drank!A:T,19,FALSE),"")=0,"",IFERROR(VLOOKUP(A888,Drank!A:T,19,FALSE),""))</f>
        <v/>
      </c>
      <c r="W888" s="1" t="str">
        <f>IF(IFERROR(VLOOKUP(A888,Drank!A:T,20,FALSE),"")=0,"",IFERROR(VLOOKUP(A888,Drank!A:T,20,FALSE),""))</f>
        <v/>
      </c>
      <c r="X888" s="10">
        <f>SUMIF(A:A,A888,I:I)</f>
        <v>3</v>
      </c>
      <c r="Y888" s="10">
        <f>IF(Table1[[#This Row],[Drank]]&gt;0,VLOOKUP(Table1[[#This Row],[ID]],Drank!A:P,16,FALSE),IF(Table1[[#This Row],[WALDD]]&gt;0,VLOOKUP(Table1[[#This Row],[ID]],Wine1!A:Q,17,FALSE),Table1[[#This Row],[EP]]))</f>
        <v>2050</v>
      </c>
      <c r="Z888" s="18">
        <f>IF(Table1[[#This Row],[My Rating]]="",IF(Table1[[#This Row],[WA Rating Clean]]="","",Table1[[#This Row],[WA Rating Clean]]),Table1[[#This Row],[My Rating]])</f>
        <v>98</v>
      </c>
      <c r="AA888" s="37">
        <v>2050</v>
      </c>
      <c r="AB888" s="128">
        <v>92.32</v>
      </c>
      <c r="AC888" s="2">
        <f t="shared" si="49"/>
        <v>92.32</v>
      </c>
      <c r="AD888" s="8"/>
      <c r="AE888" s="10">
        <f>IF(Table1[[#This Row],[P/750]]&lt;20,1,IF(Table1[[#This Row],[P/750]]&lt;50,2,3))</f>
        <v>3</v>
      </c>
      <c r="AF888" s="10">
        <f>IF(Table1[[#This Row],[P/750]]&lt;Expenses!$C$30,1,IF(Table1[[#This Row],[P/750]]&lt;Expenses!$C$31,2,IF(Table1[[#This Row],[P/750]]&lt;Expenses!$C$32,3,4)))</f>
        <v>4</v>
      </c>
      <c r="AH888" s="37" t="s">
        <v>1545</v>
      </c>
      <c r="AI888" s="11">
        <f>Table1[[#This Row],[Price]]/Table1[[#This Row],[Size (ml)]]*750</f>
        <v>92.32</v>
      </c>
      <c r="AJ888" s="37">
        <v>98</v>
      </c>
      <c r="AK888" s="10">
        <f>COUNTIF(UniqueID!A:A,Table1[[#This Row],[ID]])</f>
        <v>0</v>
      </c>
      <c r="AL888" s="10" t="str">
        <f>VLOOKUP(Table1[[#This Row],[Cellar Location]],Location!A:F,6,FALSE)</f>
        <v>W</v>
      </c>
      <c r="AN888" s="1">
        <v>44076</v>
      </c>
      <c r="AO888" s="10" t="str">
        <f>TEXT(Table1[[#This Row],[Purchased]],"mmmm")</f>
        <v>September</v>
      </c>
      <c r="AP888" s="10" t="str">
        <f>TEXT(Table1[[#This Row],[Purchased]],"yyyy")</f>
        <v>2020</v>
      </c>
      <c r="AQ888" s="10"/>
    </row>
    <row r="889" spans="1:43" s="37" customFormat="1" x14ac:dyDescent="0.25">
      <c r="A889" s="37" t="str">
        <f t="shared" si="48"/>
        <v>2017Domaine Raymond UsseglioVin de France le Creation</v>
      </c>
      <c r="B889" s="37">
        <v>2017</v>
      </c>
      <c r="C889" s="37" t="s">
        <v>1879</v>
      </c>
      <c r="D889" s="9" t="s">
        <v>1880</v>
      </c>
      <c r="E889" s="69" t="s">
        <v>1248</v>
      </c>
      <c r="F889" s="37" t="s">
        <v>742</v>
      </c>
      <c r="G889" s="37" t="s">
        <v>1681</v>
      </c>
      <c r="I889" s="78">
        <v>1</v>
      </c>
      <c r="J889" s="37">
        <v>750</v>
      </c>
      <c r="K889" s="78" t="s">
        <v>1545</v>
      </c>
      <c r="L889" s="10">
        <f>COUNTIF(Drank!A:A,Table1[[#This Row],[ID]])</f>
        <v>0</v>
      </c>
      <c r="M889" s="37" t="s">
        <v>202</v>
      </c>
      <c r="N889" s="37" t="s">
        <v>207</v>
      </c>
      <c r="O889" s="37">
        <v>1</v>
      </c>
      <c r="P889" s="10">
        <v>2019</v>
      </c>
      <c r="Q889" s="37">
        <v>2027</v>
      </c>
      <c r="R889" s="10" t="str">
        <f>IF(IFERROR(VLOOKUP(A889,Drank!A:S,15,FALSE),"")=0,"",IFERROR(VLOOKUP(A889,Drank!A:S,15,FALSE),""))</f>
        <v/>
      </c>
      <c r="S889" s="10" t="str">
        <f>IF(IFERROR(VLOOKUP(A889,Drank!A:S,16,FALSE),"")=0,"",IFERROR(VLOOKUP(A889,Drank!A:S,16,FALSE),""))</f>
        <v/>
      </c>
      <c r="T889" s="10"/>
      <c r="U889" s="37">
        <v>96</v>
      </c>
      <c r="V889" s="18" t="str">
        <f>IF(IFERROR(VLOOKUP(A889,Drank!A:T,19,FALSE),"")=0,"",IFERROR(VLOOKUP(A889,Drank!A:T,19,FALSE),""))</f>
        <v/>
      </c>
      <c r="W889" s="1" t="str">
        <f>IF(IFERROR(VLOOKUP(A889,Drank!A:T,20,FALSE),"")=0,"",IFERROR(VLOOKUP(A889,Drank!A:T,20,FALSE),""))</f>
        <v/>
      </c>
      <c r="X889" s="10">
        <f>SUMIF(A:A,A889,I:I)</f>
        <v>2</v>
      </c>
      <c r="Y889" s="10">
        <f>IF(Table1[[#This Row],[Drank]]&gt;0,VLOOKUP(Table1[[#This Row],[ID]],Drank!A:P,16,FALSE),IF(Table1[[#This Row],[WALDD]]&gt;0,VLOOKUP(Table1[[#This Row],[ID]],Wine1!A:Q,17,FALSE),Table1[[#This Row],[EP]]))</f>
        <v>2027</v>
      </c>
      <c r="Z889" s="18">
        <f>IF(Table1[[#This Row],[My Rating]]="",IF(Table1[[#This Row],[WA Rating Clean]]="","",Table1[[#This Row],[WA Rating Clean]]),Table1[[#This Row],[My Rating]])</f>
        <v>96</v>
      </c>
      <c r="AA889" s="37">
        <v>2020</v>
      </c>
      <c r="AB889" s="128">
        <v>32.578136999999998</v>
      </c>
      <c r="AC889" s="2">
        <f t="shared" si="49"/>
        <v>32.578136999999998</v>
      </c>
      <c r="AD889" s="8"/>
      <c r="AE889" s="10">
        <f>IF(Table1[[#This Row],[P/750]]&lt;20,1,IF(Table1[[#This Row],[P/750]]&lt;50,2,3))</f>
        <v>2</v>
      </c>
      <c r="AF889" s="10">
        <f>IF(Table1[[#This Row],[P/750]]&lt;Expenses!$C$30,1,IF(Table1[[#This Row],[P/750]]&lt;Expenses!$C$31,2,IF(Table1[[#This Row],[P/750]]&lt;Expenses!$C$32,3,4)))</f>
        <v>3</v>
      </c>
      <c r="AH889" s="37" t="s">
        <v>1545</v>
      </c>
      <c r="AI889" s="11">
        <f>Table1[[#This Row],[Price]]/Table1[[#This Row],[Size (ml)]]*750</f>
        <v>32.578136999999998</v>
      </c>
      <c r="AJ889" s="37">
        <v>96</v>
      </c>
      <c r="AK889" s="10">
        <f>COUNTIF(UniqueID!A:A,Table1[[#This Row],[ID]])</f>
        <v>0</v>
      </c>
      <c r="AL889" s="10" t="str">
        <f>VLOOKUP(Table1[[#This Row],[Cellar Location]],Location!A:F,6,FALSE)</f>
        <v>W</v>
      </c>
      <c r="AN889" s="1">
        <v>44076</v>
      </c>
      <c r="AO889" s="10" t="str">
        <f>TEXT(Table1[[#This Row],[Purchased]],"mmmm")</f>
        <v>September</v>
      </c>
      <c r="AP889" s="10" t="str">
        <f>TEXT(Table1[[#This Row],[Purchased]],"yyyy")</f>
        <v>2020</v>
      </c>
      <c r="AQ889" s="10"/>
    </row>
    <row r="890" spans="1:43" s="37" customFormat="1" x14ac:dyDescent="0.25">
      <c r="A890" s="37" t="str">
        <f t="shared" si="48"/>
        <v>2017Domaine Raymond UsseglioVin de France le Creation</v>
      </c>
      <c r="B890" s="37">
        <v>2017</v>
      </c>
      <c r="C890" s="37" t="s">
        <v>1879</v>
      </c>
      <c r="D890" s="9" t="s">
        <v>1880</v>
      </c>
      <c r="E890" s="69" t="s">
        <v>1248</v>
      </c>
      <c r="F890" s="37" t="s">
        <v>742</v>
      </c>
      <c r="G890" s="37" t="s">
        <v>1681</v>
      </c>
      <c r="I890" s="78">
        <v>1</v>
      </c>
      <c r="J890" s="37">
        <v>750</v>
      </c>
      <c r="K890" s="78" t="s">
        <v>1545</v>
      </c>
      <c r="L890" s="10">
        <f>COUNTIF(Drank!A:A,Table1[[#This Row],[ID]])</f>
        <v>0</v>
      </c>
      <c r="M890" s="37" t="s">
        <v>202</v>
      </c>
      <c r="N890" s="37" t="s">
        <v>207</v>
      </c>
      <c r="O890" s="37">
        <v>1</v>
      </c>
      <c r="P890" s="10">
        <v>2019</v>
      </c>
      <c r="Q890" s="37">
        <v>2027</v>
      </c>
      <c r="R890" s="10" t="str">
        <f>IF(IFERROR(VLOOKUP(A890,Drank!A:S,15,FALSE),"")=0,"",IFERROR(VLOOKUP(A890,Drank!A:S,15,FALSE),""))</f>
        <v/>
      </c>
      <c r="S890" s="10" t="str">
        <f>IF(IFERROR(VLOOKUP(A890,Drank!A:S,16,FALSE),"")=0,"",IFERROR(VLOOKUP(A890,Drank!A:S,16,FALSE),""))</f>
        <v/>
      </c>
      <c r="T890" s="10"/>
      <c r="U890" s="37">
        <v>96</v>
      </c>
      <c r="V890" s="18" t="str">
        <f>IF(IFERROR(VLOOKUP(A890,Drank!A:T,19,FALSE),"")=0,"",IFERROR(VLOOKUP(A890,Drank!A:T,19,FALSE),""))</f>
        <v/>
      </c>
      <c r="W890" s="1" t="str">
        <f>IF(IFERROR(VLOOKUP(A890,Drank!A:T,20,FALSE),"")=0,"",IFERROR(VLOOKUP(A890,Drank!A:T,20,FALSE),""))</f>
        <v/>
      </c>
      <c r="X890" s="10">
        <f>SUMIF(A:A,A890,I:I)</f>
        <v>2</v>
      </c>
      <c r="Y890" s="10">
        <f>IF(Table1[[#This Row],[Drank]]&gt;0,VLOOKUP(Table1[[#This Row],[ID]],Drank!A:P,16,FALSE),IF(Table1[[#This Row],[WALDD]]&gt;0,VLOOKUP(Table1[[#This Row],[ID]],Wine1!A:Q,17,FALSE),Table1[[#This Row],[EP]]))</f>
        <v>2027</v>
      </c>
      <c r="Z890" s="18">
        <f>IF(Table1[[#This Row],[My Rating]]="",IF(Table1[[#This Row],[WA Rating Clean]]="","",Table1[[#This Row],[WA Rating Clean]]),Table1[[#This Row],[My Rating]])</f>
        <v>96</v>
      </c>
      <c r="AA890" s="37">
        <v>2027</v>
      </c>
      <c r="AB890" s="128">
        <v>32.578136999999998</v>
      </c>
      <c r="AC890" s="2">
        <f t="shared" si="49"/>
        <v>32.578136999999998</v>
      </c>
      <c r="AD890" s="8"/>
      <c r="AE890" s="10">
        <f>IF(Table1[[#This Row],[P/750]]&lt;20,1,IF(Table1[[#This Row],[P/750]]&lt;50,2,3))</f>
        <v>2</v>
      </c>
      <c r="AF890" s="10">
        <f>IF(Table1[[#This Row],[P/750]]&lt;Expenses!$C$30,1,IF(Table1[[#This Row],[P/750]]&lt;Expenses!$C$31,2,IF(Table1[[#This Row],[P/750]]&lt;Expenses!$C$32,3,4)))</f>
        <v>3</v>
      </c>
      <c r="AH890" s="37" t="s">
        <v>1545</v>
      </c>
      <c r="AI890" s="11">
        <f>Table1[[#This Row],[Price]]/Table1[[#This Row],[Size (ml)]]*750</f>
        <v>32.578136999999998</v>
      </c>
      <c r="AJ890" s="37">
        <v>96</v>
      </c>
      <c r="AK890" s="10">
        <f>COUNTIF(UniqueID!A:A,Table1[[#This Row],[ID]])</f>
        <v>0</v>
      </c>
      <c r="AL890" s="10" t="str">
        <f>VLOOKUP(Table1[[#This Row],[Cellar Location]],Location!A:F,6,FALSE)</f>
        <v>W</v>
      </c>
      <c r="AN890" s="1">
        <v>44076</v>
      </c>
      <c r="AO890" s="10" t="str">
        <f>TEXT(Table1[[#This Row],[Purchased]],"mmmm")</f>
        <v>September</v>
      </c>
      <c r="AP890" s="10" t="str">
        <f>TEXT(Table1[[#This Row],[Purchased]],"yyyy")</f>
        <v>2020</v>
      </c>
      <c r="AQ890" s="10"/>
    </row>
    <row r="891" spans="1:43" s="37" customFormat="1" x14ac:dyDescent="0.25">
      <c r="A891" s="37" t="str">
        <f t="shared" si="48"/>
        <v>2018MontsecanoRefugio Pinot Noir</v>
      </c>
      <c r="B891" s="37">
        <v>2018</v>
      </c>
      <c r="C891" s="37" t="s">
        <v>1881</v>
      </c>
      <c r="D891" s="9" t="s">
        <v>1884</v>
      </c>
      <c r="E891" s="67" t="s">
        <v>1462</v>
      </c>
      <c r="F891" s="37" t="s">
        <v>952</v>
      </c>
      <c r="G891" s="37" t="s">
        <v>1882</v>
      </c>
      <c r="H891" s="37" t="s">
        <v>1883</v>
      </c>
      <c r="I891" s="78">
        <v>1</v>
      </c>
      <c r="J891" s="37">
        <v>750</v>
      </c>
      <c r="K891" s="78" t="s">
        <v>1545</v>
      </c>
      <c r="L891" s="10">
        <f>COUNTIF(Drank!A:A,Table1[[#This Row],[ID]])</f>
        <v>0</v>
      </c>
      <c r="M891" s="37" t="s">
        <v>202</v>
      </c>
      <c r="N891" s="37" t="s">
        <v>207</v>
      </c>
      <c r="O891" s="37">
        <v>1</v>
      </c>
      <c r="P891" s="10">
        <v>2020</v>
      </c>
      <c r="Q891" s="37">
        <v>2025</v>
      </c>
      <c r="R891" s="10" t="str">
        <f>IF(IFERROR(VLOOKUP(A891,Drank!A:S,15,FALSE),"")=0,"",IFERROR(VLOOKUP(A891,Drank!A:S,15,FALSE),""))</f>
        <v/>
      </c>
      <c r="S891" s="10" t="str">
        <f>IF(IFERROR(VLOOKUP(A891,Drank!A:S,16,FALSE),"")=0,"",IFERROR(VLOOKUP(A891,Drank!A:S,16,FALSE),""))</f>
        <v/>
      </c>
      <c r="T891" s="10"/>
      <c r="U891" s="37">
        <v>94</v>
      </c>
      <c r="V891" s="18" t="str">
        <f>IF(IFERROR(VLOOKUP(A891,Drank!A:T,19,FALSE),"")=0,"",IFERROR(VLOOKUP(A891,Drank!A:T,19,FALSE),""))</f>
        <v/>
      </c>
      <c r="W891" s="1" t="str">
        <f>IF(IFERROR(VLOOKUP(A891,Drank!A:T,20,FALSE),"")=0,"",IFERROR(VLOOKUP(A891,Drank!A:T,20,FALSE),""))</f>
        <v/>
      </c>
      <c r="X891" s="10">
        <f>SUMIF(A:A,A891,I:I)</f>
        <v>2</v>
      </c>
      <c r="Y891" s="10">
        <f>IF(Table1[[#This Row],[Drank]]&gt;0,VLOOKUP(Table1[[#This Row],[ID]],Drank!A:P,16,FALSE),IF(Table1[[#This Row],[WALDD]]&gt;0,VLOOKUP(Table1[[#This Row],[ID]],Wine1!A:Q,17,FALSE),Table1[[#This Row],[EP]]))</f>
        <v>2025</v>
      </c>
      <c r="Z891" s="18">
        <f>IF(Table1[[#This Row],[My Rating]]="",IF(Table1[[#This Row],[WA Rating Clean]]="","",Table1[[#This Row],[WA Rating Clean]]),Table1[[#This Row],[My Rating]])</f>
        <v>94</v>
      </c>
      <c r="AA891" s="37">
        <v>2020</v>
      </c>
      <c r="AB891" s="128">
        <v>21.715136999999999</v>
      </c>
      <c r="AC891" s="2">
        <f t="shared" si="49"/>
        <v>21.715136999999999</v>
      </c>
      <c r="AD891" s="8"/>
      <c r="AE891" s="10">
        <f>IF(Table1[[#This Row],[P/750]]&lt;20,1,IF(Table1[[#This Row],[P/750]]&lt;50,2,3))</f>
        <v>2</v>
      </c>
      <c r="AF891" s="10">
        <f>IF(Table1[[#This Row],[P/750]]&lt;Expenses!$C$30,1,IF(Table1[[#This Row],[P/750]]&lt;Expenses!$C$31,2,IF(Table1[[#This Row],[P/750]]&lt;Expenses!$C$32,3,4)))</f>
        <v>2</v>
      </c>
      <c r="AH891" s="37" t="s">
        <v>1545</v>
      </c>
      <c r="AI891" s="11">
        <f>Table1[[#This Row],[Price]]/Table1[[#This Row],[Size (ml)]]*750</f>
        <v>21.715136999999999</v>
      </c>
      <c r="AJ891" s="37">
        <v>94</v>
      </c>
      <c r="AK891" s="10">
        <f>COUNTIF(UniqueID!A:A,Table1[[#This Row],[ID]])</f>
        <v>0</v>
      </c>
      <c r="AL891" s="10" t="str">
        <f>VLOOKUP(Table1[[#This Row],[Cellar Location]],Location!A:F,6,FALSE)</f>
        <v>W</v>
      </c>
      <c r="AN891" s="1">
        <v>44076</v>
      </c>
      <c r="AO891" s="10" t="str">
        <f>TEXT(Table1[[#This Row],[Purchased]],"mmmm")</f>
        <v>September</v>
      </c>
      <c r="AP891" s="10" t="str">
        <f>TEXT(Table1[[#This Row],[Purchased]],"yyyy")</f>
        <v>2020</v>
      </c>
      <c r="AQ891" s="10"/>
    </row>
    <row r="892" spans="1:43" s="37" customFormat="1" x14ac:dyDescent="0.25">
      <c r="A892" s="37" t="str">
        <f t="shared" si="48"/>
        <v>2018MontsecanoRefugio Pinot Noir</v>
      </c>
      <c r="B892" s="37">
        <v>2018</v>
      </c>
      <c r="C892" s="37" t="s">
        <v>1881</v>
      </c>
      <c r="D892" s="9" t="s">
        <v>1884</v>
      </c>
      <c r="E892" s="67" t="s">
        <v>1462</v>
      </c>
      <c r="F892" s="37" t="s">
        <v>952</v>
      </c>
      <c r="G892" s="37" t="s">
        <v>1882</v>
      </c>
      <c r="H892" s="37" t="s">
        <v>1883</v>
      </c>
      <c r="I892" s="78">
        <v>1</v>
      </c>
      <c r="J892" s="37">
        <v>750</v>
      </c>
      <c r="K892" s="78" t="s">
        <v>1545</v>
      </c>
      <c r="L892" s="10">
        <f>COUNTIF(Drank!A:A,Table1[[#This Row],[ID]])</f>
        <v>0</v>
      </c>
      <c r="M892" s="37" t="s">
        <v>202</v>
      </c>
      <c r="N892" s="37" t="s">
        <v>207</v>
      </c>
      <c r="O892" s="37">
        <v>1</v>
      </c>
      <c r="P892" s="10">
        <v>2020</v>
      </c>
      <c r="Q892" s="37">
        <v>2025</v>
      </c>
      <c r="R892" s="10" t="str">
        <f>IF(IFERROR(VLOOKUP(A892,Drank!A:S,15,FALSE),"")=0,"",IFERROR(VLOOKUP(A892,Drank!A:S,15,FALSE),""))</f>
        <v/>
      </c>
      <c r="S892" s="10" t="str">
        <f>IF(IFERROR(VLOOKUP(A892,Drank!A:S,16,FALSE),"")=0,"",IFERROR(VLOOKUP(A892,Drank!A:S,16,FALSE),""))</f>
        <v/>
      </c>
      <c r="T892" s="10"/>
      <c r="U892" s="37">
        <v>94</v>
      </c>
      <c r="V892" s="18" t="str">
        <f>IF(IFERROR(VLOOKUP(A892,Drank!A:T,19,FALSE),"")=0,"",IFERROR(VLOOKUP(A892,Drank!A:T,19,FALSE),""))</f>
        <v/>
      </c>
      <c r="W892" s="1" t="str">
        <f>IF(IFERROR(VLOOKUP(A892,Drank!A:T,20,FALSE),"")=0,"",IFERROR(VLOOKUP(A892,Drank!A:T,20,FALSE),""))</f>
        <v/>
      </c>
      <c r="X892" s="10">
        <f>SUMIF(A:A,A892,I:I)</f>
        <v>2</v>
      </c>
      <c r="Y892" s="10">
        <f>IF(Table1[[#This Row],[Drank]]&gt;0,VLOOKUP(Table1[[#This Row],[ID]],Drank!A:P,16,FALSE),IF(Table1[[#This Row],[WALDD]]&gt;0,VLOOKUP(Table1[[#This Row],[ID]],Wine1!A:Q,17,FALSE),Table1[[#This Row],[EP]]))</f>
        <v>2025</v>
      </c>
      <c r="Z892" s="18">
        <f>IF(Table1[[#This Row],[My Rating]]="",IF(Table1[[#This Row],[WA Rating Clean]]="","",Table1[[#This Row],[WA Rating Clean]]),Table1[[#This Row],[My Rating]])</f>
        <v>94</v>
      </c>
      <c r="AA892" s="37">
        <v>2024</v>
      </c>
      <c r="AB892" s="128">
        <v>21.715136999999999</v>
      </c>
      <c r="AC892" s="2">
        <f t="shared" si="49"/>
        <v>21.715136999999999</v>
      </c>
      <c r="AD892" s="8"/>
      <c r="AE892" s="10">
        <f>IF(Table1[[#This Row],[P/750]]&lt;20,1,IF(Table1[[#This Row],[P/750]]&lt;50,2,3))</f>
        <v>2</v>
      </c>
      <c r="AF892" s="10">
        <f>IF(Table1[[#This Row],[P/750]]&lt;Expenses!$C$30,1,IF(Table1[[#This Row],[P/750]]&lt;Expenses!$C$31,2,IF(Table1[[#This Row],[P/750]]&lt;Expenses!$C$32,3,4)))</f>
        <v>2</v>
      </c>
      <c r="AH892" s="37" t="s">
        <v>1545</v>
      </c>
      <c r="AI892" s="11">
        <f>Table1[[#This Row],[Price]]/Table1[[#This Row],[Size (ml)]]*750</f>
        <v>21.715136999999999</v>
      </c>
      <c r="AJ892" s="37">
        <v>94</v>
      </c>
      <c r="AK892" s="10">
        <f>COUNTIF(UniqueID!A:A,Table1[[#This Row],[ID]])</f>
        <v>0</v>
      </c>
      <c r="AL892" s="10" t="str">
        <f>VLOOKUP(Table1[[#This Row],[Cellar Location]],Location!A:F,6,FALSE)</f>
        <v>W</v>
      </c>
      <c r="AN892" s="1">
        <v>44076</v>
      </c>
      <c r="AO892" s="10" t="str">
        <f>TEXT(Table1[[#This Row],[Purchased]],"mmmm")</f>
        <v>September</v>
      </c>
      <c r="AP892" s="10" t="str">
        <f>TEXT(Table1[[#This Row],[Purchased]],"yyyy")</f>
        <v>2020</v>
      </c>
      <c r="AQ892" s="10"/>
    </row>
    <row r="893" spans="1:43" s="37" customFormat="1" x14ac:dyDescent="0.25">
      <c r="A893" s="37" t="str">
        <f t="shared" si="48"/>
        <v>2016Paolo ScavinoBarolo Monvigliero</v>
      </c>
      <c r="B893" s="37">
        <v>2016</v>
      </c>
      <c r="C893" s="37" t="s">
        <v>1796</v>
      </c>
      <c r="D893" s="9" t="s">
        <v>1885</v>
      </c>
      <c r="E893" s="67" t="s">
        <v>1206</v>
      </c>
      <c r="F893" s="37" t="s">
        <v>728</v>
      </c>
      <c r="G893" s="37" t="s">
        <v>778</v>
      </c>
      <c r="H893" s="37" t="s">
        <v>1887</v>
      </c>
      <c r="I893" s="8">
        <v>1</v>
      </c>
      <c r="J893" s="38">
        <v>750</v>
      </c>
      <c r="K893" s="38" t="s">
        <v>1139</v>
      </c>
      <c r="L893" s="10">
        <f>COUNTIF(Drank!A:A,Table1[[#This Row],[ID]])</f>
        <v>0</v>
      </c>
      <c r="M893" s="37" t="s">
        <v>202</v>
      </c>
      <c r="N893" s="37" t="s">
        <v>207</v>
      </c>
      <c r="O893" s="37">
        <v>1</v>
      </c>
      <c r="P893" s="10">
        <v>2023</v>
      </c>
      <c r="Q893" s="37">
        <v>2045</v>
      </c>
      <c r="R893" s="10" t="str">
        <f>IF(IFERROR(VLOOKUP(A893,Drank!A:S,15,FALSE),"")=0,"",IFERROR(VLOOKUP(A893,Drank!A:S,15,FALSE),""))</f>
        <v/>
      </c>
      <c r="S893" s="10" t="str">
        <f>IF(IFERROR(VLOOKUP(A893,Drank!A:S,16,FALSE),"")=0,"",IFERROR(VLOOKUP(A893,Drank!A:S,16,FALSE),""))</f>
        <v/>
      </c>
      <c r="T893" s="10"/>
      <c r="U893" s="37">
        <v>96</v>
      </c>
      <c r="V893" s="18" t="str">
        <f>IF(IFERROR(VLOOKUP(A893,Drank!A:T,19,FALSE),"")=0,"",IFERROR(VLOOKUP(A893,Drank!A:T,19,FALSE),""))</f>
        <v/>
      </c>
      <c r="W893" s="1" t="str">
        <f>IF(IFERROR(VLOOKUP(A893,Drank!A:T,20,FALSE),"")=0,"",IFERROR(VLOOKUP(A893,Drank!A:T,20,FALSE),""))</f>
        <v/>
      </c>
      <c r="X893" s="10">
        <f>SUMIF(A:A,A893,I:I)</f>
        <v>3</v>
      </c>
      <c r="Y893" s="10">
        <f>IF(Table1[[#This Row],[Drank]]&gt;0,VLOOKUP(Table1[[#This Row],[ID]],Drank!A:P,16,FALSE),IF(Table1[[#This Row],[WALDD]]&gt;0,VLOOKUP(Table1[[#This Row],[ID]],Wine1!A:Q,17,FALSE),Table1[[#This Row],[EP]]))</f>
        <v>2045</v>
      </c>
      <c r="Z893" s="18">
        <f>IF(Table1[[#This Row],[My Rating]]="",IF(Table1[[#This Row],[WA Rating Clean]]="","",Table1[[#This Row],[WA Rating Clean]]),Table1[[#This Row],[My Rating]])</f>
        <v>96</v>
      </c>
      <c r="AA893" s="37">
        <v>2031</v>
      </c>
      <c r="AB893" s="128">
        <v>67.25</v>
      </c>
      <c r="AC893" s="2">
        <f t="shared" si="49"/>
        <v>67.25</v>
      </c>
      <c r="AD893" s="8"/>
      <c r="AE893" s="10">
        <f>IF(Table1[[#This Row],[P/750]]&lt;20,1,IF(Table1[[#This Row],[P/750]]&lt;50,2,3))</f>
        <v>3</v>
      </c>
      <c r="AF893" s="10">
        <f>IF(Table1[[#This Row],[P/750]]&lt;Expenses!$C$30,1,IF(Table1[[#This Row],[P/750]]&lt;Expenses!$C$31,2,IF(Table1[[#This Row],[P/750]]&lt;Expenses!$C$32,3,4)))</f>
        <v>4</v>
      </c>
      <c r="AH893" s="37" t="s">
        <v>1139</v>
      </c>
      <c r="AI893" s="11">
        <f>Table1[[#This Row],[Price]]/Table1[[#This Row],[Size (ml)]]*750</f>
        <v>67.25</v>
      </c>
      <c r="AJ893" s="37">
        <v>96</v>
      </c>
      <c r="AK893" s="10">
        <f>COUNTIF(UniqueID!A:A,Table1[[#This Row],[ID]])</f>
        <v>0</v>
      </c>
      <c r="AL893" s="10" t="str">
        <f>VLOOKUP(Table1[[#This Row],[Cellar Location]],Location!A:F,6,FALSE)</f>
        <v>W</v>
      </c>
      <c r="AN893" s="1"/>
      <c r="AO893" s="10" t="str">
        <f>TEXT(Table1[[#This Row],[Purchased]],"mmmm")</f>
        <v>January</v>
      </c>
      <c r="AP893" s="10" t="str">
        <f>TEXT(Table1[[#This Row],[Purchased]],"yyyy")</f>
        <v>1900</v>
      </c>
      <c r="AQ893" s="1">
        <v>44133</v>
      </c>
    </row>
    <row r="894" spans="1:43" s="37" customFormat="1" x14ac:dyDescent="0.25">
      <c r="A894" s="37" t="str">
        <f t="shared" si="48"/>
        <v>2016Paolo ScavinoBarolo Monvigliero</v>
      </c>
      <c r="B894" s="37">
        <v>2016</v>
      </c>
      <c r="C894" s="37" t="s">
        <v>1796</v>
      </c>
      <c r="D894" s="9" t="s">
        <v>1885</v>
      </c>
      <c r="E894" s="67" t="s">
        <v>1206</v>
      </c>
      <c r="F894" s="37" t="s">
        <v>728</v>
      </c>
      <c r="G894" s="37" t="s">
        <v>778</v>
      </c>
      <c r="H894" s="37" t="s">
        <v>1887</v>
      </c>
      <c r="I894" s="8">
        <v>1</v>
      </c>
      <c r="J894" s="38">
        <v>750</v>
      </c>
      <c r="K894" s="38" t="s">
        <v>1139</v>
      </c>
      <c r="L894" s="10">
        <f>COUNTIF(Drank!A:A,Table1[[#This Row],[ID]])</f>
        <v>0</v>
      </c>
      <c r="M894" s="37" t="s">
        <v>202</v>
      </c>
      <c r="N894" s="37" t="s">
        <v>207</v>
      </c>
      <c r="O894" s="37">
        <v>1</v>
      </c>
      <c r="P894" s="10">
        <v>2023</v>
      </c>
      <c r="Q894" s="37">
        <v>2045</v>
      </c>
      <c r="R894" s="10" t="str">
        <f>IF(IFERROR(VLOOKUP(A894,Drank!A:S,15,FALSE),"")=0,"",IFERROR(VLOOKUP(A894,Drank!A:S,15,FALSE),""))</f>
        <v/>
      </c>
      <c r="S894" s="10" t="str">
        <f>IF(IFERROR(VLOOKUP(A894,Drank!A:S,16,FALSE),"")=0,"",IFERROR(VLOOKUP(A894,Drank!A:S,16,FALSE),""))</f>
        <v/>
      </c>
      <c r="T894" s="10"/>
      <c r="U894" s="37">
        <v>96</v>
      </c>
      <c r="V894" s="18" t="str">
        <f>IF(IFERROR(VLOOKUP(A894,Drank!A:T,19,FALSE),"")=0,"",IFERROR(VLOOKUP(A894,Drank!A:T,19,FALSE),""))</f>
        <v/>
      </c>
      <c r="W894" s="1" t="str">
        <f>IF(IFERROR(VLOOKUP(A894,Drank!A:T,20,FALSE),"")=0,"",IFERROR(VLOOKUP(A894,Drank!A:T,20,FALSE),""))</f>
        <v/>
      </c>
      <c r="X894" s="10">
        <f>SUMIF(A:A,A894,I:I)</f>
        <v>3</v>
      </c>
      <c r="Y894" s="10">
        <f>IF(Table1[[#This Row],[Drank]]&gt;0,VLOOKUP(Table1[[#This Row],[ID]],Drank!A:P,16,FALSE),IF(Table1[[#This Row],[WALDD]]&gt;0,VLOOKUP(Table1[[#This Row],[ID]],Wine1!A:Q,17,FALSE),Table1[[#This Row],[EP]]))</f>
        <v>2045</v>
      </c>
      <c r="Z894" s="18">
        <f>IF(Table1[[#This Row],[My Rating]]="",IF(Table1[[#This Row],[WA Rating Clean]]="","",Table1[[#This Row],[WA Rating Clean]]),Table1[[#This Row],[My Rating]])</f>
        <v>96</v>
      </c>
      <c r="AA894" s="37">
        <v>2033</v>
      </c>
      <c r="AB894" s="128">
        <v>67.25</v>
      </c>
      <c r="AC894" s="2">
        <f t="shared" si="49"/>
        <v>67.25</v>
      </c>
      <c r="AD894" s="8"/>
      <c r="AE894" s="10">
        <f>IF(Table1[[#This Row],[P/750]]&lt;20,1,IF(Table1[[#This Row],[P/750]]&lt;50,2,3))</f>
        <v>3</v>
      </c>
      <c r="AF894" s="10">
        <f>IF(Table1[[#This Row],[P/750]]&lt;Expenses!$C$30,1,IF(Table1[[#This Row],[P/750]]&lt;Expenses!$C$31,2,IF(Table1[[#This Row],[P/750]]&lt;Expenses!$C$32,3,4)))</f>
        <v>4</v>
      </c>
      <c r="AH894" s="37" t="s">
        <v>1139</v>
      </c>
      <c r="AI894" s="11">
        <f>Table1[[#This Row],[Price]]/Table1[[#This Row],[Size (ml)]]*750</f>
        <v>67.25</v>
      </c>
      <c r="AJ894" s="37">
        <v>96</v>
      </c>
      <c r="AK894" s="10">
        <f>COUNTIF(UniqueID!A:A,Table1[[#This Row],[ID]])</f>
        <v>0</v>
      </c>
      <c r="AL894" s="10" t="str">
        <f>VLOOKUP(Table1[[#This Row],[Cellar Location]],Location!A:F,6,FALSE)</f>
        <v>W</v>
      </c>
      <c r="AN894" s="1"/>
      <c r="AO894" s="10" t="str">
        <f>TEXT(Table1[[#This Row],[Purchased]],"mmmm")</f>
        <v>January</v>
      </c>
      <c r="AP894" s="10" t="str">
        <f>TEXT(Table1[[#This Row],[Purchased]],"yyyy")</f>
        <v>1900</v>
      </c>
      <c r="AQ894" s="1">
        <v>44133</v>
      </c>
    </row>
    <row r="895" spans="1:43" s="37" customFormat="1" x14ac:dyDescent="0.25">
      <c r="A895" s="37" t="str">
        <f t="shared" si="48"/>
        <v>2016Paolo ScavinoBarolo Monvigliero</v>
      </c>
      <c r="B895" s="37">
        <v>2016</v>
      </c>
      <c r="C895" s="37" t="s">
        <v>1796</v>
      </c>
      <c r="D895" s="9" t="s">
        <v>1885</v>
      </c>
      <c r="E895" s="67" t="s">
        <v>1206</v>
      </c>
      <c r="F895" s="37" t="s">
        <v>728</v>
      </c>
      <c r="G895" s="37" t="s">
        <v>778</v>
      </c>
      <c r="H895" s="37" t="s">
        <v>1887</v>
      </c>
      <c r="I895" s="8">
        <v>1</v>
      </c>
      <c r="J895" s="38">
        <v>750</v>
      </c>
      <c r="K895" s="38" t="s">
        <v>1139</v>
      </c>
      <c r="L895" s="10">
        <f>COUNTIF(Drank!A:A,Table1[[#This Row],[ID]])</f>
        <v>0</v>
      </c>
      <c r="M895" s="37" t="s">
        <v>202</v>
      </c>
      <c r="N895" s="37" t="s">
        <v>207</v>
      </c>
      <c r="O895" s="37">
        <v>1</v>
      </c>
      <c r="P895" s="10">
        <v>2023</v>
      </c>
      <c r="Q895" s="37">
        <v>2045</v>
      </c>
      <c r="R895" s="10" t="str">
        <f>IF(IFERROR(VLOOKUP(A895,Drank!A:S,15,FALSE),"")=0,"",IFERROR(VLOOKUP(A895,Drank!A:S,15,FALSE),""))</f>
        <v/>
      </c>
      <c r="S895" s="10" t="str">
        <f>IF(IFERROR(VLOOKUP(A895,Drank!A:S,16,FALSE),"")=0,"",IFERROR(VLOOKUP(A895,Drank!A:S,16,FALSE),""))</f>
        <v/>
      </c>
      <c r="T895" s="10"/>
      <c r="U895" s="37">
        <v>96</v>
      </c>
      <c r="V895" s="18" t="str">
        <f>IF(IFERROR(VLOOKUP(A895,Drank!A:T,19,FALSE),"")=0,"",IFERROR(VLOOKUP(A895,Drank!A:T,19,FALSE),""))</f>
        <v/>
      </c>
      <c r="W895" s="1" t="str">
        <f>IF(IFERROR(VLOOKUP(A895,Drank!A:T,20,FALSE),"")=0,"",IFERROR(VLOOKUP(A895,Drank!A:T,20,FALSE),""))</f>
        <v/>
      </c>
      <c r="X895" s="10">
        <f>SUMIF(A:A,A895,I:I)</f>
        <v>3</v>
      </c>
      <c r="Y895" s="10">
        <f>IF(Table1[[#This Row],[Drank]]&gt;0,VLOOKUP(Table1[[#This Row],[ID]],Drank!A:P,16,FALSE),IF(Table1[[#This Row],[WALDD]]&gt;0,VLOOKUP(Table1[[#This Row],[ID]],Wine1!A:Q,17,FALSE),Table1[[#This Row],[EP]]))</f>
        <v>2045</v>
      </c>
      <c r="Z895" s="18">
        <f>IF(Table1[[#This Row],[My Rating]]="",IF(Table1[[#This Row],[WA Rating Clean]]="","",Table1[[#This Row],[WA Rating Clean]]),Table1[[#This Row],[My Rating]])</f>
        <v>96</v>
      </c>
      <c r="AA895" s="37">
        <v>2038</v>
      </c>
      <c r="AB895" s="128">
        <v>67.25</v>
      </c>
      <c r="AC895" s="2">
        <f t="shared" si="49"/>
        <v>67.25</v>
      </c>
      <c r="AD895" s="8"/>
      <c r="AE895" s="10">
        <f>IF(Table1[[#This Row],[P/750]]&lt;20,1,IF(Table1[[#This Row],[P/750]]&lt;50,2,3))</f>
        <v>3</v>
      </c>
      <c r="AF895" s="10">
        <f>IF(Table1[[#This Row],[P/750]]&lt;Expenses!$C$30,1,IF(Table1[[#This Row],[P/750]]&lt;Expenses!$C$31,2,IF(Table1[[#This Row],[P/750]]&lt;Expenses!$C$32,3,4)))</f>
        <v>4</v>
      </c>
      <c r="AH895" s="37" t="s">
        <v>1139</v>
      </c>
      <c r="AI895" s="11">
        <f>Table1[[#This Row],[Price]]/Table1[[#This Row],[Size (ml)]]*750</f>
        <v>67.25</v>
      </c>
      <c r="AJ895" s="37">
        <v>96</v>
      </c>
      <c r="AK895" s="10">
        <f>COUNTIF(UniqueID!A:A,Table1[[#This Row],[ID]])</f>
        <v>0</v>
      </c>
      <c r="AL895" s="10" t="str">
        <f>VLOOKUP(Table1[[#This Row],[Cellar Location]],Location!A:F,6,FALSE)</f>
        <v>W</v>
      </c>
      <c r="AN895" s="1"/>
      <c r="AO895" s="10" t="str">
        <f>TEXT(Table1[[#This Row],[Purchased]],"mmmm")</f>
        <v>January</v>
      </c>
      <c r="AP895" s="10" t="str">
        <f>TEXT(Table1[[#This Row],[Purchased]],"yyyy")</f>
        <v>1900</v>
      </c>
      <c r="AQ895" s="1">
        <v>44133</v>
      </c>
    </row>
    <row r="896" spans="1:43" s="37" customFormat="1" x14ac:dyDescent="0.25">
      <c r="A896" s="37" t="str">
        <f t="shared" si="48"/>
        <v>2016Paolo ScavinoBarolo Carobric</v>
      </c>
      <c r="B896" s="37">
        <v>2016</v>
      </c>
      <c r="C896" s="37" t="s">
        <v>1796</v>
      </c>
      <c r="D896" s="9" t="s">
        <v>1886</v>
      </c>
      <c r="E896" s="67" t="s">
        <v>1206</v>
      </c>
      <c r="F896" s="37" t="s">
        <v>728</v>
      </c>
      <c r="G896" s="37" t="s">
        <v>778</v>
      </c>
      <c r="H896" s="37" t="s">
        <v>268</v>
      </c>
      <c r="I896" s="8">
        <v>1</v>
      </c>
      <c r="J896" s="38">
        <v>750</v>
      </c>
      <c r="K896" s="38" t="s">
        <v>1139</v>
      </c>
      <c r="L896" s="10">
        <f>COUNTIF(Drank!A:A,Table1[[#This Row],[ID]])</f>
        <v>0</v>
      </c>
      <c r="M896" s="37" t="s">
        <v>202</v>
      </c>
      <c r="N896" s="37" t="s">
        <v>207</v>
      </c>
      <c r="O896" s="37">
        <v>1</v>
      </c>
      <c r="P896" s="10">
        <v>2024</v>
      </c>
      <c r="Q896" s="37">
        <v>2050</v>
      </c>
      <c r="R896" s="10" t="str">
        <f>IF(IFERROR(VLOOKUP(A896,Drank!A:S,15,FALSE),"")=0,"",IFERROR(VLOOKUP(A896,Drank!A:S,15,FALSE),""))</f>
        <v/>
      </c>
      <c r="S896" s="10" t="str">
        <f>IF(IFERROR(VLOOKUP(A896,Drank!A:S,16,FALSE),"")=0,"",IFERROR(VLOOKUP(A896,Drank!A:S,16,FALSE),""))</f>
        <v/>
      </c>
      <c r="T896" s="10"/>
      <c r="U896" s="37">
        <v>97</v>
      </c>
      <c r="V896" s="18" t="str">
        <f>IF(IFERROR(VLOOKUP(A896,Drank!A:T,19,FALSE),"")=0,"",IFERROR(VLOOKUP(A896,Drank!A:T,19,FALSE),""))</f>
        <v/>
      </c>
      <c r="W896" s="1" t="str">
        <f>IF(IFERROR(VLOOKUP(A896,Drank!A:T,20,FALSE),"")=0,"",IFERROR(VLOOKUP(A896,Drank!A:T,20,FALSE),""))</f>
        <v/>
      </c>
      <c r="X896" s="10">
        <f>SUMIF(A:A,A896,I:I)</f>
        <v>3</v>
      </c>
      <c r="Y896" s="10">
        <f>IF(Table1[[#This Row],[Drank]]&gt;0,VLOOKUP(Table1[[#This Row],[ID]],Drank!A:P,16,FALSE),IF(Table1[[#This Row],[WALDD]]&gt;0,VLOOKUP(Table1[[#This Row],[ID]],Wine1!A:Q,17,FALSE),Table1[[#This Row],[EP]]))</f>
        <v>2050</v>
      </c>
      <c r="Z896" s="18">
        <f>IF(Table1[[#This Row],[My Rating]]="",IF(Table1[[#This Row],[WA Rating Clean]]="","",Table1[[#This Row],[WA Rating Clean]]),Table1[[#This Row],[My Rating]])</f>
        <v>97</v>
      </c>
      <c r="AA896" s="37">
        <v>2031</v>
      </c>
      <c r="AB896" s="128">
        <v>68.430000000000007</v>
      </c>
      <c r="AC896" s="2">
        <f t="shared" si="49"/>
        <v>68.430000000000007</v>
      </c>
      <c r="AD896" s="8"/>
      <c r="AE896" s="10">
        <f>IF(Table1[[#This Row],[P/750]]&lt;20,1,IF(Table1[[#This Row],[P/750]]&lt;50,2,3))</f>
        <v>3</v>
      </c>
      <c r="AF896" s="10">
        <f>IF(Table1[[#This Row],[P/750]]&lt;Expenses!$C$30,1,IF(Table1[[#This Row],[P/750]]&lt;Expenses!$C$31,2,IF(Table1[[#This Row],[P/750]]&lt;Expenses!$C$32,3,4)))</f>
        <v>4</v>
      </c>
      <c r="AH896" s="37" t="s">
        <v>1139</v>
      </c>
      <c r="AI896" s="11">
        <f>Table1[[#This Row],[Price]]/Table1[[#This Row],[Size (ml)]]*750</f>
        <v>68.430000000000007</v>
      </c>
      <c r="AJ896" s="37">
        <v>97</v>
      </c>
      <c r="AK896" s="10">
        <f>COUNTIF(UniqueID!A:A,Table1[[#This Row],[ID]])</f>
        <v>0</v>
      </c>
      <c r="AL896" s="10" t="str">
        <f>VLOOKUP(Table1[[#This Row],[Cellar Location]],Location!A:F,6,FALSE)</f>
        <v>W</v>
      </c>
      <c r="AN896" s="1">
        <v>44076</v>
      </c>
      <c r="AO896" s="10" t="str">
        <f>TEXT(Table1[[#This Row],[Purchased]],"mmmm")</f>
        <v>September</v>
      </c>
      <c r="AP896" s="10" t="str">
        <f>TEXT(Table1[[#This Row],[Purchased]],"yyyy")</f>
        <v>2020</v>
      </c>
      <c r="AQ896" s="1">
        <v>44133</v>
      </c>
    </row>
    <row r="897" spans="1:43" s="37" customFormat="1" x14ac:dyDescent="0.25">
      <c r="A897" s="37" t="str">
        <f t="shared" si="48"/>
        <v>2016Paolo ScavinoBarolo Carobric</v>
      </c>
      <c r="B897" s="37">
        <v>2016</v>
      </c>
      <c r="C897" s="37" t="s">
        <v>1796</v>
      </c>
      <c r="D897" s="9" t="s">
        <v>1886</v>
      </c>
      <c r="E897" s="67" t="s">
        <v>1206</v>
      </c>
      <c r="F897" s="37" t="s">
        <v>728</v>
      </c>
      <c r="G897" s="37" t="s">
        <v>778</v>
      </c>
      <c r="H897" s="37" t="s">
        <v>268</v>
      </c>
      <c r="I897" s="8">
        <v>1</v>
      </c>
      <c r="J897" s="38">
        <v>750</v>
      </c>
      <c r="K897" s="38" t="s">
        <v>1139</v>
      </c>
      <c r="L897" s="10">
        <f>COUNTIF(Drank!A:A,Table1[[#This Row],[ID]])</f>
        <v>0</v>
      </c>
      <c r="M897" s="37" t="s">
        <v>202</v>
      </c>
      <c r="N897" s="37" t="s">
        <v>207</v>
      </c>
      <c r="O897" s="37">
        <v>1</v>
      </c>
      <c r="P897" s="10">
        <v>2024</v>
      </c>
      <c r="Q897" s="37">
        <v>2050</v>
      </c>
      <c r="R897" s="10" t="str">
        <f>IF(IFERROR(VLOOKUP(A897,Drank!A:S,15,FALSE),"")=0,"",IFERROR(VLOOKUP(A897,Drank!A:S,15,FALSE),""))</f>
        <v/>
      </c>
      <c r="S897" s="10" t="str">
        <f>IF(IFERROR(VLOOKUP(A897,Drank!A:S,16,FALSE),"")=0,"",IFERROR(VLOOKUP(A897,Drank!A:S,16,FALSE),""))</f>
        <v/>
      </c>
      <c r="T897" s="10"/>
      <c r="U897" s="37">
        <v>97</v>
      </c>
      <c r="V897" s="18" t="str">
        <f>IF(IFERROR(VLOOKUP(A897,Drank!A:T,19,FALSE),"")=0,"",IFERROR(VLOOKUP(A897,Drank!A:T,19,FALSE),""))</f>
        <v/>
      </c>
      <c r="W897" s="1" t="str">
        <f>IF(IFERROR(VLOOKUP(A897,Drank!A:T,20,FALSE),"")=0,"",IFERROR(VLOOKUP(A897,Drank!A:T,20,FALSE),""))</f>
        <v/>
      </c>
      <c r="X897" s="10">
        <f>SUMIF(A:A,A897,I:I)</f>
        <v>3</v>
      </c>
      <c r="Y897" s="10">
        <f>IF(Table1[[#This Row],[Drank]]&gt;0,VLOOKUP(Table1[[#This Row],[ID]],Drank!A:P,16,FALSE),IF(Table1[[#This Row],[WALDD]]&gt;0,VLOOKUP(Table1[[#This Row],[ID]],Wine1!A:Q,17,FALSE),Table1[[#This Row],[EP]]))</f>
        <v>2050</v>
      </c>
      <c r="Z897" s="18">
        <f>IF(Table1[[#This Row],[My Rating]]="",IF(Table1[[#This Row],[WA Rating Clean]]="","",Table1[[#This Row],[WA Rating Clean]]),Table1[[#This Row],[My Rating]])</f>
        <v>97</v>
      </c>
      <c r="AA897" s="37">
        <v>2033</v>
      </c>
      <c r="AB897" s="128">
        <v>68.430000000000007</v>
      </c>
      <c r="AC897" s="2">
        <f t="shared" si="49"/>
        <v>68.430000000000007</v>
      </c>
      <c r="AD897" s="8"/>
      <c r="AE897" s="10">
        <f>IF(Table1[[#This Row],[P/750]]&lt;20,1,IF(Table1[[#This Row],[P/750]]&lt;50,2,3))</f>
        <v>3</v>
      </c>
      <c r="AF897" s="10">
        <f>IF(Table1[[#This Row],[P/750]]&lt;Expenses!$C$30,1,IF(Table1[[#This Row],[P/750]]&lt;Expenses!$C$31,2,IF(Table1[[#This Row],[P/750]]&lt;Expenses!$C$32,3,4)))</f>
        <v>4</v>
      </c>
      <c r="AH897" s="37" t="s">
        <v>1139</v>
      </c>
      <c r="AI897" s="11">
        <f>Table1[[#This Row],[Price]]/Table1[[#This Row],[Size (ml)]]*750</f>
        <v>68.430000000000007</v>
      </c>
      <c r="AJ897" s="37">
        <v>97</v>
      </c>
      <c r="AK897" s="10">
        <f>COUNTIF(UniqueID!A:A,Table1[[#This Row],[ID]])</f>
        <v>0</v>
      </c>
      <c r="AL897" s="10" t="str">
        <f>VLOOKUP(Table1[[#This Row],[Cellar Location]],Location!A:F,6,FALSE)</f>
        <v>W</v>
      </c>
      <c r="AN897" s="1">
        <v>44076</v>
      </c>
      <c r="AO897" s="10" t="str">
        <f>TEXT(Table1[[#This Row],[Purchased]],"mmmm")</f>
        <v>September</v>
      </c>
      <c r="AP897" s="10" t="str">
        <f>TEXT(Table1[[#This Row],[Purchased]],"yyyy")</f>
        <v>2020</v>
      </c>
      <c r="AQ897" s="1">
        <v>44133</v>
      </c>
    </row>
    <row r="898" spans="1:43" s="37" customFormat="1" x14ac:dyDescent="0.25">
      <c r="A898" s="37" t="str">
        <f t="shared" si="48"/>
        <v>2016Paolo ScavinoBarolo Carobric</v>
      </c>
      <c r="B898" s="37">
        <v>2016</v>
      </c>
      <c r="C898" s="37" t="s">
        <v>1796</v>
      </c>
      <c r="D898" s="9" t="s">
        <v>1886</v>
      </c>
      <c r="E898" s="67" t="s">
        <v>1206</v>
      </c>
      <c r="F898" s="37" t="s">
        <v>728</v>
      </c>
      <c r="G898" s="37" t="s">
        <v>778</v>
      </c>
      <c r="H898" s="37" t="s">
        <v>268</v>
      </c>
      <c r="I898" s="8">
        <v>1</v>
      </c>
      <c r="J898" s="38">
        <v>750</v>
      </c>
      <c r="K898" s="38" t="s">
        <v>1139</v>
      </c>
      <c r="L898" s="10">
        <f>COUNTIF(Drank!A:A,Table1[[#This Row],[ID]])</f>
        <v>0</v>
      </c>
      <c r="M898" s="37" t="s">
        <v>202</v>
      </c>
      <c r="N898" s="37" t="s">
        <v>207</v>
      </c>
      <c r="O898" s="37">
        <v>1</v>
      </c>
      <c r="P898" s="10">
        <v>2024</v>
      </c>
      <c r="Q898" s="37">
        <v>2050</v>
      </c>
      <c r="R898" s="10" t="str">
        <f>IF(IFERROR(VLOOKUP(A898,Drank!A:S,15,FALSE),"")=0,"",IFERROR(VLOOKUP(A898,Drank!A:S,15,FALSE),""))</f>
        <v/>
      </c>
      <c r="S898" s="10" t="str">
        <f>IF(IFERROR(VLOOKUP(A898,Drank!A:S,16,FALSE),"")=0,"",IFERROR(VLOOKUP(A898,Drank!A:S,16,FALSE),""))</f>
        <v/>
      </c>
      <c r="T898" s="10"/>
      <c r="U898" s="37">
        <v>97</v>
      </c>
      <c r="V898" s="18" t="str">
        <f>IF(IFERROR(VLOOKUP(A898,Drank!A:T,19,FALSE),"")=0,"",IFERROR(VLOOKUP(A898,Drank!A:T,19,FALSE),""))</f>
        <v/>
      </c>
      <c r="W898" s="1" t="str">
        <f>IF(IFERROR(VLOOKUP(A898,Drank!A:T,20,FALSE),"")=0,"",IFERROR(VLOOKUP(A898,Drank!A:T,20,FALSE),""))</f>
        <v/>
      </c>
      <c r="X898" s="10">
        <f>SUMIF(A:A,A898,I:I)</f>
        <v>3</v>
      </c>
      <c r="Y898" s="10">
        <f>IF(Table1[[#This Row],[Drank]]&gt;0,VLOOKUP(Table1[[#This Row],[ID]],Drank!A:P,16,FALSE),IF(Table1[[#This Row],[WALDD]]&gt;0,VLOOKUP(Table1[[#This Row],[ID]],Wine1!A:Q,17,FALSE),Table1[[#This Row],[EP]]))</f>
        <v>2050</v>
      </c>
      <c r="Z898" s="18">
        <f>IF(Table1[[#This Row],[My Rating]]="",IF(Table1[[#This Row],[WA Rating Clean]]="","",Table1[[#This Row],[WA Rating Clean]]),Table1[[#This Row],[My Rating]])</f>
        <v>97</v>
      </c>
      <c r="AA898" s="37">
        <v>2038</v>
      </c>
      <c r="AB898" s="128">
        <v>68.430000000000007</v>
      </c>
      <c r="AC898" s="2">
        <f t="shared" si="49"/>
        <v>68.430000000000007</v>
      </c>
      <c r="AD898" s="8"/>
      <c r="AE898" s="10">
        <f>IF(Table1[[#This Row],[P/750]]&lt;20,1,IF(Table1[[#This Row],[P/750]]&lt;50,2,3))</f>
        <v>3</v>
      </c>
      <c r="AF898" s="10">
        <f>IF(Table1[[#This Row],[P/750]]&lt;Expenses!$C$30,1,IF(Table1[[#This Row],[P/750]]&lt;Expenses!$C$31,2,IF(Table1[[#This Row],[P/750]]&lt;Expenses!$C$32,3,4)))</f>
        <v>4</v>
      </c>
      <c r="AH898" s="37" t="s">
        <v>1139</v>
      </c>
      <c r="AI898" s="11">
        <f>Table1[[#This Row],[Price]]/Table1[[#This Row],[Size (ml)]]*750</f>
        <v>68.430000000000007</v>
      </c>
      <c r="AJ898" s="37">
        <v>97</v>
      </c>
      <c r="AK898" s="10">
        <f>COUNTIF(UniqueID!A:A,Table1[[#This Row],[ID]])</f>
        <v>0</v>
      </c>
      <c r="AL898" s="10" t="str">
        <f>VLOOKUP(Table1[[#This Row],[Cellar Location]],Location!A:F,6,FALSE)</f>
        <v>W</v>
      </c>
      <c r="AN898" s="1">
        <v>44076</v>
      </c>
      <c r="AO898" s="10" t="str">
        <f>TEXT(Table1[[#This Row],[Purchased]],"mmmm")</f>
        <v>September</v>
      </c>
      <c r="AP898" s="10" t="str">
        <f>TEXT(Table1[[#This Row],[Purchased]],"yyyy")</f>
        <v>2020</v>
      </c>
      <c r="AQ898" s="1">
        <v>44133</v>
      </c>
    </row>
    <row r="899" spans="1:43" s="37" customFormat="1" x14ac:dyDescent="0.25">
      <c r="A899" s="37" t="str">
        <f t="shared" si="48"/>
        <v>2018Bedrock Wine CoOld Vine Zinfandel</v>
      </c>
      <c r="B899" s="37">
        <v>2018</v>
      </c>
      <c r="C899" s="37" t="s">
        <v>1888</v>
      </c>
      <c r="D899" s="9" t="s">
        <v>1889</v>
      </c>
      <c r="E899" s="67" t="s">
        <v>1890</v>
      </c>
      <c r="F899" s="37" t="s">
        <v>727</v>
      </c>
      <c r="G899" s="37" t="s">
        <v>806</v>
      </c>
      <c r="I899" s="8">
        <v>1</v>
      </c>
      <c r="J899" s="38">
        <v>750</v>
      </c>
      <c r="K899" s="38" t="s">
        <v>1139</v>
      </c>
      <c r="L899" s="10">
        <f>COUNTIF(Drank!A:A,Table1[[#This Row],[ID]])</f>
        <v>0</v>
      </c>
      <c r="M899" s="37" t="s">
        <v>202</v>
      </c>
      <c r="N899" s="37" t="s">
        <v>207</v>
      </c>
      <c r="O899" s="37">
        <v>0</v>
      </c>
      <c r="P899" s="10"/>
      <c r="R899" s="10" t="str">
        <f>IF(IFERROR(VLOOKUP(A899,Drank!A:S,15,FALSE),"")=0,"",IFERROR(VLOOKUP(A899,Drank!A:S,15,FALSE),""))</f>
        <v/>
      </c>
      <c r="S899" s="10" t="str">
        <f>IF(IFERROR(VLOOKUP(A899,Drank!A:S,16,FALSE),"")=0,"",IFERROR(VLOOKUP(A899,Drank!A:S,16,FALSE),""))</f>
        <v/>
      </c>
      <c r="T899" s="10">
        <v>2025</v>
      </c>
      <c r="V899" s="18" t="str">
        <f>IF(IFERROR(VLOOKUP(A899,Drank!A:T,19,FALSE),"")=0,"",IFERROR(VLOOKUP(A899,Drank!A:T,19,FALSE),""))</f>
        <v/>
      </c>
      <c r="W899" s="1" t="str">
        <f>IF(IFERROR(VLOOKUP(A899,Drank!A:T,20,FALSE),"")=0,"",IFERROR(VLOOKUP(A899,Drank!A:T,20,FALSE),""))</f>
        <v/>
      </c>
      <c r="X899" s="10">
        <f>SUMIF(A:A,A899,I:I)</f>
        <v>1</v>
      </c>
      <c r="Y899" s="10">
        <f>IF(Table1[[#This Row],[Drank]]&gt;0,VLOOKUP(Table1[[#This Row],[ID]],Drank!A:P,16,FALSE),IF(Table1[[#This Row],[WALDD]]&gt;0,VLOOKUP(Table1[[#This Row],[ID]],Wine1!A:Q,17,FALSE),Table1[[#This Row],[EP]]))</f>
        <v>2025</v>
      </c>
      <c r="Z899" s="18" t="str">
        <f>IF(Table1[[#This Row],[My Rating]]="",IF(Table1[[#This Row],[WA Rating Clean]]="","",Table1[[#This Row],[WA Rating Clean]]),Table1[[#This Row],[My Rating]])</f>
        <v/>
      </c>
      <c r="AA899" s="37">
        <v>2020</v>
      </c>
      <c r="AB899" s="128">
        <v>27.86</v>
      </c>
      <c r="AC899" s="2">
        <f t="shared" si="49"/>
        <v>27.86</v>
      </c>
      <c r="AD899" s="8"/>
      <c r="AE899" s="10">
        <f>IF(Table1[[#This Row],[P/750]]&lt;20,1,IF(Table1[[#This Row],[P/750]]&lt;50,2,3))</f>
        <v>2</v>
      </c>
      <c r="AF899" s="10">
        <f>IF(Table1[[#This Row],[P/750]]&lt;Expenses!$C$30,1,IF(Table1[[#This Row],[P/750]]&lt;Expenses!$C$31,2,IF(Table1[[#This Row],[P/750]]&lt;Expenses!$C$32,3,4)))</f>
        <v>2</v>
      </c>
      <c r="AH899" s="37" t="s">
        <v>1139</v>
      </c>
      <c r="AI899" s="11">
        <f>Table1[[#This Row],[Price]]/Table1[[#This Row],[Size (ml)]]*750</f>
        <v>27.86</v>
      </c>
      <c r="AK899" s="10">
        <f>COUNTIF(UniqueID!A:A,Table1[[#This Row],[ID]])</f>
        <v>0</v>
      </c>
      <c r="AL899" s="10" t="str">
        <f>VLOOKUP(Table1[[#This Row],[Cellar Location]],Location!A:F,6,FALSE)</f>
        <v>W</v>
      </c>
      <c r="AN899" s="1">
        <v>44076</v>
      </c>
      <c r="AO899" s="10" t="str">
        <f>TEXT(Table1[[#This Row],[Purchased]],"mmmm")</f>
        <v>September</v>
      </c>
      <c r="AP899" s="10" t="str">
        <f>TEXT(Table1[[#This Row],[Purchased]],"yyyy")</f>
        <v>2020</v>
      </c>
      <c r="AQ899" s="1">
        <v>44133</v>
      </c>
    </row>
    <row r="900" spans="1:43" s="37" customFormat="1" x14ac:dyDescent="0.25">
      <c r="A900" s="37" t="str">
        <f t="shared" si="48"/>
        <v>2017Feudi di San GregorioIrpinia Aglianico Rubrato</v>
      </c>
      <c r="B900" s="37">
        <v>2017</v>
      </c>
      <c r="C900" s="37" t="s">
        <v>1409</v>
      </c>
      <c r="D900" s="9" t="s">
        <v>1891</v>
      </c>
      <c r="E900" s="67" t="s">
        <v>1411</v>
      </c>
      <c r="F900" s="37" t="s">
        <v>728</v>
      </c>
      <c r="G900" s="37" t="s">
        <v>771</v>
      </c>
      <c r="H900" s="37" t="s">
        <v>1892</v>
      </c>
      <c r="I900" s="8">
        <v>1</v>
      </c>
      <c r="J900" s="38">
        <v>750</v>
      </c>
      <c r="K900" s="38" t="s">
        <v>1139</v>
      </c>
      <c r="L900" s="10">
        <f>COUNTIF(Drank!A:A,Table1[[#This Row],[ID]])</f>
        <v>0</v>
      </c>
      <c r="M900" s="37" t="s">
        <v>202</v>
      </c>
      <c r="N900" s="37" t="s">
        <v>207</v>
      </c>
      <c r="O900" s="37">
        <v>1</v>
      </c>
      <c r="P900" s="10">
        <v>2019</v>
      </c>
      <c r="Q900" s="37">
        <v>2023</v>
      </c>
      <c r="R900" s="10" t="str">
        <f>IF(IFERROR(VLOOKUP(A900,Drank!A:S,15,FALSE),"")=0,"",IFERROR(VLOOKUP(A900,Drank!A:S,15,FALSE),""))</f>
        <v/>
      </c>
      <c r="S900" s="10" t="str">
        <f>IF(IFERROR(VLOOKUP(A900,Drank!A:S,16,FALSE),"")=0,"",IFERROR(VLOOKUP(A900,Drank!A:S,16,FALSE),""))</f>
        <v/>
      </c>
      <c r="T900" s="10"/>
      <c r="U900" s="37">
        <v>87</v>
      </c>
      <c r="V900" s="18" t="str">
        <f>IF(IFERROR(VLOOKUP(A900,Drank!A:T,19,FALSE),"")=0,"",IFERROR(VLOOKUP(A900,Drank!A:T,19,FALSE),""))</f>
        <v/>
      </c>
      <c r="W900" s="1" t="str">
        <f>IF(IFERROR(VLOOKUP(A900,Drank!A:T,20,FALSE),"")=0,"",IFERROR(VLOOKUP(A900,Drank!A:T,20,FALSE),""))</f>
        <v/>
      </c>
      <c r="X900" s="10">
        <f>SUMIF(A:A,A900,I:I)</f>
        <v>1</v>
      </c>
      <c r="Y900" s="10">
        <f>IF(Table1[[#This Row],[Drank]]&gt;0,VLOOKUP(Table1[[#This Row],[ID]],Drank!A:P,16,FALSE),IF(Table1[[#This Row],[WALDD]]&gt;0,VLOOKUP(Table1[[#This Row],[ID]],Wine1!A:Q,17,FALSE),Table1[[#This Row],[EP]]))</f>
        <v>2023</v>
      </c>
      <c r="Z900" s="18">
        <f>IF(Table1[[#This Row],[My Rating]]="",IF(Table1[[#This Row],[WA Rating Clean]]="","",Table1[[#This Row],[WA Rating Clean]]),Table1[[#This Row],[My Rating]])</f>
        <v>87</v>
      </c>
      <c r="AA900" s="37">
        <v>2020</v>
      </c>
      <c r="AB900" s="128">
        <v>20.170000000000002</v>
      </c>
      <c r="AC900" s="2">
        <f t="shared" si="49"/>
        <v>20.170000000000002</v>
      </c>
      <c r="AD900" s="8"/>
      <c r="AE900" s="10">
        <f>IF(Table1[[#This Row],[P/750]]&lt;20,1,IF(Table1[[#This Row],[P/750]]&lt;50,2,3))</f>
        <v>2</v>
      </c>
      <c r="AF900" s="10">
        <f>IF(Table1[[#This Row],[P/750]]&lt;Expenses!$C$30,1,IF(Table1[[#This Row],[P/750]]&lt;Expenses!$C$31,2,IF(Table1[[#This Row],[P/750]]&lt;Expenses!$C$32,3,4)))</f>
        <v>2</v>
      </c>
      <c r="AH900" s="37" t="s">
        <v>1139</v>
      </c>
      <c r="AI900" s="11">
        <f>Table1[[#This Row],[Price]]/Table1[[#This Row],[Size (ml)]]*750</f>
        <v>20.170000000000002</v>
      </c>
      <c r="AJ900" s="37">
        <v>87</v>
      </c>
      <c r="AK900" s="10">
        <f>COUNTIF(UniqueID!A:A,Table1[[#This Row],[ID]])</f>
        <v>0</v>
      </c>
      <c r="AL900" s="10" t="str">
        <f>VLOOKUP(Table1[[#This Row],[Cellar Location]],Location!A:F,6,FALSE)</f>
        <v>W</v>
      </c>
      <c r="AN900" s="1">
        <v>44076</v>
      </c>
      <c r="AO900" s="10" t="str">
        <f>TEXT(Table1[[#This Row],[Purchased]],"mmmm")</f>
        <v>September</v>
      </c>
      <c r="AP900" s="10" t="str">
        <f>TEXT(Table1[[#This Row],[Purchased]],"yyyy")</f>
        <v>2020</v>
      </c>
      <c r="AQ900" s="1">
        <v>44133</v>
      </c>
    </row>
    <row r="901" spans="1:43" s="37" customFormat="1" x14ac:dyDescent="0.25">
      <c r="A901" s="37" t="str">
        <f t="shared" si="48"/>
        <v>2016BovioBarolo</v>
      </c>
      <c r="B901" s="37">
        <v>2016</v>
      </c>
      <c r="C901" s="37" t="s">
        <v>163</v>
      </c>
      <c r="D901" s="9" t="s">
        <v>268</v>
      </c>
      <c r="E901" s="67" t="s">
        <v>1206</v>
      </c>
      <c r="F901" s="37" t="s">
        <v>728</v>
      </c>
      <c r="G901" s="37" t="s">
        <v>778</v>
      </c>
      <c r="H901" s="37" t="s">
        <v>268</v>
      </c>
      <c r="I901" s="8">
        <v>1</v>
      </c>
      <c r="J901" s="38">
        <v>750</v>
      </c>
      <c r="K901" s="38" t="s">
        <v>1139</v>
      </c>
      <c r="L901" s="10">
        <f>COUNTIF(Drank!A:A,Table1[[#This Row],[ID]])</f>
        <v>0</v>
      </c>
      <c r="M901" s="37" t="s">
        <v>202</v>
      </c>
      <c r="N901" s="37" t="s">
        <v>207</v>
      </c>
      <c r="O901" s="37">
        <v>1</v>
      </c>
      <c r="P901" s="10">
        <v>2022</v>
      </c>
      <c r="Q901" s="37">
        <v>2040</v>
      </c>
      <c r="R901" s="10" t="str">
        <f>IF(IFERROR(VLOOKUP(A901,Drank!A:S,15,FALSE),"")=0,"",IFERROR(VLOOKUP(A901,Drank!A:S,15,FALSE),""))</f>
        <v/>
      </c>
      <c r="S901" s="10" t="str">
        <f>IF(IFERROR(VLOOKUP(A901,Drank!A:S,16,FALSE),"")=0,"",IFERROR(VLOOKUP(A901,Drank!A:S,16,FALSE),""))</f>
        <v/>
      </c>
      <c r="T901" s="10"/>
      <c r="U901" s="37">
        <v>93</v>
      </c>
      <c r="V901" s="18" t="str">
        <f>IF(IFERROR(VLOOKUP(A901,Drank!A:T,19,FALSE),"")=0,"",IFERROR(VLOOKUP(A901,Drank!A:T,19,FALSE),""))</f>
        <v/>
      </c>
      <c r="W901" s="1" t="str">
        <f>IF(IFERROR(VLOOKUP(A901,Drank!A:T,20,FALSE),"")=0,"",IFERROR(VLOOKUP(A901,Drank!A:T,20,FALSE),""))</f>
        <v/>
      </c>
      <c r="X901" s="10">
        <f>SUMIF(A:A,A901,I:I)</f>
        <v>4</v>
      </c>
      <c r="Y901" s="10">
        <f>IF(Table1[[#This Row],[Drank]]&gt;0,VLOOKUP(Table1[[#This Row],[ID]],Drank!A:P,16,FALSE),IF(Table1[[#This Row],[WALDD]]&gt;0,VLOOKUP(Table1[[#This Row],[ID]],Wine1!A:Q,17,FALSE),Table1[[#This Row],[EP]]))</f>
        <v>2040</v>
      </c>
      <c r="Z901" s="18">
        <f>IF(Table1[[#This Row],[My Rating]]="",IF(Table1[[#This Row],[WA Rating Clean]]="","",Table1[[#This Row],[WA Rating Clean]]),Table1[[#This Row],[My Rating]])</f>
        <v>93</v>
      </c>
      <c r="AA901" s="37">
        <v>2020</v>
      </c>
      <c r="AB901" s="128">
        <v>39.1</v>
      </c>
      <c r="AC901" s="2">
        <f t="shared" si="49"/>
        <v>39.1</v>
      </c>
      <c r="AD901" s="8"/>
      <c r="AE901" s="10">
        <f>IF(Table1[[#This Row],[P/750]]&lt;20,1,IF(Table1[[#This Row],[P/750]]&lt;50,2,3))</f>
        <v>2</v>
      </c>
      <c r="AF901" s="10">
        <f>IF(Table1[[#This Row],[P/750]]&lt;Expenses!$C$30,1,IF(Table1[[#This Row],[P/750]]&lt;Expenses!$C$31,2,IF(Table1[[#This Row],[P/750]]&lt;Expenses!$C$32,3,4)))</f>
        <v>3</v>
      </c>
      <c r="AH901" s="37" t="s">
        <v>1139</v>
      </c>
      <c r="AI901" s="11">
        <f>Table1[[#This Row],[Price]]/Table1[[#This Row],[Size (ml)]]*750</f>
        <v>39.1</v>
      </c>
      <c r="AJ901" s="37">
        <v>93</v>
      </c>
      <c r="AK901" s="10">
        <f>COUNTIF(UniqueID!A:A,Table1[[#This Row],[ID]])</f>
        <v>0</v>
      </c>
      <c r="AL901" s="10" t="str">
        <f>VLOOKUP(Table1[[#This Row],[Cellar Location]],Location!A:F,6,FALSE)</f>
        <v>W</v>
      </c>
      <c r="AN901" s="1">
        <v>44076</v>
      </c>
      <c r="AO901" s="10" t="str">
        <f>TEXT(Table1[[#This Row],[Purchased]],"mmmm")</f>
        <v>September</v>
      </c>
      <c r="AP901" s="10" t="str">
        <f>TEXT(Table1[[#This Row],[Purchased]],"yyyy")</f>
        <v>2020</v>
      </c>
      <c r="AQ901" s="1">
        <v>44133</v>
      </c>
    </row>
    <row r="902" spans="1:43" s="37" customFormat="1" x14ac:dyDescent="0.25">
      <c r="A902" s="37" t="str">
        <f t="shared" si="48"/>
        <v>2016BovioBarolo</v>
      </c>
      <c r="B902" s="37">
        <v>2016</v>
      </c>
      <c r="C902" s="37" t="s">
        <v>163</v>
      </c>
      <c r="D902" s="9" t="s">
        <v>268</v>
      </c>
      <c r="E902" s="67" t="s">
        <v>1206</v>
      </c>
      <c r="F902" s="37" t="s">
        <v>728</v>
      </c>
      <c r="G902" s="37" t="s">
        <v>778</v>
      </c>
      <c r="H902" s="37" t="s">
        <v>268</v>
      </c>
      <c r="I902" s="8">
        <v>1</v>
      </c>
      <c r="J902" s="38">
        <v>750</v>
      </c>
      <c r="K902" s="38" t="s">
        <v>1139</v>
      </c>
      <c r="L902" s="10">
        <f>COUNTIF(Drank!A:A,Table1[[#This Row],[ID]])</f>
        <v>0</v>
      </c>
      <c r="M902" s="37" t="s">
        <v>202</v>
      </c>
      <c r="N902" s="37" t="s">
        <v>207</v>
      </c>
      <c r="O902" s="37">
        <v>1</v>
      </c>
      <c r="P902" s="10">
        <v>2022</v>
      </c>
      <c r="Q902" s="37">
        <v>2040</v>
      </c>
      <c r="R902" s="10" t="str">
        <f>IF(IFERROR(VLOOKUP(A902,Drank!A:S,15,FALSE),"")=0,"",IFERROR(VLOOKUP(A902,Drank!A:S,15,FALSE),""))</f>
        <v/>
      </c>
      <c r="S902" s="10" t="str">
        <f>IF(IFERROR(VLOOKUP(A902,Drank!A:S,16,FALSE),"")=0,"",IFERROR(VLOOKUP(A902,Drank!A:S,16,FALSE),""))</f>
        <v/>
      </c>
      <c r="T902" s="10"/>
      <c r="U902" s="37">
        <v>93</v>
      </c>
      <c r="V902" s="18" t="str">
        <f>IF(IFERROR(VLOOKUP(A902,Drank!A:T,19,FALSE),"")=0,"",IFERROR(VLOOKUP(A902,Drank!A:T,19,FALSE),""))</f>
        <v/>
      </c>
      <c r="W902" s="1" t="str">
        <f>IF(IFERROR(VLOOKUP(A902,Drank!A:T,20,FALSE),"")=0,"",IFERROR(VLOOKUP(A902,Drank!A:T,20,FALSE),""))</f>
        <v/>
      </c>
      <c r="X902" s="10">
        <f>SUMIF(A:A,A902,I:I)</f>
        <v>4</v>
      </c>
      <c r="Y902" s="10">
        <f>IF(Table1[[#This Row],[Drank]]&gt;0,VLOOKUP(Table1[[#This Row],[ID]],Drank!A:P,16,FALSE),IF(Table1[[#This Row],[WALDD]]&gt;0,VLOOKUP(Table1[[#This Row],[ID]],Wine1!A:Q,17,FALSE),Table1[[#This Row],[EP]]))</f>
        <v>2040</v>
      </c>
      <c r="Z902" s="18">
        <f>IF(Table1[[#This Row],[My Rating]]="",IF(Table1[[#This Row],[WA Rating Clean]]="","",Table1[[#This Row],[WA Rating Clean]]),Table1[[#This Row],[My Rating]])</f>
        <v>93</v>
      </c>
      <c r="AA902" s="37">
        <v>2029</v>
      </c>
      <c r="AB902" s="128">
        <v>39.1</v>
      </c>
      <c r="AC902" s="2">
        <f t="shared" si="49"/>
        <v>39.1</v>
      </c>
      <c r="AD902" s="8"/>
      <c r="AE902" s="10">
        <f>IF(Table1[[#This Row],[P/750]]&lt;20,1,IF(Table1[[#This Row],[P/750]]&lt;50,2,3))</f>
        <v>2</v>
      </c>
      <c r="AF902" s="10">
        <f>IF(Table1[[#This Row],[P/750]]&lt;Expenses!$C$30,1,IF(Table1[[#This Row],[P/750]]&lt;Expenses!$C$31,2,IF(Table1[[#This Row],[P/750]]&lt;Expenses!$C$32,3,4)))</f>
        <v>3</v>
      </c>
      <c r="AH902" s="37" t="s">
        <v>1139</v>
      </c>
      <c r="AI902" s="11">
        <f>Table1[[#This Row],[Price]]/Table1[[#This Row],[Size (ml)]]*750</f>
        <v>39.1</v>
      </c>
      <c r="AJ902" s="37">
        <v>93</v>
      </c>
      <c r="AK902" s="10">
        <f>COUNTIF(UniqueID!A:A,Table1[[#This Row],[ID]])</f>
        <v>0</v>
      </c>
      <c r="AL902" s="10" t="str">
        <f>VLOOKUP(Table1[[#This Row],[Cellar Location]],Location!A:F,6,FALSE)</f>
        <v>W</v>
      </c>
      <c r="AN902" s="1">
        <v>44076</v>
      </c>
      <c r="AO902" s="10" t="str">
        <f>TEXT(Table1[[#This Row],[Purchased]],"mmmm")</f>
        <v>September</v>
      </c>
      <c r="AP902" s="10" t="str">
        <f>TEXT(Table1[[#This Row],[Purchased]],"yyyy")</f>
        <v>2020</v>
      </c>
      <c r="AQ902" s="1">
        <v>44133</v>
      </c>
    </row>
    <row r="903" spans="1:43" s="37" customFormat="1" x14ac:dyDescent="0.25">
      <c r="A903" s="37" t="str">
        <f t="shared" si="48"/>
        <v>2016BovioBarolo</v>
      </c>
      <c r="B903" s="37">
        <v>2016</v>
      </c>
      <c r="C903" s="37" t="s">
        <v>163</v>
      </c>
      <c r="D903" s="9" t="s">
        <v>268</v>
      </c>
      <c r="E903" s="67" t="s">
        <v>1206</v>
      </c>
      <c r="F903" s="37" t="s">
        <v>728</v>
      </c>
      <c r="G903" s="37" t="s">
        <v>778</v>
      </c>
      <c r="H903" s="37" t="s">
        <v>268</v>
      </c>
      <c r="I903" s="8">
        <v>1</v>
      </c>
      <c r="J903" s="38">
        <v>750</v>
      </c>
      <c r="K903" s="38" t="s">
        <v>1139</v>
      </c>
      <c r="L903" s="10">
        <f>COUNTIF(Drank!A:A,Table1[[#This Row],[ID]])</f>
        <v>0</v>
      </c>
      <c r="M903" s="37" t="s">
        <v>202</v>
      </c>
      <c r="N903" s="37" t="s">
        <v>207</v>
      </c>
      <c r="O903" s="37">
        <v>1</v>
      </c>
      <c r="P903" s="10">
        <v>2022</v>
      </c>
      <c r="Q903" s="37">
        <v>2040</v>
      </c>
      <c r="R903" s="10" t="str">
        <f>IF(IFERROR(VLOOKUP(A903,Drank!A:S,15,FALSE),"")=0,"",IFERROR(VLOOKUP(A903,Drank!A:S,15,FALSE),""))</f>
        <v/>
      </c>
      <c r="S903" s="10" t="str">
        <f>IF(IFERROR(VLOOKUP(A903,Drank!A:S,16,FALSE),"")=0,"",IFERROR(VLOOKUP(A903,Drank!A:S,16,FALSE),""))</f>
        <v/>
      </c>
      <c r="T903" s="10"/>
      <c r="U903" s="37">
        <v>93</v>
      </c>
      <c r="V903" s="18" t="str">
        <f>IF(IFERROR(VLOOKUP(A903,Drank!A:T,19,FALSE),"")=0,"",IFERROR(VLOOKUP(A903,Drank!A:T,19,FALSE),""))</f>
        <v/>
      </c>
      <c r="W903" s="1" t="str">
        <f>IF(IFERROR(VLOOKUP(A903,Drank!A:T,20,FALSE),"")=0,"",IFERROR(VLOOKUP(A903,Drank!A:T,20,FALSE),""))</f>
        <v/>
      </c>
      <c r="X903" s="10">
        <f>SUMIF(A:A,A903,I:I)</f>
        <v>4</v>
      </c>
      <c r="Y903" s="10">
        <f>IF(Table1[[#This Row],[Drank]]&gt;0,VLOOKUP(Table1[[#This Row],[ID]],Drank!A:P,16,FALSE),IF(Table1[[#This Row],[WALDD]]&gt;0,VLOOKUP(Table1[[#This Row],[ID]],Wine1!A:Q,17,FALSE),Table1[[#This Row],[EP]]))</f>
        <v>2040</v>
      </c>
      <c r="Z903" s="18">
        <f>IF(Table1[[#This Row],[My Rating]]="",IF(Table1[[#This Row],[WA Rating Clean]]="","",Table1[[#This Row],[WA Rating Clean]]),Table1[[#This Row],[My Rating]])</f>
        <v>93</v>
      </c>
      <c r="AA903" s="37">
        <v>2036</v>
      </c>
      <c r="AB903" s="128">
        <v>39.1</v>
      </c>
      <c r="AC903" s="2">
        <f t="shared" si="49"/>
        <v>39.1</v>
      </c>
      <c r="AD903" s="8"/>
      <c r="AE903" s="10">
        <f>IF(Table1[[#This Row],[P/750]]&lt;20,1,IF(Table1[[#This Row],[P/750]]&lt;50,2,3))</f>
        <v>2</v>
      </c>
      <c r="AF903" s="10">
        <f>IF(Table1[[#This Row],[P/750]]&lt;Expenses!$C$30,1,IF(Table1[[#This Row],[P/750]]&lt;Expenses!$C$31,2,IF(Table1[[#This Row],[P/750]]&lt;Expenses!$C$32,3,4)))</f>
        <v>3</v>
      </c>
      <c r="AH903" s="37" t="s">
        <v>1139</v>
      </c>
      <c r="AI903" s="11">
        <f>Table1[[#This Row],[Price]]/Table1[[#This Row],[Size (ml)]]*750</f>
        <v>39.1</v>
      </c>
      <c r="AJ903" s="37">
        <v>93</v>
      </c>
      <c r="AK903" s="10">
        <f>COUNTIF(UniqueID!A:A,Table1[[#This Row],[ID]])</f>
        <v>0</v>
      </c>
      <c r="AL903" s="10" t="str">
        <f>VLOOKUP(Table1[[#This Row],[Cellar Location]],Location!A:F,6,FALSE)</f>
        <v>W</v>
      </c>
      <c r="AN903" s="1">
        <v>44076</v>
      </c>
      <c r="AO903" s="10" t="str">
        <f>TEXT(Table1[[#This Row],[Purchased]],"mmmm")</f>
        <v>September</v>
      </c>
      <c r="AP903" s="10" t="str">
        <f>TEXT(Table1[[#This Row],[Purchased]],"yyyy")</f>
        <v>2020</v>
      </c>
      <c r="AQ903" s="1">
        <v>44133</v>
      </c>
    </row>
    <row r="904" spans="1:43" s="37" customFormat="1" x14ac:dyDescent="0.25">
      <c r="A904" s="37" t="str">
        <f t="shared" si="48"/>
        <v>2016BovioBarolo</v>
      </c>
      <c r="B904" s="37">
        <v>2016</v>
      </c>
      <c r="C904" s="37" t="s">
        <v>163</v>
      </c>
      <c r="D904" s="9" t="s">
        <v>268</v>
      </c>
      <c r="E904" s="67" t="s">
        <v>1206</v>
      </c>
      <c r="F904" s="37" t="s">
        <v>728</v>
      </c>
      <c r="G904" s="37" t="s">
        <v>778</v>
      </c>
      <c r="H904" s="37" t="s">
        <v>268</v>
      </c>
      <c r="I904" s="8">
        <v>1</v>
      </c>
      <c r="J904" s="38">
        <v>750</v>
      </c>
      <c r="K904" s="38" t="s">
        <v>1139</v>
      </c>
      <c r="L904" s="10">
        <f>COUNTIF(Drank!A:A,Table1[[#This Row],[ID]])</f>
        <v>0</v>
      </c>
      <c r="M904" s="37" t="s">
        <v>202</v>
      </c>
      <c r="N904" s="37" t="s">
        <v>207</v>
      </c>
      <c r="O904" s="37">
        <v>1</v>
      </c>
      <c r="P904" s="10">
        <v>2022</v>
      </c>
      <c r="Q904" s="37">
        <v>2040</v>
      </c>
      <c r="R904" s="10" t="str">
        <f>IF(IFERROR(VLOOKUP(A904,Drank!A:S,15,FALSE),"")=0,"",IFERROR(VLOOKUP(A904,Drank!A:S,15,FALSE),""))</f>
        <v/>
      </c>
      <c r="S904" s="10" t="str">
        <f>IF(IFERROR(VLOOKUP(A904,Drank!A:S,16,FALSE),"")=0,"",IFERROR(VLOOKUP(A904,Drank!A:S,16,FALSE),""))</f>
        <v/>
      </c>
      <c r="T904" s="10"/>
      <c r="U904" s="37">
        <v>93</v>
      </c>
      <c r="V904" s="18" t="str">
        <f>IF(IFERROR(VLOOKUP(A904,Drank!A:T,19,FALSE),"")=0,"",IFERROR(VLOOKUP(A904,Drank!A:T,19,FALSE),""))</f>
        <v/>
      </c>
      <c r="W904" s="1" t="str">
        <f>IF(IFERROR(VLOOKUP(A904,Drank!A:T,20,FALSE),"")=0,"",IFERROR(VLOOKUP(A904,Drank!A:T,20,FALSE),""))</f>
        <v/>
      </c>
      <c r="X904" s="10">
        <f>SUMIF(A:A,A904,I:I)</f>
        <v>4</v>
      </c>
      <c r="Y904" s="10">
        <f>IF(Table1[[#This Row],[Drank]]&gt;0,VLOOKUP(Table1[[#This Row],[ID]],Drank!A:P,16,FALSE),IF(Table1[[#This Row],[WALDD]]&gt;0,VLOOKUP(Table1[[#This Row],[ID]],Wine1!A:Q,17,FALSE),Table1[[#This Row],[EP]]))</f>
        <v>2040</v>
      </c>
      <c r="Z904" s="18">
        <f>IF(Table1[[#This Row],[My Rating]]="",IF(Table1[[#This Row],[WA Rating Clean]]="","",Table1[[#This Row],[WA Rating Clean]]),Table1[[#This Row],[My Rating]])</f>
        <v>93</v>
      </c>
      <c r="AA904" s="37">
        <v>2039</v>
      </c>
      <c r="AB904" s="128">
        <v>39.1</v>
      </c>
      <c r="AC904" s="2">
        <f t="shared" si="49"/>
        <v>39.1</v>
      </c>
      <c r="AD904" s="8"/>
      <c r="AE904" s="10">
        <f>IF(Table1[[#This Row],[P/750]]&lt;20,1,IF(Table1[[#This Row],[P/750]]&lt;50,2,3))</f>
        <v>2</v>
      </c>
      <c r="AF904" s="10">
        <f>IF(Table1[[#This Row],[P/750]]&lt;Expenses!$C$30,1,IF(Table1[[#This Row],[P/750]]&lt;Expenses!$C$31,2,IF(Table1[[#This Row],[P/750]]&lt;Expenses!$C$32,3,4)))</f>
        <v>3</v>
      </c>
      <c r="AH904" s="37" t="s">
        <v>1139</v>
      </c>
      <c r="AI904" s="11">
        <f>Table1[[#This Row],[Price]]/Table1[[#This Row],[Size (ml)]]*750</f>
        <v>39.1</v>
      </c>
      <c r="AJ904" s="37">
        <v>93</v>
      </c>
      <c r="AK904" s="10">
        <f>COUNTIF(UniqueID!A:A,Table1[[#This Row],[ID]])</f>
        <v>0</v>
      </c>
      <c r="AL904" s="10" t="str">
        <f>VLOOKUP(Table1[[#This Row],[Cellar Location]],Location!A:F,6,FALSE)</f>
        <v>W</v>
      </c>
      <c r="AN904" s="1">
        <v>44076</v>
      </c>
      <c r="AO904" s="10" t="str">
        <f>TEXT(Table1[[#This Row],[Purchased]],"mmmm")</f>
        <v>September</v>
      </c>
      <c r="AP904" s="10" t="str">
        <f>TEXT(Table1[[#This Row],[Purchased]],"yyyy")</f>
        <v>2020</v>
      </c>
      <c r="AQ904" s="1">
        <v>44133</v>
      </c>
    </row>
    <row r="905" spans="1:43" x14ac:dyDescent="0.25">
      <c r="A905" t="str">
        <f t="shared" si="48"/>
        <v>2015Orin Swift CellarsPapillon Proprietary Red</v>
      </c>
      <c r="B905" s="37">
        <v>2015</v>
      </c>
      <c r="C905" s="9" t="s">
        <v>120</v>
      </c>
      <c r="D905" s="9" t="s">
        <v>121</v>
      </c>
      <c r="E905" s="64" t="s">
        <v>1443</v>
      </c>
      <c r="F905" s="37" t="s">
        <v>727</v>
      </c>
      <c r="G905" s="37" t="s">
        <v>806</v>
      </c>
      <c r="H905" s="37" t="s">
        <v>832</v>
      </c>
      <c r="I905" s="37">
        <v>1</v>
      </c>
      <c r="J905" s="37">
        <v>750</v>
      </c>
      <c r="K905" s="8" t="s">
        <v>8</v>
      </c>
      <c r="L905" s="37">
        <f>COUNTIF(Drank!A:A,Table1[[#This Row],[ID]])</f>
        <v>0</v>
      </c>
      <c r="M905" t="s">
        <v>202</v>
      </c>
      <c r="N905" t="s">
        <v>207</v>
      </c>
      <c r="O905">
        <v>1</v>
      </c>
      <c r="P905" s="37">
        <v>2018</v>
      </c>
      <c r="Q905">
        <v>2034</v>
      </c>
      <c r="R905" s="37" t="str">
        <f>IF(IFERROR(VLOOKUP(A905,Drank!A:S,15,FALSE),"")=0,"",IFERROR(VLOOKUP(A905,Drank!A:S,15,FALSE),""))</f>
        <v/>
      </c>
      <c r="S905" s="37" t="str">
        <f>IF(IFERROR(VLOOKUP(A905,Drank!A:S,16,FALSE),"")=0,"",IFERROR(VLOOKUP(A905,Drank!A:S,16,FALSE),""))</f>
        <v/>
      </c>
      <c r="T905" s="37"/>
      <c r="U905">
        <v>94</v>
      </c>
      <c r="V905" s="18" t="str">
        <f>IF(IFERROR(VLOOKUP(A905,Drank!A:T,19,FALSE),"")=0,"",IFERROR(VLOOKUP(A905,Drank!A:T,19,FALSE),""))</f>
        <v/>
      </c>
      <c r="W905" s="1" t="str">
        <f>IF(IFERROR(VLOOKUP(A905,Drank!A:T,20,FALSE),"")=0,"",IFERROR(VLOOKUP(A905,Drank!A:T,20,FALSE),""))</f>
        <v/>
      </c>
      <c r="X905" s="37">
        <f>SUMIF(A:A,A905,I:I)</f>
        <v>2</v>
      </c>
      <c r="Y905" s="37">
        <f>IF(Table1[[#This Row],[Drank]]&gt;0,VLOOKUP(Table1[[#This Row],[ID]],Drank!A:P,16,FALSE),IF(Table1[[#This Row],[WALDD]]&gt;0,VLOOKUP(Table1[[#This Row],[ID]],Wine1!A:Q,17,FALSE),Table1[[#This Row],[EP]]))</f>
        <v>2034</v>
      </c>
      <c r="Z905" s="18">
        <f>IF(Table1[[#This Row],[My Rating]]="",IF(Table1[[#This Row],[WA Rating Clean]]="","",Table1[[#This Row],[WA Rating Clean]]),Table1[[#This Row],[My Rating]])</f>
        <v>94</v>
      </c>
      <c r="AA905" s="37">
        <v>2028</v>
      </c>
      <c r="AB905" s="3">
        <v>67</v>
      </c>
      <c r="AC905" s="2">
        <f t="shared" si="49"/>
        <v>67</v>
      </c>
      <c r="AD905" s="8">
        <v>0</v>
      </c>
      <c r="AE905" s="37">
        <f>IF(Table1[[#This Row],[P/750]]&lt;20,1,IF(Table1[[#This Row],[P/750]]&lt;50,2,3))</f>
        <v>3</v>
      </c>
      <c r="AF905" s="37">
        <f>IF(Table1[[#This Row],[P/750]]&lt;Expenses!$C$30,1,IF(Table1[[#This Row],[P/750]]&lt;Expenses!$C$31,2,IF(Table1[[#This Row],[P/750]]&lt;Expenses!$C$32,3,4)))</f>
        <v>4</v>
      </c>
      <c r="AH905" s="37" t="s">
        <v>1131</v>
      </c>
      <c r="AI905" s="11">
        <f>Table1[[#This Row],[Price]]/Table1[[#This Row],[Size (ml)]]*750</f>
        <v>67</v>
      </c>
      <c r="AJ905">
        <v>94</v>
      </c>
      <c r="AK905" s="37">
        <f>COUNTIF(UniqueID!A:A,Table1[[#This Row],[ID]])</f>
        <v>1</v>
      </c>
      <c r="AL905" s="37" t="str">
        <f>VLOOKUP(Table1[[#This Row],[Cellar Location]],Location!A:F,6,FALSE)</f>
        <v>K</v>
      </c>
      <c r="AN905" s="37"/>
      <c r="AO905" s="37" t="str">
        <f>TEXT(Table1[[#This Row],[Purchased]],"mmmm")</f>
        <v>January</v>
      </c>
      <c r="AP905" s="10" t="str">
        <f>TEXT(Table1[[#This Row],[Purchased]],"yyyy")</f>
        <v>1900</v>
      </c>
      <c r="AQ905" s="10"/>
    </row>
    <row r="906" spans="1:43" x14ac:dyDescent="0.25">
      <c r="A906" t="str">
        <f t="shared" si="48"/>
        <v>2017Chateau de Saint CosmeChateauneuf du Pape</v>
      </c>
      <c r="B906" s="37">
        <v>2017</v>
      </c>
      <c r="C906" s="37" t="s">
        <v>1643</v>
      </c>
      <c r="D906" s="21" t="s">
        <v>1106</v>
      </c>
      <c r="E906" s="67" t="s">
        <v>1644</v>
      </c>
      <c r="F906" s="37" t="s">
        <v>742</v>
      </c>
      <c r="G906" s="37" t="s">
        <v>759</v>
      </c>
      <c r="H906" s="37" t="s">
        <v>762</v>
      </c>
      <c r="I906" s="37">
        <v>1</v>
      </c>
      <c r="J906" s="107">
        <v>750</v>
      </c>
      <c r="K906" s="8" t="s">
        <v>1812</v>
      </c>
      <c r="L906" s="10">
        <f>COUNTIF(Drank!A:A,Table1[[#This Row],[ID]])</f>
        <v>0</v>
      </c>
      <c r="M906" t="s">
        <v>202</v>
      </c>
      <c r="N906" t="s">
        <v>207</v>
      </c>
      <c r="O906">
        <v>1</v>
      </c>
      <c r="P906" s="37">
        <v>2020</v>
      </c>
      <c r="Q906">
        <v>2035</v>
      </c>
      <c r="R906" s="10" t="str">
        <f>IF(IFERROR(VLOOKUP(A906,Drank!A:S,15,FALSE),"")=0,"",IFERROR(VLOOKUP(A906,Drank!A:S,15,FALSE),""))</f>
        <v/>
      </c>
      <c r="S906" s="10" t="str">
        <f>IF(IFERROR(VLOOKUP(A906,Drank!A:S,16,FALSE),"")=0,"",IFERROR(VLOOKUP(A906,Drank!A:S,16,FALSE),""))</f>
        <v/>
      </c>
      <c r="T906" s="10"/>
      <c r="U906" t="s">
        <v>1629</v>
      </c>
      <c r="V906" s="18" t="str">
        <f>IF(IFERROR(VLOOKUP(A906,Drank!A:T,19,FALSE),"")=0,"",IFERROR(VLOOKUP(A906,Drank!A:T,19,FALSE),""))</f>
        <v/>
      </c>
      <c r="W906" s="1" t="str">
        <f>IF(IFERROR(VLOOKUP(A906,Drank!A:T,20,FALSE),"")=0,"",IFERROR(VLOOKUP(A906,Drank!A:T,20,FALSE),""))</f>
        <v/>
      </c>
      <c r="X906" s="10">
        <f>SUMIF(A:A,A906,I:I)</f>
        <v>2</v>
      </c>
      <c r="Y906" s="10">
        <f>IF(Table1[[#This Row],[Drank]]&gt;0,VLOOKUP(Table1[[#This Row],[ID]],Drank!A:P,16,FALSE),IF(Table1[[#This Row],[WALDD]]&gt;0,VLOOKUP(Table1[[#This Row],[ID]],Wine1!A:Q,17,FALSE),Table1[[#This Row],[EP]]))</f>
        <v>2035</v>
      </c>
      <c r="Z906" s="18">
        <f>IF(Table1[[#This Row],[My Rating]]="",IF(Table1[[#This Row],[WA Rating Clean]]="","",Table1[[#This Row],[WA Rating Clean]]),Table1[[#This Row],[My Rating]])</f>
        <v>95</v>
      </c>
      <c r="AA906" s="8">
        <v>2028</v>
      </c>
      <c r="AB906" s="4">
        <v>54.97</v>
      </c>
      <c r="AC906" s="2">
        <f t="shared" si="49"/>
        <v>54.97</v>
      </c>
      <c r="AD906" s="8">
        <v>0</v>
      </c>
      <c r="AE906" s="10">
        <f>IF(Table1[[#This Row],[P/750]]&lt;20,1,IF(Table1[[#This Row],[P/750]]&lt;50,2,3))</f>
        <v>3</v>
      </c>
      <c r="AF906" s="10">
        <f>IF(Table1[[#This Row],[P/750]]&lt;Expenses!$C$30,1,IF(Table1[[#This Row],[P/750]]&lt;Expenses!$C$31,2,IF(Table1[[#This Row],[P/750]]&lt;Expenses!$C$32,3,4)))</f>
        <v>3</v>
      </c>
      <c r="AH906" t="s">
        <v>1645</v>
      </c>
      <c r="AI906" s="11">
        <f>Table1[[#This Row],[Price]]/Table1[[#This Row],[Size (ml)]]*750</f>
        <v>54.97</v>
      </c>
      <c r="AJ906">
        <v>95</v>
      </c>
      <c r="AK906" s="10">
        <f>COUNTIF(UniqueID!A:A,Table1[[#This Row],[ID]])</f>
        <v>0</v>
      </c>
      <c r="AL906" s="10" t="str">
        <f>VLOOKUP(Table1[[#This Row],[Cellar Location]],Location!A:F,6,FALSE)</f>
        <v>S</v>
      </c>
      <c r="AN906" s="1">
        <v>44060</v>
      </c>
      <c r="AO906" s="10" t="str">
        <f>TEXT(Table1[[#This Row],[Purchased]],"mmmm")</f>
        <v>August</v>
      </c>
      <c r="AP906" s="10" t="str">
        <f>TEXT(Table1[[#This Row],[Purchased]],"yyyy")</f>
        <v>2020</v>
      </c>
      <c r="AQ906" s="10"/>
    </row>
    <row r="907" spans="1:43" x14ac:dyDescent="0.25">
      <c r="A907" t="str">
        <f t="shared" si="48"/>
        <v>2016Castello di AmaChianti Classico Gran Selezione San Lorenzo</v>
      </c>
      <c r="B907" s="37">
        <v>2016</v>
      </c>
      <c r="C907" s="37" t="s">
        <v>75</v>
      </c>
      <c r="D907" s="9" t="s">
        <v>76</v>
      </c>
      <c r="E907" s="67" t="s">
        <v>1620</v>
      </c>
      <c r="F907" s="37" t="s">
        <v>728</v>
      </c>
      <c r="G907" s="37" t="s">
        <v>790</v>
      </c>
      <c r="H907" s="37" t="s">
        <v>1619</v>
      </c>
      <c r="I907" s="37">
        <v>1</v>
      </c>
      <c r="J907" s="107">
        <v>750</v>
      </c>
      <c r="K907" s="8" t="s">
        <v>1830</v>
      </c>
      <c r="L907" s="10">
        <f>COUNTIF(Drank!A:A,Table1[[#This Row],[ID]])</f>
        <v>1</v>
      </c>
      <c r="M907" t="s">
        <v>202</v>
      </c>
      <c r="N907" t="s">
        <v>207</v>
      </c>
      <c r="O907">
        <v>1</v>
      </c>
      <c r="P907" s="10">
        <v>2020</v>
      </c>
      <c r="Q907">
        <v>2038</v>
      </c>
      <c r="R907" s="10" t="str">
        <f>IF(IFERROR(VLOOKUP(A907,Drank!A:S,15,FALSE),"")=0,"",IFERROR(VLOOKUP(A907,Drank!A:S,15,FALSE),""))</f>
        <v/>
      </c>
      <c r="S907" s="10">
        <f>IF(IFERROR(VLOOKUP(A907,Drank!A:S,16,FALSE),"")=0,"",IFERROR(VLOOKUP(A907,Drank!A:S,16,FALSE),""))</f>
        <v>2035</v>
      </c>
      <c r="T907" s="10"/>
      <c r="U907">
        <v>95</v>
      </c>
      <c r="V907" s="18">
        <f>IF(IFERROR(VLOOKUP(A907,Drank!A:T,19,FALSE),"")=0,"",IFERROR(VLOOKUP(A907,Drank!A:T,19,FALSE),""))</f>
        <v>94</v>
      </c>
      <c r="W907" s="1">
        <f>IF(IFERROR(VLOOKUP(A907,Drank!A:T,20,FALSE),"")=0,"",IFERROR(VLOOKUP(A907,Drank!A:T,20,FALSE),""))</f>
        <v>44061</v>
      </c>
      <c r="X907" s="10">
        <f>SUMIF(A:A,A907,I:I)</f>
        <v>4</v>
      </c>
      <c r="Y907" s="10">
        <f>IF(Table1[[#This Row],[Drank]]&gt;0,VLOOKUP(Table1[[#This Row],[ID]],Drank!A:P,16,FALSE),IF(Table1[[#This Row],[WALDD]]&gt;0,VLOOKUP(Table1[[#This Row],[ID]],Wine1!A:Q,17,FALSE),Table1[[#This Row],[EP]]))</f>
        <v>2035</v>
      </c>
      <c r="Z907" s="18">
        <f>IF(Table1[[#This Row],[My Rating]]="",IF(Table1[[#This Row],[WA Rating Clean]]="","",Table1[[#This Row],[WA Rating Clean]]),Table1[[#This Row],[My Rating]])</f>
        <v>94</v>
      </c>
      <c r="AA907" s="37">
        <v>2028</v>
      </c>
      <c r="AB907" s="129">
        <v>48.87</v>
      </c>
      <c r="AC907" s="2">
        <f t="shared" si="49"/>
        <v>48.87</v>
      </c>
      <c r="AD907" s="8">
        <v>1</v>
      </c>
      <c r="AE907" s="10">
        <f>IF(Table1[[#This Row],[P/750]]&lt;20,1,IF(Table1[[#This Row],[P/750]]&lt;50,2,3))</f>
        <v>2</v>
      </c>
      <c r="AF907" s="10">
        <f>IF(Table1[[#This Row],[P/750]]&lt;Expenses!$C$30,1,IF(Table1[[#This Row],[P/750]]&lt;Expenses!$C$31,2,IF(Table1[[#This Row],[P/750]]&lt;Expenses!$C$32,3,4)))</f>
        <v>3</v>
      </c>
      <c r="AH907" s="25" t="s">
        <v>1128</v>
      </c>
      <c r="AI907" s="11">
        <f>Table1[[#This Row],[Price]]/Table1[[#This Row],[Size (ml)]]*750</f>
        <v>48.87</v>
      </c>
      <c r="AJ907">
        <v>95</v>
      </c>
      <c r="AK907" s="10">
        <f>COUNTIF(UniqueID!A:A,Table1[[#This Row],[ID]])</f>
        <v>0</v>
      </c>
      <c r="AL907" s="10" t="str">
        <f>VLOOKUP(Table1[[#This Row],[Cellar Location]],Location!A:F,6,FALSE)</f>
        <v>S</v>
      </c>
      <c r="AN907" s="1">
        <v>44068</v>
      </c>
      <c r="AO907" s="10" t="str">
        <f>TEXT(Table1[[#This Row],[Purchased]],"mmmm")</f>
        <v>August</v>
      </c>
      <c r="AP907" s="10" t="str">
        <f>TEXT(Table1[[#This Row],[Purchased]],"yyyy")</f>
        <v>2020</v>
      </c>
      <c r="AQ907" s="1"/>
    </row>
    <row r="908" spans="1:43" x14ac:dyDescent="0.25">
      <c r="A908" t="str">
        <f t="shared" si="48"/>
        <v>2013Celestino PecciBrunello di Montalcino</v>
      </c>
      <c r="B908">
        <v>2013</v>
      </c>
      <c r="C908" s="37" t="s">
        <v>1374</v>
      </c>
      <c r="D908" s="37" t="s">
        <v>19</v>
      </c>
      <c r="E908" s="67" t="s">
        <v>1250</v>
      </c>
      <c r="F908" s="37" t="s">
        <v>728</v>
      </c>
      <c r="G908" s="37" t="s">
        <v>790</v>
      </c>
      <c r="H908" s="37" t="s">
        <v>19</v>
      </c>
      <c r="I908" s="107">
        <v>1</v>
      </c>
      <c r="J908" s="9">
        <v>750</v>
      </c>
      <c r="K908" s="107" t="s">
        <v>1196</v>
      </c>
      <c r="L908" s="10">
        <f>COUNTIF(Drank!A:A,Table1[[#This Row],[ID]])</f>
        <v>0</v>
      </c>
      <c r="M908" t="s">
        <v>202</v>
      </c>
      <c r="N908" t="s">
        <v>207</v>
      </c>
      <c r="O908">
        <v>0</v>
      </c>
      <c r="P908" s="10"/>
      <c r="R908" s="10" t="str">
        <f>IF(IFERROR(VLOOKUP(A908,Drank!A:S,15,FALSE),"")=0,"",IFERROR(VLOOKUP(A908,Drank!A:S,15,FALSE),""))</f>
        <v/>
      </c>
      <c r="S908" s="10" t="str">
        <f>IF(IFERROR(VLOOKUP(A908,Drank!A:S,16,FALSE),"")=0,"",IFERROR(VLOOKUP(A908,Drank!A:S,16,FALSE),""))</f>
        <v/>
      </c>
      <c r="T908" s="10">
        <v>2035</v>
      </c>
      <c r="V908" s="18" t="str">
        <f>IF(IFERROR(VLOOKUP(A908,Drank!A:T,19,FALSE),"")=0,"",IFERROR(VLOOKUP(A908,Drank!A:T,19,FALSE),""))</f>
        <v/>
      </c>
      <c r="W908" s="1" t="str">
        <f>IF(IFERROR(VLOOKUP(A908,Drank!A:T,20,FALSE),"")=0,"",IFERROR(VLOOKUP(A908,Drank!A:T,20,FALSE),""))</f>
        <v/>
      </c>
      <c r="X908" s="10">
        <f>SUMIF(A:A,A908,I:I)</f>
        <v>4</v>
      </c>
      <c r="Y908" s="10">
        <f>IF(Table1[[#This Row],[Drank]]&gt;0,VLOOKUP(Table1[[#This Row],[ID]],Drank!A:P,16,FALSE),IF(Table1[[#This Row],[WALDD]]&gt;0,VLOOKUP(Table1[[#This Row],[ID]],Wine1!A:Q,17,FALSE),Table1[[#This Row],[EP]]))</f>
        <v>2035</v>
      </c>
      <c r="Z908" s="18" t="str">
        <f>IF(Table1[[#This Row],[My Rating]]="",IF(Table1[[#This Row],[WA Rating Clean]]="","",Table1[[#This Row],[WA Rating Clean]]),Table1[[#This Row],[My Rating]])</f>
        <v/>
      </c>
      <c r="AA908" s="37">
        <v>2028</v>
      </c>
      <c r="AB908" s="4">
        <v>39.325000000000003</v>
      </c>
      <c r="AC908" s="2">
        <f t="shared" si="49"/>
        <v>39.325000000000003</v>
      </c>
      <c r="AD908" s="8">
        <v>2</v>
      </c>
      <c r="AE908" s="10">
        <f>IF(Table1[[#This Row],[P/750]]&lt;20,1,IF(Table1[[#This Row],[P/750]]&lt;50,2,3))</f>
        <v>2</v>
      </c>
      <c r="AF908" s="10">
        <f>IF(Table1[[#This Row],[P/750]]&lt;Expenses!$C$30,1,IF(Table1[[#This Row],[P/750]]&lt;Expenses!$C$31,2,IF(Table1[[#This Row],[P/750]]&lt;Expenses!$C$32,3,4)))</f>
        <v>3</v>
      </c>
      <c r="AH908" s="37" t="s">
        <v>385</v>
      </c>
      <c r="AI908" s="11">
        <f>Table1[[#This Row],[Price]]/Table1[[#This Row],[Size (ml)]]*750</f>
        <v>39.325000000000003</v>
      </c>
      <c r="AK908" s="10">
        <f>COUNTIF(UniqueID!A:A,Table1[[#This Row],[ID]])</f>
        <v>0</v>
      </c>
      <c r="AL908" s="10" t="str">
        <f>VLOOKUP(Table1[[#This Row],[Cellar Location]],Location!A:F,6,FALSE)</f>
        <v>S</v>
      </c>
      <c r="AN908" s="1">
        <v>43938</v>
      </c>
      <c r="AO908" s="10" t="str">
        <f>TEXT(Table1[[#This Row],[Purchased]],"mmmm")</f>
        <v>April</v>
      </c>
      <c r="AP908" s="10" t="str">
        <f>TEXT(Table1[[#This Row],[Purchased]],"yyyy")</f>
        <v>2020</v>
      </c>
      <c r="AQ908" s="10"/>
    </row>
    <row r="909" spans="1:43" x14ac:dyDescent="0.25">
      <c r="A909" t="str">
        <f t="shared" si="48"/>
        <v>2015OdderoBarolo</v>
      </c>
      <c r="B909" s="37">
        <v>2015</v>
      </c>
      <c r="C909" s="37" t="s">
        <v>1173</v>
      </c>
      <c r="D909" s="37" t="s">
        <v>268</v>
      </c>
      <c r="E909" s="37" t="s">
        <v>1206</v>
      </c>
      <c r="F909" s="37" t="s">
        <v>728</v>
      </c>
      <c r="G909" s="37" t="s">
        <v>778</v>
      </c>
      <c r="H909" s="37" t="s">
        <v>268</v>
      </c>
      <c r="I909" s="107">
        <v>1</v>
      </c>
      <c r="J909" s="37">
        <v>375</v>
      </c>
      <c r="K909" s="107" t="s">
        <v>1234</v>
      </c>
      <c r="L909" s="10">
        <f>COUNTIF(Drank!A:A,Table1[[#This Row],[ID]])</f>
        <v>2</v>
      </c>
      <c r="M909" t="s">
        <v>202</v>
      </c>
      <c r="N909" t="s">
        <v>207</v>
      </c>
      <c r="O909">
        <v>1</v>
      </c>
      <c r="P909" s="37">
        <v>2020</v>
      </c>
      <c r="Q909">
        <v>2035</v>
      </c>
      <c r="R909" s="10">
        <f>IF(IFERROR(VLOOKUP(A909,Drank!A:S,15,FALSE),"")=0,"",IFERROR(VLOOKUP(A909,Drank!A:S,15,FALSE),""))</f>
        <v>2022</v>
      </c>
      <c r="S909" s="10">
        <f>IF(IFERROR(VLOOKUP(A909,Drank!A:S,16,FALSE),"")=0,"",IFERROR(VLOOKUP(A909,Drank!A:S,16,FALSE),""))</f>
        <v>2035</v>
      </c>
      <c r="T909" s="10"/>
      <c r="U909" t="s">
        <v>74</v>
      </c>
      <c r="V909" s="18">
        <f>IF(IFERROR(VLOOKUP(A909,Drank!A:T,19,FALSE),"")=0,"",IFERROR(VLOOKUP(A909,Drank!A:T,19,FALSE),""))</f>
        <v>93</v>
      </c>
      <c r="W909" s="1">
        <f>IF(IFERROR(VLOOKUP(A909,Drank!A:T,20,FALSE),"")=0,"",IFERROR(VLOOKUP(A909,Drank!A:T,20,FALSE),""))</f>
        <v>43905</v>
      </c>
      <c r="X909" s="10">
        <f>SUMIF(A:A,A909,I:I)</f>
        <v>22</v>
      </c>
      <c r="Y909" s="10">
        <f>IF(Table1[[#This Row],[Drank]]&gt;0,VLOOKUP(Table1[[#This Row],[ID]],Drank!A:P,16,FALSE),IF(Table1[[#This Row],[WALDD]]&gt;0,VLOOKUP(Table1[[#This Row],[ID]],Wine1!A:Q,17,FALSE),Table1[[#This Row],[EP]]))</f>
        <v>2035</v>
      </c>
      <c r="Z909" s="18">
        <f>IF(Table1[[#This Row],[My Rating]]="",IF(Table1[[#This Row],[WA Rating Clean]]="","",Table1[[#This Row],[WA Rating Clean]]),Table1[[#This Row],[My Rating]])</f>
        <v>93</v>
      </c>
      <c r="AA909" s="8">
        <v>2028</v>
      </c>
      <c r="AB909" s="4">
        <v>26.48</v>
      </c>
      <c r="AC909" s="2">
        <f t="shared" si="49"/>
        <v>26.48</v>
      </c>
      <c r="AD909" s="8">
        <v>2</v>
      </c>
      <c r="AE909" s="10">
        <f>IF(Table1[[#This Row],[P/750]]&lt;20,1,IF(Table1[[#This Row],[P/750]]&lt;50,2,3))</f>
        <v>3</v>
      </c>
      <c r="AF909" s="10">
        <f>IF(Table1[[#This Row],[P/750]]&lt;Expenses!$C$30,1,IF(Table1[[#This Row],[P/750]]&lt;Expenses!$C$31,2,IF(Table1[[#This Row],[P/750]]&lt;Expenses!$C$32,3,4)))</f>
        <v>3</v>
      </c>
      <c r="AH909" s="37" t="s">
        <v>1175</v>
      </c>
      <c r="AI909" s="11">
        <f>Table1[[#This Row],[Price]]/Table1[[#This Row],[Size (ml)]]*750</f>
        <v>52.96</v>
      </c>
      <c r="AJ909">
        <v>93</v>
      </c>
      <c r="AK909" s="10">
        <f>COUNTIF(UniqueID!A:A,Table1[[#This Row],[ID]])</f>
        <v>1</v>
      </c>
      <c r="AL909" s="10" t="str">
        <f>VLOOKUP(Table1[[#This Row],[Cellar Location]],Location!A:F,6,FALSE)</f>
        <v>S</v>
      </c>
      <c r="AN909" s="1">
        <v>43858</v>
      </c>
      <c r="AO909" s="37" t="str">
        <f>TEXT(Table1[[#This Row],[Purchased]],"mmmm")</f>
        <v>January</v>
      </c>
      <c r="AP909" s="10" t="str">
        <f>TEXT(Table1[[#This Row],[Purchased]],"yyyy")</f>
        <v>2020</v>
      </c>
      <c r="AQ909" s="10"/>
    </row>
    <row r="910" spans="1:43" x14ac:dyDescent="0.25">
      <c r="A910" t="str">
        <f t="shared" si="48"/>
        <v>2015OdderoBarolo</v>
      </c>
      <c r="B910" s="37">
        <v>2015</v>
      </c>
      <c r="C910" s="37" t="s">
        <v>1173</v>
      </c>
      <c r="D910" s="37" t="s">
        <v>268</v>
      </c>
      <c r="E910" s="37" t="s">
        <v>1206</v>
      </c>
      <c r="F910" s="37" t="s">
        <v>728</v>
      </c>
      <c r="G910" s="37" t="s">
        <v>778</v>
      </c>
      <c r="H910" s="37" t="s">
        <v>268</v>
      </c>
      <c r="I910" s="107">
        <v>1</v>
      </c>
      <c r="J910">
        <v>750</v>
      </c>
      <c r="K910" s="107" t="s">
        <v>1235</v>
      </c>
      <c r="L910" s="10">
        <f>COUNTIF(Drank!A:A,Table1[[#This Row],[ID]])</f>
        <v>2</v>
      </c>
      <c r="M910" t="s">
        <v>202</v>
      </c>
      <c r="N910" t="s">
        <v>207</v>
      </c>
      <c r="O910">
        <v>1</v>
      </c>
      <c r="P910" s="37">
        <v>2020</v>
      </c>
      <c r="Q910">
        <v>2035</v>
      </c>
      <c r="R910" s="10">
        <f>IF(IFERROR(VLOOKUP(A910,Drank!A:S,15,FALSE),"")=0,"",IFERROR(VLOOKUP(A910,Drank!A:S,15,FALSE),""))</f>
        <v>2022</v>
      </c>
      <c r="S910" s="10">
        <f>IF(IFERROR(VLOOKUP(A910,Drank!A:S,16,FALSE),"")=0,"",IFERROR(VLOOKUP(A910,Drank!A:S,16,FALSE),""))</f>
        <v>2035</v>
      </c>
      <c r="T910" s="10"/>
      <c r="U910" t="s">
        <v>74</v>
      </c>
      <c r="V910" s="18">
        <f>IF(IFERROR(VLOOKUP(A910,Drank!A:T,19,FALSE),"")=0,"",IFERROR(VLOOKUP(A910,Drank!A:T,19,FALSE),""))</f>
        <v>93</v>
      </c>
      <c r="W910" s="1">
        <f>IF(IFERROR(VLOOKUP(A910,Drank!A:T,20,FALSE),"")=0,"",IFERROR(VLOOKUP(A910,Drank!A:T,20,FALSE),""))</f>
        <v>43905</v>
      </c>
      <c r="X910" s="10">
        <f>SUMIF(A:A,A910,I:I)</f>
        <v>22</v>
      </c>
      <c r="Y910" s="10">
        <f>IF(Table1[[#This Row],[Drank]]&gt;0,VLOOKUP(Table1[[#This Row],[ID]],Drank!A:P,16,FALSE),IF(Table1[[#This Row],[WALDD]]&gt;0,VLOOKUP(Table1[[#This Row],[ID]],Wine1!A:Q,17,FALSE),Table1[[#This Row],[EP]]))</f>
        <v>2035</v>
      </c>
      <c r="Z910" s="18">
        <f>IF(Table1[[#This Row],[My Rating]]="",IF(Table1[[#This Row],[WA Rating Clean]]="","",Table1[[#This Row],[WA Rating Clean]]),Table1[[#This Row],[My Rating]])</f>
        <v>93</v>
      </c>
      <c r="AA910" s="8">
        <v>2028</v>
      </c>
      <c r="AB910" s="4">
        <v>40.229999999999997</v>
      </c>
      <c r="AC910" s="2">
        <f t="shared" si="49"/>
        <v>40.229999999999997</v>
      </c>
      <c r="AD910" s="8">
        <v>2</v>
      </c>
      <c r="AE910" s="10">
        <f>IF(Table1[[#This Row],[P/750]]&lt;20,1,IF(Table1[[#This Row],[P/750]]&lt;50,2,3))</f>
        <v>2</v>
      </c>
      <c r="AF910" s="10">
        <f>IF(Table1[[#This Row],[P/750]]&lt;Expenses!$C$30,1,IF(Table1[[#This Row],[P/750]]&lt;Expenses!$C$31,2,IF(Table1[[#This Row],[P/750]]&lt;Expenses!$C$32,3,4)))</f>
        <v>3</v>
      </c>
      <c r="AH910" s="37" t="s">
        <v>1174</v>
      </c>
      <c r="AI910" s="11">
        <f>Table1[[#This Row],[Price]]/Table1[[#This Row],[Size (ml)]]*750</f>
        <v>40.229999999999997</v>
      </c>
      <c r="AJ910">
        <v>93</v>
      </c>
      <c r="AK910" s="10">
        <f>COUNTIF(UniqueID!A:A,Table1[[#This Row],[ID]])</f>
        <v>1</v>
      </c>
      <c r="AL910" s="10" t="str">
        <f>VLOOKUP(Table1[[#This Row],[Cellar Location]],Location!A:F,6,FALSE)</f>
        <v>S</v>
      </c>
      <c r="AN910" s="1">
        <v>43858</v>
      </c>
      <c r="AO910" s="37" t="str">
        <f>TEXT(Table1[[#This Row],[Purchased]],"mmmm")</f>
        <v>January</v>
      </c>
      <c r="AP910" s="10" t="str">
        <f>TEXT(Table1[[#This Row],[Purchased]],"yyyy")</f>
        <v>2020</v>
      </c>
      <c r="AQ910" s="10"/>
    </row>
    <row r="911" spans="1:43" s="37" customFormat="1" x14ac:dyDescent="0.25">
      <c r="A911" s="37" t="str">
        <f t="shared" si="48"/>
        <v>2017Orin Swift CellarsPapillon Proprietary Red</v>
      </c>
      <c r="B911" s="37">
        <v>2017</v>
      </c>
      <c r="C911" s="9" t="s">
        <v>120</v>
      </c>
      <c r="D911" s="9" t="s">
        <v>121</v>
      </c>
      <c r="E911" s="64" t="s">
        <v>1443</v>
      </c>
      <c r="F911" s="37" t="s">
        <v>727</v>
      </c>
      <c r="G911" s="37" t="s">
        <v>806</v>
      </c>
      <c r="H911" s="37" t="s">
        <v>832</v>
      </c>
      <c r="I911" s="107">
        <v>1</v>
      </c>
      <c r="J911" s="37">
        <v>750</v>
      </c>
      <c r="K911" s="107" t="s">
        <v>1313</v>
      </c>
      <c r="L911" s="37">
        <f>COUNTIF(Drank!A:A,Table1[[#This Row],[ID]])</f>
        <v>0</v>
      </c>
      <c r="M911" s="37" t="s">
        <v>202</v>
      </c>
      <c r="N911" s="37" t="s">
        <v>207</v>
      </c>
      <c r="O911" s="37">
        <v>1</v>
      </c>
      <c r="R911" s="37" t="str">
        <f>IF(IFERROR(VLOOKUP(A911,Drank!A:S,15,FALSE),"")=0,"",IFERROR(VLOOKUP(A911,Drank!A:S,15,FALSE),""))</f>
        <v/>
      </c>
      <c r="S911" s="37" t="str">
        <f>IF(IFERROR(VLOOKUP(A911,Drank!A:S,16,FALSE),"")=0,"",IFERROR(VLOOKUP(A911,Drank!A:S,16,FALSE),""))</f>
        <v/>
      </c>
      <c r="T911" s="37">
        <v>2035</v>
      </c>
      <c r="V911" s="18" t="str">
        <f>IF(IFERROR(VLOOKUP(A911,Drank!A:T,19,FALSE),"")=0,"",IFERROR(VLOOKUP(A911,Drank!A:T,19,FALSE),""))</f>
        <v/>
      </c>
      <c r="W911" s="1" t="str">
        <f>IF(IFERROR(VLOOKUP(A911,Drank!A:T,20,FALSE),"")=0,"",IFERROR(VLOOKUP(A911,Drank!A:T,20,FALSE),""))</f>
        <v/>
      </c>
      <c r="X911" s="37">
        <f>SUMIF(A:A,A911,I:I)</f>
        <v>3</v>
      </c>
      <c r="Y911" s="37">
        <f>IF(Table1[[#This Row],[Drank]]&gt;0,VLOOKUP(Table1[[#This Row],[ID]],Drank!A:P,16,FALSE),IF(Table1[[#This Row],[WALDD]]&gt;0,VLOOKUP(Table1[[#This Row],[ID]],Wine1!A:Q,17,FALSE),Table1[[#This Row],[EP]]))</f>
        <v>2035</v>
      </c>
      <c r="Z911" s="18">
        <f>IF(Table1[[#This Row],[My Rating]]="",IF(Table1[[#This Row],[WA Rating Clean]]="","",Table1[[#This Row],[WA Rating Clean]]),Table1[[#This Row],[My Rating]])</f>
        <v>94</v>
      </c>
      <c r="AA911" s="37">
        <v>2028</v>
      </c>
      <c r="AB911" s="4">
        <v>61.99</v>
      </c>
      <c r="AC911" s="2">
        <f t="shared" si="49"/>
        <v>61.99</v>
      </c>
      <c r="AD911" s="8">
        <v>2</v>
      </c>
      <c r="AE911" s="37">
        <f>IF(Table1[[#This Row],[P/750]]&lt;20,1,IF(Table1[[#This Row],[P/750]]&lt;50,2,3))</f>
        <v>3</v>
      </c>
      <c r="AF911" s="37">
        <f>IF(Table1[[#This Row],[P/750]]&lt;Expenses!$C$30,1,IF(Table1[[#This Row],[P/750]]&lt;Expenses!$C$31,2,IF(Table1[[#This Row],[P/750]]&lt;Expenses!$C$32,3,4)))</f>
        <v>3</v>
      </c>
      <c r="AH911" s="37" t="s">
        <v>1128</v>
      </c>
      <c r="AI911" s="11">
        <f>Table1[[#This Row],[Price]]/Table1[[#This Row],[Size (ml)]]*750</f>
        <v>61.990000000000009</v>
      </c>
      <c r="AJ911" s="37">
        <v>94</v>
      </c>
      <c r="AK911" s="37">
        <f>COUNTIF(UniqueID!A:A,Table1[[#This Row],[ID]])</f>
        <v>0</v>
      </c>
      <c r="AL911" s="37" t="str">
        <f>VLOOKUP(Table1[[#This Row],[Cellar Location]],Location!A:F,6,FALSE)</f>
        <v>S</v>
      </c>
      <c r="AN911" s="1">
        <v>43879</v>
      </c>
      <c r="AO911" s="37" t="str">
        <f>TEXT(Table1[[#This Row],[Purchased]],"mmmm")</f>
        <v>February</v>
      </c>
      <c r="AP911" s="10" t="str">
        <f>TEXT(Table1[[#This Row],[Purchased]],"yyyy")</f>
        <v>2020</v>
      </c>
      <c r="AQ911" s="10"/>
    </row>
    <row r="912" spans="1:43" s="37" customFormat="1" x14ac:dyDescent="0.25">
      <c r="A912" s="37" t="str">
        <f t="shared" si="48"/>
        <v>2016Produttori del BarbarescoBarbaresco</v>
      </c>
      <c r="B912" s="37">
        <v>2016</v>
      </c>
      <c r="C912" s="37" t="s">
        <v>248</v>
      </c>
      <c r="D912" s="37" t="s">
        <v>249</v>
      </c>
      <c r="E912" s="67" t="s">
        <v>1206</v>
      </c>
      <c r="F912" s="37" t="s">
        <v>728</v>
      </c>
      <c r="G912" s="37" t="s">
        <v>778</v>
      </c>
      <c r="H912" s="37" t="s">
        <v>249</v>
      </c>
      <c r="I912" s="107">
        <v>1</v>
      </c>
      <c r="J912" s="37">
        <v>750</v>
      </c>
      <c r="K912" s="107" t="s">
        <v>594</v>
      </c>
      <c r="L912" s="37">
        <f>COUNTIF(Drank!A:A,Table1[[#This Row],[ID]])</f>
        <v>2</v>
      </c>
      <c r="M912" s="37" t="s">
        <v>202</v>
      </c>
      <c r="N912" s="37" t="s">
        <v>207</v>
      </c>
      <c r="O912" s="37">
        <v>1</v>
      </c>
      <c r="P912" s="37">
        <v>2022</v>
      </c>
      <c r="Q912" s="37">
        <v>2040</v>
      </c>
      <c r="R912" s="10">
        <f>IF(IFERROR(VLOOKUP(A912,Drank!A:S,15,FALSE),"")=0,"",IFERROR(VLOOKUP(A912,Drank!A:S,15,FALSE),""))</f>
        <v>2021</v>
      </c>
      <c r="S912" s="10">
        <f>IF(IFERROR(VLOOKUP(A912,Drank!A:S,16,FALSE),"")=0,"",IFERROR(VLOOKUP(A912,Drank!A:S,16,FALSE),""))</f>
        <v>2032</v>
      </c>
      <c r="T912" s="10"/>
      <c r="U912" s="37">
        <v>95</v>
      </c>
      <c r="V912" s="18">
        <f>IF(IFERROR(VLOOKUP(A912,Drank!A:T,19,FALSE),"")=0,"",IFERROR(VLOOKUP(A912,Drank!A:T,19,FALSE),""))</f>
        <v>95.5</v>
      </c>
      <c r="W912" s="1">
        <f>IF(IFERROR(VLOOKUP(A912,Drank!A:T,20,FALSE),"")=0,"",IFERROR(VLOOKUP(A912,Drank!A:T,20,FALSE),""))</f>
        <v>44079</v>
      </c>
      <c r="X912" s="10">
        <f>SUMIF(A:A,A912,I:I)</f>
        <v>41</v>
      </c>
      <c r="Y912" s="37">
        <f>IF(Table1[[#This Row],[Drank]]&gt;0,VLOOKUP(Table1[[#This Row],[ID]],Drank!A:P,16,FALSE),IF(Table1[[#This Row],[WALDD]]&gt;0,VLOOKUP(Table1[[#This Row],[ID]],Wine1!A:Q,17,FALSE),Table1[[#This Row],[EP]]))</f>
        <v>2032</v>
      </c>
      <c r="Z912" s="18">
        <f>IF(Table1[[#This Row],[My Rating]]="",IF(Table1[[#This Row],[WA Rating Clean]]="","",Table1[[#This Row],[WA Rating Clean]]),Table1[[#This Row],[My Rating]])</f>
        <v>95.5</v>
      </c>
      <c r="AA912" s="8">
        <v>2028</v>
      </c>
      <c r="AB912" s="4">
        <v>43.19</v>
      </c>
      <c r="AC912" s="2">
        <f t="shared" si="49"/>
        <v>43.19</v>
      </c>
      <c r="AD912" s="8">
        <v>2</v>
      </c>
      <c r="AE912" s="37">
        <f>IF(Table1[[#This Row],[P/750]]&lt;20,1,IF(Table1[[#This Row],[P/750]]&lt;50,2,3))</f>
        <v>2</v>
      </c>
      <c r="AF912" s="37">
        <f>IF(Table1[[#This Row],[P/750]]&lt;Expenses!$C$30,1,IF(Table1[[#This Row],[P/750]]&lt;Expenses!$C$31,2,IF(Table1[[#This Row],[P/750]]&lt;Expenses!$C$32,3,4)))</f>
        <v>3</v>
      </c>
      <c r="AH912" s="37" t="s">
        <v>1128</v>
      </c>
      <c r="AI912" s="11">
        <f>Table1[[#This Row],[Price]]/Table1[[#This Row],[Size (ml)]]*750</f>
        <v>43.19</v>
      </c>
      <c r="AJ912" s="37">
        <v>95</v>
      </c>
      <c r="AK912" s="37">
        <f>COUNTIF(UniqueID!A:A,Table1[[#This Row],[ID]])</f>
        <v>1</v>
      </c>
      <c r="AL912" s="37" t="str">
        <f>VLOOKUP(Table1[[#This Row],[Cellar Location]],Location!A:F,6,FALSE)</f>
        <v>S</v>
      </c>
      <c r="AO912" s="37" t="str">
        <f>TEXT(Table1[[#This Row],[Purchased]],"mmmm")</f>
        <v>January</v>
      </c>
      <c r="AP912" s="10" t="str">
        <f>TEXT(Table1[[#This Row],[Purchased]],"yyyy")</f>
        <v>1900</v>
      </c>
      <c r="AQ912" s="10"/>
    </row>
    <row r="913" spans="1:43" s="37" customFormat="1" x14ac:dyDescent="0.25">
      <c r="A913" s="37" t="str">
        <f t="shared" si="48"/>
        <v>2015Poggio AnticoBrunello di Montalcino</v>
      </c>
      <c r="B913" s="37">
        <v>2015</v>
      </c>
      <c r="C913" s="37" t="s">
        <v>223</v>
      </c>
      <c r="D913" s="37" t="s">
        <v>19</v>
      </c>
      <c r="E913" s="37" t="s">
        <v>1250</v>
      </c>
      <c r="F913" s="37" t="s">
        <v>728</v>
      </c>
      <c r="G913" s="37" t="s">
        <v>790</v>
      </c>
      <c r="H913" s="37" t="s">
        <v>19</v>
      </c>
      <c r="I913" s="8">
        <v>1</v>
      </c>
      <c r="J913" s="38">
        <v>750</v>
      </c>
      <c r="K913" s="38" t="s">
        <v>1687</v>
      </c>
      <c r="L913" s="10">
        <f>COUNTIF(Drank!A:A,Table1[[#This Row],[ID]])</f>
        <v>0</v>
      </c>
      <c r="M913" s="37" t="s">
        <v>202</v>
      </c>
      <c r="N913" s="37" t="s">
        <v>207</v>
      </c>
      <c r="O913" s="37">
        <v>1</v>
      </c>
      <c r="P913" s="37">
        <v>2021</v>
      </c>
      <c r="Q913" s="37">
        <v>2035</v>
      </c>
      <c r="R913" s="10" t="str">
        <f>IF(IFERROR(VLOOKUP(A913,Drank!A:S,15,FALSE),"")=0,"",IFERROR(VLOOKUP(A913,Drank!A:S,15,FALSE),""))</f>
        <v/>
      </c>
      <c r="S913" s="10" t="str">
        <f>IF(IFERROR(VLOOKUP(A913,Drank!A:S,16,FALSE),"")=0,"",IFERROR(VLOOKUP(A913,Drank!A:S,16,FALSE),""))</f>
        <v/>
      </c>
      <c r="T913" s="10"/>
      <c r="U913" s="37">
        <v>95</v>
      </c>
      <c r="V913" s="18" t="str">
        <f>IF(IFERROR(VLOOKUP(A913,Drank!A:T,19,FALSE),"")=0,"",IFERROR(VLOOKUP(A913,Drank!A:T,19,FALSE),""))</f>
        <v/>
      </c>
      <c r="W913" s="1" t="str">
        <f>IF(IFERROR(VLOOKUP(A913,Drank!A:T,20,FALSE),"")=0,"",IFERROR(VLOOKUP(A913,Drank!A:T,20,FALSE),""))</f>
        <v/>
      </c>
      <c r="X913" s="10">
        <f>SUMIF(A:A,A913,I:I)</f>
        <v>4</v>
      </c>
      <c r="Y913" s="10">
        <f>IF(Table1[[#This Row],[Drank]]&gt;0,VLOOKUP(Table1[[#This Row],[ID]],Drank!A:P,16,FALSE),IF(Table1[[#This Row],[WALDD]]&gt;0,VLOOKUP(Table1[[#This Row],[ID]],Wine1!A:Q,17,FALSE),Table1[[#This Row],[EP]]))</f>
        <v>2035</v>
      </c>
      <c r="Z913" s="18">
        <f>IF(Table1[[#This Row],[My Rating]]="",IF(Table1[[#This Row],[WA Rating Clean]]="","",Table1[[#This Row],[WA Rating Clean]]),Table1[[#This Row],[My Rating]])</f>
        <v>95</v>
      </c>
      <c r="AA913" s="8">
        <v>2028</v>
      </c>
      <c r="AB913" s="4">
        <v>66.930000000000007</v>
      </c>
      <c r="AC913" s="2">
        <f t="shared" si="49"/>
        <v>66.930000000000007</v>
      </c>
      <c r="AD913" s="8">
        <v>1</v>
      </c>
      <c r="AE913" s="10">
        <f>IF(Table1[[#This Row],[P/750]]&lt;20,1,IF(Table1[[#This Row],[P/750]]&lt;50,2,3))</f>
        <v>3</v>
      </c>
      <c r="AF913" s="10">
        <f>IF(Table1[[#This Row],[P/750]]&lt;Expenses!$C$30,1,IF(Table1[[#This Row],[P/750]]&lt;Expenses!$C$31,2,IF(Table1[[#This Row],[P/750]]&lt;Expenses!$C$32,3,4)))</f>
        <v>4</v>
      </c>
      <c r="AH913" s="37" t="s">
        <v>1189</v>
      </c>
      <c r="AI913" s="11">
        <f>Table1[[#This Row],[Price]]/Table1[[#This Row],[Size (ml)]]*750</f>
        <v>66.930000000000007</v>
      </c>
      <c r="AJ913" s="37">
        <v>95</v>
      </c>
      <c r="AK913" s="10">
        <f>COUNTIF(UniqueID!A:A,Table1[[#This Row],[ID]])</f>
        <v>0</v>
      </c>
      <c r="AL913" s="10" t="str">
        <f>VLOOKUP(Table1[[#This Row],[Cellar Location]],Location!A:F,6,FALSE)</f>
        <v>W</v>
      </c>
      <c r="AN913" s="1">
        <v>44061</v>
      </c>
      <c r="AO913" s="10" t="str">
        <f>TEXT(Table1[[#This Row],[Purchased]],"mmmm")</f>
        <v>August</v>
      </c>
      <c r="AP913" s="10" t="str">
        <f>TEXT(Table1[[#This Row],[Purchased]],"yyyy")</f>
        <v>2020</v>
      </c>
      <c r="AQ913" s="1">
        <v>44137</v>
      </c>
    </row>
    <row r="914" spans="1:43" s="37" customFormat="1" x14ac:dyDescent="0.25">
      <c r="A914" s="37" t="str">
        <f t="shared" si="48"/>
        <v>2016GrattamaccoBolgheri Superiore l'Alberello</v>
      </c>
      <c r="B914" s="37">
        <v>2016</v>
      </c>
      <c r="C914" s="37" t="s">
        <v>1802</v>
      </c>
      <c r="D914" s="37" t="s">
        <v>1334</v>
      </c>
      <c r="E914" s="67" t="s">
        <v>1335</v>
      </c>
      <c r="F914" s="67" t="s">
        <v>728</v>
      </c>
      <c r="G914" s="37" t="s">
        <v>790</v>
      </c>
      <c r="H914" s="37" t="s">
        <v>1336</v>
      </c>
      <c r="I914" s="8">
        <v>1</v>
      </c>
      <c r="J914" s="38">
        <v>750</v>
      </c>
      <c r="K914" s="38" t="s">
        <v>1572</v>
      </c>
      <c r="L914" s="10">
        <f>COUNTIF(Drank!A:A,Table1[[#This Row],[ID]])</f>
        <v>0</v>
      </c>
      <c r="M914" s="37" t="s">
        <v>202</v>
      </c>
      <c r="N914" s="37" t="s">
        <v>207</v>
      </c>
      <c r="O914" s="37">
        <v>1</v>
      </c>
      <c r="P914" s="10">
        <v>2020</v>
      </c>
      <c r="Q914" s="37">
        <v>2035</v>
      </c>
      <c r="R914" s="10" t="str">
        <f>IF(IFERROR(VLOOKUP(A914,Drank!A:S,15,FALSE),"")=0,"",IFERROR(VLOOKUP(A914,Drank!A:S,15,FALSE),""))</f>
        <v/>
      </c>
      <c r="S914" s="10" t="str">
        <f>IF(IFERROR(VLOOKUP(A914,Drank!A:S,16,FALSE),"")=0,"",IFERROR(VLOOKUP(A914,Drank!A:S,16,FALSE),""))</f>
        <v/>
      </c>
      <c r="T914" s="10"/>
      <c r="U914" s="37">
        <v>96</v>
      </c>
      <c r="V914" s="18" t="str">
        <f>IF(IFERROR(VLOOKUP(A914,Drank!A:T,19,FALSE),"")=0,"",IFERROR(VLOOKUP(A914,Drank!A:T,19,FALSE),""))</f>
        <v/>
      </c>
      <c r="W914" s="1" t="str">
        <f>IF(IFERROR(VLOOKUP(A914,Drank!A:T,20,FALSE),"")=0,"",IFERROR(VLOOKUP(A914,Drank!A:T,20,FALSE),""))</f>
        <v/>
      </c>
      <c r="X914" s="10">
        <f>SUMIF(A:A,A914,I:I)</f>
        <v>9</v>
      </c>
      <c r="Y914" s="10">
        <f>IF(Table1[[#This Row],[Drank]]&gt;0,VLOOKUP(Table1[[#This Row],[ID]],Drank!A:P,16,FALSE),IF(Table1[[#This Row],[WALDD]]&gt;0,VLOOKUP(Table1[[#This Row],[ID]],Wine1!A:Q,17,FALSE),Table1[[#This Row],[EP]]))</f>
        <v>2035</v>
      </c>
      <c r="Z914" s="18">
        <f>IF(Table1[[#This Row],[My Rating]]="",IF(Table1[[#This Row],[WA Rating Clean]]="","",Table1[[#This Row],[WA Rating Clean]]),Table1[[#This Row],[My Rating]])</f>
        <v>96</v>
      </c>
      <c r="AA914" s="8">
        <v>2028</v>
      </c>
      <c r="AB914" s="4">
        <v>60.09</v>
      </c>
      <c r="AC914" s="2">
        <f t="shared" si="49"/>
        <v>60.09</v>
      </c>
      <c r="AD914" s="8">
        <v>1</v>
      </c>
      <c r="AE914" s="10">
        <f>IF(Table1[[#This Row],[P/750]]&lt;20,1,IF(Table1[[#This Row],[P/750]]&lt;50,2,3))</f>
        <v>3</v>
      </c>
      <c r="AF914" s="10">
        <f>IF(Table1[[#This Row],[P/750]]&lt;Expenses!$C$30,1,IF(Table1[[#This Row],[P/750]]&lt;Expenses!$C$31,2,IF(Table1[[#This Row],[P/750]]&lt;Expenses!$C$32,3,4)))</f>
        <v>3</v>
      </c>
      <c r="AH914" s="37" t="s">
        <v>1572</v>
      </c>
      <c r="AI914" s="11">
        <f>Table1[[#This Row],[Price]]/Table1[[#This Row],[Size (ml)]]*750</f>
        <v>60.090000000000011</v>
      </c>
      <c r="AJ914" s="37">
        <v>96</v>
      </c>
      <c r="AK914" s="10">
        <f>COUNTIF(UniqueID!A:A,Table1[[#This Row],[ID]])</f>
        <v>0</v>
      </c>
      <c r="AL914" s="10" t="str">
        <f>VLOOKUP(Table1[[#This Row],[Cellar Location]],Location!A:F,6,FALSE)</f>
        <v>W</v>
      </c>
      <c r="AN914" s="1">
        <v>44064</v>
      </c>
      <c r="AO914" s="10" t="str">
        <f>TEXT(Table1[[#This Row],[Purchased]],"mmmm")</f>
        <v>August</v>
      </c>
      <c r="AP914" s="10" t="str">
        <f>TEXT(Table1[[#This Row],[Purchased]],"yyyy")</f>
        <v>2020</v>
      </c>
      <c r="AQ914" s="1">
        <v>44114</v>
      </c>
    </row>
    <row r="915" spans="1:43" s="37" customFormat="1" x14ac:dyDescent="0.25">
      <c r="A915" s="37" t="str">
        <f t="shared" si="48"/>
        <v>2016Robert MondaviCabernet Sauvignon To Kalon Reserve</v>
      </c>
      <c r="B915" s="37">
        <v>2016</v>
      </c>
      <c r="C915" s="37" t="s">
        <v>154</v>
      </c>
      <c r="D915" s="37" t="s">
        <v>1326</v>
      </c>
      <c r="E915" s="67" t="s">
        <v>1327</v>
      </c>
      <c r="F915" s="37" t="s">
        <v>727</v>
      </c>
      <c r="G915" s="37" t="s">
        <v>806</v>
      </c>
      <c r="H915" s="37" t="s">
        <v>1328</v>
      </c>
      <c r="I915" s="107">
        <v>1</v>
      </c>
      <c r="J915" s="37">
        <v>750</v>
      </c>
      <c r="K915" s="107" t="s">
        <v>1405</v>
      </c>
      <c r="L915" s="10">
        <f>COUNTIF(Drank!A:A,Table1[[#This Row],[ID]])</f>
        <v>0</v>
      </c>
      <c r="M915" s="37" t="s">
        <v>202</v>
      </c>
      <c r="N915" s="37" t="s">
        <v>207</v>
      </c>
      <c r="O915" s="37">
        <v>1</v>
      </c>
      <c r="P915" s="10">
        <v>2020</v>
      </c>
      <c r="Q915" s="37">
        <v>2038</v>
      </c>
      <c r="R915" s="10" t="str">
        <f>IF(IFERROR(VLOOKUP(A915,Drank!A:S,15,FALSE),"")=0,"",IFERROR(VLOOKUP(A915,Drank!A:S,15,FALSE),""))</f>
        <v/>
      </c>
      <c r="S915" s="10" t="str">
        <f>IF(IFERROR(VLOOKUP(A915,Drank!A:S,16,FALSE),"")=0,"",IFERROR(VLOOKUP(A915,Drank!A:S,16,FALSE),""))</f>
        <v/>
      </c>
      <c r="T915" s="10"/>
      <c r="U915" s="37" t="s">
        <v>1180</v>
      </c>
      <c r="V915" s="18" t="str">
        <f>IF(IFERROR(VLOOKUP(A915,Drank!A:T,19,FALSE),"")=0,"",IFERROR(VLOOKUP(A915,Drank!A:T,19,FALSE),""))</f>
        <v/>
      </c>
      <c r="W915" s="1" t="str">
        <f>IF(IFERROR(VLOOKUP(A915,Drank!A:T,20,FALSE),"")=0,"",IFERROR(VLOOKUP(A915,Drank!A:T,20,FALSE),""))</f>
        <v/>
      </c>
      <c r="X915" s="10">
        <f>SUMIF(A:A,A915,I:I)</f>
        <v>2</v>
      </c>
      <c r="Y915" s="10">
        <f>IF(Table1[[#This Row],[Drank]]&gt;0,VLOOKUP(Table1[[#This Row],[ID]],Drank!A:P,16,FALSE),IF(Table1[[#This Row],[WALDD]]&gt;0,VLOOKUP(Table1[[#This Row],[ID]],Wine1!A:Q,17,FALSE),Table1[[#This Row],[EP]]))</f>
        <v>2038</v>
      </c>
      <c r="Z915" s="18">
        <f>IF(Table1[[#This Row],[My Rating]]="",IF(Table1[[#This Row],[WA Rating Clean]]="","",Table1[[#This Row],[WA Rating Clean]]),Table1[[#This Row],[My Rating]])</f>
        <v>96</v>
      </c>
      <c r="AA915" s="8">
        <v>2028</v>
      </c>
      <c r="AB915" s="4">
        <v>119.07</v>
      </c>
      <c r="AC915" s="2">
        <f t="shared" si="49"/>
        <v>119.07</v>
      </c>
      <c r="AD915" s="8">
        <v>2</v>
      </c>
      <c r="AE915" s="10">
        <f>IF(Table1[[#This Row],[P/750]]&lt;20,1,IF(Table1[[#This Row],[P/750]]&lt;50,2,3))</f>
        <v>3</v>
      </c>
      <c r="AF915" s="10">
        <f>IF(Table1[[#This Row],[P/750]]&lt;Expenses!$C$30,1,IF(Table1[[#This Row],[P/750]]&lt;Expenses!$C$31,2,IF(Table1[[#This Row],[P/750]]&lt;Expenses!$C$32,3,4)))</f>
        <v>4</v>
      </c>
      <c r="AH915" s="37" t="s">
        <v>385</v>
      </c>
      <c r="AI915" s="11">
        <f>Table1[[#This Row],[Price]]/Table1[[#This Row],[Size (ml)]]*750</f>
        <v>119.07</v>
      </c>
      <c r="AJ915" s="37">
        <v>96</v>
      </c>
      <c r="AK915" s="10">
        <f>COUNTIF(UniqueID!A:A,Table1[[#This Row],[ID]])</f>
        <v>0</v>
      </c>
      <c r="AL915" s="10" t="str">
        <f>VLOOKUP(Table1[[#This Row],[Cellar Location]],Location!A:F,6,FALSE)</f>
        <v>S</v>
      </c>
      <c r="AN915" s="1">
        <v>43923</v>
      </c>
      <c r="AO915" s="10" t="str">
        <f>TEXT(Table1[[#This Row],[Purchased]],"mmmm")</f>
        <v>April</v>
      </c>
      <c r="AP915" s="10" t="str">
        <f>TEXT(Table1[[#This Row],[Purchased]],"yyyy")</f>
        <v>2020</v>
      </c>
      <c r="AQ915" s="10"/>
    </row>
    <row r="916" spans="1:43" x14ac:dyDescent="0.25">
      <c r="A916" t="str">
        <f t="shared" si="48"/>
        <v>2015BellevueBellevue</v>
      </c>
      <c r="B916" s="37">
        <v>2015</v>
      </c>
      <c r="C916" s="37" t="s">
        <v>122</v>
      </c>
      <c r="D916" s="37" t="s">
        <v>122</v>
      </c>
      <c r="E916" s="64" t="s">
        <v>275</v>
      </c>
      <c r="F916" s="37" t="s">
        <v>742</v>
      </c>
      <c r="G916" s="37" t="s">
        <v>748</v>
      </c>
      <c r="H916" s="37" t="s">
        <v>751</v>
      </c>
      <c r="I916" s="37">
        <v>1</v>
      </c>
      <c r="J916" s="37">
        <v>750</v>
      </c>
      <c r="K916" s="8" t="s">
        <v>8</v>
      </c>
      <c r="L916" s="37">
        <f>COUNTIF(Drank!A:A,Table1[[#This Row],[ID]])</f>
        <v>0</v>
      </c>
      <c r="M916" t="s">
        <v>202</v>
      </c>
      <c r="N916" t="s">
        <v>207</v>
      </c>
      <c r="O916">
        <v>1</v>
      </c>
      <c r="P916" s="37">
        <v>2021</v>
      </c>
      <c r="Q916">
        <v>2039</v>
      </c>
      <c r="R916" s="37" t="str">
        <f>IF(IFERROR(VLOOKUP(A916,Drank!A:S,15,FALSE),"")=0,"",IFERROR(VLOOKUP(A916,Drank!A:S,15,FALSE),""))</f>
        <v/>
      </c>
      <c r="S916" s="37" t="str">
        <f>IF(IFERROR(VLOOKUP(A916,Drank!A:S,16,FALSE),"")=0,"",IFERROR(VLOOKUP(A916,Drank!A:S,16,FALSE),""))</f>
        <v/>
      </c>
      <c r="T916" s="37"/>
      <c r="U916" t="s">
        <v>17</v>
      </c>
      <c r="V916" s="18" t="str">
        <f>IF(IFERROR(VLOOKUP(A916,Drank!A:T,19,FALSE),"")=0,"",IFERROR(VLOOKUP(A916,Drank!A:T,19,FALSE),""))</f>
        <v/>
      </c>
      <c r="W916" s="1" t="str">
        <f>IF(IFERROR(VLOOKUP(A916,Drank!A:T,20,FALSE),"")=0,"",IFERROR(VLOOKUP(A916,Drank!A:T,20,FALSE),""))</f>
        <v/>
      </c>
      <c r="X916" s="37">
        <f>SUMIF(A:A,A916,I:I)</f>
        <v>2</v>
      </c>
      <c r="Y916" s="37">
        <f>IF(Table1[[#This Row],[Drank]]&gt;0,VLOOKUP(Table1[[#This Row],[ID]],Drank!A:P,16,FALSE),IF(Table1[[#This Row],[WALDD]]&gt;0,VLOOKUP(Table1[[#This Row],[ID]],Wine1!A:Q,17,FALSE),Table1[[#This Row],[EP]]))</f>
        <v>2039</v>
      </c>
      <c r="Z916" s="18">
        <f>IF(Table1[[#This Row],[My Rating]]="",IF(Table1[[#This Row],[WA Rating Clean]]="","",Table1[[#This Row],[WA Rating Clean]]),Table1[[#This Row],[My Rating]])</f>
        <v>94</v>
      </c>
      <c r="AA916" s="37">
        <v>2028</v>
      </c>
      <c r="AB916" s="3">
        <v>54</v>
      </c>
      <c r="AC916" s="2">
        <f t="shared" si="49"/>
        <v>54</v>
      </c>
      <c r="AD916" s="8">
        <v>0</v>
      </c>
      <c r="AE916" s="37">
        <f>IF(Table1[[#This Row],[P/750]]&lt;20,1,IF(Table1[[#This Row],[P/750]]&lt;50,2,3))</f>
        <v>3</v>
      </c>
      <c r="AF916" s="37">
        <f>IF(Table1[[#This Row],[P/750]]&lt;Expenses!$C$30,1,IF(Table1[[#This Row],[P/750]]&lt;Expenses!$C$31,2,IF(Table1[[#This Row],[P/750]]&lt;Expenses!$C$32,3,4)))</f>
        <v>3</v>
      </c>
      <c r="AH916" s="37" t="s">
        <v>1131</v>
      </c>
      <c r="AI916" s="11">
        <f>Table1[[#This Row],[Price]]/Table1[[#This Row],[Size (ml)]]*750</f>
        <v>53.999999999999993</v>
      </c>
      <c r="AJ916">
        <v>94</v>
      </c>
      <c r="AK916" s="37">
        <f>COUNTIF(UniqueID!A:A,Table1[[#This Row],[ID]])</f>
        <v>1</v>
      </c>
      <c r="AL916" s="37" t="str">
        <f>VLOOKUP(Table1[[#This Row],[Cellar Location]],Location!A:F,6,FALSE)</f>
        <v>K</v>
      </c>
      <c r="AN916" s="37"/>
      <c r="AO916" s="37" t="str">
        <f>TEXT(Table1[[#This Row],[Purchased]],"mmmm")</f>
        <v>January</v>
      </c>
      <c r="AP916" s="10" t="str">
        <f>TEXT(Table1[[#This Row],[Purchased]],"yyyy")</f>
        <v>1900</v>
      </c>
      <c r="AQ916" s="10"/>
    </row>
    <row r="917" spans="1:43" x14ac:dyDescent="0.25">
      <c r="A917" t="str">
        <f t="shared" si="48"/>
        <v>2016ViettiBarolo Castiglione</v>
      </c>
      <c r="B917" s="37">
        <v>2016</v>
      </c>
      <c r="C917" s="37" t="s">
        <v>1186</v>
      </c>
      <c r="D917" s="9" t="s">
        <v>1794</v>
      </c>
      <c r="E917" s="67" t="s">
        <v>1206</v>
      </c>
      <c r="F917" s="37" t="s">
        <v>728</v>
      </c>
      <c r="G917" s="37" t="s">
        <v>778</v>
      </c>
      <c r="H917" s="37" t="s">
        <v>1692</v>
      </c>
      <c r="I917" s="37">
        <v>1</v>
      </c>
      <c r="J917" s="107">
        <v>750</v>
      </c>
      <c r="K917" s="8" t="s">
        <v>1831</v>
      </c>
      <c r="L917" s="10">
        <f>COUNTIF(Drank!A:A,Table1[[#This Row],[ID]])</f>
        <v>0</v>
      </c>
      <c r="M917" t="s">
        <v>202</v>
      </c>
      <c r="N917" t="s">
        <v>207</v>
      </c>
      <c r="O917">
        <v>1</v>
      </c>
      <c r="P917" s="10">
        <v>2022</v>
      </c>
      <c r="Q917">
        <v>2040</v>
      </c>
      <c r="R917" s="10" t="str">
        <f>IF(IFERROR(VLOOKUP(A917,Drank!A:S,15,FALSE),"")=0,"",IFERROR(VLOOKUP(A917,Drank!A:S,15,FALSE),""))</f>
        <v/>
      </c>
      <c r="S917" s="10" t="str">
        <f>IF(IFERROR(VLOOKUP(A917,Drank!A:S,16,FALSE),"")=0,"",IFERROR(VLOOKUP(A917,Drank!A:S,16,FALSE),""))</f>
        <v/>
      </c>
      <c r="T917" s="10"/>
      <c r="U917" t="s">
        <v>17</v>
      </c>
      <c r="V917" s="18" t="str">
        <f>IF(IFERROR(VLOOKUP(A917,Drank!A:T,19,FALSE),"")=0,"",IFERROR(VLOOKUP(A917,Drank!A:T,19,FALSE),""))</f>
        <v/>
      </c>
      <c r="W917" s="1" t="str">
        <f>IF(IFERROR(VLOOKUP(A917,Drank!A:T,20,FALSE),"")=0,"",IFERROR(VLOOKUP(A917,Drank!A:T,20,FALSE),""))</f>
        <v/>
      </c>
      <c r="X917" s="10">
        <f>SUMIF(A:A,A917,I:I)</f>
        <v>6</v>
      </c>
      <c r="Y917" s="10">
        <f>IF(Table1[[#This Row],[Drank]]&gt;0,VLOOKUP(Table1[[#This Row],[ID]],Drank!A:P,16,FALSE),IF(Table1[[#This Row],[WALDD]]&gt;0,VLOOKUP(Table1[[#This Row],[ID]],Wine1!A:Q,17,FALSE),Table1[[#This Row],[EP]]))</f>
        <v>2040</v>
      </c>
      <c r="Z917" s="18" t="str">
        <f>IF(Table1[[#This Row],[My Rating]]="",IF(Table1[[#This Row],[WA Rating Clean]]="","",Table1[[#This Row],[WA Rating Clean]]),Table1[[#This Row],[My Rating]])</f>
        <v>94+</v>
      </c>
      <c r="AA917" s="37">
        <v>2028</v>
      </c>
      <c r="AB917" s="129">
        <v>52.14</v>
      </c>
      <c r="AC917" s="2">
        <f t="shared" si="49"/>
        <v>52.14</v>
      </c>
      <c r="AD917" s="8">
        <v>1</v>
      </c>
      <c r="AE917" s="10">
        <f>IF(Table1[[#This Row],[P/750]]&lt;20,1,IF(Table1[[#This Row],[P/750]]&lt;50,2,3))</f>
        <v>3</v>
      </c>
      <c r="AF917" s="10">
        <f>IF(Table1[[#This Row],[P/750]]&lt;Expenses!$C$30,1,IF(Table1[[#This Row],[P/750]]&lt;Expenses!$C$31,2,IF(Table1[[#This Row],[P/750]]&lt;Expenses!$C$32,3,4)))</f>
        <v>3</v>
      </c>
      <c r="AH917" s="25" t="s">
        <v>1128</v>
      </c>
      <c r="AI917" s="11">
        <f>Table1[[#This Row],[Price]]/Table1[[#This Row],[Size (ml)]]*750</f>
        <v>52.14</v>
      </c>
      <c r="AJ917" t="s">
        <v>17</v>
      </c>
      <c r="AK917" s="10">
        <f>COUNTIF(UniqueID!A:A,Table1[[#This Row],[ID]])</f>
        <v>0</v>
      </c>
      <c r="AL917" s="10" t="str">
        <f>VLOOKUP(Table1[[#This Row],[Cellar Location]],Location!A:F,6,FALSE)</f>
        <v>S</v>
      </c>
      <c r="AN917" s="1">
        <v>44070</v>
      </c>
      <c r="AO917" s="10" t="str">
        <f>TEXT(Table1[[#This Row],[Purchased]],"mmmm")</f>
        <v>August</v>
      </c>
      <c r="AP917" s="10" t="str">
        <f>TEXT(Table1[[#This Row],[Purchased]],"yyyy")</f>
        <v>2020</v>
      </c>
      <c r="AQ917" s="1"/>
    </row>
    <row r="918" spans="1:43" x14ac:dyDescent="0.25">
      <c r="A918" t="str">
        <f t="shared" si="48"/>
        <v>2016Paolo ScavinoBarolo</v>
      </c>
      <c r="B918" s="37">
        <v>2016</v>
      </c>
      <c r="C918" s="37" t="s">
        <v>1796</v>
      </c>
      <c r="D918" s="9" t="s">
        <v>268</v>
      </c>
      <c r="E918" s="67" t="s">
        <v>1206</v>
      </c>
      <c r="F918" s="37" t="s">
        <v>728</v>
      </c>
      <c r="G918" s="37" t="s">
        <v>778</v>
      </c>
      <c r="H918" s="37" t="s">
        <v>268</v>
      </c>
      <c r="I918" s="37">
        <v>1</v>
      </c>
      <c r="J918" s="107">
        <v>750</v>
      </c>
      <c r="K918" s="8" t="s">
        <v>1814</v>
      </c>
      <c r="L918" s="10">
        <f>COUNTIF(Drank!A:A,Table1[[#This Row],[ID]])</f>
        <v>0</v>
      </c>
      <c r="M918" t="s">
        <v>202</v>
      </c>
      <c r="N918" t="s">
        <v>207</v>
      </c>
      <c r="O918">
        <v>1</v>
      </c>
      <c r="P918" s="10">
        <v>2023</v>
      </c>
      <c r="Q918">
        <v>2040</v>
      </c>
      <c r="R918" s="10" t="str">
        <f>IF(IFERROR(VLOOKUP(A918,Drank!A:S,15,FALSE),"")=0,"",IFERROR(VLOOKUP(A918,Drank!A:S,15,FALSE),""))</f>
        <v/>
      </c>
      <c r="S918" s="10" t="str">
        <f>IF(IFERROR(VLOOKUP(A918,Drank!A:S,16,FALSE),"")=0,"",IFERROR(VLOOKUP(A918,Drank!A:S,16,FALSE),""))</f>
        <v/>
      </c>
      <c r="T918" s="10"/>
      <c r="U918">
        <v>95</v>
      </c>
      <c r="V918" s="18" t="str">
        <f>IF(IFERROR(VLOOKUP(A918,Drank!A:T,19,FALSE),"")=0,"",IFERROR(VLOOKUP(A918,Drank!A:T,19,FALSE),""))</f>
        <v/>
      </c>
      <c r="W918" s="1" t="str">
        <f>IF(IFERROR(VLOOKUP(A918,Drank!A:T,20,FALSE),"")=0,"",IFERROR(VLOOKUP(A918,Drank!A:T,20,FALSE),""))</f>
        <v/>
      </c>
      <c r="X918" s="10">
        <f>SUMIF(A:A,A918,I:I)</f>
        <v>6</v>
      </c>
      <c r="Y918" s="10">
        <f>IF(Table1[[#This Row],[Drank]]&gt;0,VLOOKUP(Table1[[#This Row],[ID]],Drank!A:P,16,FALSE),IF(Table1[[#This Row],[WALDD]]&gt;0,VLOOKUP(Table1[[#This Row],[ID]],Wine1!A:Q,17,FALSE),Table1[[#This Row],[EP]]))</f>
        <v>2040</v>
      </c>
      <c r="Z918" s="18">
        <f>IF(Table1[[#This Row],[My Rating]]="",IF(Table1[[#This Row],[WA Rating Clean]]="","",Table1[[#This Row],[WA Rating Clean]]),Table1[[#This Row],[My Rating]])</f>
        <v>95</v>
      </c>
      <c r="AA918" s="37">
        <v>2028</v>
      </c>
      <c r="AB918" s="128">
        <v>44.77</v>
      </c>
      <c r="AC918" s="2">
        <f t="shared" si="49"/>
        <v>44.77</v>
      </c>
      <c r="AD918" s="8">
        <v>1</v>
      </c>
      <c r="AE918" s="10">
        <f>IF(Table1[[#This Row],[P/750]]&lt;20,1,IF(Table1[[#This Row],[P/750]]&lt;50,2,3))</f>
        <v>2</v>
      </c>
      <c r="AF918" s="10">
        <f>IF(Table1[[#This Row],[P/750]]&lt;Expenses!$C$30,1,IF(Table1[[#This Row],[P/750]]&lt;Expenses!$C$31,2,IF(Table1[[#This Row],[P/750]]&lt;Expenses!$C$32,3,4)))</f>
        <v>3</v>
      </c>
      <c r="AH918" s="25" t="s">
        <v>1803</v>
      </c>
      <c r="AI918" s="11">
        <f>Table1[[#This Row],[Price]]/Table1[[#This Row],[Size (ml)]]*750</f>
        <v>44.77</v>
      </c>
      <c r="AJ918">
        <v>95</v>
      </c>
      <c r="AK918" s="10">
        <f>COUNTIF(UniqueID!A:A,Table1[[#This Row],[ID]])</f>
        <v>0</v>
      </c>
      <c r="AL918" s="10" t="str">
        <f>VLOOKUP(Table1[[#This Row],[Cellar Location]],Location!A:F,6,FALSE)</f>
        <v>S</v>
      </c>
      <c r="AN918" s="1">
        <v>44065</v>
      </c>
      <c r="AO918" s="10" t="str">
        <f>TEXT(Table1[[#This Row],[Purchased]],"mmmm")</f>
        <v>August</v>
      </c>
      <c r="AP918" s="10" t="str">
        <f>TEXT(Table1[[#This Row],[Purchased]],"yyyy")</f>
        <v>2020</v>
      </c>
      <c r="AQ918" s="10"/>
    </row>
    <row r="919" spans="1:43" x14ac:dyDescent="0.25">
      <c r="A919" t="str">
        <f t="shared" si="48"/>
        <v>2016Tua RitaGiusto di Notri</v>
      </c>
      <c r="B919" s="37">
        <v>2016</v>
      </c>
      <c r="C919" s="37" t="s">
        <v>859</v>
      </c>
      <c r="D919" s="37" t="s">
        <v>860</v>
      </c>
      <c r="E919" s="67" t="s">
        <v>1266</v>
      </c>
      <c r="F919" s="37" t="s">
        <v>728</v>
      </c>
      <c r="G919" s="37" t="s">
        <v>790</v>
      </c>
      <c r="H919" s="37" t="s">
        <v>796</v>
      </c>
      <c r="I919" s="107">
        <v>1</v>
      </c>
      <c r="J919" s="37">
        <v>750</v>
      </c>
      <c r="K919" s="107" t="s">
        <v>928</v>
      </c>
      <c r="L919" s="10">
        <f>COUNTIF(Drank!A:A,Table1[[#This Row],[ID]])</f>
        <v>0</v>
      </c>
      <c r="M919" t="s">
        <v>202</v>
      </c>
      <c r="N919" t="s">
        <v>207</v>
      </c>
      <c r="O919">
        <v>1</v>
      </c>
      <c r="P919" s="10">
        <v>2020</v>
      </c>
      <c r="Q919">
        <v>2040</v>
      </c>
      <c r="R919" s="10" t="str">
        <f>IF(IFERROR(VLOOKUP(A919,Drank!A:S,15,FALSE),"")=0,"",IFERROR(VLOOKUP(A919,Drank!A:S,15,FALSE),""))</f>
        <v/>
      </c>
      <c r="S919" s="10" t="str">
        <f>IF(IFERROR(VLOOKUP(A919,Drank!A:S,16,FALSE),"")=0,"",IFERROR(VLOOKUP(A919,Drank!A:S,16,FALSE),""))</f>
        <v/>
      </c>
      <c r="T919" s="10"/>
      <c r="U919">
        <v>97</v>
      </c>
      <c r="V919" s="18" t="str">
        <f>IF(IFERROR(VLOOKUP(A919,Drank!A:T,19,FALSE),"")=0,"",IFERROR(VLOOKUP(A919,Drank!A:T,19,FALSE),""))</f>
        <v/>
      </c>
      <c r="W919" s="1" t="str">
        <f>IF(IFERROR(VLOOKUP(A919,Drank!A:T,20,FALSE),"")=0,"",IFERROR(VLOOKUP(A919,Drank!A:T,20,FALSE),""))</f>
        <v/>
      </c>
      <c r="X919" s="10">
        <f>SUMIF(A:A,A919,I:I)</f>
        <v>4</v>
      </c>
      <c r="Y919" s="10">
        <f>IF(Table1[[#This Row],[Drank]]&gt;0,VLOOKUP(Table1[[#This Row],[ID]],Drank!A:P,16,FALSE),IF(Table1[[#This Row],[WALDD]]&gt;0,VLOOKUP(Table1[[#This Row],[ID]],Wine1!A:Q,17,FALSE),Table1[[#This Row],[EP]]))</f>
        <v>2040</v>
      </c>
      <c r="Z919" s="18">
        <f>IF(Table1[[#This Row],[My Rating]]="",IF(Table1[[#This Row],[WA Rating Clean]]="","",Table1[[#This Row],[WA Rating Clean]]),Table1[[#This Row],[My Rating]])</f>
        <v>97</v>
      </c>
      <c r="AA919" s="6">
        <v>2028</v>
      </c>
      <c r="AB919" s="4">
        <v>59.99</v>
      </c>
      <c r="AC919" s="2">
        <f t="shared" si="49"/>
        <v>59.99</v>
      </c>
      <c r="AD919" s="8">
        <v>2</v>
      </c>
      <c r="AE919" s="10">
        <f>IF(Table1[[#This Row],[P/750]]&lt;20,1,IF(Table1[[#This Row],[P/750]]&lt;50,2,3))</f>
        <v>3</v>
      </c>
      <c r="AF919" s="10">
        <f>IF(Table1[[#This Row],[P/750]]&lt;Expenses!$C$30,1,IF(Table1[[#This Row],[P/750]]&lt;Expenses!$C$31,2,IF(Table1[[#This Row],[P/750]]&lt;Expenses!$C$32,3,4)))</f>
        <v>3</v>
      </c>
      <c r="AH919" s="37" t="s">
        <v>384</v>
      </c>
      <c r="AI919" s="11">
        <f>Table1[[#This Row],[Price]]/Table1[[#This Row],[Size (ml)]]*750</f>
        <v>59.989999999999995</v>
      </c>
      <c r="AJ919">
        <v>97</v>
      </c>
      <c r="AK919" s="10">
        <f>COUNTIF(UniqueID!A:A,Table1[[#This Row],[ID]])</f>
        <v>1</v>
      </c>
      <c r="AL919" s="37" t="str">
        <f>VLOOKUP(Table1[[#This Row],[Cellar Location]],Location!A:F,6,FALSE)</f>
        <v>S</v>
      </c>
      <c r="AN919" s="1">
        <v>43825</v>
      </c>
      <c r="AO919" s="37" t="str">
        <f>TEXT(Table1[[#This Row],[Purchased]],"mmmm")</f>
        <v>December</v>
      </c>
      <c r="AP919" s="10" t="str">
        <f>TEXT(Table1[[#This Row],[Purchased]],"yyyy")</f>
        <v>2019</v>
      </c>
      <c r="AQ919" s="10"/>
    </row>
    <row r="920" spans="1:43" x14ac:dyDescent="0.25">
      <c r="A920" t="str">
        <f t="shared" si="48"/>
        <v>2016Clos du RoyClos du Roy</v>
      </c>
      <c r="B920" s="37">
        <v>2016</v>
      </c>
      <c r="C920" s="37" t="s">
        <v>854</v>
      </c>
      <c r="D920" s="37" t="s">
        <v>854</v>
      </c>
      <c r="E920" s="37" t="s">
        <v>1198</v>
      </c>
      <c r="F920" s="37" t="s">
        <v>742</v>
      </c>
      <c r="G920" s="37" t="s">
        <v>748</v>
      </c>
      <c r="H920" s="37" t="s">
        <v>856</v>
      </c>
      <c r="I920" s="107">
        <v>1</v>
      </c>
      <c r="J920" s="37">
        <v>750</v>
      </c>
      <c r="K920" s="107" t="s">
        <v>1145</v>
      </c>
      <c r="L920" s="10">
        <f>COUNTIF(Drank!A:A,Table1[[#This Row],[ID]])</f>
        <v>1</v>
      </c>
      <c r="M920" t="s">
        <v>202</v>
      </c>
      <c r="N920" t="s">
        <v>207</v>
      </c>
      <c r="O920">
        <v>1</v>
      </c>
      <c r="P920" s="10">
        <v>2021</v>
      </c>
      <c r="Q920">
        <v>2038</v>
      </c>
      <c r="R920" s="10" t="str">
        <f>IF(IFERROR(VLOOKUP(A920,Drank!A:S,15,FALSE),"")=0,"",IFERROR(VLOOKUP(A920,Drank!A:S,15,FALSE),""))</f>
        <v/>
      </c>
      <c r="S920" s="10">
        <f>IF(IFERROR(VLOOKUP(A920,Drank!A:S,16,FALSE),"")=0,"",IFERROR(VLOOKUP(A920,Drank!A:S,16,FALSE),""))</f>
        <v>2045</v>
      </c>
      <c r="T920" s="10"/>
      <c r="U920" t="s">
        <v>855</v>
      </c>
      <c r="V920" s="18">
        <f>IF(IFERROR(VLOOKUP(A920,Drank!A:T,19,FALSE),"")=0,"",IFERROR(VLOOKUP(A920,Drank!A:T,19,FALSE),""))</f>
        <v>91</v>
      </c>
      <c r="W920" s="1">
        <f>IF(IFERROR(VLOOKUP(A920,Drank!A:T,20,FALSE),"")=0,"",IFERROR(VLOOKUP(A920,Drank!A:T,20,FALSE),""))</f>
        <v>43830</v>
      </c>
      <c r="X920" s="10">
        <f>SUMIF(A:A,A920,I:I)</f>
        <v>15</v>
      </c>
      <c r="Y920" s="10">
        <f>IF(Table1[[#This Row],[Drank]]&gt;0,VLOOKUP(Table1[[#This Row],[ID]],Drank!A:P,16,FALSE),IF(Table1[[#This Row],[WALDD]]&gt;0,VLOOKUP(Table1[[#This Row],[ID]],Wine1!A:Q,17,FALSE),Table1[[#This Row],[EP]]))</f>
        <v>2045</v>
      </c>
      <c r="Z920" s="18">
        <f>IF(Table1[[#This Row],[My Rating]]="",IF(Table1[[#This Row],[WA Rating Clean]]="","",Table1[[#This Row],[WA Rating Clean]]),Table1[[#This Row],[My Rating]])</f>
        <v>91</v>
      </c>
      <c r="AA920" s="37">
        <v>2028</v>
      </c>
      <c r="AB920" s="4">
        <v>17.91</v>
      </c>
      <c r="AC920" s="2">
        <f t="shared" si="49"/>
        <v>17.91</v>
      </c>
      <c r="AD920" s="8">
        <v>2</v>
      </c>
      <c r="AE920" s="10">
        <f>IF(Table1[[#This Row],[P/750]]&lt;20,1,IF(Table1[[#This Row],[P/750]]&lt;50,2,3))</f>
        <v>1</v>
      </c>
      <c r="AF920" s="10">
        <f>IF(Table1[[#This Row],[P/750]]&lt;Expenses!$C$30,1,IF(Table1[[#This Row],[P/750]]&lt;Expenses!$C$31,2,IF(Table1[[#This Row],[P/750]]&lt;Expenses!$C$32,3,4)))</f>
        <v>2</v>
      </c>
      <c r="AH920" s="37" t="s">
        <v>1128</v>
      </c>
      <c r="AI920" s="11">
        <f>Table1[[#This Row],[Price]]/Table1[[#This Row],[Size (ml)]]*750</f>
        <v>17.91</v>
      </c>
      <c r="AJ920">
        <v>92</v>
      </c>
      <c r="AK920" s="10">
        <f>COUNTIF(UniqueID!A:A,Table1[[#This Row],[ID]])</f>
        <v>1</v>
      </c>
      <c r="AL920" s="37" t="str">
        <f>VLOOKUP(Table1[[#This Row],[Cellar Location]],Location!A:F,6,FALSE)</f>
        <v>S</v>
      </c>
      <c r="AN920" s="1">
        <v>43830</v>
      </c>
      <c r="AO920" s="37" t="str">
        <f>TEXT(Table1[[#This Row],[Purchased]],"mmmm")</f>
        <v>December</v>
      </c>
      <c r="AP920" s="10" t="str">
        <f>TEXT(Table1[[#This Row],[Purchased]],"yyyy")</f>
        <v>2019</v>
      </c>
      <c r="AQ920" s="10"/>
    </row>
    <row r="921" spans="1:43" x14ac:dyDescent="0.25">
      <c r="A921" t="str">
        <f t="shared" si="48"/>
        <v>2016Doisy-VedrinesPetit-Vedrines</v>
      </c>
      <c r="B921" s="37">
        <v>2016</v>
      </c>
      <c r="C921" s="37" t="s">
        <v>843</v>
      </c>
      <c r="D921" s="37" t="s">
        <v>1686</v>
      </c>
      <c r="E921" s="69" t="s">
        <v>1688</v>
      </c>
      <c r="F921" s="37" t="s">
        <v>742</v>
      </c>
      <c r="G921" s="37" t="s">
        <v>748</v>
      </c>
      <c r="H921" s="37" t="s">
        <v>260</v>
      </c>
      <c r="I921" s="8">
        <v>1</v>
      </c>
      <c r="J921" s="38">
        <v>375</v>
      </c>
      <c r="K921" s="38" t="s">
        <v>1687</v>
      </c>
      <c r="L921" s="10">
        <f>COUNTIF(Drank!A:A,Table1[[#This Row],[ID]])</f>
        <v>0</v>
      </c>
      <c r="M921" t="s">
        <v>201</v>
      </c>
      <c r="N921" t="s">
        <v>206</v>
      </c>
      <c r="O921">
        <v>0</v>
      </c>
      <c r="P921" s="37"/>
      <c r="R921" s="10" t="str">
        <f>IF(IFERROR(VLOOKUP(A921,Drank!A:S,15,FALSE),"")=0,"",IFERROR(VLOOKUP(A921,Drank!A:S,15,FALSE),""))</f>
        <v/>
      </c>
      <c r="S921" s="10" t="str">
        <f>IF(IFERROR(VLOOKUP(A921,Drank!A:S,16,FALSE),"")=0,"",IFERROR(VLOOKUP(A921,Drank!A:S,16,FALSE),""))</f>
        <v/>
      </c>
      <c r="T921" s="10"/>
      <c r="V921" s="18" t="str">
        <f>IF(IFERROR(VLOOKUP(A921,Drank!A:T,19,FALSE),"")=0,"",IFERROR(VLOOKUP(A921,Drank!A:T,19,FALSE),""))</f>
        <v/>
      </c>
      <c r="W921" s="1" t="str">
        <f>IF(IFERROR(VLOOKUP(A921,Drank!A:T,20,FALSE),"")=0,"",IFERROR(VLOOKUP(A921,Drank!A:T,20,FALSE),""))</f>
        <v/>
      </c>
      <c r="X921" s="10">
        <f>SUMIF(A:A,A921,I:I)</f>
        <v>24</v>
      </c>
      <c r="Y921" s="10">
        <f>IF(Table1[[#This Row],[Drank]]&gt;0,VLOOKUP(Table1[[#This Row],[ID]],Drank!A:P,16,FALSE),IF(Table1[[#This Row],[WALDD]]&gt;0,VLOOKUP(Table1[[#This Row],[ID]],Wine1!A:Q,17,FALSE),Table1[[#This Row],[EP]]))</f>
        <v>0</v>
      </c>
      <c r="Z921" s="18" t="str">
        <f>IF(Table1[[#This Row],[My Rating]]="",IF(Table1[[#This Row],[WA Rating Clean]]="","",Table1[[#This Row],[WA Rating Clean]]),Table1[[#This Row],[My Rating]])</f>
        <v/>
      </c>
      <c r="AA921" s="8">
        <v>2029</v>
      </c>
      <c r="AB921" s="4">
        <v>16.399999999999999</v>
      </c>
      <c r="AC921" s="2">
        <f t="shared" si="49"/>
        <v>16.399999999999999</v>
      </c>
      <c r="AD921" s="8">
        <v>1</v>
      </c>
      <c r="AE921" s="10">
        <f>IF(Table1[[#This Row],[P/750]]&lt;20,1,IF(Table1[[#This Row],[P/750]]&lt;50,2,3))</f>
        <v>2</v>
      </c>
      <c r="AF921" s="10">
        <f>IF(Table1[[#This Row],[P/750]]&lt;Expenses!$C$30,1,IF(Table1[[#This Row],[P/750]]&lt;Expenses!$C$31,2,IF(Table1[[#This Row],[P/750]]&lt;Expenses!$C$32,3,4)))</f>
        <v>3</v>
      </c>
      <c r="AH921" s="37" t="s">
        <v>1189</v>
      </c>
      <c r="AI921" s="11">
        <f>Table1[[#This Row],[Price]]/Table1[[#This Row],[Size (ml)]]*750</f>
        <v>32.799999999999997</v>
      </c>
      <c r="AK921" s="10">
        <f>COUNTIF(UniqueID!A:A,Table1[[#This Row],[ID]])</f>
        <v>0</v>
      </c>
      <c r="AL921" s="10" t="str">
        <f>VLOOKUP(Table1[[#This Row],[Cellar Location]],Location!A:F,6,FALSE)</f>
        <v>W</v>
      </c>
      <c r="AN921" s="1">
        <v>44061</v>
      </c>
      <c r="AO921" s="10" t="str">
        <f>TEXT(Table1[[#This Row],[Purchased]],"mmmm")</f>
        <v>August</v>
      </c>
      <c r="AP921" s="10" t="str">
        <f>TEXT(Table1[[#This Row],[Purchased]],"yyyy")</f>
        <v>2020</v>
      </c>
      <c r="AQ921" s="1">
        <v>44137</v>
      </c>
    </row>
    <row r="922" spans="1:43" x14ac:dyDescent="0.25">
      <c r="A922" t="str">
        <f t="shared" si="48"/>
        <v>1965Toro AlbalÃ¡Don PX SelecciÃ³n</v>
      </c>
      <c r="B922" s="37">
        <v>1965</v>
      </c>
      <c r="C922" s="37" t="s">
        <v>347</v>
      </c>
      <c r="D922" s="37" t="s">
        <v>348</v>
      </c>
      <c r="E922" s="67" t="s">
        <v>1469</v>
      </c>
      <c r="F922" s="37" t="s">
        <v>729</v>
      </c>
      <c r="G922" s="37" t="s">
        <v>809</v>
      </c>
      <c r="H922" s="37" t="s">
        <v>810</v>
      </c>
      <c r="I922" s="107">
        <v>1</v>
      </c>
      <c r="J922" s="37">
        <v>750</v>
      </c>
      <c r="K922" s="108" t="s">
        <v>1505</v>
      </c>
      <c r="L922" s="37">
        <f>COUNTIF(Drank!A:A,Table1[[#This Row],[ID]])</f>
        <v>1</v>
      </c>
      <c r="M922" t="s">
        <v>201</v>
      </c>
      <c r="N922" t="s">
        <v>206</v>
      </c>
      <c r="O922">
        <v>1</v>
      </c>
      <c r="P922" s="37">
        <v>2014</v>
      </c>
      <c r="Q922">
        <v>2020</v>
      </c>
      <c r="R922" s="10">
        <f>IF(IFERROR(VLOOKUP(A922,Drank!A:S,15,FALSE),"")=0,"",IFERROR(VLOOKUP(A922,Drank!A:S,15,FALSE),""))</f>
        <v>2020</v>
      </c>
      <c r="S922" s="10">
        <f>IF(IFERROR(VLOOKUP(A922,Drank!A:S,16,FALSE),"")=0,"",IFERROR(VLOOKUP(A922,Drank!A:S,16,FALSE),""))</f>
        <v>2020</v>
      </c>
      <c r="T922" s="10"/>
      <c r="U922">
        <v>97</v>
      </c>
      <c r="V922" s="18">
        <f>IF(IFERROR(VLOOKUP(A922,Drank!A:T,19,FALSE),"")=0,"",IFERROR(VLOOKUP(A922,Drank!A:T,19,FALSE),""))</f>
        <v>95</v>
      </c>
      <c r="W922" s="1">
        <f>IF(IFERROR(VLOOKUP(A922,Drank!A:T,20,FALSE),"")=0,"",IFERROR(VLOOKUP(A922,Drank!A:T,20,FALSE),""))</f>
        <v>43631</v>
      </c>
      <c r="X922" s="10">
        <f>SUMIF(A:A,A922,I:I)</f>
        <v>1</v>
      </c>
      <c r="Y922" s="37">
        <f>IF(Table1[[#This Row],[Drank]]&gt;0,VLOOKUP(Table1[[#This Row],[ID]],Drank!A:P,16,FALSE),IF(Table1[[#This Row],[WALDD]]&gt;0,VLOOKUP(Table1[[#This Row],[ID]],Wine1!A:Q,17,FALSE),Table1[[#This Row],[EP]]))</f>
        <v>2020</v>
      </c>
      <c r="Z922" s="18">
        <f>IF(Table1[[#This Row],[My Rating]]="",IF(Table1[[#This Row],[WA Rating Clean]]="","",Table1[[#This Row],[WA Rating Clean]]),Table1[[#This Row],[My Rating]])</f>
        <v>95</v>
      </c>
      <c r="AA922" s="37">
        <v>2029</v>
      </c>
      <c r="AB922" s="4">
        <v>150</v>
      </c>
      <c r="AC922" s="2">
        <f t="shared" si="49"/>
        <v>150</v>
      </c>
      <c r="AD922" s="8">
        <v>2</v>
      </c>
      <c r="AE922" s="37">
        <f>IF(Table1[[#This Row],[P/750]]&lt;20,1,IF(Table1[[#This Row],[P/750]]&lt;50,2,3))</f>
        <v>3</v>
      </c>
      <c r="AF922" s="37">
        <f>IF(Table1[[#This Row],[P/750]]&lt;Expenses!$C$30,1,IF(Table1[[#This Row],[P/750]]&lt;Expenses!$C$31,2,IF(Table1[[#This Row],[P/750]]&lt;Expenses!$C$32,3,4)))</f>
        <v>4</v>
      </c>
      <c r="AH922" s="37" t="s">
        <v>385</v>
      </c>
      <c r="AI922" s="11">
        <f>Table1[[#This Row],[Price]]/Table1[[#This Row],[Size (ml)]]*750</f>
        <v>150</v>
      </c>
      <c r="AJ922">
        <v>97</v>
      </c>
      <c r="AK922" s="37">
        <f>COUNTIF(UniqueID!A:A,Table1[[#This Row],[ID]])</f>
        <v>1</v>
      </c>
      <c r="AL922" s="37" t="str">
        <f>VLOOKUP(Table1[[#This Row],[Cellar Location]],Location!A:F,6,FALSE)</f>
        <v>S</v>
      </c>
      <c r="AN922" s="37"/>
      <c r="AO922" s="37" t="str">
        <f>TEXT(Table1[[#This Row],[Purchased]],"mmmm")</f>
        <v>January</v>
      </c>
      <c r="AP922" s="10" t="str">
        <f>TEXT(Table1[[#This Row],[Purchased]],"yyyy")</f>
        <v>1900</v>
      </c>
      <c r="AQ922" s="10"/>
    </row>
    <row r="923" spans="1:43" x14ac:dyDescent="0.25">
      <c r="A923" t="str">
        <f t="shared" si="48"/>
        <v>2006LÃ³pez de HerediaViÃ±a Tondonia Reserva</v>
      </c>
      <c r="B923" s="37">
        <v>2006</v>
      </c>
      <c r="C923" s="19" t="s">
        <v>219</v>
      </c>
      <c r="D923" s="9" t="s">
        <v>220</v>
      </c>
      <c r="E923" s="65" t="s">
        <v>277</v>
      </c>
      <c r="F923" s="37" t="s">
        <v>729</v>
      </c>
      <c r="G923" s="37" t="s">
        <v>823</v>
      </c>
      <c r="H923" s="37" t="s">
        <v>825</v>
      </c>
      <c r="I923" s="37">
        <v>1</v>
      </c>
      <c r="J923" s="37">
        <v>750</v>
      </c>
      <c r="K923" s="8" t="s">
        <v>11</v>
      </c>
      <c r="L923" s="37">
        <f>COUNTIF(Drank!A:A,Table1[[#This Row],[ID]])</f>
        <v>2</v>
      </c>
      <c r="M923" t="s">
        <v>202</v>
      </c>
      <c r="N923" t="s">
        <v>207</v>
      </c>
      <c r="O923">
        <v>1</v>
      </c>
      <c r="P923" s="37">
        <v>2018</v>
      </c>
      <c r="Q923">
        <v>2028</v>
      </c>
      <c r="R923" s="37">
        <f>IF(IFERROR(VLOOKUP(A923,Drank!A:S,15,FALSE),"")=0,"",IFERROR(VLOOKUP(A923,Drank!A:S,15,FALSE),""))</f>
        <v>2019</v>
      </c>
      <c r="S923" s="37">
        <f>IF(IFERROR(VLOOKUP(A923,Drank!A:S,16,FALSE),"")=0,"",IFERROR(VLOOKUP(A923,Drank!A:S,16,FALSE),""))</f>
        <v>2024</v>
      </c>
      <c r="T923" s="37"/>
      <c r="U923">
        <v>95</v>
      </c>
      <c r="V923" s="18">
        <f>IF(IFERROR(VLOOKUP(A923,Drank!A:T,19,FALSE),"")=0,"",IFERROR(VLOOKUP(A923,Drank!A:T,19,FALSE),""))</f>
        <v>94.5</v>
      </c>
      <c r="W923" s="1">
        <f>IF(IFERROR(VLOOKUP(A923,Drank!A:T,20,FALSE),"")=0,"",IFERROR(VLOOKUP(A923,Drank!A:T,20,FALSE),""))</f>
        <v>43609</v>
      </c>
      <c r="X923" s="37">
        <f>SUMIF(A:A,A923,I:I)</f>
        <v>3</v>
      </c>
      <c r="Y923" s="37">
        <f>IF(Table1[[#This Row],[Drank]]&gt;0,VLOOKUP(Table1[[#This Row],[ID]],Drank!A:P,16,FALSE),IF(Table1[[#This Row],[WALDD]]&gt;0,VLOOKUP(Table1[[#This Row],[ID]],Wine1!A:Q,17,FALSE),Table1[[#This Row],[EP]]))</f>
        <v>2024</v>
      </c>
      <c r="Z923" s="18">
        <f>IF(Table1[[#This Row],[My Rating]]="",IF(Table1[[#This Row],[WA Rating Clean]]="","",Table1[[#This Row],[WA Rating Clean]]),Table1[[#This Row],[My Rating]])</f>
        <v>94.5</v>
      </c>
      <c r="AA923" s="37">
        <v>2029</v>
      </c>
      <c r="AB923" s="4">
        <v>39.99</v>
      </c>
      <c r="AC923" s="2">
        <f t="shared" si="49"/>
        <v>39.99</v>
      </c>
      <c r="AD923" s="8">
        <v>0</v>
      </c>
      <c r="AE923" s="37">
        <f>IF(Table1[[#This Row],[P/750]]&lt;20,1,IF(Table1[[#This Row],[P/750]]&lt;50,2,3))</f>
        <v>2</v>
      </c>
      <c r="AF923" s="37">
        <f>IF(Table1[[#This Row],[P/750]]&lt;Expenses!$C$30,1,IF(Table1[[#This Row],[P/750]]&lt;Expenses!$C$31,2,IF(Table1[[#This Row],[P/750]]&lt;Expenses!$C$32,3,4)))</f>
        <v>3</v>
      </c>
      <c r="AH923" t="s">
        <v>1139</v>
      </c>
      <c r="AI923" s="11">
        <f>Table1[[#This Row],[Price]]/Table1[[#This Row],[Size (ml)]]*750</f>
        <v>39.99</v>
      </c>
      <c r="AJ923">
        <v>95</v>
      </c>
      <c r="AK923" s="37">
        <f>COUNTIF(UniqueID!A:A,Table1[[#This Row],[ID]])</f>
        <v>1</v>
      </c>
      <c r="AL923" s="37" t="str">
        <f>VLOOKUP(Table1[[#This Row],[Cellar Location]],Location!A:F,6,FALSE)</f>
        <v>K</v>
      </c>
      <c r="AN923" s="37"/>
      <c r="AO923" s="37" t="str">
        <f>TEXT(Table1[[#This Row],[Purchased]],"mmmm")</f>
        <v>January</v>
      </c>
      <c r="AP923" s="10" t="str">
        <f>TEXT(Table1[[#This Row],[Purchased]],"yyyy")</f>
        <v>1900</v>
      </c>
      <c r="AQ923" s="10"/>
    </row>
    <row r="924" spans="1:43" x14ac:dyDescent="0.25">
      <c r="A924" t="str">
        <f t="shared" si="48"/>
        <v>2017SichelSichel</v>
      </c>
      <c r="B924" s="8">
        <v>2017</v>
      </c>
      <c r="C924" s="37" t="s">
        <v>409</v>
      </c>
      <c r="D924" s="37" t="s">
        <v>409</v>
      </c>
      <c r="E924" s="37" t="s">
        <v>1200</v>
      </c>
      <c r="F924" s="37" t="s">
        <v>742</v>
      </c>
      <c r="G924" s="37" t="s">
        <v>748</v>
      </c>
      <c r="H924" s="37" t="s">
        <v>260</v>
      </c>
      <c r="I924" s="107">
        <v>1</v>
      </c>
      <c r="J924" s="37">
        <v>375</v>
      </c>
      <c r="K924" s="107" t="s">
        <v>1504</v>
      </c>
      <c r="L924" s="37">
        <f>COUNTIF(Drank!A:A,Table1[[#This Row],[ID]])</f>
        <v>10</v>
      </c>
      <c r="M924" t="s">
        <v>201</v>
      </c>
      <c r="N924" t="s">
        <v>206</v>
      </c>
      <c r="O924">
        <v>1</v>
      </c>
      <c r="P924" s="37"/>
      <c r="R924" s="10">
        <f>IF(IFERROR(VLOOKUP(A924,Drank!A:S,15,FALSE),"")=0,"",IFERROR(VLOOKUP(A924,Drank!A:S,15,FALSE),""))</f>
        <v>2020</v>
      </c>
      <c r="S924" s="10">
        <f>IF(IFERROR(VLOOKUP(A924,Drank!A:S,16,FALSE),"")=0,"",IFERROR(VLOOKUP(A924,Drank!A:S,16,FALSE),""))</f>
        <v>2025</v>
      </c>
      <c r="T924" s="10"/>
      <c r="V924" s="18">
        <f>IF(IFERROR(VLOOKUP(A924,Drank!A:T,19,FALSE),"")=0,"",IFERROR(VLOOKUP(A924,Drank!A:T,19,FALSE),""))</f>
        <v>89.7</v>
      </c>
      <c r="W924" s="1">
        <f>IF(IFERROR(VLOOKUP(A924,Drank!A:T,20,FALSE),"")=0,"",IFERROR(VLOOKUP(A924,Drank!A:T,20,FALSE),""))</f>
        <v>44002</v>
      </c>
      <c r="X924" s="10">
        <f>SUMIF(A:A,A924,I:I)</f>
        <v>20</v>
      </c>
      <c r="Y924" s="37">
        <f>IF(Table1[[#This Row],[Drank]]&gt;0,VLOOKUP(Table1[[#This Row],[ID]],Drank!A:P,16,FALSE),IF(Table1[[#This Row],[WALDD]]&gt;0,VLOOKUP(Table1[[#This Row],[ID]],Wine1!A:Q,17,FALSE),Table1[[#This Row],[EP]]))</f>
        <v>2025</v>
      </c>
      <c r="Z924" s="18">
        <f>IF(Table1[[#This Row],[My Rating]]="",IF(Table1[[#This Row],[WA Rating Clean]]="","",Table1[[#This Row],[WA Rating Clean]]),Table1[[#This Row],[My Rating]])</f>
        <v>89.7</v>
      </c>
      <c r="AA924" s="37">
        <v>2029</v>
      </c>
      <c r="AB924" s="4">
        <v>12</v>
      </c>
      <c r="AC924" s="2">
        <f t="shared" si="49"/>
        <v>12</v>
      </c>
      <c r="AD924" s="8">
        <v>2</v>
      </c>
      <c r="AE924" s="37">
        <f>IF(Table1[[#This Row],[P/750]]&lt;20,1,IF(Table1[[#This Row],[P/750]]&lt;50,2,3))</f>
        <v>2</v>
      </c>
      <c r="AF924" s="37">
        <f>IF(Table1[[#This Row],[P/750]]&lt;Expenses!$C$30,1,IF(Table1[[#This Row],[P/750]]&lt;Expenses!$C$31,2,IF(Table1[[#This Row],[P/750]]&lt;Expenses!$C$32,3,4)))</f>
        <v>2</v>
      </c>
      <c r="AH924" s="37" t="s">
        <v>385</v>
      </c>
      <c r="AI924" s="11">
        <f>Table1[[#This Row],[Price]]/Table1[[#This Row],[Size (ml)]]*750</f>
        <v>24</v>
      </c>
      <c r="AK924" s="37">
        <f>COUNTIF(UniqueID!A:A,Table1[[#This Row],[ID]])</f>
        <v>1</v>
      </c>
      <c r="AL924" s="37" t="str">
        <f>VLOOKUP(Table1[[#This Row],[Cellar Location]],Location!A:F,6,FALSE)</f>
        <v>S</v>
      </c>
      <c r="AN924" s="1">
        <v>43845</v>
      </c>
      <c r="AO924" s="37" t="str">
        <f>TEXT(Table1[[#This Row],[Purchased]],"mmmm")</f>
        <v>January</v>
      </c>
      <c r="AP924" s="10" t="str">
        <f>TEXT(Table1[[#This Row],[Purchased]],"yyyy")</f>
        <v>2020</v>
      </c>
      <c r="AQ924" s="10"/>
    </row>
    <row r="925" spans="1:43" x14ac:dyDescent="0.25">
      <c r="A925" t="str">
        <f t="shared" ref="A925:A988" si="50">CONCATENATE(B925,C925,D925)</f>
        <v>2009Hermanos Perez PascuasEl Pedrosal Reserva</v>
      </c>
      <c r="B925" s="37">
        <v>2009</v>
      </c>
      <c r="C925" s="9" t="s">
        <v>1543</v>
      </c>
      <c r="D925" s="9" t="s">
        <v>1544</v>
      </c>
      <c r="E925" s="69" t="s">
        <v>276</v>
      </c>
      <c r="F925" s="37" t="s">
        <v>729</v>
      </c>
      <c r="G925" s="37" t="s">
        <v>1718</v>
      </c>
      <c r="H925" s="37" t="s">
        <v>818</v>
      </c>
      <c r="I925" s="78">
        <v>1</v>
      </c>
      <c r="J925" s="37">
        <v>750</v>
      </c>
      <c r="K925" s="78" t="s">
        <v>1545</v>
      </c>
      <c r="L925" s="10">
        <f>COUNTIF(Drank!A:A,Table1[[#This Row],[ID]])</f>
        <v>2</v>
      </c>
      <c r="M925" t="s">
        <v>202</v>
      </c>
      <c r="N925" t="s">
        <v>207</v>
      </c>
      <c r="O925">
        <v>1</v>
      </c>
      <c r="P925" s="37">
        <v>2020</v>
      </c>
      <c r="Q925">
        <v>2029</v>
      </c>
      <c r="R925" s="10">
        <f>IF(IFERROR(VLOOKUP(A925,Drank!A:S,15,FALSE),"")=0,"",IFERROR(VLOOKUP(A925,Drank!A:S,15,FALSE),""))</f>
        <v>2020</v>
      </c>
      <c r="S925" s="10">
        <f>IF(IFERROR(VLOOKUP(A925,Drank!A:S,16,FALSE),"")=0,"",IFERROR(VLOOKUP(A925,Drank!A:S,16,FALSE),""))</f>
        <v>2027</v>
      </c>
      <c r="T925" s="10"/>
      <c r="U925">
        <v>95</v>
      </c>
      <c r="V925" s="18">
        <f>IF(IFERROR(VLOOKUP(A925,Drank!A:T,19,FALSE),"")=0,"",IFERROR(VLOOKUP(A925,Drank!A:T,19,FALSE),""))</f>
        <v>94.5</v>
      </c>
      <c r="W925" s="1">
        <f>IF(IFERROR(VLOOKUP(A925,Drank!A:T,20,FALSE),"")=0,"",IFERROR(VLOOKUP(A925,Drank!A:T,20,FALSE),""))</f>
        <v>44079</v>
      </c>
      <c r="X925" s="10">
        <f>SUMIF(A:A,A925,I:I)</f>
        <v>17</v>
      </c>
      <c r="Y925" s="10">
        <f>IF(Table1[[#This Row],[Drank]]&gt;0,VLOOKUP(Table1[[#This Row],[ID]],Drank!A:P,16,FALSE),IF(Table1[[#This Row],[WALDD]]&gt;0,VLOOKUP(Table1[[#This Row],[ID]],Wine1!A:Q,17,FALSE),Table1[[#This Row],[EP]]))</f>
        <v>2027</v>
      </c>
      <c r="Z925" s="18">
        <f>IF(Table1[[#This Row],[My Rating]]="",IF(Table1[[#This Row],[WA Rating Clean]]="","",Table1[[#This Row],[WA Rating Clean]]),Table1[[#This Row],[My Rating]])</f>
        <v>94.5</v>
      </c>
      <c r="AA925" s="37">
        <v>2029</v>
      </c>
      <c r="AB925" s="4">
        <v>29.32</v>
      </c>
      <c r="AC925" s="2">
        <f t="shared" ref="AC925:AC988" si="51">AB925*I925</f>
        <v>29.32</v>
      </c>
      <c r="AD925" s="8">
        <v>2</v>
      </c>
      <c r="AE925" s="10">
        <f>IF(Table1[[#This Row],[P/750]]&lt;20,1,IF(Table1[[#This Row],[P/750]]&lt;50,2,3))</f>
        <v>2</v>
      </c>
      <c r="AF925" s="10">
        <f>IF(Table1[[#This Row],[P/750]]&lt;Expenses!$C$30,1,IF(Table1[[#This Row],[P/750]]&lt;Expenses!$C$31,2,IF(Table1[[#This Row],[P/750]]&lt;Expenses!$C$32,3,4)))</f>
        <v>2</v>
      </c>
      <c r="AH925" s="37" t="s">
        <v>1545</v>
      </c>
      <c r="AI925" s="11">
        <f>Table1[[#This Row],[Price]]/Table1[[#This Row],[Size (ml)]]*750</f>
        <v>29.32</v>
      </c>
      <c r="AJ925">
        <v>95</v>
      </c>
      <c r="AK925" s="10">
        <f>COUNTIF(UniqueID!A:A,Table1[[#This Row],[ID]])</f>
        <v>0</v>
      </c>
      <c r="AL925" s="10" t="str">
        <f>VLOOKUP(Table1[[#This Row],[Cellar Location]],Location!A:F,6,FALSE)</f>
        <v>W</v>
      </c>
      <c r="AN925" s="1">
        <v>44040</v>
      </c>
      <c r="AO925" s="10" t="str">
        <f>TEXT(Table1[[#This Row],[Purchased]],"mmmm")</f>
        <v>July</v>
      </c>
      <c r="AP925" s="10" t="str">
        <f>TEXT(Table1[[#This Row],[Purchased]],"yyyy")</f>
        <v>2020</v>
      </c>
      <c r="AQ925" s="10"/>
    </row>
    <row r="926" spans="1:43" x14ac:dyDescent="0.25">
      <c r="A926" t="str">
        <f t="shared" si="50"/>
        <v>2008Tua RitaGiusto di Notri</v>
      </c>
      <c r="B926" s="37">
        <v>2008</v>
      </c>
      <c r="C926" s="37" t="s">
        <v>859</v>
      </c>
      <c r="D926" s="37" t="s">
        <v>860</v>
      </c>
      <c r="E926" s="67" t="s">
        <v>1563</v>
      </c>
      <c r="F926" s="37" t="s">
        <v>728</v>
      </c>
      <c r="G926" s="37" t="s">
        <v>790</v>
      </c>
      <c r="H926" s="37" t="s">
        <v>796</v>
      </c>
      <c r="I926" s="8">
        <v>1</v>
      </c>
      <c r="J926" s="38">
        <v>750</v>
      </c>
      <c r="K926" s="38" t="s">
        <v>1564</v>
      </c>
      <c r="L926" s="10">
        <f>COUNTIF(Drank!A:A,Table1[[#This Row],[ID]])</f>
        <v>0</v>
      </c>
      <c r="M926" t="s">
        <v>202</v>
      </c>
      <c r="N926" t="s">
        <v>207</v>
      </c>
      <c r="O926">
        <v>1</v>
      </c>
      <c r="P926" s="10">
        <v>2016</v>
      </c>
      <c r="Q926">
        <v>2028</v>
      </c>
      <c r="R926" s="10" t="str">
        <f>IF(IFERROR(VLOOKUP(A926,Drank!A:S,15,FALSE),"")=0,"",IFERROR(VLOOKUP(A926,Drank!A:S,15,FALSE),""))</f>
        <v/>
      </c>
      <c r="S926" s="10" t="str">
        <f>IF(IFERROR(VLOOKUP(A926,Drank!A:S,16,FALSE),"")=0,"",IFERROR(VLOOKUP(A926,Drank!A:S,16,FALSE),""))</f>
        <v/>
      </c>
      <c r="T926" s="10"/>
      <c r="U926">
        <v>94</v>
      </c>
      <c r="V926" s="18" t="str">
        <f>IF(IFERROR(VLOOKUP(A926,Drank!A:T,19,FALSE),"")=0,"",IFERROR(VLOOKUP(A926,Drank!A:T,19,FALSE),""))</f>
        <v/>
      </c>
      <c r="W926" s="1" t="str">
        <f>IF(IFERROR(VLOOKUP(A926,Drank!A:T,20,FALSE),"")=0,"",IFERROR(VLOOKUP(A926,Drank!A:T,20,FALSE),""))</f>
        <v/>
      </c>
      <c r="X926" s="10">
        <f>SUMIF(A:A,A926,I:I)</f>
        <v>12</v>
      </c>
      <c r="Y926" s="10">
        <f>IF(Table1[[#This Row],[Drank]]&gt;0,VLOOKUP(Table1[[#This Row],[ID]],Drank!A:P,16,FALSE),IF(Table1[[#This Row],[WALDD]]&gt;0,VLOOKUP(Table1[[#This Row],[ID]],Wine1!A:Q,17,FALSE),Table1[[#This Row],[EP]]))</f>
        <v>2028</v>
      </c>
      <c r="Z926" s="18">
        <f>IF(Table1[[#This Row],[My Rating]]="",IF(Table1[[#This Row],[WA Rating Clean]]="","",Table1[[#This Row],[WA Rating Clean]]),Table1[[#This Row],[My Rating]])</f>
        <v>94</v>
      </c>
      <c r="AA926" s="37">
        <v>2029</v>
      </c>
      <c r="AB926" s="4">
        <v>54.41</v>
      </c>
      <c r="AC926" s="2">
        <f t="shared" si="51"/>
        <v>54.41</v>
      </c>
      <c r="AD926" s="8">
        <v>1</v>
      </c>
      <c r="AE926" s="10">
        <f>IF(Table1[[#This Row],[P/750]]&lt;20,1,IF(Table1[[#This Row],[P/750]]&lt;50,2,3))</f>
        <v>3</v>
      </c>
      <c r="AF926" s="10">
        <f>IF(Table1[[#This Row],[P/750]]&lt;Expenses!$C$30,1,IF(Table1[[#This Row],[P/750]]&lt;Expenses!$C$31,2,IF(Table1[[#This Row],[P/750]]&lt;Expenses!$C$32,3,4)))</f>
        <v>3</v>
      </c>
      <c r="AH926" s="37" t="s">
        <v>1564</v>
      </c>
      <c r="AI926" s="11">
        <f>Table1[[#This Row],[Price]]/Table1[[#This Row],[Size (ml)]]*750</f>
        <v>54.41</v>
      </c>
      <c r="AJ926">
        <v>94</v>
      </c>
      <c r="AK926" s="10">
        <f>COUNTIF(UniqueID!A:A,Table1[[#This Row],[ID]])</f>
        <v>0</v>
      </c>
      <c r="AL926" s="10" t="str">
        <f>VLOOKUP(Table1[[#This Row],[Cellar Location]],Location!A:F,6,FALSE)</f>
        <v>W</v>
      </c>
      <c r="AN926" s="1">
        <v>44045</v>
      </c>
      <c r="AO926" s="10" t="str">
        <f>TEXT(Table1[[#This Row],[Purchased]],"mmmm")</f>
        <v>August</v>
      </c>
      <c r="AP926" s="10" t="str">
        <f>TEXT(Table1[[#This Row],[Purchased]],"yyyy")</f>
        <v>2020</v>
      </c>
      <c r="AQ926" s="1">
        <v>44094</v>
      </c>
    </row>
    <row r="927" spans="1:43" x14ac:dyDescent="0.25">
      <c r="A927" t="str">
        <f t="shared" si="50"/>
        <v>2015Giuseppe CampagnolaAmarone della Valpolicella Classico Vigneti Vallata di Marano</v>
      </c>
      <c r="B927" s="37">
        <v>2015</v>
      </c>
      <c r="C927" s="37" t="s">
        <v>311</v>
      </c>
      <c r="D927" s="37" t="s">
        <v>592</v>
      </c>
      <c r="E927" s="64" t="s">
        <v>313</v>
      </c>
      <c r="F927" s="37" t="s">
        <v>728</v>
      </c>
      <c r="G927" s="37" t="s">
        <v>799</v>
      </c>
      <c r="H927" s="37" t="s">
        <v>800</v>
      </c>
      <c r="I927" s="107">
        <v>1</v>
      </c>
      <c r="J927" s="37">
        <v>750</v>
      </c>
      <c r="K927" s="107" t="s">
        <v>594</v>
      </c>
      <c r="L927" s="10">
        <f>COUNTIF(Drank!A:A,Table1[[#This Row],[ID]])</f>
        <v>1</v>
      </c>
      <c r="M927" t="s">
        <v>202</v>
      </c>
      <c r="N927" t="s">
        <v>207</v>
      </c>
      <c r="O927">
        <v>1</v>
      </c>
      <c r="P927" s="10">
        <v>2019</v>
      </c>
      <c r="Q927">
        <v>2028</v>
      </c>
      <c r="R927" s="10">
        <f>IF(IFERROR(VLOOKUP(A927,Drank!A:S,15,FALSE),"")=0,"",IFERROR(VLOOKUP(A927,Drank!A:S,15,FALSE),""))</f>
        <v>2025</v>
      </c>
      <c r="S927" s="10">
        <f>IF(IFERROR(VLOOKUP(A927,Drank!A:S,16,FALSE),"")=0,"",IFERROR(VLOOKUP(A927,Drank!A:S,16,FALSE),""))</f>
        <v>2028</v>
      </c>
      <c r="T927" s="10"/>
      <c r="U927">
        <v>91</v>
      </c>
      <c r="V927" s="18">
        <f>IF(IFERROR(VLOOKUP(A927,Drank!A:T,19,FALSE),"")=0,"",IFERROR(VLOOKUP(A927,Drank!A:T,19,FALSE),""))</f>
        <v>92</v>
      </c>
      <c r="W927" s="1">
        <f>IF(IFERROR(VLOOKUP(A927,Drank!A:T,20,FALSE),"")=0,"",IFERROR(VLOOKUP(A927,Drank!A:T,20,FALSE),""))</f>
        <v>43890</v>
      </c>
      <c r="X927" s="10">
        <f>SUMIF(A:A,A927,I:I)</f>
        <v>8</v>
      </c>
      <c r="Y927" s="10">
        <f>IF(Table1[[#This Row],[Drank]]&gt;0,VLOOKUP(Table1[[#This Row],[ID]],Drank!A:P,16,FALSE),IF(Table1[[#This Row],[WALDD]]&gt;0,VLOOKUP(Table1[[#This Row],[ID]],Wine1!A:Q,17,FALSE),Table1[[#This Row],[EP]]))</f>
        <v>2028</v>
      </c>
      <c r="Z927" s="18">
        <f>IF(Table1[[#This Row],[My Rating]]="",IF(Table1[[#This Row],[WA Rating Clean]]="","",Table1[[#This Row],[WA Rating Clean]]),Table1[[#This Row],[My Rating]])</f>
        <v>92</v>
      </c>
      <c r="AA927" s="37">
        <v>2029</v>
      </c>
      <c r="AB927" s="4">
        <v>29.99</v>
      </c>
      <c r="AC927" s="2">
        <f t="shared" si="51"/>
        <v>29.99</v>
      </c>
      <c r="AD927" s="8">
        <v>2</v>
      </c>
      <c r="AE927" s="10">
        <f>IF(Table1[[#This Row],[P/750]]&lt;20,1,IF(Table1[[#This Row],[P/750]]&lt;50,2,3))</f>
        <v>2</v>
      </c>
      <c r="AF927" s="10">
        <f>IF(Table1[[#This Row],[P/750]]&lt;Expenses!$C$30,1,IF(Table1[[#This Row],[P/750]]&lt;Expenses!$C$31,2,IF(Table1[[#This Row],[P/750]]&lt;Expenses!$C$32,3,4)))</f>
        <v>3</v>
      </c>
      <c r="AH927" s="37" t="s">
        <v>384</v>
      </c>
      <c r="AI927" s="11">
        <f>Table1[[#This Row],[Price]]/Table1[[#This Row],[Size (ml)]]*750</f>
        <v>29.99</v>
      </c>
      <c r="AJ927">
        <v>91</v>
      </c>
      <c r="AK927" s="37">
        <f>COUNTIF(UniqueID!A:A,Table1[[#This Row],[ID]])</f>
        <v>1</v>
      </c>
      <c r="AL927" s="37" t="str">
        <f>VLOOKUP(Table1[[#This Row],[Cellar Location]],Location!A:F,6,FALSE)</f>
        <v>S</v>
      </c>
      <c r="AN927" s="37"/>
      <c r="AO927" s="37" t="str">
        <f>TEXT(Table1[[#This Row],[Purchased]],"mmmm")</f>
        <v>January</v>
      </c>
      <c r="AP927" s="10" t="str">
        <f>TEXT(Table1[[#This Row],[Purchased]],"yyyy")</f>
        <v>1900</v>
      </c>
      <c r="AQ927" s="10"/>
    </row>
    <row r="928" spans="1:43" x14ac:dyDescent="0.25">
      <c r="A928" t="str">
        <f t="shared" si="50"/>
        <v>2013Elia PalazzesiBrunello di Montalcino</v>
      </c>
      <c r="B928" s="37">
        <v>2013</v>
      </c>
      <c r="C928" s="37" t="s">
        <v>440</v>
      </c>
      <c r="D928" s="25" t="s">
        <v>19</v>
      </c>
      <c r="E928" s="67" t="s">
        <v>1250</v>
      </c>
      <c r="F928" s="37" t="s">
        <v>728</v>
      </c>
      <c r="G928" s="37" t="s">
        <v>790</v>
      </c>
      <c r="H928" s="37" t="s">
        <v>19</v>
      </c>
      <c r="I928" s="107">
        <v>1</v>
      </c>
      <c r="J928" s="37">
        <v>750</v>
      </c>
      <c r="K928" s="107" t="s">
        <v>656</v>
      </c>
      <c r="L928" s="37">
        <f>COUNTIF(Drank!A:A,Table1[[#This Row],[ID]])</f>
        <v>1</v>
      </c>
      <c r="M928" t="s">
        <v>202</v>
      </c>
      <c r="N928" t="s">
        <v>207</v>
      </c>
      <c r="O928">
        <v>1</v>
      </c>
      <c r="P928" s="10">
        <v>2020</v>
      </c>
      <c r="Q928" s="37">
        <v>2030</v>
      </c>
      <c r="R928" s="10">
        <f>IF(IFERROR(VLOOKUP(A928,Drank!A:S,15,FALSE),"")=0,"",IFERROR(VLOOKUP(A928,Drank!A:S,15,FALSE),""))</f>
        <v>2025</v>
      </c>
      <c r="S928" s="10">
        <f>IF(IFERROR(VLOOKUP(A928,Drank!A:S,16,FALSE),"")=0,"",IFERROR(VLOOKUP(A928,Drank!A:S,16,FALSE),""))</f>
        <v>2028</v>
      </c>
      <c r="T928" s="10"/>
      <c r="U928">
        <v>89</v>
      </c>
      <c r="V928" s="18">
        <f>IF(IFERROR(VLOOKUP(A928,Drank!A:T,19,FALSE),"")=0,"",IFERROR(VLOOKUP(A928,Drank!A:T,19,FALSE),""))</f>
        <v>89</v>
      </c>
      <c r="W928" s="1">
        <f>IF(IFERROR(VLOOKUP(A928,Drank!A:T,20,FALSE),"")=0,"",IFERROR(VLOOKUP(A928,Drank!A:T,20,FALSE),""))</f>
        <v>43884</v>
      </c>
      <c r="X928" s="10">
        <f>SUMIF(A:A,A928,I:I)</f>
        <v>3</v>
      </c>
      <c r="Y928" s="10">
        <f>IF(Table1[[#This Row],[Drank]]&gt;0,VLOOKUP(Table1[[#This Row],[ID]],Drank!A:P,16,FALSE),IF(Table1[[#This Row],[WALDD]]&gt;0,VLOOKUP(Table1[[#This Row],[ID]],Wine1!A:Q,17,FALSE),Table1[[#This Row],[EP]]))</f>
        <v>2028</v>
      </c>
      <c r="Z928" s="18">
        <f>IF(Table1[[#This Row],[My Rating]]="",IF(Table1[[#This Row],[WA Rating Clean]]="","",Table1[[#This Row],[WA Rating Clean]]),Table1[[#This Row],[My Rating]])</f>
        <v>89</v>
      </c>
      <c r="AA928" s="37">
        <v>2029</v>
      </c>
      <c r="AB928" s="4">
        <v>29.99</v>
      </c>
      <c r="AC928" s="2">
        <f t="shared" si="51"/>
        <v>29.99</v>
      </c>
      <c r="AD928" s="8">
        <v>2</v>
      </c>
      <c r="AE928" s="37">
        <f>IF(Table1[[#This Row],[P/750]]&lt;20,1,IF(Table1[[#This Row],[P/750]]&lt;50,2,3))</f>
        <v>2</v>
      </c>
      <c r="AF928" s="37">
        <f>IF(Table1[[#This Row],[P/750]]&lt;Expenses!$C$30,1,IF(Table1[[#This Row],[P/750]]&lt;Expenses!$C$31,2,IF(Table1[[#This Row],[P/750]]&lt;Expenses!$C$32,3,4)))</f>
        <v>3</v>
      </c>
      <c r="AH928" s="37" t="s">
        <v>384</v>
      </c>
      <c r="AI928" s="11">
        <f>Table1[[#This Row],[Price]]/Table1[[#This Row],[Size (ml)]]*750</f>
        <v>29.99</v>
      </c>
      <c r="AJ928">
        <v>89</v>
      </c>
      <c r="AK928" s="37">
        <f>COUNTIF(UniqueID!A:A,Table1[[#This Row],[ID]])</f>
        <v>1</v>
      </c>
      <c r="AL928" s="37" t="str">
        <f>VLOOKUP(Table1[[#This Row],[Cellar Location]],Location!A:F,6,FALSE)</f>
        <v>S</v>
      </c>
      <c r="AN928" s="37"/>
      <c r="AO928" s="37" t="str">
        <f>TEXT(Table1[[#This Row],[Purchased]],"mmmm")</f>
        <v>January</v>
      </c>
      <c r="AP928" s="10" t="str">
        <f>TEXT(Table1[[#This Row],[Purchased]],"yyyy")</f>
        <v>1900</v>
      </c>
      <c r="AQ928" s="10"/>
    </row>
    <row r="929" spans="1:43" x14ac:dyDescent="0.25">
      <c r="A929" s="37" t="str">
        <f t="shared" si="50"/>
        <v>2015Abbadia ArdengaBrunello di Montalcino</v>
      </c>
      <c r="B929" s="37">
        <v>2015</v>
      </c>
      <c r="C929" s="37" t="s">
        <v>1476</v>
      </c>
      <c r="D929" s="37" t="s">
        <v>19</v>
      </c>
      <c r="E929" s="67" t="s">
        <v>1250</v>
      </c>
      <c r="F929" s="37" t="s">
        <v>728</v>
      </c>
      <c r="G929" s="37" t="s">
        <v>790</v>
      </c>
      <c r="H929" s="37" t="s">
        <v>19</v>
      </c>
      <c r="I929" s="107">
        <v>1</v>
      </c>
      <c r="J929">
        <v>750</v>
      </c>
      <c r="K929" s="108" t="s">
        <v>1505</v>
      </c>
      <c r="L929" s="10">
        <f>COUNTIF(Drank!A:A,Table1[[#This Row],[ID]])</f>
        <v>1</v>
      </c>
      <c r="M929" t="s">
        <v>202</v>
      </c>
      <c r="N929" t="s">
        <v>207</v>
      </c>
      <c r="O929">
        <v>0</v>
      </c>
      <c r="P929" s="10"/>
      <c r="R929" s="10">
        <f>IF(IFERROR(VLOOKUP(A929,Drank!A:S,15,FALSE),"")=0,"",IFERROR(VLOOKUP(A929,Drank!A:S,15,FALSE),""))</f>
        <v>2027</v>
      </c>
      <c r="S929" s="10">
        <f>IF(IFERROR(VLOOKUP(A929,Drank!A:S,16,FALSE),"")=0,"",IFERROR(VLOOKUP(A929,Drank!A:S,16,FALSE),""))</f>
        <v>2029</v>
      </c>
      <c r="T929" s="10">
        <v>2028</v>
      </c>
      <c r="V929" s="18">
        <f>IF(IFERROR(VLOOKUP(A929,Drank!A:T,19,FALSE),"")=0,"",IFERROR(VLOOKUP(A929,Drank!A:T,19,FALSE),""))</f>
        <v>89</v>
      </c>
      <c r="W929" s="1">
        <f>IF(IFERROR(VLOOKUP(A929,Drank!A:T,20,FALSE),"")=0,"",IFERROR(VLOOKUP(A929,Drank!A:T,20,FALSE),""))</f>
        <v>44036</v>
      </c>
      <c r="X929" s="10">
        <f>SUMIF(A:A,A929,I:I)</f>
        <v>3</v>
      </c>
      <c r="Y929" s="10">
        <f>IF(Table1[[#This Row],[Drank]]&gt;0,VLOOKUP(Table1[[#This Row],[ID]],Drank!A:P,16,FALSE),IF(Table1[[#This Row],[WALDD]]&gt;0,VLOOKUP(Table1[[#This Row],[ID]],Wine1!A:Q,17,FALSE),Table1[[#This Row],[EP]]))</f>
        <v>2029</v>
      </c>
      <c r="Z929" s="18">
        <f>IF(Table1[[#This Row],[My Rating]]="",IF(Table1[[#This Row],[WA Rating Clean]]="","",Table1[[#This Row],[WA Rating Clean]]),Table1[[#This Row],[My Rating]])</f>
        <v>89</v>
      </c>
      <c r="AA929" s="37">
        <v>2029</v>
      </c>
      <c r="AB929" s="4">
        <v>29.32</v>
      </c>
      <c r="AC929" s="2">
        <f t="shared" si="51"/>
        <v>29.32</v>
      </c>
      <c r="AD929" s="8">
        <v>2</v>
      </c>
      <c r="AE929" s="10">
        <f>IF(Table1[[#This Row],[P/750]]&lt;20,1,IF(Table1[[#This Row],[P/750]]&lt;50,2,3))</f>
        <v>2</v>
      </c>
      <c r="AF929" s="10">
        <f>IF(Table1[[#This Row],[P/750]]&lt;Expenses!$C$30,1,IF(Table1[[#This Row],[P/750]]&lt;Expenses!$C$31,2,IF(Table1[[#This Row],[P/750]]&lt;Expenses!$C$32,3,4)))</f>
        <v>2</v>
      </c>
      <c r="AH929" s="37" t="s">
        <v>384</v>
      </c>
      <c r="AI929" s="11">
        <f>Table1[[#This Row],[Price]]/Table1[[#This Row],[Size (ml)]]*750</f>
        <v>29.32</v>
      </c>
      <c r="AK929" s="10">
        <f>COUNTIF(UniqueID!A:A,Table1[[#This Row],[ID]])</f>
        <v>0</v>
      </c>
      <c r="AL929" s="10" t="str">
        <f>VLOOKUP(Table1[[#This Row],[Cellar Location]],Location!A:F,6,FALSE)</f>
        <v>S</v>
      </c>
      <c r="AN929" s="1">
        <v>44017</v>
      </c>
      <c r="AO929" s="10" t="str">
        <f>TEXT(Table1[[#This Row],[Purchased]],"mmmm")</f>
        <v>July</v>
      </c>
      <c r="AP929" s="10" t="str">
        <f>TEXT(Table1[[#This Row],[Purchased]],"yyyy")</f>
        <v>2020</v>
      </c>
      <c r="AQ929" s="10"/>
    </row>
    <row r="930" spans="1:43" x14ac:dyDescent="0.25">
      <c r="A930" s="37" t="str">
        <f t="shared" si="50"/>
        <v>2016AaltoAalto</v>
      </c>
      <c r="B930" s="37">
        <v>2016</v>
      </c>
      <c r="C930" s="37" t="s">
        <v>1184</v>
      </c>
      <c r="D930" s="37" t="s">
        <v>1184</v>
      </c>
      <c r="E930" s="67" t="s">
        <v>1220</v>
      </c>
      <c r="F930" s="37" t="s">
        <v>729</v>
      </c>
      <c r="G930" s="37" t="s">
        <v>1718</v>
      </c>
      <c r="H930" s="37" t="s">
        <v>818</v>
      </c>
      <c r="I930" s="107">
        <v>1</v>
      </c>
      <c r="J930" s="37">
        <v>750</v>
      </c>
      <c r="K930" s="107" t="s">
        <v>1315</v>
      </c>
      <c r="L930" s="10">
        <f>COUNTIF(Drank!A:A,Table1[[#This Row],[ID]])</f>
        <v>1</v>
      </c>
      <c r="M930" t="s">
        <v>202</v>
      </c>
      <c r="N930" t="s">
        <v>207</v>
      </c>
      <c r="O930">
        <v>1</v>
      </c>
      <c r="P930" s="10">
        <v>2020</v>
      </c>
      <c r="Q930">
        <v>2026</v>
      </c>
      <c r="R930" s="10">
        <f>IF(IFERROR(VLOOKUP(A930,Drank!A:S,15,FALSE),"")=0,"",IFERROR(VLOOKUP(A930,Drank!A:S,15,FALSE),""))</f>
        <v>2026</v>
      </c>
      <c r="S930" s="10">
        <f>IF(IFERROR(VLOOKUP(A930,Drank!A:S,16,FALSE),"")=0,"",IFERROR(VLOOKUP(A930,Drank!A:S,16,FALSE),""))</f>
        <v>2029</v>
      </c>
      <c r="T930" s="10"/>
      <c r="U930" t="s">
        <v>1185</v>
      </c>
      <c r="V930" s="18">
        <f>IF(IFERROR(VLOOKUP(A930,Drank!A:T,19,FALSE),"")=0,"",IFERROR(VLOOKUP(A930,Drank!A:T,19,FALSE),""))</f>
        <v>94</v>
      </c>
      <c r="W930" s="1">
        <f>IF(IFERROR(VLOOKUP(A930,Drank!A:T,20,FALSE),"")=0,"",IFERROR(VLOOKUP(A930,Drank!A:T,20,FALSE),""))</f>
        <v>43870</v>
      </c>
      <c r="X930" s="10">
        <f>SUMIF(A:A,A930,I:I)</f>
        <v>7</v>
      </c>
      <c r="Y930" s="10">
        <f>IF(Table1[[#This Row],[Drank]]&gt;0,VLOOKUP(Table1[[#This Row],[ID]],Drank!A:P,16,FALSE),IF(Table1[[#This Row],[WALDD]]&gt;0,VLOOKUP(Table1[[#This Row],[ID]],Wine1!A:Q,17,FALSE),Table1[[#This Row],[EP]]))</f>
        <v>2029</v>
      </c>
      <c r="Z930" s="18">
        <f>IF(Table1[[#This Row],[My Rating]]="",IF(Table1[[#This Row],[WA Rating Clean]]="","",Table1[[#This Row],[WA Rating Clean]]),Table1[[#This Row],[My Rating]])</f>
        <v>94</v>
      </c>
      <c r="AA930" s="37">
        <v>2029</v>
      </c>
      <c r="AB930" s="4">
        <v>46.67</v>
      </c>
      <c r="AC930" s="2">
        <f t="shared" si="51"/>
        <v>46.67</v>
      </c>
      <c r="AD930" s="8">
        <v>2</v>
      </c>
      <c r="AE930" s="10">
        <f>IF(Table1[[#This Row],[P/750]]&lt;20,1,IF(Table1[[#This Row],[P/750]]&lt;50,2,3))</f>
        <v>2</v>
      </c>
      <c r="AF930" s="10">
        <f>IF(Table1[[#This Row],[P/750]]&lt;Expenses!$C$30,1,IF(Table1[[#This Row],[P/750]]&lt;Expenses!$C$31,2,IF(Table1[[#This Row],[P/750]]&lt;Expenses!$C$32,3,4)))</f>
        <v>3</v>
      </c>
      <c r="AH930" s="37" t="s">
        <v>1189</v>
      </c>
      <c r="AI930" s="11">
        <f>Table1[[#This Row],[Price]]/Table1[[#This Row],[Size (ml)]]*750</f>
        <v>46.67</v>
      </c>
      <c r="AJ930">
        <v>94</v>
      </c>
      <c r="AK930" s="10">
        <f>COUNTIF(UniqueID!A:A,Table1[[#This Row],[ID]])</f>
        <v>1</v>
      </c>
      <c r="AL930" s="10" t="str">
        <f>VLOOKUP(Table1[[#This Row],[Cellar Location]],Location!A:F,6,FALSE)</f>
        <v>S</v>
      </c>
      <c r="AN930" s="1">
        <v>43871</v>
      </c>
      <c r="AO930" s="37" t="str">
        <f>TEXT(Table1[[#This Row],[Purchased]],"mmmm")</f>
        <v>February</v>
      </c>
      <c r="AP930" s="10" t="str">
        <f>TEXT(Table1[[#This Row],[Purchased]],"yyyy")</f>
        <v>2020</v>
      </c>
      <c r="AQ930" s="10"/>
    </row>
    <row r="931" spans="1:43" x14ac:dyDescent="0.25">
      <c r="A931" t="str">
        <f t="shared" si="50"/>
        <v>2016AaltoAalto</v>
      </c>
      <c r="B931" s="37">
        <v>2016</v>
      </c>
      <c r="C931" s="37" t="s">
        <v>1184</v>
      </c>
      <c r="D931" s="37" t="s">
        <v>1184</v>
      </c>
      <c r="E931" s="67" t="s">
        <v>1220</v>
      </c>
      <c r="F931" s="37" t="s">
        <v>729</v>
      </c>
      <c r="G931" s="37" t="s">
        <v>1718</v>
      </c>
      <c r="H931" s="37" t="s">
        <v>818</v>
      </c>
      <c r="I931" s="107">
        <v>1</v>
      </c>
      <c r="J931" s="9">
        <v>750</v>
      </c>
      <c r="K931" s="107" t="s">
        <v>1315</v>
      </c>
      <c r="L931" s="10">
        <f>COUNTIF(Drank!A:A,Table1[[#This Row],[ID]])</f>
        <v>1</v>
      </c>
      <c r="M931" t="s">
        <v>202</v>
      </c>
      <c r="N931" t="s">
        <v>207</v>
      </c>
      <c r="O931">
        <v>1</v>
      </c>
      <c r="P931" s="10">
        <v>2020</v>
      </c>
      <c r="Q931">
        <v>2026</v>
      </c>
      <c r="R931" s="10">
        <f>IF(IFERROR(VLOOKUP(A931,Drank!A:S,15,FALSE),"")=0,"",IFERROR(VLOOKUP(A931,Drank!A:S,15,FALSE),""))</f>
        <v>2026</v>
      </c>
      <c r="S931" s="10">
        <f>IF(IFERROR(VLOOKUP(A931,Drank!A:S,16,FALSE),"")=0,"",IFERROR(VLOOKUP(A931,Drank!A:S,16,FALSE),""))</f>
        <v>2029</v>
      </c>
      <c r="T931" s="10"/>
      <c r="U931" t="s">
        <v>1185</v>
      </c>
      <c r="V931" s="18">
        <f>IF(IFERROR(VLOOKUP(A931,Drank!A:T,19,FALSE),"")=0,"",IFERROR(VLOOKUP(A931,Drank!A:T,19,FALSE),""))</f>
        <v>94</v>
      </c>
      <c r="W931" s="1">
        <f>IF(IFERROR(VLOOKUP(A931,Drank!A:T,20,FALSE),"")=0,"",IFERROR(VLOOKUP(A931,Drank!A:T,20,FALSE),""))</f>
        <v>43870</v>
      </c>
      <c r="X931" s="10">
        <f>SUMIF(A:A,A931,I:I)</f>
        <v>7</v>
      </c>
      <c r="Y931" s="10">
        <f>IF(Table1[[#This Row],[Drank]]&gt;0,VLOOKUP(Table1[[#This Row],[ID]],Drank!A:P,16,FALSE),IF(Table1[[#This Row],[WALDD]]&gt;0,VLOOKUP(Table1[[#This Row],[ID]],Wine1!A:Q,17,FALSE),Table1[[#This Row],[EP]]))</f>
        <v>2029</v>
      </c>
      <c r="Z931" s="18">
        <f>IF(Table1[[#This Row],[My Rating]]="",IF(Table1[[#This Row],[WA Rating Clean]]="","",Table1[[#This Row],[WA Rating Clean]]),Table1[[#This Row],[My Rating]])</f>
        <v>94</v>
      </c>
      <c r="AA931" s="37">
        <v>2029</v>
      </c>
      <c r="AB931" s="4">
        <v>46.67</v>
      </c>
      <c r="AC931" s="2">
        <f t="shared" si="51"/>
        <v>46.67</v>
      </c>
      <c r="AD931" s="8">
        <v>2</v>
      </c>
      <c r="AE931" s="10">
        <f>IF(Table1[[#This Row],[P/750]]&lt;20,1,IF(Table1[[#This Row],[P/750]]&lt;50,2,3))</f>
        <v>2</v>
      </c>
      <c r="AF931" s="10">
        <f>IF(Table1[[#This Row],[P/750]]&lt;Expenses!$C$30,1,IF(Table1[[#This Row],[P/750]]&lt;Expenses!$C$31,2,IF(Table1[[#This Row],[P/750]]&lt;Expenses!$C$32,3,4)))</f>
        <v>3</v>
      </c>
      <c r="AH931" s="37" t="s">
        <v>1189</v>
      </c>
      <c r="AI931" s="11">
        <f>Table1[[#This Row],[Price]]/Table1[[#This Row],[Size (ml)]]*750</f>
        <v>46.67</v>
      </c>
      <c r="AJ931">
        <v>94</v>
      </c>
      <c r="AK931" s="10">
        <f>COUNTIF(UniqueID!A:A,Table1[[#This Row],[ID]])</f>
        <v>1</v>
      </c>
      <c r="AL931" s="10" t="str">
        <f>VLOOKUP(Table1[[#This Row],[Cellar Location]],Location!A:F,6,FALSE)</f>
        <v>S</v>
      </c>
      <c r="AN931" s="1">
        <v>43871</v>
      </c>
      <c r="AO931" s="37" t="str">
        <f>TEXT(Table1[[#This Row],[Purchased]],"mmmm")</f>
        <v>February</v>
      </c>
      <c r="AP931" s="10" t="str">
        <f>TEXT(Table1[[#This Row],[Purchased]],"yyyy")</f>
        <v>2020</v>
      </c>
      <c r="AQ931" s="10"/>
    </row>
    <row r="932" spans="1:43" x14ac:dyDescent="0.25">
      <c r="A932" t="str">
        <f t="shared" si="50"/>
        <v>2016AaltoAalto</v>
      </c>
      <c r="B932" s="37">
        <v>2016</v>
      </c>
      <c r="C932" s="37" t="s">
        <v>1184</v>
      </c>
      <c r="D932" s="37" t="s">
        <v>1184</v>
      </c>
      <c r="E932" s="67" t="s">
        <v>1220</v>
      </c>
      <c r="F932" s="37" t="s">
        <v>729</v>
      </c>
      <c r="G932" s="37" t="s">
        <v>1718</v>
      </c>
      <c r="H932" s="37" t="s">
        <v>818</v>
      </c>
      <c r="I932" s="107">
        <v>1</v>
      </c>
      <c r="J932" s="37">
        <v>750</v>
      </c>
      <c r="K932" s="107" t="s">
        <v>1315</v>
      </c>
      <c r="L932" s="10">
        <f>COUNTIF(Drank!A:A,Table1[[#This Row],[ID]])</f>
        <v>1</v>
      </c>
      <c r="M932" t="s">
        <v>202</v>
      </c>
      <c r="N932" t="s">
        <v>207</v>
      </c>
      <c r="O932">
        <v>1</v>
      </c>
      <c r="P932" s="10">
        <v>2020</v>
      </c>
      <c r="Q932">
        <v>2026</v>
      </c>
      <c r="R932" s="10">
        <f>IF(IFERROR(VLOOKUP(A932,Drank!A:S,15,FALSE),"")=0,"",IFERROR(VLOOKUP(A932,Drank!A:S,15,FALSE),""))</f>
        <v>2026</v>
      </c>
      <c r="S932" s="10">
        <f>IF(IFERROR(VLOOKUP(A932,Drank!A:S,16,FALSE),"")=0,"",IFERROR(VLOOKUP(A932,Drank!A:S,16,FALSE),""))</f>
        <v>2029</v>
      </c>
      <c r="T932" s="10"/>
      <c r="U932" t="s">
        <v>1185</v>
      </c>
      <c r="V932" s="18">
        <f>IF(IFERROR(VLOOKUP(A932,Drank!A:T,19,FALSE),"")=0,"",IFERROR(VLOOKUP(A932,Drank!A:T,19,FALSE),""))</f>
        <v>94</v>
      </c>
      <c r="W932" s="1">
        <f>IF(IFERROR(VLOOKUP(A932,Drank!A:T,20,FALSE),"")=0,"",IFERROR(VLOOKUP(A932,Drank!A:T,20,FALSE),""))</f>
        <v>43870</v>
      </c>
      <c r="X932" s="10">
        <f>SUMIF(A:A,A932,I:I)</f>
        <v>7</v>
      </c>
      <c r="Y932" s="10">
        <f>IF(Table1[[#This Row],[Drank]]&gt;0,VLOOKUP(Table1[[#This Row],[ID]],Drank!A:P,16,FALSE),IF(Table1[[#This Row],[WALDD]]&gt;0,VLOOKUP(Table1[[#This Row],[ID]],Wine1!A:Q,17,FALSE),Table1[[#This Row],[EP]]))</f>
        <v>2029</v>
      </c>
      <c r="Z932" s="18">
        <f>IF(Table1[[#This Row],[My Rating]]="",IF(Table1[[#This Row],[WA Rating Clean]]="","",Table1[[#This Row],[WA Rating Clean]]),Table1[[#This Row],[My Rating]])</f>
        <v>94</v>
      </c>
      <c r="AA932" s="37">
        <v>2029</v>
      </c>
      <c r="AB932" s="4">
        <v>46.67</v>
      </c>
      <c r="AC932" s="2">
        <f t="shared" si="51"/>
        <v>46.67</v>
      </c>
      <c r="AD932" s="8">
        <v>2</v>
      </c>
      <c r="AE932" s="10">
        <f>IF(Table1[[#This Row],[P/750]]&lt;20,1,IF(Table1[[#This Row],[P/750]]&lt;50,2,3))</f>
        <v>2</v>
      </c>
      <c r="AF932" s="10">
        <f>IF(Table1[[#This Row],[P/750]]&lt;Expenses!$C$30,1,IF(Table1[[#This Row],[P/750]]&lt;Expenses!$C$31,2,IF(Table1[[#This Row],[P/750]]&lt;Expenses!$C$32,3,4)))</f>
        <v>3</v>
      </c>
      <c r="AH932" s="37" t="s">
        <v>1189</v>
      </c>
      <c r="AI932" s="11">
        <f>Table1[[#This Row],[Price]]/Table1[[#This Row],[Size (ml)]]*750</f>
        <v>46.67</v>
      </c>
      <c r="AJ932">
        <v>94</v>
      </c>
      <c r="AK932" s="10">
        <f>COUNTIF(UniqueID!A:A,Table1[[#This Row],[ID]])</f>
        <v>1</v>
      </c>
      <c r="AL932" s="10" t="str">
        <f>VLOOKUP(Table1[[#This Row],[Cellar Location]],Location!A:F,6,FALSE)</f>
        <v>S</v>
      </c>
      <c r="AN932" s="1">
        <v>43871</v>
      </c>
      <c r="AO932" s="37" t="str">
        <f>TEXT(Table1[[#This Row],[Purchased]],"mmmm")</f>
        <v>February</v>
      </c>
      <c r="AP932" s="10" t="str">
        <f>TEXT(Table1[[#This Row],[Purchased]],"yyyy")</f>
        <v>2020</v>
      </c>
      <c r="AQ932" s="10"/>
    </row>
    <row r="933" spans="1:43" x14ac:dyDescent="0.25">
      <c r="A933" t="str">
        <f t="shared" si="50"/>
        <v>2017Richard RottiersMoulin-Ã -Vent Foudres</v>
      </c>
      <c r="B933" s="37">
        <v>2017</v>
      </c>
      <c r="C933" s="37" t="s">
        <v>445</v>
      </c>
      <c r="D933" s="37" t="s">
        <v>446</v>
      </c>
      <c r="E933" s="69" t="s">
        <v>336</v>
      </c>
      <c r="F933" s="37" t="s">
        <v>742</v>
      </c>
      <c r="G933" s="37" t="s">
        <v>745</v>
      </c>
      <c r="H933" s="37" t="s">
        <v>746</v>
      </c>
      <c r="I933" s="107">
        <v>1</v>
      </c>
      <c r="J933">
        <v>750</v>
      </c>
      <c r="K933" s="107" t="s">
        <v>643</v>
      </c>
      <c r="L933" s="10">
        <f>COUNTIF(Drank!A:A,Table1[[#This Row],[ID]])</f>
        <v>2</v>
      </c>
      <c r="M933" t="s">
        <v>202</v>
      </c>
      <c r="N933" t="s">
        <v>207</v>
      </c>
      <c r="O933">
        <v>1</v>
      </c>
      <c r="P933" s="10">
        <v>2019</v>
      </c>
      <c r="Q933">
        <v>2029</v>
      </c>
      <c r="R933" s="10">
        <f>IF(IFERROR(VLOOKUP(A933,Drank!A:S,15,FALSE),"")=0,"",IFERROR(VLOOKUP(A933,Drank!A:S,15,FALSE),""))</f>
        <v>2021</v>
      </c>
      <c r="S933" s="10">
        <f>IF(IFERROR(VLOOKUP(A933,Drank!A:S,16,FALSE),"")=0,"",IFERROR(VLOOKUP(A933,Drank!A:S,16,FALSE),""))</f>
        <v>2029</v>
      </c>
      <c r="T933" s="10"/>
      <c r="U933">
        <v>92</v>
      </c>
      <c r="V933" s="18">
        <f>IF(IFERROR(VLOOKUP(A933,Drank!A:T,19,FALSE),"")=0,"",IFERROR(VLOOKUP(A933,Drank!A:T,19,FALSE),""))</f>
        <v>90</v>
      </c>
      <c r="W933" s="1">
        <f>IF(IFERROR(VLOOKUP(A933,Drank!A:T,20,FALSE),"")=0,"",IFERROR(VLOOKUP(A933,Drank!A:T,20,FALSE),""))</f>
        <v>43835</v>
      </c>
      <c r="X933" s="10">
        <f>SUMIF(A:A,A933,I:I)</f>
        <v>10</v>
      </c>
      <c r="Y933" s="10">
        <f>IF(Table1[[#This Row],[Drank]]&gt;0,VLOOKUP(Table1[[#This Row],[ID]],Drank!A:P,16,FALSE),IF(Table1[[#This Row],[WALDD]]&gt;0,VLOOKUP(Table1[[#This Row],[ID]],Wine1!A:Q,17,FALSE),Table1[[#This Row],[EP]]))</f>
        <v>2029</v>
      </c>
      <c r="Z933" s="18">
        <f>IF(Table1[[#This Row],[My Rating]]="",IF(Table1[[#This Row],[WA Rating Clean]]="","",Table1[[#This Row],[WA Rating Clean]]),Table1[[#This Row],[My Rating]])</f>
        <v>90</v>
      </c>
      <c r="AA933" s="37">
        <v>2029</v>
      </c>
      <c r="AB933" s="4">
        <v>14.99</v>
      </c>
      <c r="AC933" s="2">
        <f t="shared" si="51"/>
        <v>14.99</v>
      </c>
      <c r="AD933" s="8">
        <v>2</v>
      </c>
      <c r="AE933" s="10">
        <f>IF(Table1[[#This Row],[P/750]]&lt;20,1,IF(Table1[[#This Row],[P/750]]&lt;50,2,3))</f>
        <v>1</v>
      </c>
      <c r="AF933" s="10">
        <f>IF(Table1[[#This Row],[P/750]]&lt;Expenses!$C$30,1,IF(Table1[[#This Row],[P/750]]&lt;Expenses!$C$31,2,IF(Table1[[#This Row],[P/750]]&lt;Expenses!$C$32,3,4)))</f>
        <v>1</v>
      </c>
      <c r="AH933" s="37" t="s">
        <v>384</v>
      </c>
      <c r="AI933" s="11">
        <f>Table1[[#This Row],[Price]]/Table1[[#This Row],[Size (ml)]]*750</f>
        <v>14.99</v>
      </c>
      <c r="AJ933">
        <v>92</v>
      </c>
      <c r="AK933" s="37">
        <f>COUNTIF(UniqueID!A:A,Table1[[#This Row],[ID]])</f>
        <v>1</v>
      </c>
      <c r="AL933" s="37" t="str">
        <f>VLOOKUP(Table1[[#This Row],[Cellar Location]],Location!A:F,6,FALSE)</f>
        <v>S</v>
      </c>
      <c r="AN933" s="37"/>
      <c r="AO933" s="37" t="str">
        <f>TEXT(Table1[[#This Row],[Purchased]],"mmmm")</f>
        <v>January</v>
      </c>
      <c r="AP933" s="10" t="str">
        <f>TEXT(Table1[[#This Row],[Purchased]],"yyyy")</f>
        <v>1900</v>
      </c>
      <c r="AQ933" s="10"/>
    </row>
    <row r="934" spans="1:43" x14ac:dyDescent="0.25">
      <c r="A934" t="str">
        <f t="shared" si="50"/>
        <v>2013BrancaiaIlatraia</v>
      </c>
      <c r="B934" s="37">
        <v>2013</v>
      </c>
      <c r="C934" s="37" t="s">
        <v>140</v>
      </c>
      <c r="D934" s="37" t="s">
        <v>372</v>
      </c>
      <c r="E934" s="67" t="s">
        <v>1637</v>
      </c>
      <c r="F934" s="37" t="s">
        <v>728</v>
      </c>
      <c r="G934" s="37" t="s">
        <v>790</v>
      </c>
      <c r="H934" s="37" t="s">
        <v>794</v>
      </c>
      <c r="I934" s="8">
        <v>1</v>
      </c>
      <c r="J934" s="107">
        <v>750</v>
      </c>
      <c r="K934" s="8" t="s">
        <v>1852</v>
      </c>
      <c r="L934" s="37">
        <f>COUNTIF(Drank!A:A,Table1[[#This Row],[ID]])</f>
        <v>1</v>
      </c>
      <c r="M934" t="s">
        <v>202</v>
      </c>
      <c r="N934" t="s">
        <v>207</v>
      </c>
      <c r="O934">
        <v>1</v>
      </c>
      <c r="P934" s="37">
        <v>2017</v>
      </c>
      <c r="Q934">
        <v>2030</v>
      </c>
      <c r="R934" s="10">
        <f>IF(IFERROR(VLOOKUP(A934,Drank!A:S,15,FALSE),"")=0,"",IFERROR(VLOOKUP(A934,Drank!A:S,15,FALSE),""))</f>
        <v>2027</v>
      </c>
      <c r="S934" s="10">
        <f>IF(IFERROR(VLOOKUP(A934,Drank!A:S,16,FALSE),"")=0,"",IFERROR(VLOOKUP(A934,Drank!A:S,16,FALSE),""))</f>
        <v>2030</v>
      </c>
      <c r="T934" s="10"/>
      <c r="U934">
        <v>97</v>
      </c>
      <c r="V934" s="18">
        <f>IF(IFERROR(VLOOKUP(A934,Drank!A:T,19,FALSE),"")=0,"",IFERROR(VLOOKUP(A934,Drank!A:T,19,FALSE),""))</f>
        <v>92</v>
      </c>
      <c r="W934" s="1">
        <f>IF(IFERROR(VLOOKUP(A934,Drank!A:T,20,FALSE),"")=0,"",IFERROR(VLOOKUP(A934,Drank!A:T,20,FALSE),""))</f>
        <v>44067</v>
      </c>
      <c r="X934" s="10">
        <f>SUMIF(A:A,A934,I:I)</f>
        <v>8</v>
      </c>
      <c r="Y934" s="37">
        <f>IF(Table1[[#This Row],[Drank]]&gt;0,VLOOKUP(Table1[[#This Row],[ID]],Drank!A:P,16,FALSE),IF(Table1[[#This Row],[WALDD]]&gt;0,VLOOKUP(Table1[[#This Row],[ID]],Wine1!A:Q,17,FALSE),Table1[[#This Row],[EP]]))</f>
        <v>2030</v>
      </c>
      <c r="Z934" s="18">
        <f>IF(Table1[[#This Row],[My Rating]]="",IF(Table1[[#This Row],[WA Rating Clean]]="","",Table1[[#This Row],[WA Rating Clean]]),Table1[[#This Row],[My Rating]])</f>
        <v>92</v>
      </c>
      <c r="AA934" s="8">
        <v>2029</v>
      </c>
      <c r="AB934" s="129">
        <v>50.69</v>
      </c>
      <c r="AC934" s="2">
        <f t="shared" si="51"/>
        <v>50.69</v>
      </c>
      <c r="AD934" s="8">
        <v>2</v>
      </c>
      <c r="AE934" s="37">
        <f>IF(Table1[[#This Row],[P/750]]&lt;20,1,IF(Table1[[#This Row],[P/750]]&lt;50,2,3))</f>
        <v>3</v>
      </c>
      <c r="AF934" s="37">
        <f>IF(Table1[[#This Row],[P/750]]&lt;Expenses!$C$30,1,IF(Table1[[#This Row],[P/750]]&lt;Expenses!$C$31,2,IF(Table1[[#This Row],[P/750]]&lt;Expenses!$C$32,3,4)))</f>
        <v>3</v>
      </c>
      <c r="AH934" s="37" t="s">
        <v>1128</v>
      </c>
      <c r="AI934" s="11">
        <f>Table1[[#This Row],[Price]]/Table1[[#This Row],[Size (ml)]]*750</f>
        <v>50.690000000000005</v>
      </c>
      <c r="AJ934">
        <v>97</v>
      </c>
      <c r="AK934" s="37">
        <f>COUNTIF(UniqueID!A:A,Table1[[#This Row],[ID]])</f>
        <v>1</v>
      </c>
      <c r="AL934" s="37" t="str">
        <f>VLOOKUP(Table1[[#This Row],[Cellar Location]],Location!A:F,6,FALSE)</f>
        <v>S</v>
      </c>
      <c r="AN934" s="1">
        <v>44070</v>
      </c>
      <c r="AO934" s="37" t="str">
        <f>TEXT(Table1[[#This Row],[Purchased]],"mmmm")</f>
        <v>August</v>
      </c>
      <c r="AP934" s="10" t="str">
        <f>TEXT(Table1[[#This Row],[Purchased]],"yyyy")</f>
        <v>2020</v>
      </c>
      <c r="AQ934" s="10"/>
    </row>
    <row r="935" spans="1:43" x14ac:dyDescent="0.25">
      <c r="A935" t="str">
        <f t="shared" si="50"/>
        <v>2017Altos Las HormigasMalbec Appellation Gualtallary</v>
      </c>
      <c r="B935" s="37">
        <v>2017</v>
      </c>
      <c r="C935" s="37" t="s">
        <v>232</v>
      </c>
      <c r="D935" s="9" t="s">
        <v>233</v>
      </c>
      <c r="E935" s="67" t="s">
        <v>1207</v>
      </c>
      <c r="F935" s="37" t="s">
        <v>731</v>
      </c>
      <c r="G935" s="37" t="s">
        <v>732</v>
      </c>
      <c r="H935" s="37" t="s">
        <v>1190</v>
      </c>
      <c r="I935" s="8">
        <v>1</v>
      </c>
      <c r="J935" s="107">
        <v>750</v>
      </c>
      <c r="K935" s="8" t="s">
        <v>1848</v>
      </c>
      <c r="L935" s="10">
        <f>COUNTIF(Drank!A:A,Table1[[#This Row],[ID]])</f>
        <v>1</v>
      </c>
      <c r="M935" t="s">
        <v>202</v>
      </c>
      <c r="N935" t="s">
        <v>207</v>
      </c>
      <c r="O935">
        <v>1</v>
      </c>
      <c r="P935" s="10">
        <v>2019</v>
      </c>
      <c r="Q935">
        <v>2030</v>
      </c>
      <c r="R935" s="10">
        <f>IF(IFERROR(VLOOKUP(A935,Drank!A:S,15,FALSE),"")=0,"",IFERROR(VLOOKUP(A935,Drank!A:S,15,FALSE),""))</f>
        <v>2022</v>
      </c>
      <c r="S935" s="10">
        <f>IF(IFERROR(VLOOKUP(A935,Drank!A:S,16,FALSE),"")=0,"",IFERROR(VLOOKUP(A935,Drank!A:S,16,FALSE),""))</f>
        <v>2030</v>
      </c>
      <c r="T935" s="10"/>
      <c r="U935" t="s">
        <v>1180</v>
      </c>
      <c r="V935" s="18">
        <f>IF(IFERROR(VLOOKUP(A935,Drank!A:T,19,FALSE),"")=0,"",IFERROR(VLOOKUP(A935,Drank!A:T,19,FALSE),""))</f>
        <v>94</v>
      </c>
      <c r="W935" s="1">
        <f>IF(IFERROR(VLOOKUP(A935,Drank!A:T,20,FALSE),"")=0,"",IFERROR(VLOOKUP(A935,Drank!A:T,20,FALSE),""))</f>
        <v>43953</v>
      </c>
      <c r="X935" s="10">
        <f>SUMIF(A:A,A935,I:I)</f>
        <v>38</v>
      </c>
      <c r="Y935" s="10">
        <f>IF(Table1[[#This Row],[Drank]]&gt;0,VLOOKUP(Table1[[#This Row],[ID]],Drank!A:P,16,FALSE),IF(Table1[[#This Row],[WALDD]]&gt;0,VLOOKUP(Table1[[#This Row],[ID]],Wine1!A:Q,17,FALSE),Table1[[#This Row],[EP]]))</f>
        <v>2030</v>
      </c>
      <c r="Z935" s="18">
        <f>IF(Table1[[#This Row],[My Rating]]="",IF(Table1[[#This Row],[WA Rating Clean]]="","",Table1[[#This Row],[WA Rating Clean]]),Table1[[#This Row],[My Rating]])</f>
        <v>94</v>
      </c>
      <c r="AA935" s="37">
        <v>2029</v>
      </c>
      <c r="AB935" s="129">
        <v>35.85</v>
      </c>
      <c r="AC935" s="2">
        <f t="shared" si="51"/>
        <v>35.85</v>
      </c>
      <c r="AD935" s="8">
        <v>1</v>
      </c>
      <c r="AE935" s="10">
        <f>IF(Table1[[#This Row],[P/750]]&lt;20,1,IF(Table1[[#This Row],[P/750]]&lt;50,2,3))</f>
        <v>2</v>
      </c>
      <c r="AF935" s="10">
        <f>IF(Table1[[#This Row],[P/750]]&lt;Expenses!$C$30,1,IF(Table1[[#This Row],[P/750]]&lt;Expenses!$C$31,2,IF(Table1[[#This Row],[P/750]]&lt;Expenses!$C$32,3,4)))</f>
        <v>3</v>
      </c>
      <c r="AH935" s="37" t="s">
        <v>1128</v>
      </c>
      <c r="AI935" s="11">
        <f>Table1[[#This Row],[Price]]/Table1[[#This Row],[Size (ml)]]*750</f>
        <v>35.85</v>
      </c>
      <c r="AJ935">
        <v>96</v>
      </c>
      <c r="AK935" s="10">
        <f>COUNTIF(UniqueID!A:A,Table1[[#This Row],[ID]])</f>
        <v>1</v>
      </c>
      <c r="AL935" s="10" t="str">
        <f>VLOOKUP(Table1[[#This Row],[Cellar Location]],Location!A:F,6,FALSE)</f>
        <v>S</v>
      </c>
      <c r="AN935" s="1">
        <v>44070</v>
      </c>
      <c r="AO935" s="10" t="str">
        <f>TEXT(Table1[[#This Row],[Purchased]],"mmmm")</f>
        <v>August</v>
      </c>
      <c r="AP935" s="10" t="str">
        <f>TEXT(Table1[[#This Row],[Purchased]],"yyyy")</f>
        <v>2020</v>
      </c>
      <c r="AQ935" s="1"/>
    </row>
    <row r="936" spans="1:43" x14ac:dyDescent="0.25">
      <c r="A936" t="str">
        <f t="shared" si="50"/>
        <v>2017Altos Las HormigasMalbec Appellation Gualtallary</v>
      </c>
      <c r="B936" s="37">
        <v>2017</v>
      </c>
      <c r="C936" s="37" t="s">
        <v>232</v>
      </c>
      <c r="D936" s="9" t="s">
        <v>233</v>
      </c>
      <c r="E936" s="67" t="s">
        <v>1207</v>
      </c>
      <c r="F936" s="37" t="s">
        <v>731</v>
      </c>
      <c r="G936" s="37" t="s">
        <v>732</v>
      </c>
      <c r="H936" s="37" t="s">
        <v>1190</v>
      </c>
      <c r="I936" s="8">
        <v>1</v>
      </c>
      <c r="J936" s="107">
        <v>750</v>
      </c>
      <c r="K936" s="8" t="s">
        <v>1848</v>
      </c>
      <c r="L936" s="10">
        <f>COUNTIF(Drank!A:A,Table1[[#This Row],[ID]])</f>
        <v>1</v>
      </c>
      <c r="M936" t="s">
        <v>202</v>
      </c>
      <c r="N936" t="s">
        <v>207</v>
      </c>
      <c r="O936">
        <v>1</v>
      </c>
      <c r="P936" s="10">
        <v>2019</v>
      </c>
      <c r="Q936">
        <v>2030</v>
      </c>
      <c r="R936" s="10">
        <f>IF(IFERROR(VLOOKUP(A936,Drank!A:S,15,FALSE),"")=0,"",IFERROR(VLOOKUP(A936,Drank!A:S,15,FALSE),""))</f>
        <v>2022</v>
      </c>
      <c r="S936" s="10">
        <f>IF(IFERROR(VLOOKUP(A936,Drank!A:S,16,FALSE),"")=0,"",IFERROR(VLOOKUP(A936,Drank!A:S,16,FALSE),""))</f>
        <v>2030</v>
      </c>
      <c r="T936" s="10"/>
      <c r="U936" t="s">
        <v>1180</v>
      </c>
      <c r="V936" s="18">
        <f>IF(IFERROR(VLOOKUP(A936,Drank!A:T,19,FALSE),"")=0,"",IFERROR(VLOOKUP(A936,Drank!A:T,19,FALSE),""))</f>
        <v>94</v>
      </c>
      <c r="W936" s="1">
        <f>IF(IFERROR(VLOOKUP(A936,Drank!A:T,20,FALSE),"")=0,"",IFERROR(VLOOKUP(A936,Drank!A:T,20,FALSE),""))</f>
        <v>43953</v>
      </c>
      <c r="X936" s="10">
        <f>SUMIF(A:A,A936,I:I)</f>
        <v>38</v>
      </c>
      <c r="Y936" s="10">
        <f>IF(Table1[[#This Row],[Drank]]&gt;0,VLOOKUP(Table1[[#This Row],[ID]],Drank!A:P,16,FALSE),IF(Table1[[#This Row],[WALDD]]&gt;0,VLOOKUP(Table1[[#This Row],[ID]],Wine1!A:Q,17,FALSE),Table1[[#This Row],[EP]]))</f>
        <v>2030</v>
      </c>
      <c r="Z936" s="18">
        <f>IF(Table1[[#This Row],[My Rating]]="",IF(Table1[[#This Row],[WA Rating Clean]]="","",Table1[[#This Row],[WA Rating Clean]]),Table1[[#This Row],[My Rating]])</f>
        <v>94</v>
      </c>
      <c r="AA936" s="37">
        <v>2029</v>
      </c>
      <c r="AB936" s="129">
        <v>35.85</v>
      </c>
      <c r="AC936" s="2">
        <f t="shared" si="51"/>
        <v>35.85</v>
      </c>
      <c r="AD936" s="8">
        <v>1</v>
      </c>
      <c r="AE936" s="10">
        <f>IF(Table1[[#This Row],[P/750]]&lt;20,1,IF(Table1[[#This Row],[P/750]]&lt;50,2,3))</f>
        <v>2</v>
      </c>
      <c r="AF936" s="10">
        <f>IF(Table1[[#This Row],[P/750]]&lt;Expenses!$C$30,1,IF(Table1[[#This Row],[P/750]]&lt;Expenses!$C$31,2,IF(Table1[[#This Row],[P/750]]&lt;Expenses!$C$32,3,4)))</f>
        <v>3</v>
      </c>
      <c r="AH936" s="37" t="s">
        <v>1128</v>
      </c>
      <c r="AI936" s="11">
        <f>Table1[[#This Row],[Price]]/Table1[[#This Row],[Size (ml)]]*750</f>
        <v>35.85</v>
      </c>
      <c r="AJ936">
        <v>96</v>
      </c>
      <c r="AK936" s="10">
        <f>COUNTIF(UniqueID!A:A,Table1[[#This Row],[ID]])</f>
        <v>1</v>
      </c>
      <c r="AL936" s="10" t="str">
        <f>VLOOKUP(Table1[[#This Row],[Cellar Location]],Location!A:F,6,FALSE)</f>
        <v>S</v>
      </c>
      <c r="AN936" s="1">
        <v>44070</v>
      </c>
      <c r="AO936" s="10" t="str">
        <f>TEXT(Table1[[#This Row],[Purchased]],"mmmm")</f>
        <v>August</v>
      </c>
      <c r="AP936" s="10" t="str">
        <f>TEXT(Table1[[#This Row],[Purchased]],"yyyy")</f>
        <v>2020</v>
      </c>
      <c r="AQ936" s="1"/>
    </row>
    <row r="937" spans="1:43" x14ac:dyDescent="0.25">
      <c r="A937" t="str">
        <f t="shared" si="50"/>
        <v>2015Tenuta VitanzaBrunello di Montalcino</v>
      </c>
      <c r="B937" s="37">
        <v>2015</v>
      </c>
      <c r="C937" s="19" t="s">
        <v>214</v>
      </c>
      <c r="D937" s="9" t="s">
        <v>19</v>
      </c>
      <c r="E937" s="68" t="s">
        <v>1250</v>
      </c>
      <c r="F937" s="37" t="s">
        <v>728</v>
      </c>
      <c r="G937" s="37" t="s">
        <v>790</v>
      </c>
      <c r="H937" s="37" t="s">
        <v>19</v>
      </c>
      <c r="I937" s="37">
        <v>1</v>
      </c>
      <c r="J937" s="38">
        <v>750</v>
      </c>
      <c r="K937" s="38" t="s">
        <v>384</v>
      </c>
      <c r="L937" s="10">
        <f>COUNTIF(Drank!A:A,Table1[[#This Row],[ID]])</f>
        <v>0</v>
      </c>
      <c r="M937" t="s">
        <v>202</v>
      </c>
      <c r="N937" t="s">
        <v>207</v>
      </c>
      <c r="O937">
        <v>0</v>
      </c>
      <c r="P937" s="37"/>
      <c r="R937" s="10" t="str">
        <f>IF(IFERROR(VLOOKUP(A937,Drank!A:S,15,FALSE),"")=0,"",IFERROR(VLOOKUP(A937,Drank!A:S,15,FALSE),""))</f>
        <v/>
      </c>
      <c r="S937" s="10" t="str">
        <f>IF(IFERROR(VLOOKUP(A937,Drank!A:S,16,FALSE),"")=0,"",IFERROR(VLOOKUP(A937,Drank!A:S,16,FALSE),""))</f>
        <v/>
      </c>
      <c r="T937" s="10">
        <v>2030</v>
      </c>
      <c r="V937" s="18" t="str">
        <f>IF(IFERROR(VLOOKUP(A937,Drank!A:T,19,FALSE),"")=0,"",IFERROR(VLOOKUP(A937,Drank!A:T,19,FALSE),""))</f>
        <v/>
      </c>
      <c r="W937" s="1" t="str">
        <f>IF(IFERROR(VLOOKUP(A937,Drank!A:T,20,FALSE),"")=0,"",IFERROR(VLOOKUP(A937,Drank!A:T,20,FALSE),""))</f>
        <v/>
      </c>
      <c r="X937" s="10">
        <f>SUMIF(A:A,A937,I:I)</f>
        <v>4</v>
      </c>
      <c r="Y937" s="10">
        <f>IF(Table1[[#This Row],[Drank]]&gt;0,VLOOKUP(Table1[[#This Row],[ID]],Drank!A:P,16,FALSE),IF(Table1[[#This Row],[WALDD]]&gt;0,VLOOKUP(Table1[[#This Row],[ID]],Wine1!A:Q,17,FALSE),Table1[[#This Row],[EP]]))</f>
        <v>2030</v>
      </c>
      <c r="Z937" s="18" t="str">
        <f>IF(Table1[[#This Row],[My Rating]]="",IF(Table1[[#This Row],[WA Rating Clean]]="","",Table1[[#This Row],[WA Rating Clean]]),Table1[[#This Row],[My Rating]])</f>
        <v/>
      </c>
      <c r="AA937" s="37">
        <v>2029</v>
      </c>
      <c r="AB937" s="4">
        <v>32.58</v>
      </c>
      <c r="AC937" s="2">
        <f t="shared" si="51"/>
        <v>32.58</v>
      </c>
      <c r="AD937" s="8">
        <v>1</v>
      </c>
      <c r="AE937" s="10">
        <f>IF(Table1[[#This Row],[P/750]]&lt;20,1,IF(Table1[[#This Row],[P/750]]&lt;50,2,3))</f>
        <v>2</v>
      </c>
      <c r="AF937" s="10">
        <f>IF(Table1[[#This Row],[P/750]]&lt;Expenses!$C$30,1,IF(Table1[[#This Row],[P/750]]&lt;Expenses!$C$31,2,IF(Table1[[#This Row],[P/750]]&lt;Expenses!$C$32,3,4)))</f>
        <v>3</v>
      </c>
      <c r="AH937" s="37" t="s">
        <v>384</v>
      </c>
      <c r="AI937" s="11">
        <f>Table1[[#This Row],[Price]]/Table1[[#This Row],[Size (ml)]]*750</f>
        <v>32.58</v>
      </c>
      <c r="AK937" s="10">
        <f>COUNTIF(UniqueID!A:A,Table1[[#This Row],[ID]])</f>
        <v>0</v>
      </c>
      <c r="AL937" s="10" t="str">
        <f>VLOOKUP(Table1[[#This Row],[Cellar Location]],Location!A:F,6,FALSE)</f>
        <v>W</v>
      </c>
      <c r="AN937" s="1">
        <v>44023</v>
      </c>
      <c r="AO937" s="10" t="str">
        <f>TEXT(Table1[[#This Row],[Purchased]],"mmmm")</f>
        <v>July</v>
      </c>
      <c r="AP937" s="10" t="str">
        <f>TEXT(Table1[[#This Row],[Purchased]],"yyyy")</f>
        <v>2020</v>
      </c>
      <c r="AQ937" s="1">
        <v>44137</v>
      </c>
    </row>
    <row r="938" spans="1:43" s="37" customFormat="1" x14ac:dyDescent="0.25">
      <c r="A938" s="37" t="str">
        <f t="shared" si="50"/>
        <v>2016Domaine BenedettiLes Larmes Papales Chateauneuf du Pape</v>
      </c>
      <c r="B938" s="8">
        <v>2016</v>
      </c>
      <c r="C938" s="37" t="s">
        <v>1578</v>
      </c>
      <c r="D938" s="37" t="s">
        <v>1579</v>
      </c>
      <c r="E938" s="37" t="s">
        <v>1248</v>
      </c>
      <c r="F938" s="37" t="s">
        <v>742</v>
      </c>
      <c r="G938" s="37" t="s">
        <v>759</v>
      </c>
      <c r="H938" s="37" t="s">
        <v>762</v>
      </c>
      <c r="I938" s="8">
        <v>1</v>
      </c>
      <c r="J938" s="38">
        <v>750</v>
      </c>
      <c r="K938" s="38" t="s">
        <v>384</v>
      </c>
      <c r="L938" s="10">
        <f>COUNTIF(Drank!A:A,Table1[[#This Row],[ID]])</f>
        <v>0</v>
      </c>
      <c r="M938" s="37" t="s">
        <v>202</v>
      </c>
      <c r="N938" s="37" t="s">
        <v>207</v>
      </c>
      <c r="O938" s="37">
        <v>1</v>
      </c>
      <c r="P938" s="37">
        <v>2018</v>
      </c>
      <c r="Q938" s="37">
        <v>2030</v>
      </c>
      <c r="R938" s="10" t="str">
        <f>IF(IFERROR(VLOOKUP(A938,Drank!A:S,15,FALSE),"")=0,"",IFERROR(VLOOKUP(A938,Drank!A:S,15,FALSE),""))</f>
        <v/>
      </c>
      <c r="S938" s="10" t="str">
        <f>IF(IFERROR(VLOOKUP(A938,Drank!A:S,16,FALSE),"")=0,"",IFERROR(VLOOKUP(A938,Drank!A:S,16,FALSE),""))</f>
        <v/>
      </c>
      <c r="T938" s="10"/>
      <c r="U938" s="37">
        <v>95</v>
      </c>
      <c r="V938" s="18" t="str">
        <f>IF(IFERROR(VLOOKUP(A938,Drank!A:T,19,FALSE),"")=0,"",IFERROR(VLOOKUP(A938,Drank!A:T,19,FALSE),""))</f>
        <v/>
      </c>
      <c r="W938" s="1" t="str">
        <f>IF(IFERROR(VLOOKUP(A938,Drank!A:T,20,FALSE),"")=0,"",IFERROR(VLOOKUP(A938,Drank!A:T,20,FALSE),""))</f>
        <v/>
      </c>
      <c r="X938" s="10">
        <f>SUMIF(A:A,A938,I:I)</f>
        <v>8</v>
      </c>
      <c r="Y938" s="10">
        <f>IF(Table1[[#This Row],[Drank]]&gt;0,VLOOKUP(Table1[[#This Row],[ID]],Drank!A:P,16,FALSE),IF(Table1[[#This Row],[WALDD]]&gt;0,VLOOKUP(Table1[[#This Row],[ID]],Wine1!A:Q,17,FALSE),Table1[[#This Row],[EP]]))</f>
        <v>2030</v>
      </c>
      <c r="Z938" s="18">
        <f>IF(Table1[[#This Row],[My Rating]]="",IF(Table1[[#This Row],[WA Rating Clean]]="","",Table1[[#This Row],[WA Rating Clean]]),Table1[[#This Row],[My Rating]])</f>
        <v>95</v>
      </c>
      <c r="AA938" s="8">
        <v>2029</v>
      </c>
      <c r="AB938" s="4">
        <v>35.840000000000003</v>
      </c>
      <c r="AC938" s="2">
        <f t="shared" si="51"/>
        <v>35.840000000000003</v>
      </c>
      <c r="AD938" s="8">
        <v>1</v>
      </c>
      <c r="AE938" s="10">
        <f>IF(Table1[[#This Row],[P/750]]&lt;20,1,IF(Table1[[#This Row],[P/750]]&lt;50,2,3))</f>
        <v>2</v>
      </c>
      <c r="AF938" s="10">
        <f>IF(Table1[[#This Row],[P/750]]&lt;Expenses!$C$30,1,IF(Table1[[#This Row],[P/750]]&lt;Expenses!$C$31,2,IF(Table1[[#This Row],[P/750]]&lt;Expenses!$C$32,3,4)))</f>
        <v>3</v>
      </c>
      <c r="AH938" s="37" t="s">
        <v>384</v>
      </c>
      <c r="AI938" s="11">
        <f>Table1[[#This Row],[Price]]/Table1[[#This Row],[Size (ml)]]*750</f>
        <v>35.840000000000003</v>
      </c>
      <c r="AJ938" s="37">
        <v>95</v>
      </c>
      <c r="AK938" s="10">
        <f>COUNTIF(UniqueID!A:A,Table1[[#This Row],[ID]])</f>
        <v>0</v>
      </c>
      <c r="AL938" s="10" t="str">
        <f>VLOOKUP(Table1[[#This Row],[Cellar Location]],Location!A:F,6,FALSE)</f>
        <v>W</v>
      </c>
      <c r="AN938" s="1">
        <v>44056</v>
      </c>
      <c r="AO938" s="10" t="str">
        <f>TEXT(Table1[[#This Row],[Purchased]],"mmmm")</f>
        <v>August</v>
      </c>
      <c r="AP938" s="10" t="str">
        <f>TEXT(Table1[[#This Row],[Purchased]],"yyyy")</f>
        <v>2020</v>
      </c>
      <c r="AQ938" s="1">
        <v>44137</v>
      </c>
    </row>
    <row r="939" spans="1:43" x14ac:dyDescent="0.25">
      <c r="A939" t="str">
        <f t="shared" si="50"/>
        <v>2016Domaine BenedettiLes Larmes Papales Chateauneuf du Pape</v>
      </c>
      <c r="B939" s="8">
        <v>2016</v>
      </c>
      <c r="C939" s="37" t="s">
        <v>1578</v>
      </c>
      <c r="D939" s="37" t="s">
        <v>1579</v>
      </c>
      <c r="E939" s="37" t="s">
        <v>1248</v>
      </c>
      <c r="F939" s="37" t="s">
        <v>742</v>
      </c>
      <c r="G939" s="37" t="s">
        <v>759</v>
      </c>
      <c r="H939" s="37" t="s">
        <v>762</v>
      </c>
      <c r="I939" s="8">
        <v>1</v>
      </c>
      <c r="J939" s="38">
        <v>750</v>
      </c>
      <c r="K939" s="38" t="s">
        <v>384</v>
      </c>
      <c r="L939" s="10">
        <f>COUNTIF(Drank!A:A,Table1[[#This Row],[ID]])</f>
        <v>0</v>
      </c>
      <c r="M939" t="s">
        <v>202</v>
      </c>
      <c r="N939" t="s">
        <v>207</v>
      </c>
      <c r="O939">
        <v>1</v>
      </c>
      <c r="P939" s="37">
        <v>2018</v>
      </c>
      <c r="Q939">
        <v>2030</v>
      </c>
      <c r="R939" s="10" t="str">
        <f>IF(IFERROR(VLOOKUP(A939,Drank!A:S,15,FALSE),"")=0,"",IFERROR(VLOOKUP(A939,Drank!A:S,15,FALSE),""))</f>
        <v/>
      </c>
      <c r="S939" s="10" t="str">
        <f>IF(IFERROR(VLOOKUP(A939,Drank!A:S,16,FALSE),"")=0,"",IFERROR(VLOOKUP(A939,Drank!A:S,16,FALSE),""))</f>
        <v/>
      </c>
      <c r="T939" s="10"/>
      <c r="U939">
        <v>95</v>
      </c>
      <c r="V939" s="18" t="str">
        <f>IF(IFERROR(VLOOKUP(A939,Drank!A:T,19,FALSE),"")=0,"",IFERROR(VLOOKUP(A939,Drank!A:T,19,FALSE),""))</f>
        <v/>
      </c>
      <c r="W939" s="1" t="str">
        <f>IF(IFERROR(VLOOKUP(A939,Drank!A:T,20,FALSE),"")=0,"",IFERROR(VLOOKUP(A939,Drank!A:T,20,FALSE),""))</f>
        <v/>
      </c>
      <c r="X939" s="10">
        <f>SUMIF(A:A,A939,I:I)</f>
        <v>8</v>
      </c>
      <c r="Y939" s="10">
        <f>IF(Table1[[#This Row],[Drank]]&gt;0,VLOOKUP(Table1[[#This Row],[ID]],Drank!A:P,16,FALSE),IF(Table1[[#This Row],[WALDD]]&gt;0,VLOOKUP(Table1[[#This Row],[ID]],Wine1!A:Q,17,FALSE),Table1[[#This Row],[EP]]))</f>
        <v>2030</v>
      </c>
      <c r="Z939" s="18">
        <f>IF(Table1[[#This Row],[My Rating]]="",IF(Table1[[#This Row],[WA Rating Clean]]="","",Table1[[#This Row],[WA Rating Clean]]),Table1[[#This Row],[My Rating]])</f>
        <v>95</v>
      </c>
      <c r="AA939" s="8">
        <v>2029</v>
      </c>
      <c r="AB939" s="4">
        <v>35.840000000000003</v>
      </c>
      <c r="AC939" s="2">
        <f t="shared" si="51"/>
        <v>35.840000000000003</v>
      </c>
      <c r="AD939" s="8">
        <v>1</v>
      </c>
      <c r="AE939" s="10">
        <f>IF(Table1[[#This Row],[P/750]]&lt;20,1,IF(Table1[[#This Row],[P/750]]&lt;50,2,3))</f>
        <v>2</v>
      </c>
      <c r="AF939" s="10">
        <f>IF(Table1[[#This Row],[P/750]]&lt;Expenses!$C$30,1,IF(Table1[[#This Row],[P/750]]&lt;Expenses!$C$31,2,IF(Table1[[#This Row],[P/750]]&lt;Expenses!$C$32,3,4)))</f>
        <v>3</v>
      </c>
      <c r="AH939" s="37" t="s">
        <v>384</v>
      </c>
      <c r="AI939" s="11">
        <f>Table1[[#This Row],[Price]]/Table1[[#This Row],[Size (ml)]]*750</f>
        <v>35.840000000000003</v>
      </c>
      <c r="AJ939">
        <v>95</v>
      </c>
      <c r="AK939" s="10">
        <f>COUNTIF(UniqueID!A:A,Table1[[#This Row],[ID]])</f>
        <v>0</v>
      </c>
      <c r="AL939" s="10" t="str">
        <f>VLOOKUP(Table1[[#This Row],[Cellar Location]],Location!A:F,6,FALSE)</f>
        <v>W</v>
      </c>
      <c r="AN939" s="1">
        <v>44056</v>
      </c>
      <c r="AO939" s="10" t="str">
        <f>TEXT(Table1[[#This Row],[Purchased]],"mmmm")</f>
        <v>August</v>
      </c>
      <c r="AP939" s="10" t="str">
        <f>TEXT(Table1[[#This Row],[Purchased]],"yyyy")</f>
        <v>2020</v>
      </c>
      <c r="AQ939" s="1">
        <v>44137</v>
      </c>
    </row>
    <row r="940" spans="1:43" x14ac:dyDescent="0.25">
      <c r="A940" t="str">
        <f t="shared" si="50"/>
        <v>2016Domaine du Grand MontmirailGigondas Vieilles Vignes</v>
      </c>
      <c r="B940" s="37">
        <v>2016</v>
      </c>
      <c r="C940" s="37" t="s">
        <v>1387</v>
      </c>
      <c r="D940" s="37" t="s">
        <v>1576</v>
      </c>
      <c r="E940" s="67" t="s">
        <v>1249</v>
      </c>
      <c r="F940" s="37" t="s">
        <v>742</v>
      </c>
      <c r="G940" s="37" t="s">
        <v>759</v>
      </c>
      <c r="H940" s="37" t="s">
        <v>764</v>
      </c>
      <c r="I940" s="8">
        <v>1</v>
      </c>
      <c r="J940" s="38">
        <v>750</v>
      </c>
      <c r="K940" s="38" t="s">
        <v>384</v>
      </c>
      <c r="L940" s="10">
        <f>COUNTIF(Drank!A:A,Table1[[#This Row],[ID]])</f>
        <v>0</v>
      </c>
      <c r="M940" t="s">
        <v>202</v>
      </c>
      <c r="N940" t="s">
        <v>207</v>
      </c>
      <c r="O940">
        <v>1</v>
      </c>
      <c r="P940" s="10">
        <v>2020</v>
      </c>
      <c r="Q940">
        <v>2030</v>
      </c>
      <c r="R940" s="10" t="str">
        <f>IF(IFERROR(VLOOKUP(A940,Drank!A:S,15,FALSE),"")=0,"",IFERROR(VLOOKUP(A940,Drank!A:S,15,FALSE),""))</f>
        <v/>
      </c>
      <c r="S940" s="10" t="str">
        <f>IF(IFERROR(VLOOKUP(A940,Drank!A:S,16,FALSE),"")=0,"",IFERROR(VLOOKUP(A940,Drank!A:S,16,FALSE),""))</f>
        <v/>
      </c>
      <c r="T940" s="10"/>
      <c r="U940">
        <v>92</v>
      </c>
      <c r="V940" s="18" t="str">
        <f>IF(IFERROR(VLOOKUP(A940,Drank!A:T,19,FALSE),"")=0,"",IFERROR(VLOOKUP(A940,Drank!A:T,19,FALSE),""))</f>
        <v/>
      </c>
      <c r="W940" s="1" t="str">
        <f>IF(IFERROR(VLOOKUP(A940,Drank!A:T,20,FALSE),"")=0,"",IFERROR(VLOOKUP(A940,Drank!A:T,20,FALSE),""))</f>
        <v/>
      </c>
      <c r="X940" s="10">
        <f>SUMIF(A:A,A940,I:I)</f>
        <v>6</v>
      </c>
      <c r="Y940" s="10">
        <f>IF(Table1[[#This Row],[Drank]]&gt;0,VLOOKUP(Table1[[#This Row],[ID]],Drank!A:P,16,FALSE),IF(Table1[[#This Row],[WALDD]]&gt;0,VLOOKUP(Table1[[#This Row],[ID]],Wine1!A:Q,17,FALSE),Table1[[#This Row],[EP]]))</f>
        <v>2030</v>
      </c>
      <c r="Z940" s="18">
        <f>IF(Table1[[#This Row],[My Rating]]="",IF(Table1[[#This Row],[WA Rating Clean]]="","",Table1[[#This Row],[WA Rating Clean]]),Table1[[#This Row],[My Rating]])</f>
        <v>92</v>
      </c>
      <c r="AA940" s="37">
        <v>2029</v>
      </c>
      <c r="AB940" s="4">
        <v>24.97</v>
      </c>
      <c r="AC940" s="2">
        <f t="shared" si="51"/>
        <v>24.97</v>
      </c>
      <c r="AD940" s="8">
        <v>1</v>
      </c>
      <c r="AE940" s="10">
        <f>IF(Table1[[#This Row],[P/750]]&lt;20,1,IF(Table1[[#This Row],[P/750]]&lt;50,2,3))</f>
        <v>2</v>
      </c>
      <c r="AF940" s="10">
        <f>IF(Table1[[#This Row],[P/750]]&lt;Expenses!$C$30,1,IF(Table1[[#This Row],[P/750]]&lt;Expenses!$C$31,2,IF(Table1[[#This Row],[P/750]]&lt;Expenses!$C$32,3,4)))</f>
        <v>2</v>
      </c>
      <c r="AH940" s="37" t="s">
        <v>384</v>
      </c>
      <c r="AI940" s="11">
        <f>Table1[[#This Row],[Price]]/Table1[[#This Row],[Size (ml)]]*750</f>
        <v>24.970000000000002</v>
      </c>
      <c r="AJ940">
        <v>92</v>
      </c>
      <c r="AK940" s="10">
        <f>COUNTIF(UniqueID!A:A,Table1[[#This Row],[ID]])</f>
        <v>0</v>
      </c>
      <c r="AL940" s="10" t="str">
        <f>VLOOKUP(Table1[[#This Row],[Cellar Location]],Location!A:F,6,FALSE)</f>
        <v>W</v>
      </c>
      <c r="AN940" s="1">
        <v>44055</v>
      </c>
      <c r="AO940" s="10" t="str">
        <f>TEXT(Table1[[#This Row],[Purchased]],"mmmm")</f>
        <v>August</v>
      </c>
      <c r="AP940" s="10" t="str">
        <f>TEXT(Table1[[#This Row],[Purchased]],"yyyy")</f>
        <v>2020</v>
      </c>
      <c r="AQ940" s="1">
        <v>44137</v>
      </c>
    </row>
    <row r="941" spans="1:43" x14ac:dyDescent="0.25">
      <c r="A941" t="str">
        <f t="shared" si="50"/>
        <v>2015MasiAmarone della Valpolicella Classico Costasera</v>
      </c>
      <c r="B941" s="37">
        <v>2015</v>
      </c>
      <c r="C941" s="25" t="s">
        <v>37</v>
      </c>
      <c r="D941" s="37" t="s">
        <v>53</v>
      </c>
      <c r="E941" s="64" t="s">
        <v>313</v>
      </c>
      <c r="F941" s="37" t="s">
        <v>728</v>
      </c>
      <c r="G941" s="37" t="s">
        <v>799</v>
      </c>
      <c r="H941" s="37" t="s">
        <v>800</v>
      </c>
      <c r="I941" s="8">
        <v>1</v>
      </c>
      <c r="J941" s="107">
        <v>750</v>
      </c>
      <c r="K941" s="8" t="s">
        <v>1542</v>
      </c>
      <c r="L941" s="37">
        <f>COUNTIF(Drank!A:A,Table1[[#This Row],[ID]])</f>
        <v>1</v>
      </c>
      <c r="M941" t="s">
        <v>202</v>
      </c>
      <c r="N941" t="s">
        <v>207</v>
      </c>
      <c r="O941">
        <v>1</v>
      </c>
      <c r="P941" s="37"/>
      <c r="R941" s="10">
        <f>IF(IFERROR(VLOOKUP(A941,Drank!A:S,15,FALSE),"")=0,"",IFERROR(VLOOKUP(A941,Drank!A:S,15,FALSE),""))</f>
        <v>2030</v>
      </c>
      <c r="S941" s="10">
        <f>IF(IFERROR(VLOOKUP(A941,Drank!A:S,16,FALSE),"")=0,"",IFERROR(VLOOKUP(A941,Drank!A:S,16,FALSE),""))</f>
        <v>2030</v>
      </c>
      <c r="T941" s="10"/>
      <c r="V941" s="18">
        <f>IF(IFERROR(VLOOKUP(A941,Drank!A:T,19,FALSE),"")=0,"",IFERROR(VLOOKUP(A941,Drank!A:T,19,FALSE),""))</f>
        <v>94</v>
      </c>
      <c r="W941" s="1">
        <f>IF(IFERROR(VLOOKUP(A941,Drank!A:T,20,FALSE),"")=0,"",IFERROR(VLOOKUP(A941,Drank!A:T,20,FALSE),""))</f>
        <v>43918</v>
      </c>
      <c r="X941" s="10">
        <f>SUMIF(A:A,A941,I:I)</f>
        <v>11</v>
      </c>
      <c r="Y941" s="37">
        <f>IF(Table1[[#This Row],[Drank]]&gt;0,VLOOKUP(Table1[[#This Row],[ID]],Drank!A:P,16,FALSE),IF(Table1[[#This Row],[WALDD]]&gt;0,VLOOKUP(Table1[[#This Row],[ID]],Wine1!A:Q,17,FALSE),Table1[[#This Row],[EP]]))</f>
        <v>2030</v>
      </c>
      <c r="Z941" s="18">
        <f>IF(Table1[[#This Row],[My Rating]]="",IF(Table1[[#This Row],[WA Rating Clean]]="","",Table1[[#This Row],[WA Rating Clean]]),Table1[[#This Row],[My Rating]])</f>
        <v>94</v>
      </c>
      <c r="AA941" s="37">
        <v>2029</v>
      </c>
      <c r="AB941" s="4">
        <v>58.65</v>
      </c>
      <c r="AC941" s="2">
        <f t="shared" si="51"/>
        <v>58.65</v>
      </c>
      <c r="AD941" s="8">
        <v>0</v>
      </c>
      <c r="AE941" s="37">
        <f>IF(Table1[[#This Row],[P/750]]&lt;20,1,IF(Table1[[#This Row],[P/750]]&lt;50,2,3))</f>
        <v>3</v>
      </c>
      <c r="AF941" s="37">
        <f>IF(Table1[[#This Row],[P/750]]&lt;Expenses!$C$30,1,IF(Table1[[#This Row],[P/750]]&lt;Expenses!$C$31,2,IF(Table1[[#This Row],[P/750]]&lt;Expenses!$C$32,3,4)))</f>
        <v>3</v>
      </c>
      <c r="AH941" s="37" t="s">
        <v>1128</v>
      </c>
      <c r="AI941" s="11">
        <f>Table1[[#This Row],[Price]]/Table1[[#This Row],[Size (ml)]]*750</f>
        <v>58.649999999999991</v>
      </c>
      <c r="AK941" s="37">
        <f>COUNTIF(UniqueID!A:A,Table1[[#This Row],[ID]])</f>
        <v>0</v>
      </c>
      <c r="AL941" s="37" t="str">
        <f>VLOOKUP(Table1[[#This Row],[Cellar Location]],Location!A:F,6,FALSE)</f>
        <v>S</v>
      </c>
      <c r="AN941" s="1">
        <v>44037</v>
      </c>
      <c r="AO941" s="37" t="str">
        <f>TEXT(Table1[[#This Row],[Purchased]],"mmmm")</f>
        <v>July</v>
      </c>
      <c r="AP941" s="10" t="str">
        <f>TEXT(Table1[[#This Row],[Purchased]],"yyyy")</f>
        <v>2020</v>
      </c>
      <c r="AQ941" s="10"/>
    </row>
    <row r="942" spans="1:43" x14ac:dyDescent="0.25">
      <c r="A942" t="str">
        <f t="shared" si="50"/>
        <v>2015MasiAmarone della Valpolicella Classico Costasera</v>
      </c>
      <c r="B942" s="37">
        <v>2015</v>
      </c>
      <c r="C942" s="25" t="s">
        <v>37</v>
      </c>
      <c r="D942" s="37" t="s">
        <v>53</v>
      </c>
      <c r="E942" s="64" t="s">
        <v>313</v>
      </c>
      <c r="F942" s="37" t="s">
        <v>728</v>
      </c>
      <c r="G942" s="37" t="s">
        <v>799</v>
      </c>
      <c r="H942" s="37" t="s">
        <v>800</v>
      </c>
      <c r="I942" s="107">
        <v>1</v>
      </c>
      <c r="J942" s="37">
        <v>750</v>
      </c>
      <c r="K942" s="107" t="s">
        <v>1406</v>
      </c>
      <c r="L942" s="37">
        <f>COUNTIF(Drank!A:A,Table1[[#This Row],[ID]])</f>
        <v>1</v>
      </c>
      <c r="M942" t="s">
        <v>202</v>
      </c>
      <c r="N942" t="s">
        <v>207</v>
      </c>
      <c r="O942">
        <v>1</v>
      </c>
      <c r="P942" s="37"/>
      <c r="R942" s="10">
        <f>IF(IFERROR(VLOOKUP(A942,Drank!A:S,15,FALSE),"")=0,"",IFERROR(VLOOKUP(A942,Drank!A:S,15,FALSE),""))</f>
        <v>2030</v>
      </c>
      <c r="S942" s="10">
        <f>IF(IFERROR(VLOOKUP(A942,Drank!A:S,16,FALSE),"")=0,"",IFERROR(VLOOKUP(A942,Drank!A:S,16,FALSE),""))</f>
        <v>2030</v>
      </c>
      <c r="T942" s="10"/>
      <c r="V942" s="18">
        <f>IF(IFERROR(VLOOKUP(A942,Drank!A:T,19,FALSE),"")=0,"",IFERROR(VLOOKUP(A942,Drank!A:T,19,FALSE),""))</f>
        <v>94</v>
      </c>
      <c r="W942" s="1">
        <f>IF(IFERROR(VLOOKUP(A942,Drank!A:T,20,FALSE),"")=0,"",IFERROR(VLOOKUP(A942,Drank!A:T,20,FALSE),""))</f>
        <v>43918</v>
      </c>
      <c r="X942" s="10">
        <f>SUMIF(A:A,A942,I:I)</f>
        <v>11</v>
      </c>
      <c r="Y942" s="37">
        <f>IF(Table1[[#This Row],[Drank]]&gt;0,VLOOKUP(Table1[[#This Row],[ID]],Drank!A:P,16,FALSE),IF(Table1[[#This Row],[WALDD]]&gt;0,VLOOKUP(Table1[[#This Row],[ID]],Wine1!A:Q,17,FALSE),Table1[[#This Row],[EP]]))</f>
        <v>2030</v>
      </c>
      <c r="Z942" s="18">
        <f>IF(Table1[[#This Row],[My Rating]]="",IF(Table1[[#This Row],[WA Rating Clean]]="","",Table1[[#This Row],[WA Rating Clean]]),Table1[[#This Row],[My Rating]])</f>
        <v>94</v>
      </c>
      <c r="AA942" s="37">
        <v>2029</v>
      </c>
      <c r="AB942" s="4">
        <v>58.67</v>
      </c>
      <c r="AC942" s="2">
        <f t="shared" si="51"/>
        <v>58.67</v>
      </c>
      <c r="AD942" s="8">
        <v>2</v>
      </c>
      <c r="AE942" s="37">
        <f>IF(Table1[[#This Row],[P/750]]&lt;20,1,IF(Table1[[#This Row],[P/750]]&lt;50,2,3))</f>
        <v>3</v>
      </c>
      <c r="AF942" s="37">
        <f>IF(Table1[[#This Row],[P/750]]&lt;Expenses!$C$30,1,IF(Table1[[#This Row],[P/750]]&lt;Expenses!$C$31,2,IF(Table1[[#This Row],[P/750]]&lt;Expenses!$C$32,3,4)))</f>
        <v>3</v>
      </c>
      <c r="AH942" s="37" t="s">
        <v>1128</v>
      </c>
      <c r="AI942" s="11">
        <f>Table1[[#This Row],[Price]]/Table1[[#This Row],[Size (ml)]]*750</f>
        <v>58.67</v>
      </c>
      <c r="AK942" s="37">
        <f>COUNTIF(UniqueID!A:A,Table1[[#This Row],[ID]])</f>
        <v>0</v>
      </c>
      <c r="AL942" s="37" t="str">
        <f>VLOOKUP(Table1[[#This Row],[Cellar Location]],Location!A:F,6,FALSE)</f>
        <v>S</v>
      </c>
      <c r="AN942" s="1">
        <v>43966</v>
      </c>
      <c r="AO942" s="37" t="str">
        <f>TEXT(Table1[[#This Row],[Purchased]],"mmmm")</f>
        <v>May</v>
      </c>
      <c r="AP942" s="10" t="str">
        <f>TEXT(Table1[[#This Row],[Purchased]],"yyyy")</f>
        <v>2020</v>
      </c>
      <c r="AQ942" s="10"/>
    </row>
    <row r="943" spans="1:43" x14ac:dyDescent="0.25">
      <c r="A943" s="8" t="str">
        <f t="shared" si="50"/>
        <v>2018Castello RomitorioRomiToro</v>
      </c>
      <c r="B943" s="37">
        <v>2018</v>
      </c>
      <c r="C943" s="37" t="s">
        <v>689</v>
      </c>
      <c r="D943" s="37" t="s">
        <v>1511</v>
      </c>
      <c r="E943" s="69" t="s">
        <v>1271</v>
      </c>
      <c r="F943" s="37" t="s">
        <v>728</v>
      </c>
      <c r="G943" s="37" t="s">
        <v>790</v>
      </c>
      <c r="H943" s="37" t="s">
        <v>796</v>
      </c>
      <c r="I943" s="107">
        <v>1</v>
      </c>
      <c r="J943">
        <v>750</v>
      </c>
      <c r="K943" s="107" t="s">
        <v>1406</v>
      </c>
      <c r="L943" s="10">
        <f>COUNTIF(Drank!A:A,Table1[[#This Row],[ID]])</f>
        <v>1</v>
      </c>
      <c r="M943" t="s">
        <v>202</v>
      </c>
      <c r="N943" t="s">
        <v>207</v>
      </c>
      <c r="O943">
        <v>1</v>
      </c>
      <c r="P943" s="10">
        <v>2021</v>
      </c>
      <c r="Q943">
        <v>2030</v>
      </c>
      <c r="R943" s="10">
        <f>IF(IFERROR(VLOOKUP(A943,Drank!A:S,15,FALSE),"")=0,"",IFERROR(VLOOKUP(A943,Drank!A:S,15,FALSE),""))</f>
        <v>2026</v>
      </c>
      <c r="S943" s="10">
        <f>IF(IFERROR(VLOOKUP(A943,Drank!A:S,16,FALSE),"")=0,"",IFERROR(VLOOKUP(A943,Drank!A:S,16,FALSE),""))</f>
        <v>2030</v>
      </c>
      <c r="T943" s="10"/>
      <c r="U943" t="s">
        <v>74</v>
      </c>
      <c r="V943" s="18">
        <f>IF(IFERROR(VLOOKUP(A943,Drank!A:T,19,FALSE),"")=0,"",IFERROR(VLOOKUP(A943,Drank!A:T,19,FALSE),""))</f>
        <v>91</v>
      </c>
      <c r="W943" s="1">
        <f>IF(IFERROR(VLOOKUP(A943,Drank!A:T,20,FALSE),"")=0,"",IFERROR(VLOOKUP(A943,Drank!A:T,20,FALSE),""))</f>
        <v>44053</v>
      </c>
      <c r="X943" s="10">
        <f>SUMIF(A:A,A943,I:I)</f>
        <v>5</v>
      </c>
      <c r="Y943" s="10">
        <f>IF(Table1[[#This Row],[Drank]]&gt;0,VLOOKUP(Table1[[#This Row],[ID]],Drank!A:P,16,FALSE),IF(Table1[[#This Row],[WALDD]]&gt;0,VLOOKUP(Table1[[#This Row],[ID]],Wine1!A:Q,17,FALSE),Table1[[#This Row],[EP]]))</f>
        <v>2030</v>
      </c>
      <c r="Z943" s="18">
        <f>IF(Table1[[#This Row],[My Rating]]="",IF(Table1[[#This Row],[WA Rating Clean]]="","",Table1[[#This Row],[WA Rating Clean]]),Table1[[#This Row],[My Rating]])</f>
        <v>91</v>
      </c>
      <c r="AA943" s="37">
        <v>2029</v>
      </c>
      <c r="AB943" s="4">
        <v>19.54</v>
      </c>
      <c r="AC943" s="2">
        <f t="shared" si="51"/>
        <v>19.54</v>
      </c>
      <c r="AD943" s="8">
        <v>2</v>
      </c>
      <c r="AE943" s="10">
        <f>IF(Table1[[#This Row],[P/750]]&lt;20,1,IF(Table1[[#This Row],[P/750]]&lt;50,2,3))</f>
        <v>1</v>
      </c>
      <c r="AF943" s="10">
        <f>IF(Table1[[#This Row],[P/750]]&lt;Expenses!$C$30,1,IF(Table1[[#This Row],[P/750]]&lt;Expenses!$C$31,2,IF(Table1[[#This Row],[P/750]]&lt;Expenses!$C$32,3,4)))</f>
        <v>2</v>
      </c>
      <c r="AH943" s="37" t="s">
        <v>384</v>
      </c>
      <c r="AI943" s="11">
        <f>Table1[[#This Row],[Price]]/Table1[[#This Row],[Size (ml)]]*750</f>
        <v>19.54</v>
      </c>
      <c r="AJ943">
        <v>93</v>
      </c>
      <c r="AK943" s="10">
        <f>COUNTIF(UniqueID!A:A,Table1[[#This Row],[ID]])</f>
        <v>0</v>
      </c>
      <c r="AL943" s="10" t="str">
        <f>VLOOKUP(Table1[[#This Row],[Cellar Location]],Location!A:F,6,FALSE)</f>
        <v>S</v>
      </c>
      <c r="AN943" s="1">
        <v>44026</v>
      </c>
      <c r="AO943" s="10" t="str">
        <f>TEXT(Table1[[#This Row],[Purchased]],"mmmm")</f>
        <v>July</v>
      </c>
      <c r="AP943" s="10" t="str">
        <f>TEXT(Table1[[#This Row],[Purchased]],"yyyy")</f>
        <v>2020</v>
      </c>
      <c r="AQ943" s="10"/>
    </row>
    <row r="944" spans="1:43" s="37" customFormat="1" x14ac:dyDescent="0.25">
      <c r="A944" s="37" t="str">
        <f t="shared" si="50"/>
        <v>1998Raymond-LafonRaymond-Lafon</v>
      </c>
      <c r="B944" s="8">
        <v>1998</v>
      </c>
      <c r="C944" s="9" t="s">
        <v>197</v>
      </c>
      <c r="D944" s="9" t="s">
        <v>197</v>
      </c>
      <c r="E944" s="69" t="s">
        <v>1215</v>
      </c>
      <c r="F944" s="37" t="s">
        <v>742</v>
      </c>
      <c r="G944" s="37" t="s">
        <v>748</v>
      </c>
      <c r="H944" s="37" t="s">
        <v>260</v>
      </c>
      <c r="I944" s="107">
        <v>1</v>
      </c>
      <c r="J944" s="37">
        <v>375</v>
      </c>
      <c r="K944" s="107" t="s">
        <v>628</v>
      </c>
      <c r="L944" s="37">
        <f>COUNTIF(Drank!A:A,Table1[[#This Row],[ID]])</f>
        <v>3</v>
      </c>
      <c r="M944" s="37" t="s">
        <v>201</v>
      </c>
      <c r="N944" s="37" t="s">
        <v>206</v>
      </c>
      <c r="O944" s="37">
        <v>1</v>
      </c>
      <c r="P944" s="37">
        <v>2018</v>
      </c>
      <c r="Q944" s="37">
        <v>2025</v>
      </c>
      <c r="R944" s="10" t="str">
        <f>IF(IFERROR(VLOOKUP(A944,Drank!A:S,15,FALSE),"")=0,"",IFERROR(VLOOKUP(A944,Drank!A:S,15,FALSE),""))</f>
        <v/>
      </c>
      <c r="S944" s="10">
        <f>IF(IFERROR(VLOOKUP(A944,Drank!A:S,16,FALSE),"")=0,"",IFERROR(VLOOKUP(A944,Drank!A:S,16,FALSE),""))</f>
        <v>2030</v>
      </c>
      <c r="T944" s="10"/>
      <c r="U944" s="37">
        <v>93</v>
      </c>
      <c r="V944" s="18">
        <f>IF(IFERROR(VLOOKUP(A944,Drank!A:T,19,FALSE),"")=0,"",IFERROR(VLOOKUP(A944,Drank!A:T,19,FALSE),""))</f>
        <v>92.666666666666671</v>
      </c>
      <c r="W944" s="1">
        <f>IF(IFERROR(VLOOKUP(A944,Drank!A:T,20,FALSE),"")=0,"",IFERROR(VLOOKUP(A944,Drank!A:T,20,FALSE),""))</f>
        <v>44002</v>
      </c>
      <c r="X944" s="10">
        <f>SUMIF(A:A,A944,I:I)</f>
        <v>7</v>
      </c>
      <c r="Y944" s="37">
        <f>IF(Table1[[#This Row],[Drank]]&gt;0,VLOOKUP(Table1[[#This Row],[ID]],Drank!A:P,16,FALSE),IF(Table1[[#This Row],[WALDD]]&gt;0,VLOOKUP(Table1[[#This Row],[ID]],Wine1!A:Q,17,FALSE),Table1[[#This Row],[EP]]))</f>
        <v>2030</v>
      </c>
      <c r="Z944" s="18">
        <f>IF(Table1[[#This Row],[My Rating]]="",IF(Table1[[#This Row],[WA Rating Clean]]="","",Table1[[#This Row],[WA Rating Clean]]),Table1[[#This Row],[My Rating]])</f>
        <v>92.666666666666671</v>
      </c>
      <c r="AA944" s="37">
        <v>2029</v>
      </c>
      <c r="AB944" s="4">
        <v>16.989999999999998</v>
      </c>
      <c r="AC944" s="2">
        <f t="shared" si="51"/>
        <v>16.989999999999998</v>
      </c>
      <c r="AD944" s="8">
        <v>2</v>
      </c>
      <c r="AE944" s="37">
        <f>IF(Table1[[#This Row],[P/750]]&lt;20,1,IF(Table1[[#This Row],[P/750]]&lt;50,2,3))</f>
        <v>2</v>
      </c>
      <c r="AF944" s="37">
        <f>IF(Table1[[#This Row],[P/750]]&lt;Expenses!$C$30,1,IF(Table1[[#This Row],[P/750]]&lt;Expenses!$C$31,2,IF(Table1[[#This Row],[P/750]]&lt;Expenses!$C$32,3,4)))</f>
        <v>3</v>
      </c>
      <c r="AH944" s="37" t="s">
        <v>385</v>
      </c>
      <c r="AI944" s="11">
        <f>Table1[[#This Row],[Price]]/Table1[[#This Row],[Size (ml)]]*750</f>
        <v>33.979999999999997</v>
      </c>
      <c r="AJ944" s="37">
        <v>93</v>
      </c>
      <c r="AK944" s="37">
        <f>COUNTIF(UniqueID!A:A,Table1[[#This Row],[ID]])</f>
        <v>1</v>
      </c>
      <c r="AL944" s="37" t="str">
        <f>VLOOKUP(Table1[[#This Row],[Cellar Location]],Location!A:F,6,FALSE)</f>
        <v>S</v>
      </c>
      <c r="AO944" s="37" t="str">
        <f>TEXT(Table1[[#This Row],[Purchased]],"mmmm")</f>
        <v>January</v>
      </c>
      <c r="AP944" s="10" t="str">
        <f>TEXT(Table1[[#This Row],[Purchased]],"yyyy")</f>
        <v>1900</v>
      </c>
      <c r="AQ944" s="10"/>
    </row>
    <row r="945" spans="1:43" s="37" customFormat="1" x14ac:dyDescent="0.25">
      <c r="A945" s="37" t="str">
        <f t="shared" si="50"/>
        <v>2016Altos Las HormigasMalbec Appellation Gualtallary</v>
      </c>
      <c r="B945" s="37">
        <v>2016</v>
      </c>
      <c r="C945" s="37" t="s">
        <v>232</v>
      </c>
      <c r="D945" s="25" t="s">
        <v>233</v>
      </c>
      <c r="E945" s="68" t="s">
        <v>1207</v>
      </c>
      <c r="F945" s="9" t="s">
        <v>731</v>
      </c>
      <c r="G945" s="9" t="s">
        <v>732</v>
      </c>
      <c r="H945" s="9" t="s">
        <v>734</v>
      </c>
      <c r="I945" s="107">
        <v>1</v>
      </c>
      <c r="J945" s="37">
        <v>750</v>
      </c>
      <c r="K945" s="107" t="s">
        <v>646</v>
      </c>
      <c r="L945" s="37">
        <f>COUNTIF(Drank!A:A,Table1[[#This Row],[ID]])</f>
        <v>2</v>
      </c>
      <c r="M945" s="37" t="s">
        <v>202</v>
      </c>
      <c r="N945" s="37" t="s">
        <v>207</v>
      </c>
      <c r="O945" s="37">
        <v>1</v>
      </c>
      <c r="P945" s="37">
        <v>2018</v>
      </c>
      <c r="Q945" s="37">
        <v>2028</v>
      </c>
      <c r="R945" s="10">
        <f>IF(IFERROR(VLOOKUP(A945,Drank!A:S,15,FALSE),"")=0,"",IFERROR(VLOOKUP(A945,Drank!A:S,15,FALSE),""))</f>
        <v>2020</v>
      </c>
      <c r="S945" s="10">
        <f>IF(IFERROR(VLOOKUP(A945,Drank!A:S,16,FALSE),"")=0,"",IFERROR(VLOOKUP(A945,Drank!A:S,16,FALSE),""))</f>
        <v>2030</v>
      </c>
      <c r="T945" s="10"/>
      <c r="U945" s="37">
        <v>96</v>
      </c>
      <c r="V945" s="18">
        <f>IF(IFERROR(VLOOKUP(A945,Drank!A:T,19,FALSE),"")=0,"",IFERROR(VLOOKUP(A945,Drank!A:T,19,FALSE),""))</f>
        <v>95.5</v>
      </c>
      <c r="W945" s="1">
        <f>IF(IFERROR(VLOOKUP(A945,Drank!A:T,20,FALSE),"")=0,"",IFERROR(VLOOKUP(A945,Drank!A:T,20,FALSE),""))</f>
        <v>43611</v>
      </c>
      <c r="X945" s="10">
        <f>SUMIF(A:A,A945,I:I)</f>
        <v>4</v>
      </c>
      <c r="Y945" s="37">
        <f>IF(Table1[[#This Row],[Drank]]&gt;0,VLOOKUP(Table1[[#This Row],[ID]],Drank!A:P,16,FALSE),IF(Table1[[#This Row],[WALDD]]&gt;0,VLOOKUP(Table1[[#This Row],[ID]],Wine1!A:Q,17,FALSE),Table1[[#This Row],[EP]]))</f>
        <v>2030</v>
      </c>
      <c r="Z945" s="18">
        <f>IF(Table1[[#This Row],[My Rating]]="",IF(Table1[[#This Row],[WA Rating Clean]]="","",Table1[[#This Row],[WA Rating Clean]]),Table1[[#This Row],[My Rating]])</f>
        <v>95.5</v>
      </c>
      <c r="AA945" s="6">
        <v>2029</v>
      </c>
      <c r="AB945" s="4">
        <v>39.99</v>
      </c>
      <c r="AC945" s="2">
        <f t="shared" si="51"/>
        <v>39.99</v>
      </c>
      <c r="AD945" s="8">
        <v>2</v>
      </c>
      <c r="AE945" s="37">
        <f>IF(Table1[[#This Row],[P/750]]&lt;20,1,IF(Table1[[#This Row],[P/750]]&lt;50,2,3))</f>
        <v>2</v>
      </c>
      <c r="AF945" s="37">
        <f>IF(Table1[[#This Row],[P/750]]&lt;Expenses!$C$30,1,IF(Table1[[#This Row],[P/750]]&lt;Expenses!$C$31,2,IF(Table1[[#This Row],[P/750]]&lt;Expenses!$C$32,3,4)))</f>
        <v>3</v>
      </c>
      <c r="AH945" s="37" t="s">
        <v>371</v>
      </c>
      <c r="AI945" s="11">
        <f>Table1[[#This Row],[Price]]/Table1[[#This Row],[Size (ml)]]*750</f>
        <v>39.99</v>
      </c>
      <c r="AJ945" s="37">
        <v>96</v>
      </c>
      <c r="AK945" s="37">
        <f>COUNTIF(UniqueID!A:A,Table1[[#This Row],[ID]])</f>
        <v>1</v>
      </c>
      <c r="AL945" s="37" t="str">
        <f>VLOOKUP(Table1[[#This Row],[Cellar Location]],Location!A:F,6,FALSE)</f>
        <v>S</v>
      </c>
      <c r="AO945" s="37" t="str">
        <f>TEXT(Table1[[#This Row],[Purchased]],"mmmm")</f>
        <v>January</v>
      </c>
      <c r="AP945" s="10" t="str">
        <f>TEXT(Table1[[#This Row],[Purchased]],"yyyy")</f>
        <v>1900</v>
      </c>
      <c r="AQ945" s="10"/>
    </row>
    <row r="946" spans="1:43" x14ac:dyDescent="0.25">
      <c r="A946" t="str">
        <f t="shared" si="50"/>
        <v>2017Altos Las HormigasMalbec Appellation Gualtallary</v>
      </c>
      <c r="B946" s="37">
        <v>2017</v>
      </c>
      <c r="C946" s="37" t="s">
        <v>232</v>
      </c>
      <c r="D946" s="37" t="s">
        <v>233</v>
      </c>
      <c r="E946" s="67" t="s">
        <v>1207</v>
      </c>
      <c r="F946" s="37" t="s">
        <v>731</v>
      </c>
      <c r="G946" s="37" t="s">
        <v>732</v>
      </c>
      <c r="H946" s="37" t="s">
        <v>1190</v>
      </c>
      <c r="I946" s="107">
        <v>1</v>
      </c>
      <c r="J946" s="37">
        <v>750</v>
      </c>
      <c r="K946" s="107" t="s">
        <v>627</v>
      </c>
      <c r="L946" s="10">
        <f>COUNTIF(Drank!A:A,Table1[[#This Row],[ID]])</f>
        <v>1</v>
      </c>
      <c r="M946" t="s">
        <v>202</v>
      </c>
      <c r="N946" t="s">
        <v>207</v>
      </c>
      <c r="O946">
        <v>1</v>
      </c>
      <c r="P946" s="10">
        <v>2019</v>
      </c>
      <c r="Q946">
        <v>2030</v>
      </c>
      <c r="R946" s="10">
        <f>IF(IFERROR(VLOOKUP(A946,Drank!A:S,15,FALSE),"")=0,"",IFERROR(VLOOKUP(A946,Drank!A:S,15,FALSE),""))</f>
        <v>2022</v>
      </c>
      <c r="S946" s="10">
        <f>IF(IFERROR(VLOOKUP(A946,Drank!A:S,16,FALSE),"")=0,"",IFERROR(VLOOKUP(A946,Drank!A:S,16,FALSE),""))</f>
        <v>2030</v>
      </c>
      <c r="T946" s="10"/>
      <c r="U946" t="s">
        <v>1180</v>
      </c>
      <c r="V946" s="18">
        <f>IF(IFERROR(VLOOKUP(A946,Drank!A:T,19,FALSE),"")=0,"",IFERROR(VLOOKUP(A946,Drank!A:T,19,FALSE),""))</f>
        <v>94</v>
      </c>
      <c r="W946" s="1">
        <f>IF(IFERROR(VLOOKUP(A946,Drank!A:T,20,FALSE),"")=0,"",IFERROR(VLOOKUP(A946,Drank!A:T,20,FALSE),""))</f>
        <v>43953</v>
      </c>
      <c r="X946" s="10">
        <f>SUMIF(A:A,A946,I:I)</f>
        <v>38</v>
      </c>
      <c r="Y946" s="10">
        <f>IF(Table1[[#This Row],[Drank]]&gt;0,VLOOKUP(Table1[[#This Row],[ID]],Drank!A:P,16,FALSE),IF(Table1[[#This Row],[WALDD]]&gt;0,VLOOKUP(Table1[[#This Row],[ID]],Wine1!A:Q,17,FALSE),Table1[[#This Row],[EP]]))</f>
        <v>2030</v>
      </c>
      <c r="Z946" s="18">
        <f>IF(Table1[[#This Row],[My Rating]]="",IF(Table1[[#This Row],[WA Rating Clean]]="","",Table1[[#This Row],[WA Rating Clean]]),Table1[[#This Row],[My Rating]])</f>
        <v>94</v>
      </c>
      <c r="AA946" s="37">
        <v>2029</v>
      </c>
      <c r="AB946" s="4">
        <v>39.97</v>
      </c>
      <c r="AC946" s="2">
        <f t="shared" si="51"/>
        <v>39.97</v>
      </c>
      <c r="AD946" s="8">
        <v>2</v>
      </c>
      <c r="AE946" s="10">
        <f>IF(Table1[[#This Row],[P/750]]&lt;20,1,IF(Table1[[#This Row],[P/750]]&lt;50,2,3))</f>
        <v>2</v>
      </c>
      <c r="AF946" s="10">
        <f>IF(Table1[[#This Row],[P/750]]&lt;Expenses!$C$30,1,IF(Table1[[#This Row],[P/750]]&lt;Expenses!$C$31,2,IF(Table1[[#This Row],[P/750]]&lt;Expenses!$C$32,3,4)))</f>
        <v>3</v>
      </c>
      <c r="AH946" s="37" t="s">
        <v>1188</v>
      </c>
      <c r="AI946" s="11">
        <f>Table1[[#This Row],[Price]]/Table1[[#This Row],[Size (ml)]]*750</f>
        <v>39.97</v>
      </c>
      <c r="AJ946">
        <v>96</v>
      </c>
      <c r="AK946" s="10">
        <f>COUNTIF(UniqueID!A:A,Table1[[#This Row],[ID]])</f>
        <v>1</v>
      </c>
      <c r="AL946" s="10" t="str">
        <f>VLOOKUP(Table1[[#This Row],[Cellar Location]],Location!A:F,6,FALSE)</f>
        <v>S</v>
      </c>
      <c r="AN946" s="1">
        <v>43860</v>
      </c>
      <c r="AO946" s="37" t="str">
        <f>TEXT(Table1[[#This Row],[Purchased]],"mmmm")</f>
        <v>January</v>
      </c>
      <c r="AP946" s="10" t="str">
        <f>TEXT(Table1[[#This Row],[Purchased]],"yyyy")</f>
        <v>2020</v>
      </c>
      <c r="AQ946" s="10"/>
    </row>
    <row r="947" spans="1:43" x14ac:dyDescent="0.25">
      <c r="A947" t="str">
        <f t="shared" si="50"/>
        <v>2010BeringerCabernet Sauvignon Private Reserve</v>
      </c>
      <c r="B947" s="37">
        <v>2010</v>
      </c>
      <c r="C947" s="37" t="s">
        <v>47</v>
      </c>
      <c r="D947" s="37" t="s">
        <v>48</v>
      </c>
      <c r="E947" s="64" t="s">
        <v>32</v>
      </c>
      <c r="F947" s="37" t="s">
        <v>727</v>
      </c>
      <c r="G947" s="37" t="s">
        <v>806</v>
      </c>
      <c r="H947" s="37" t="s">
        <v>832</v>
      </c>
      <c r="I947" s="37">
        <v>1</v>
      </c>
      <c r="J947">
        <v>750</v>
      </c>
      <c r="K947" s="8" t="s">
        <v>8</v>
      </c>
      <c r="L947" s="37">
        <f>COUNTIF(Drank!A:A,Table1[[#This Row],[ID]])</f>
        <v>0</v>
      </c>
      <c r="M947" t="s">
        <v>202</v>
      </c>
      <c r="N947" t="s">
        <v>207</v>
      </c>
      <c r="O947">
        <v>1</v>
      </c>
      <c r="P947" s="37">
        <v>2020</v>
      </c>
      <c r="Q947">
        <v>2030</v>
      </c>
      <c r="R947" s="37" t="str">
        <f>IF(IFERROR(VLOOKUP(A947,Drank!A:S,15,FALSE),"")=0,"",IFERROR(VLOOKUP(A947,Drank!A:S,15,FALSE),""))</f>
        <v/>
      </c>
      <c r="S947" s="37" t="str">
        <f>IF(IFERROR(VLOOKUP(A947,Drank!A:S,16,FALSE),"")=0,"",IFERROR(VLOOKUP(A947,Drank!A:S,16,FALSE),""))</f>
        <v/>
      </c>
      <c r="T947" s="37"/>
      <c r="U947">
        <v>96</v>
      </c>
      <c r="V947" s="18" t="str">
        <f>IF(IFERROR(VLOOKUP(A947,Drank!A:T,19,FALSE),"")=0,"",IFERROR(VLOOKUP(A947,Drank!A:T,19,FALSE),""))</f>
        <v/>
      </c>
      <c r="W947" s="1" t="str">
        <f>IF(IFERROR(VLOOKUP(A947,Drank!A:T,20,FALSE),"")=0,"",IFERROR(VLOOKUP(A947,Drank!A:T,20,FALSE),""))</f>
        <v/>
      </c>
      <c r="X947" s="37">
        <f>SUMIF(A:A,A947,I:I)</f>
        <v>1</v>
      </c>
      <c r="Y947" s="37">
        <f>IF(Table1[[#This Row],[Drank]]&gt;0,VLOOKUP(Table1[[#This Row],[ID]],Drank!A:P,16,FALSE),IF(Table1[[#This Row],[WALDD]]&gt;0,VLOOKUP(Table1[[#This Row],[ID]],Wine1!A:Q,17,FALSE),Table1[[#This Row],[EP]]))</f>
        <v>2030</v>
      </c>
      <c r="Z947" s="18">
        <f>IF(Table1[[#This Row],[My Rating]]="",IF(Table1[[#This Row],[WA Rating Clean]]="","",Table1[[#This Row],[WA Rating Clean]]),Table1[[#This Row],[My Rating]])</f>
        <v>96</v>
      </c>
      <c r="AA947" s="37">
        <v>2029</v>
      </c>
      <c r="AB947" s="3">
        <v>129</v>
      </c>
      <c r="AC947" s="2">
        <f t="shared" si="51"/>
        <v>129</v>
      </c>
      <c r="AD947" s="8">
        <v>0</v>
      </c>
      <c r="AE947" s="37">
        <f>IF(Table1[[#This Row],[P/750]]&lt;20,1,IF(Table1[[#This Row],[P/750]]&lt;50,2,3))</f>
        <v>3</v>
      </c>
      <c r="AF947" s="37">
        <f>IF(Table1[[#This Row],[P/750]]&lt;Expenses!$C$30,1,IF(Table1[[#This Row],[P/750]]&lt;Expenses!$C$31,2,IF(Table1[[#This Row],[P/750]]&lt;Expenses!$C$32,3,4)))</f>
        <v>4</v>
      </c>
      <c r="AH947" t="s">
        <v>1131</v>
      </c>
      <c r="AI947" s="11">
        <f>Table1[[#This Row],[Price]]/Table1[[#This Row],[Size (ml)]]*750</f>
        <v>129</v>
      </c>
      <c r="AJ947">
        <v>96</v>
      </c>
      <c r="AK947" s="37">
        <f>COUNTIF(UniqueID!A:A,Table1[[#This Row],[ID]])</f>
        <v>1</v>
      </c>
      <c r="AL947" s="37" t="str">
        <f>VLOOKUP(Table1[[#This Row],[Cellar Location]],Location!A:F,6,FALSE)</f>
        <v>K</v>
      </c>
      <c r="AN947" s="37"/>
      <c r="AO947" s="37" t="str">
        <f>TEXT(Table1[[#This Row],[Purchased]],"mmmm")</f>
        <v>January</v>
      </c>
      <c r="AP947" s="10" t="str">
        <f>TEXT(Table1[[#This Row],[Purchased]],"yyyy")</f>
        <v>1900</v>
      </c>
      <c r="AQ947" s="10"/>
    </row>
    <row r="948" spans="1:43" x14ac:dyDescent="0.25">
      <c r="A948" t="str">
        <f t="shared" si="50"/>
        <v>2017Domaine du Grand MontmirailGigondas le Coteau de Mon Reve</v>
      </c>
      <c r="B948" s="37">
        <v>2017</v>
      </c>
      <c r="C948" s="8" t="s">
        <v>1387</v>
      </c>
      <c r="D948" s="37" t="s">
        <v>1388</v>
      </c>
      <c r="E948" s="67" t="s">
        <v>1360</v>
      </c>
      <c r="F948" s="37" t="s">
        <v>742</v>
      </c>
      <c r="G948" s="37" t="s">
        <v>759</v>
      </c>
      <c r="H948" s="37" t="s">
        <v>764</v>
      </c>
      <c r="I948" s="37">
        <v>1</v>
      </c>
      <c r="J948" s="107">
        <v>1500</v>
      </c>
      <c r="K948" s="37" t="s">
        <v>1403</v>
      </c>
      <c r="L948" s="10">
        <f>COUNTIF(Drank!A:A,Table1[[#This Row],[ID]])</f>
        <v>2</v>
      </c>
      <c r="M948" t="s">
        <v>202</v>
      </c>
      <c r="N948" t="s">
        <v>207</v>
      </c>
      <c r="O948">
        <v>1</v>
      </c>
      <c r="P948" s="10">
        <v>2020</v>
      </c>
      <c r="Q948">
        <v>2030</v>
      </c>
      <c r="R948" s="10">
        <f>IF(IFERROR(VLOOKUP(A948,Drank!A:S,15,FALSE),"")=0,"",IFERROR(VLOOKUP(A948,Drank!A:S,15,FALSE),""))</f>
        <v>2022</v>
      </c>
      <c r="S948" s="10">
        <f>IF(IFERROR(VLOOKUP(A948,Drank!A:S,16,FALSE),"")=0,"",IFERROR(VLOOKUP(A948,Drank!A:S,16,FALSE),""))</f>
        <v>2030</v>
      </c>
      <c r="T948" s="10"/>
      <c r="U948">
        <v>96</v>
      </c>
      <c r="V948" s="18">
        <f>IF(IFERROR(VLOOKUP(A948,Drank!A:T,19,FALSE),"")=0,"",IFERROR(VLOOKUP(A948,Drank!A:T,19,FALSE),""))</f>
        <v>93</v>
      </c>
      <c r="W948" s="1">
        <f>IF(IFERROR(VLOOKUP(A948,Drank!A:T,20,FALSE),"")=0,"",IFERROR(VLOOKUP(A948,Drank!A:T,20,FALSE),""))</f>
        <v>43976</v>
      </c>
      <c r="X948" s="10">
        <f>SUMIF(A:A,A948,I:I)</f>
        <v>10</v>
      </c>
      <c r="Y948" s="10">
        <f>IF(Table1[[#This Row],[Drank]]&gt;0,VLOOKUP(Table1[[#This Row],[ID]],Drank!A:P,16,FALSE),IF(Table1[[#This Row],[WALDD]]&gt;0,VLOOKUP(Table1[[#This Row],[ID]],Wine1!A:Q,17,FALSE),Table1[[#This Row],[EP]]))</f>
        <v>2030</v>
      </c>
      <c r="Z948" s="18">
        <f>IF(Table1[[#This Row],[My Rating]]="",IF(Table1[[#This Row],[WA Rating Clean]]="","",Table1[[#This Row],[WA Rating Clean]]),Table1[[#This Row],[My Rating]])</f>
        <v>93</v>
      </c>
      <c r="AA948" s="37">
        <v>2029</v>
      </c>
      <c r="AB948" s="4">
        <v>57.56</v>
      </c>
      <c r="AC948" s="2">
        <f t="shared" si="51"/>
        <v>57.56</v>
      </c>
      <c r="AD948" s="8">
        <v>0</v>
      </c>
      <c r="AE948" s="10">
        <f>IF(Table1[[#This Row],[P/750]]&lt;20,1,IF(Table1[[#This Row],[P/750]]&lt;50,2,3))</f>
        <v>2</v>
      </c>
      <c r="AF948" s="10">
        <f>IF(Table1[[#This Row],[P/750]]&lt;Expenses!$C$30,1,IF(Table1[[#This Row],[P/750]]&lt;Expenses!$C$31,2,IF(Table1[[#This Row],[P/750]]&lt;Expenses!$C$32,3,4)))</f>
        <v>2</v>
      </c>
      <c r="AH948" s="37" t="s">
        <v>384</v>
      </c>
      <c r="AI948" s="11">
        <f>Table1[[#This Row],[Price]]/Table1[[#This Row],[Size (ml)]]*750</f>
        <v>28.78</v>
      </c>
      <c r="AJ948">
        <v>96</v>
      </c>
      <c r="AK948" s="10">
        <f>COUNTIF(UniqueID!A:A,Table1[[#This Row],[ID]])</f>
        <v>0</v>
      </c>
      <c r="AL948" s="10" t="str">
        <f>VLOOKUP(Table1[[#This Row],[Cellar Location]],Location!A:F,6,FALSE)</f>
        <v>S</v>
      </c>
      <c r="AN948" s="1">
        <v>43963</v>
      </c>
      <c r="AO948" s="10" t="str">
        <f>TEXT(Table1[[#This Row],[Purchased]],"mmmm")</f>
        <v>May</v>
      </c>
      <c r="AP948" s="10" t="str">
        <f>TEXT(Table1[[#This Row],[Purchased]],"yyyy")</f>
        <v>2020</v>
      </c>
      <c r="AQ948" s="10"/>
    </row>
    <row r="949" spans="1:43" x14ac:dyDescent="0.25">
      <c r="A949" t="str">
        <f t="shared" si="50"/>
        <v>2017Domaine du Grand MontmirailGigondas le Coteau de Mon Reve</v>
      </c>
      <c r="B949" s="37">
        <v>2017</v>
      </c>
      <c r="C949" s="37" t="s">
        <v>1387</v>
      </c>
      <c r="D949" s="37" t="s">
        <v>1388</v>
      </c>
      <c r="E949" s="67" t="s">
        <v>1360</v>
      </c>
      <c r="F949" s="37" t="s">
        <v>742</v>
      </c>
      <c r="G949" s="37" t="s">
        <v>759</v>
      </c>
      <c r="H949" s="37" t="s">
        <v>764</v>
      </c>
      <c r="I949" s="107">
        <v>1</v>
      </c>
      <c r="J949">
        <v>750</v>
      </c>
      <c r="K949" s="107" t="s">
        <v>1196</v>
      </c>
      <c r="L949" s="10">
        <f>COUNTIF(Drank!A:A,Table1[[#This Row],[ID]])</f>
        <v>2</v>
      </c>
      <c r="M949" t="s">
        <v>202</v>
      </c>
      <c r="N949" t="s">
        <v>207</v>
      </c>
      <c r="O949">
        <v>1</v>
      </c>
      <c r="P949" s="10">
        <v>2020</v>
      </c>
      <c r="Q949">
        <v>2030</v>
      </c>
      <c r="R949" s="10">
        <f>IF(IFERROR(VLOOKUP(A949,Drank!A:S,15,FALSE),"")=0,"",IFERROR(VLOOKUP(A949,Drank!A:S,15,FALSE),""))</f>
        <v>2022</v>
      </c>
      <c r="S949" s="10">
        <f>IF(IFERROR(VLOOKUP(A949,Drank!A:S,16,FALSE),"")=0,"",IFERROR(VLOOKUP(A949,Drank!A:S,16,FALSE),""))</f>
        <v>2030</v>
      </c>
      <c r="T949" s="10"/>
      <c r="U949">
        <v>96</v>
      </c>
      <c r="V949" s="18">
        <f>IF(IFERROR(VLOOKUP(A949,Drank!A:T,19,FALSE),"")=0,"",IFERROR(VLOOKUP(A949,Drank!A:T,19,FALSE),""))</f>
        <v>93</v>
      </c>
      <c r="W949" s="1">
        <f>IF(IFERROR(VLOOKUP(A949,Drank!A:T,20,FALSE),"")=0,"",IFERROR(VLOOKUP(A949,Drank!A:T,20,FALSE),""))</f>
        <v>43976</v>
      </c>
      <c r="X949" s="10">
        <f>SUMIF(A:A,A949,I:I)</f>
        <v>10</v>
      </c>
      <c r="Y949" s="10">
        <f>IF(Table1[[#This Row],[Drank]]&gt;0,VLOOKUP(Table1[[#This Row],[ID]],Drank!A:P,16,FALSE),IF(Table1[[#This Row],[WALDD]]&gt;0,VLOOKUP(Table1[[#This Row],[ID]],Wine1!A:Q,17,FALSE),Table1[[#This Row],[EP]]))</f>
        <v>2030</v>
      </c>
      <c r="Z949" s="18">
        <f>IF(Table1[[#This Row],[My Rating]]="",IF(Table1[[#This Row],[WA Rating Clean]]="","",Table1[[#This Row],[WA Rating Clean]]),Table1[[#This Row],[My Rating]])</f>
        <v>93</v>
      </c>
      <c r="AA949" s="37">
        <v>2029</v>
      </c>
      <c r="AB949" s="4">
        <v>24.97</v>
      </c>
      <c r="AC949" s="2">
        <f t="shared" si="51"/>
        <v>24.97</v>
      </c>
      <c r="AD949" s="8">
        <v>2</v>
      </c>
      <c r="AE949" s="10">
        <f>IF(Table1[[#This Row],[P/750]]&lt;20,1,IF(Table1[[#This Row],[P/750]]&lt;50,2,3))</f>
        <v>2</v>
      </c>
      <c r="AF949" s="10">
        <f>IF(Table1[[#This Row],[P/750]]&lt;Expenses!$C$30,1,IF(Table1[[#This Row],[P/750]]&lt;Expenses!$C$31,2,IF(Table1[[#This Row],[P/750]]&lt;Expenses!$C$32,3,4)))</f>
        <v>2</v>
      </c>
      <c r="AH949" t="s">
        <v>384</v>
      </c>
      <c r="AI949" s="11">
        <f>Table1[[#This Row],[Price]]/Table1[[#This Row],[Size (ml)]]*750</f>
        <v>24.970000000000002</v>
      </c>
      <c r="AJ949">
        <v>96</v>
      </c>
      <c r="AK949" s="10">
        <f>COUNTIF(UniqueID!A:A,Table1[[#This Row],[ID]])</f>
        <v>0</v>
      </c>
      <c r="AL949" s="10" t="str">
        <f>VLOOKUP(Table1[[#This Row],[Cellar Location]],Location!A:F,6,FALSE)</f>
        <v>S</v>
      </c>
      <c r="AN949" s="1">
        <v>43948</v>
      </c>
      <c r="AO949" s="10" t="str">
        <f>TEXT(Table1[[#This Row],[Purchased]],"mmmm")</f>
        <v>April</v>
      </c>
      <c r="AP949" s="10" t="str">
        <f>TEXT(Table1[[#This Row],[Purchased]],"yyyy")</f>
        <v>2020</v>
      </c>
      <c r="AQ949" s="10"/>
    </row>
    <row r="950" spans="1:43" x14ac:dyDescent="0.25">
      <c r="A950" t="str">
        <f t="shared" si="50"/>
        <v>2013Tenuta CarrettaRoero Riserva Bric Paradiso</v>
      </c>
      <c r="B950" s="37">
        <v>2013</v>
      </c>
      <c r="C950" s="37" t="s">
        <v>452</v>
      </c>
      <c r="D950" s="37" t="s">
        <v>453</v>
      </c>
      <c r="E950" s="67" t="s">
        <v>1206</v>
      </c>
      <c r="F950" s="37" t="s">
        <v>728</v>
      </c>
      <c r="G950" s="37" t="s">
        <v>778</v>
      </c>
      <c r="H950" s="37" t="s">
        <v>773</v>
      </c>
      <c r="I950" s="107">
        <v>1</v>
      </c>
      <c r="J950" s="37">
        <v>750</v>
      </c>
      <c r="K950" s="107" t="s">
        <v>641</v>
      </c>
      <c r="L950" s="10">
        <f>COUNTIF(Drank!A:A,Table1[[#This Row],[ID]])</f>
        <v>1</v>
      </c>
      <c r="M950" t="s">
        <v>202</v>
      </c>
      <c r="N950" t="s">
        <v>207</v>
      </c>
      <c r="O950">
        <v>1</v>
      </c>
      <c r="P950" s="10">
        <v>2018</v>
      </c>
      <c r="Q950">
        <v>2028</v>
      </c>
      <c r="R950" s="10">
        <f>IF(IFERROR(VLOOKUP(A950,Drank!A:S,15,FALSE),"")=0,"",IFERROR(VLOOKUP(A950,Drank!A:S,15,FALSE),""))</f>
        <v>2022</v>
      </c>
      <c r="S950" s="10">
        <f>IF(IFERROR(VLOOKUP(A950,Drank!A:S,16,FALSE),"")=0,"",IFERROR(VLOOKUP(A950,Drank!A:S,16,FALSE),""))</f>
        <v>2030</v>
      </c>
      <c r="T950" s="10"/>
      <c r="U950" t="s">
        <v>196</v>
      </c>
      <c r="V950" s="18">
        <f>IF(IFERROR(VLOOKUP(A950,Drank!A:T,19,FALSE),"")=0,"",IFERROR(VLOOKUP(A950,Drank!A:T,19,FALSE),""))</f>
        <v>94</v>
      </c>
      <c r="W950" s="1">
        <f>IF(IFERROR(VLOOKUP(A950,Drank!A:T,20,FALSE),"")=0,"",IFERROR(VLOOKUP(A950,Drank!A:T,20,FALSE),""))</f>
        <v>43849</v>
      </c>
      <c r="X950" s="10">
        <f>SUMIF(A:A,A950,I:I)</f>
        <v>5</v>
      </c>
      <c r="Y950" s="10">
        <f>IF(Table1[[#This Row],[Drank]]&gt;0,VLOOKUP(Table1[[#This Row],[ID]],Drank!A:P,16,FALSE),IF(Table1[[#This Row],[WALDD]]&gt;0,VLOOKUP(Table1[[#This Row],[ID]],Wine1!A:Q,17,FALSE),Table1[[#This Row],[EP]]))</f>
        <v>2030</v>
      </c>
      <c r="Z950" s="18">
        <f>IF(Table1[[#This Row],[My Rating]]="",IF(Table1[[#This Row],[WA Rating Clean]]="","",Table1[[#This Row],[WA Rating Clean]]),Table1[[#This Row],[My Rating]])</f>
        <v>94</v>
      </c>
      <c r="AA950" s="37">
        <v>2029</v>
      </c>
      <c r="AB950" s="4">
        <v>26</v>
      </c>
      <c r="AC950" s="2">
        <f t="shared" si="51"/>
        <v>26</v>
      </c>
      <c r="AD950" s="8">
        <v>2</v>
      </c>
      <c r="AE950" s="10">
        <f>IF(Table1[[#This Row],[P/750]]&lt;20,1,IF(Table1[[#This Row],[P/750]]&lt;50,2,3))</f>
        <v>2</v>
      </c>
      <c r="AF950" s="10">
        <f>IF(Table1[[#This Row],[P/750]]&lt;Expenses!$C$30,1,IF(Table1[[#This Row],[P/750]]&lt;Expenses!$C$31,2,IF(Table1[[#This Row],[P/750]]&lt;Expenses!$C$32,3,4)))</f>
        <v>2</v>
      </c>
      <c r="AH950" t="s">
        <v>385</v>
      </c>
      <c r="AI950" s="11">
        <f>Table1[[#This Row],[Price]]/Table1[[#This Row],[Size (ml)]]*750</f>
        <v>26</v>
      </c>
      <c r="AJ950">
        <v>91</v>
      </c>
      <c r="AK950" s="37">
        <f>COUNTIF(UniqueID!A:A,Table1[[#This Row],[ID]])</f>
        <v>1</v>
      </c>
      <c r="AL950" s="37" t="str">
        <f>VLOOKUP(Table1[[#This Row],[Cellar Location]],Location!A:F,6,FALSE)</f>
        <v>S</v>
      </c>
      <c r="AN950" s="37"/>
      <c r="AO950" s="37" t="str">
        <f>TEXT(Table1[[#This Row],[Purchased]],"mmmm")</f>
        <v>January</v>
      </c>
      <c r="AP950" s="10" t="str">
        <f>TEXT(Table1[[#This Row],[Purchased]],"yyyy")</f>
        <v>1900</v>
      </c>
      <c r="AQ950" s="10"/>
    </row>
    <row r="951" spans="1:43" x14ac:dyDescent="0.25">
      <c r="A951" t="str">
        <f t="shared" si="50"/>
        <v>2016Tenuta San GuidoGuidalberto</v>
      </c>
      <c r="B951" s="37">
        <v>2016</v>
      </c>
      <c r="C951" s="37" t="s">
        <v>91</v>
      </c>
      <c r="D951" s="37" t="s">
        <v>1236</v>
      </c>
      <c r="E951" s="67" t="s">
        <v>1455</v>
      </c>
      <c r="F951" s="37" t="s">
        <v>728</v>
      </c>
      <c r="G951" s="37" t="s">
        <v>790</v>
      </c>
      <c r="H951" s="37" t="s">
        <v>796</v>
      </c>
      <c r="I951" s="107">
        <v>1</v>
      </c>
      <c r="J951" s="37">
        <v>750</v>
      </c>
      <c r="K951" s="107" t="s">
        <v>1315</v>
      </c>
      <c r="L951" s="10">
        <f>COUNTIF(Drank!A:A,Table1[[#This Row],[ID]])</f>
        <v>1</v>
      </c>
      <c r="M951" t="s">
        <v>202</v>
      </c>
      <c r="N951" t="s">
        <v>207</v>
      </c>
      <c r="O951">
        <v>1</v>
      </c>
      <c r="P951" s="37">
        <v>2019</v>
      </c>
      <c r="Q951">
        <v>2030</v>
      </c>
      <c r="R951" s="10">
        <f>IF(IFERROR(VLOOKUP(A951,Drank!A:S,15,FALSE),"")=0,"",IFERROR(VLOOKUP(A951,Drank!A:S,15,FALSE),""))</f>
        <v>2025</v>
      </c>
      <c r="S951" s="10">
        <f>IF(IFERROR(VLOOKUP(A951,Drank!A:S,16,FALSE),"")=0,"",IFERROR(VLOOKUP(A951,Drank!A:S,16,FALSE),""))</f>
        <v>2030</v>
      </c>
      <c r="T951" s="10"/>
      <c r="U951" t="s">
        <v>17</v>
      </c>
      <c r="V951" s="18">
        <f>IF(IFERROR(VLOOKUP(A951,Drank!A:T,19,FALSE),"")=0,"",IFERROR(VLOOKUP(A951,Drank!A:T,19,FALSE),""))</f>
        <v>93</v>
      </c>
      <c r="W951" s="1">
        <f>IF(IFERROR(VLOOKUP(A951,Drank!A:T,20,FALSE),"")=0,"",IFERROR(VLOOKUP(A951,Drank!A:T,20,FALSE),""))</f>
        <v>43866</v>
      </c>
      <c r="X951" s="10">
        <f>SUMIF(A:A,A951,I:I)</f>
        <v>6</v>
      </c>
      <c r="Y951" s="10">
        <f>IF(Table1[[#This Row],[Drank]]&gt;0,VLOOKUP(Table1[[#This Row],[ID]],Drank!A:P,16,FALSE),IF(Table1[[#This Row],[WALDD]]&gt;0,VLOOKUP(Table1[[#This Row],[ID]],Wine1!A:Q,17,FALSE),Table1[[#This Row],[EP]]))</f>
        <v>2030</v>
      </c>
      <c r="Z951" s="18">
        <f>IF(Table1[[#This Row],[My Rating]]="",IF(Table1[[#This Row],[WA Rating Clean]]="","",Table1[[#This Row],[WA Rating Clean]]),Table1[[#This Row],[My Rating]])</f>
        <v>93</v>
      </c>
      <c r="AA951" s="37">
        <v>2029</v>
      </c>
      <c r="AB951" s="4">
        <v>44.25</v>
      </c>
      <c r="AC951" s="2">
        <f t="shared" si="51"/>
        <v>44.25</v>
      </c>
      <c r="AD951" s="8">
        <v>2</v>
      </c>
      <c r="AE951" s="10">
        <f>IF(Table1[[#This Row],[P/750]]&lt;20,1,IF(Table1[[#This Row],[P/750]]&lt;50,2,3))</f>
        <v>2</v>
      </c>
      <c r="AF951" s="10">
        <f>IF(Table1[[#This Row],[P/750]]&lt;Expenses!$C$30,1,IF(Table1[[#This Row],[P/750]]&lt;Expenses!$C$31,2,IF(Table1[[#This Row],[P/750]]&lt;Expenses!$C$32,3,4)))</f>
        <v>3</v>
      </c>
      <c r="AH951" t="s">
        <v>1238</v>
      </c>
      <c r="AI951" s="11">
        <f>Table1[[#This Row],[Price]]/Table1[[#This Row],[Size (ml)]]*750</f>
        <v>44.25</v>
      </c>
      <c r="AJ951">
        <v>94</v>
      </c>
      <c r="AK951" s="10">
        <f>COUNTIF(UniqueID!A:A,Table1[[#This Row],[ID]])</f>
        <v>1</v>
      </c>
      <c r="AL951" s="10" t="str">
        <f>VLOOKUP(Table1[[#This Row],[Cellar Location]],Location!A:F,6,FALSE)</f>
        <v>S</v>
      </c>
      <c r="AN951" s="1">
        <v>43869</v>
      </c>
      <c r="AO951" s="37" t="str">
        <f>TEXT(Table1[[#This Row],[Purchased]],"mmmm")</f>
        <v>February</v>
      </c>
      <c r="AP951" s="10" t="str">
        <f>TEXT(Table1[[#This Row],[Purchased]],"yyyy")</f>
        <v>2020</v>
      </c>
      <c r="AQ951" s="10"/>
    </row>
    <row r="952" spans="1:43" x14ac:dyDescent="0.25">
      <c r="A952" t="str">
        <f t="shared" si="50"/>
        <v>2016Tour Saint-MichelChateauneuf du Pape Cuvee des Deux Soeurs</v>
      </c>
      <c r="B952" s="37">
        <v>2016</v>
      </c>
      <c r="C952" s="37" t="s">
        <v>712</v>
      </c>
      <c r="D952" s="37" t="s">
        <v>713</v>
      </c>
      <c r="E952" s="67" t="s">
        <v>1254</v>
      </c>
      <c r="F952" s="37" t="s">
        <v>742</v>
      </c>
      <c r="G952" s="37" t="s">
        <v>759</v>
      </c>
      <c r="H952" s="9" t="s">
        <v>762</v>
      </c>
      <c r="I952" s="107">
        <v>1</v>
      </c>
      <c r="J952" s="37">
        <v>750</v>
      </c>
      <c r="K952" s="107" t="s">
        <v>716</v>
      </c>
      <c r="L952" s="10">
        <f>COUNTIF(Drank!A:A,Table1[[#This Row],[ID]])</f>
        <v>1</v>
      </c>
      <c r="M952" t="s">
        <v>202</v>
      </c>
      <c r="N952" t="s">
        <v>207</v>
      </c>
      <c r="O952">
        <v>1</v>
      </c>
      <c r="P952" s="10">
        <v>2018</v>
      </c>
      <c r="Q952">
        <v>2028</v>
      </c>
      <c r="R952" s="10">
        <f>IF(IFERROR(VLOOKUP(A952,Drank!A:S,15,FALSE),"")=0,"",IFERROR(VLOOKUP(A952,Drank!A:S,15,FALSE),""))</f>
        <v>2025</v>
      </c>
      <c r="S952" s="10">
        <f>IF(IFERROR(VLOOKUP(A952,Drank!A:S,16,FALSE),"")=0,"",IFERROR(VLOOKUP(A952,Drank!A:S,16,FALSE),""))</f>
        <v>2030</v>
      </c>
      <c r="T952" s="10"/>
      <c r="U952">
        <v>92</v>
      </c>
      <c r="V952" s="18">
        <f>IF(IFERROR(VLOOKUP(A952,Drank!A:T,19,FALSE),"")=0,"",IFERROR(VLOOKUP(A952,Drank!A:T,19,FALSE),""))</f>
        <v>92</v>
      </c>
      <c r="W952" s="1">
        <f>IF(IFERROR(VLOOKUP(A952,Drank!A:T,20,FALSE),"")=0,"",IFERROR(VLOOKUP(A952,Drank!A:T,20,FALSE),""))</f>
        <v>43921</v>
      </c>
      <c r="X952" s="10">
        <f>SUMIF(A:A,A952,I:I)</f>
        <v>3</v>
      </c>
      <c r="Y952" s="10">
        <f>IF(Table1[[#This Row],[Drank]]&gt;0,VLOOKUP(Table1[[#This Row],[ID]],Drank!A:P,16,FALSE),IF(Table1[[#This Row],[WALDD]]&gt;0,VLOOKUP(Table1[[#This Row],[ID]],Wine1!A:Q,17,FALSE),Table1[[#This Row],[EP]]))</f>
        <v>2030</v>
      </c>
      <c r="Z952" s="18">
        <f>IF(Table1[[#This Row],[My Rating]]="",IF(Table1[[#This Row],[WA Rating Clean]]="","",Table1[[#This Row],[WA Rating Clean]]),Table1[[#This Row],[My Rating]])</f>
        <v>92</v>
      </c>
      <c r="AA952" s="37">
        <v>2029</v>
      </c>
      <c r="AB952" s="4">
        <v>24.99</v>
      </c>
      <c r="AC952" s="2">
        <f t="shared" si="51"/>
        <v>24.99</v>
      </c>
      <c r="AD952" s="8">
        <v>2</v>
      </c>
      <c r="AE952" s="10">
        <f>IF(Table1[[#This Row],[P/750]]&lt;20,1,IF(Table1[[#This Row],[P/750]]&lt;50,2,3))</f>
        <v>2</v>
      </c>
      <c r="AF952" s="10">
        <f>IF(Table1[[#This Row],[P/750]]&lt;Expenses!$C$30,1,IF(Table1[[#This Row],[P/750]]&lt;Expenses!$C$31,2,IF(Table1[[#This Row],[P/750]]&lt;Expenses!$C$32,3,4)))</f>
        <v>2</v>
      </c>
      <c r="AH952" s="37" t="s">
        <v>384</v>
      </c>
      <c r="AI952" s="11">
        <f>Table1[[#This Row],[Price]]/Table1[[#This Row],[Size (ml)]]*750</f>
        <v>24.989999999999995</v>
      </c>
      <c r="AJ952">
        <v>92</v>
      </c>
      <c r="AK952" s="10">
        <f>COUNTIF(UniqueID!A:A,Table1[[#This Row],[ID]])</f>
        <v>1</v>
      </c>
      <c r="AL952" s="37" t="str">
        <f>VLOOKUP(Table1[[#This Row],[Cellar Location]],Location!A:F,6,FALSE)</f>
        <v>S</v>
      </c>
      <c r="AN952" s="1">
        <v>43815</v>
      </c>
      <c r="AO952" s="37" t="str">
        <f>TEXT(Table1[[#This Row],[Purchased]],"mmmm")</f>
        <v>December</v>
      </c>
      <c r="AP952" s="10" t="str">
        <f>TEXT(Table1[[#This Row],[Purchased]],"yyyy")</f>
        <v>2019</v>
      </c>
      <c r="AQ952" s="10"/>
    </row>
    <row r="953" spans="1:43" s="37" customFormat="1" x14ac:dyDescent="0.25">
      <c r="A953" s="37" t="str">
        <f t="shared" si="50"/>
        <v>2017Tour Saint-MichelChateauneuf du Pape Cuvee des Deux Soeurs</v>
      </c>
      <c r="B953" s="37">
        <v>2017</v>
      </c>
      <c r="C953" s="37" t="s">
        <v>712</v>
      </c>
      <c r="D953" s="37" t="s">
        <v>713</v>
      </c>
      <c r="E953" s="67" t="s">
        <v>1254</v>
      </c>
      <c r="F953" s="37" t="s">
        <v>742</v>
      </c>
      <c r="G953" s="37" t="s">
        <v>759</v>
      </c>
      <c r="H953" s="9" t="s">
        <v>762</v>
      </c>
      <c r="I953" s="8">
        <v>1</v>
      </c>
      <c r="J953" s="38">
        <v>750</v>
      </c>
      <c r="K953" s="38" t="s">
        <v>384</v>
      </c>
      <c r="L953" s="10">
        <f>COUNTIF(Drank!A:A,Table1[[#This Row],[ID]])</f>
        <v>0</v>
      </c>
      <c r="M953" s="37" t="s">
        <v>202</v>
      </c>
      <c r="N953" s="37" t="s">
        <v>207</v>
      </c>
      <c r="O953" s="37">
        <v>1</v>
      </c>
      <c r="P953" s="10">
        <v>2020</v>
      </c>
      <c r="Q953" s="37">
        <v>2030</v>
      </c>
      <c r="R953" s="10" t="str">
        <f>IF(IFERROR(VLOOKUP(A953,Drank!A:S,15,FALSE),"")=0,"",IFERROR(VLOOKUP(A953,Drank!A:S,15,FALSE),""))</f>
        <v/>
      </c>
      <c r="S953" s="10" t="str">
        <f>IF(IFERROR(VLOOKUP(A953,Drank!A:S,16,FALSE),"")=0,"",IFERROR(VLOOKUP(A953,Drank!A:S,16,FALSE),""))</f>
        <v/>
      </c>
      <c r="T953" s="10"/>
      <c r="U953" s="37">
        <v>92</v>
      </c>
      <c r="V953" s="18" t="str">
        <f>IF(IFERROR(VLOOKUP(A953,Drank!A:T,19,FALSE),"")=0,"",IFERROR(VLOOKUP(A953,Drank!A:T,19,FALSE),""))</f>
        <v/>
      </c>
      <c r="W953" s="1" t="str">
        <f>IF(IFERROR(VLOOKUP(A953,Drank!A:T,20,FALSE),"")=0,"",IFERROR(VLOOKUP(A953,Drank!A:T,20,FALSE),""))</f>
        <v/>
      </c>
      <c r="X953" s="10">
        <f>SUMIF(A:A,A953,I:I)</f>
        <v>4</v>
      </c>
      <c r="Y953" s="10">
        <f>IF(Table1[[#This Row],[Drank]]&gt;0,VLOOKUP(Table1[[#This Row],[ID]],Drank!A:P,16,FALSE),IF(Table1[[#This Row],[WALDD]]&gt;0,VLOOKUP(Table1[[#This Row],[ID]],Wine1!A:Q,17,FALSE),Table1[[#This Row],[EP]]))</f>
        <v>2030</v>
      </c>
      <c r="Z953" s="18">
        <f>IF(Table1[[#This Row],[My Rating]]="",IF(Table1[[#This Row],[WA Rating Clean]]="","",Table1[[#This Row],[WA Rating Clean]]),Table1[[#This Row],[My Rating]])</f>
        <v>92</v>
      </c>
      <c r="AA953" s="37">
        <v>2022</v>
      </c>
      <c r="AB953" s="4">
        <v>27.15</v>
      </c>
      <c r="AC953" s="2">
        <f t="shared" si="51"/>
        <v>27.15</v>
      </c>
      <c r="AD953" s="8"/>
      <c r="AE953" s="10">
        <f>IF(Table1[[#This Row],[P/750]]&lt;20,1,IF(Table1[[#This Row],[P/750]]&lt;50,2,3))</f>
        <v>2</v>
      </c>
      <c r="AF953" s="10">
        <f>IF(Table1[[#This Row],[P/750]]&lt;Expenses!$C$30,1,IF(Table1[[#This Row],[P/750]]&lt;Expenses!$C$31,2,IF(Table1[[#This Row],[P/750]]&lt;Expenses!$C$32,3,4)))</f>
        <v>2</v>
      </c>
      <c r="AH953" s="37" t="s">
        <v>384</v>
      </c>
      <c r="AI953" s="11">
        <f>Table1[[#This Row],[Price]]/Table1[[#This Row],[Size (ml)]]*750</f>
        <v>27.15</v>
      </c>
      <c r="AJ953" s="37">
        <v>92</v>
      </c>
      <c r="AK953" s="10">
        <f>COUNTIF(UniqueID!A:A,Table1[[#This Row],[ID]])</f>
        <v>0</v>
      </c>
      <c r="AL953" s="10" t="str">
        <f>VLOOKUP(Table1[[#This Row],[Cellar Location]],Location!A:F,6,FALSE)</f>
        <v>W</v>
      </c>
      <c r="AN953" s="1">
        <v>44078</v>
      </c>
      <c r="AO953" s="10" t="str">
        <f>TEXT(Table1[[#This Row],[Purchased]],"mmmm")</f>
        <v>September</v>
      </c>
      <c r="AP953" s="10" t="str">
        <f>TEXT(Table1[[#This Row],[Purchased]],"yyyy")</f>
        <v>2020</v>
      </c>
      <c r="AQ953" s="1">
        <v>44137</v>
      </c>
    </row>
    <row r="954" spans="1:43" s="37" customFormat="1" x14ac:dyDescent="0.25">
      <c r="A954" s="37" t="str">
        <f t="shared" si="50"/>
        <v>2017Tour Saint-MichelChateauneuf du Pape Cuvee des Deux Soeurs</v>
      </c>
      <c r="B954" s="37">
        <v>2017</v>
      </c>
      <c r="C954" s="37" t="s">
        <v>712</v>
      </c>
      <c r="D954" s="37" t="s">
        <v>713</v>
      </c>
      <c r="E954" s="67" t="s">
        <v>1254</v>
      </c>
      <c r="F954" s="37" t="s">
        <v>742</v>
      </c>
      <c r="G954" s="37" t="s">
        <v>759</v>
      </c>
      <c r="H954" s="9" t="s">
        <v>762</v>
      </c>
      <c r="I954" s="8">
        <v>1</v>
      </c>
      <c r="J954" s="38">
        <v>750</v>
      </c>
      <c r="K954" s="38" t="s">
        <v>384</v>
      </c>
      <c r="L954" s="10">
        <f>COUNTIF(Drank!A:A,Table1[[#This Row],[ID]])</f>
        <v>0</v>
      </c>
      <c r="M954" s="37" t="s">
        <v>202</v>
      </c>
      <c r="N954" s="37" t="s">
        <v>207</v>
      </c>
      <c r="O954" s="37">
        <v>1</v>
      </c>
      <c r="P954" s="10">
        <v>2020</v>
      </c>
      <c r="Q954" s="37">
        <v>2030</v>
      </c>
      <c r="R954" s="10" t="str">
        <f>IF(IFERROR(VLOOKUP(A954,Drank!A:S,15,FALSE),"")=0,"",IFERROR(VLOOKUP(A954,Drank!A:S,15,FALSE),""))</f>
        <v/>
      </c>
      <c r="S954" s="10" t="str">
        <f>IF(IFERROR(VLOOKUP(A954,Drank!A:S,16,FALSE),"")=0,"",IFERROR(VLOOKUP(A954,Drank!A:S,16,FALSE),""))</f>
        <v/>
      </c>
      <c r="T954" s="10"/>
      <c r="U954" s="37">
        <v>92</v>
      </c>
      <c r="V954" s="18" t="str">
        <f>IF(IFERROR(VLOOKUP(A954,Drank!A:T,19,FALSE),"")=0,"",IFERROR(VLOOKUP(A954,Drank!A:T,19,FALSE),""))</f>
        <v/>
      </c>
      <c r="W954" s="1" t="str">
        <f>IF(IFERROR(VLOOKUP(A954,Drank!A:T,20,FALSE),"")=0,"",IFERROR(VLOOKUP(A954,Drank!A:T,20,FALSE),""))</f>
        <v/>
      </c>
      <c r="X954" s="10">
        <f>SUMIF(A:A,A954,I:I)</f>
        <v>4</v>
      </c>
      <c r="Y954" s="10">
        <f>IF(Table1[[#This Row],[Drank]]&gt;0,VLOOKUP(Table1[[#This Row],[ID]],Drank!A:P,16,FALSE),IF(Table1[[#This Row],[WALDD]]&gt;0,VLOOKUP(Table1[[#This Row],[ID]],Wine1!A:Q,17,FALSE),Table1[[#This Row],[EP]]))</f>
        <v>2030</v>
      </c>
      <c r="Z954" s="18">
        <f>IF(Table1[[#This Row],[My Rating]]="",IF(Table1[[#This Row],[WA Rating Clean]]="","",Table1[[#This Row],[WA Rating Clean]]),Table1[[#This Row],[My Rating]])</f>
        <v>92</v>
      </c>
      <c r="AA954" s="37">
        <v>2027</v>
      </c>
      <c r="AB954" s="4">
        <v>27.15</v>
      </c>
      <c r="AC954" s="2">
        <f t="shared" si="51"/>
        <v>27.15</v>
      </c>
      <c r="AD954" s="8"/>
      <c r="AE954" s="10">
        <f>IF(Table1[[#This Row],[P/750]]&lt;20,1,IF(Table1[[#This Row],[P/750]]&lt;50,2,3))</f>
        <v>2</v>
      </c>
      <c r="AF954" s="10">
        <f>IF(Table1[[#This Row],[P/750]]&lt;Expenses!$C$30,1,IF(Table1[[#This Row],[P/750]]&lt;Expenses!$C$31,2,IF(Table1[[#This Row],[P/750]]&lt;Expenses!$C$32,3,4)))</f>
        <v>2</v>
      </c>
      <c r="AH954" s="37" t="s">
        <v>384</v>
      </c>
      <c r="AI954" s="11">
        <f>Table1[[#This Row],[Price]]/Table1[[#This Row],[Size (ml)]]*750</f>
        <v>27.15</v>
      </c>
      <c r="AJ954" s="37">
        <v>92</v>
      </c>
      <c r="AK954" s="10">
        <f>COUNTIF(UniqueID!A:A,Table1[[#This Row],[ID]])</f>
        <v>0</v>
      </c>
      <c r="AL954" s="10" t="str">
        <f>VLOOKUP(Table1[[#This Row],[Cellar Location]],Location!A:F,6,FALSE)</f>
        <v>W</v>
      </c>
      <c r="AN954" s="1">
        <v>44078</v>
      </c>
      <c r="AO954" s="10" t="str">
        <f>TEXT(Table1[[#This Row],[Purchased]],"mmmm")</f>
        <v>September</v>
      </c>
      <c r="AP954" s="10" t="str">
        <f>TEXT(Table1[[#This Row],[Purchased]],"yyyy")</f>
        <v>2020</v>
      </c>
      <c r="AQ954" s="1">
        <v>44137</v>
      </c>
    </row>
    <row r="955" spans="1:43" s="37" customFormat="1" x14ac:dyDescent="0.25">
      <c r="A955" s="37" t="str">
        <f t="shared" si="50"/>
        <v>2017Tour Saint-MichelChateauneuf du Pape Cuvee des Deux Soeurs</v>
      </c>
      <c r="B955" s="37">
        <v>2017</v>
      </c>
      <c r="C955" s="37" t="s">
        <v>712</v>
      </c>
      <c r="D955" s="37" t="s">
        <v>713</v>
      </c>
      <c r="E955" s="67" t="s">
        <v>1254</v>
      </c>
      <c r="F955" s="37" t="s">
        <v>742</v>
      </c>
      <c r="G955" s="37" t="s">
        <v>759</v>
      </c>
      <c r="H955" s="9" t="s">
        <v>762</v>
      </c>
      <c r="I955" s="8">
        <v>1</v>
      </c>
      <c r="J955" s="38">
        <v>750</v>
      </c>
      <c r="K955" s="38" t="s">
        <v>384</v>
      </c>
      <c r="L955" s="10">
        <f>COUNTIF(Drank!A:A,Table1[[#This Row],[ID]])</f>
        <v>0</v>
      </c>
      <c r="M955" s="37" t="s">
        <v>202</v>
      </c>
      <c r="N955" s="37" t="s">
        <v>207</v>
      </c>
      <c r="O955" s="37">
        <v>1</v>
      </c>
      <c r="P955" s="10">
        <v>2020</v>
      </c>
      <c r="Q955" s="37">
        <v>2030</v>
      </c>
      <c r="R955" s="10" t="str">
        <f>IF(IFERROR(VLOOKUP(A955,Drank!A:S,15,FALSE),"")=0,"",IFERROR(VLOOKUP(A955,Drank!A:S,15,FALSE),""))</f>
        <v/>
      </c>
      <c r="S955" s="10" t="str">
        <f>IF(IFERROR(VLOOKUP(A955,Drank!A:S,16,FALSE),"")=0,"",IFERROR(VLOOKUP(A955,Drank!A:S,16,FALSE),""))</f>
        <v/>
      </c>
      <c r="T955" s="10"/>
      <c r="U955" s="37">
        <v>92</v>
      </c>
      <c r="V955" s="18" t="str">
        <f>IF(IFERROR(VLOOKUP(A955,Drank!A:T,19,FALSE),"")=0,"",IFERROR(VLOOKUP(A955,Drank!A:T,19,FALSE),""))</f>
        <v/>
      </c>
      <c r="W955" s="1" t="str">
        <f>IF(IFERROR(VLOOKUP(A955,Drank!A:T,20,FALSE),"")=0,"",IFERROR(VLOOKUP(A955,Drank!A:T,20,FALSE),""))</f>
        <v/>
      </c>
      <c r="X955" s="10">
        <f>SUMIF(A:A,A955,I:I)</f>
        <v>4</v>
      </c>
      <c r="Y955" s="10">
        <f>IF(Table1[[#This Row],[Drank]]&gt;0,VLOOKUP(Table1[[#This Row],[ID]],Drank!A:P,16,FALSE),IF(Table1[[#This Row],[WALDD]]&gt;0,VLOOKUP(Table1[[#This Row],[ID]],Wine1!A:Q,17,FALSE),Table1[[#This Row],[EP]]))</f>
        <v>2030</v>
      </c>
      <c r="Z955" s="18">
        <f>IF(Table1[[#This Row],[My Rating]]="",IF(Table1[[#This Row],[WA Rating Clean]]="","",Table1[[#This Row],[WA Rating Clean]]),Table1[[#This Row],[My Rating]])</f>
        <v>92</v>
      </c>
      <c r="AA955" s="37">
        <v>2029</v>
      </c>
      <c r="AB955" s="4">
        <v>27.15</v>
      </c>
      <c r="AC955" s="2">
        <f t="shared" si="51"/>
        <v>27.15</v>
      </c>
      <c r="AD955" s="8"/>
      <c r="AE955" s="10">
        <f>IF(Table1[[#This Row],[P/750]]&lt;20,1,IF(Table1[[#This Row],[P/750]]&lt;50,2,3))</f>
        <v>2</v>
      </c>
      <c r="AF955" s="10">
        <f>IF(Table1[[#This Row],[P/750]]&lt;Expenses!$C$30,1,IF(Table1[[#This Row],[P/750]]&lt;Expenses!$C$31,2,IF(Table1[[#This Row],[P/750]]&lt;Expenses!$C$32,3,4)))</f>
        <v>2</v>
      </c>
      <c r="AH955" s="37" t="s">
        <v>384</v>
      </c>
      <c r="AI955" s="11">
        <f>Table1[[#This Row],[Price]]/Table1[[#This Row],[Size (ml)]]*750</f>
        <v>27.15</v>
      </c>
      <c r="AJ955" s="37">
        <v>92</v>
      </c>
      <c r="AK955" s="10">
        <f>COUNTIF(UniqueID!A:A,Table1[[#This Row],[ID]])</f>
        <v>0</v>
      </c>
      <c r="AL955" s="10" t="str">
        <f>VLOOKUP(Table1[[#This Row],[Cellar Location]],Location!A:F,6,FALSE)</f>
        <v>W</v>
      </c>
      <c r="AN955" s="1">
        <v>44078</v>
      </c>
      <c r="AO955" s="10" t="str">
        <f>TEXT(Table1[[#This Row],[Purchased]],"mmmm")</f>
        <v>September</v>
      </c>
      <c r="AP955" s="10" t="str">
        <f>TEXT(Table1[[#This Row],[Purchased]],"yyyy")</f>
        <v>2020</v>
      </c>
      <c r="AQ955" s="1">
        <v>44137</v>
      </c>
    </row>
    <row r="956" spans="1:43" s="37" customFormat="1" x14ac:dyDescent="0.25">
      <c r="A956" s="37" t="str">
        <f t="shared" si="50"/>
        <v>2017Tour Saint-MichelChateauneuf du Pape Cuvee des Deux Soeurs</v>
      </c>
      <c r="B956" s="37">
        <v>2017</v>
      </c>
      <c r="C956" s="37" t="s">
        <v>712</v>
      </c>
      <c r="D956" s="37" t="s">
        <v>713</v>
      </c>
      <c r="E956" s="67" t="s">
        <v>1254</v>
      </c>
      <c r="F956" s="37" t="s">
        <v>742</v>
      </c>
      <c r="G956" s="37" t="s">
        <v>759</v>
      </c>
      <c r="H956" s="9" t="s">
        <v>762</v>
      </c>
      <c r="I956" s="8">
        <v>1</v>
      </c>
      <c r="J956" s="38">
        <v>750</v>
      </c>
      <c r="K956" s="38" t="s">
        <v>384</v>
      </c>
      <c r="L956" s="10">
        <f>COUNTIF(Drank!A:A,Table1[[#This Row],[ID]])</f>
        <v>0</v>
      </c>
      <c r="M956" s="37" t="s">
        <v>202</v>
      </c>
      <c r="N956" s="37" t="s">
        <v>207</v>
      </c>
      <c r="O956" s="37">
        <v>1</v>
      </c>
      <c r="P956" s="10">
        <v>2020</v>
      </c>
      <c r="Q956" s="37">
        <v>2030</v>
      </c>
      <c r="R956" s="10" t="str">
        <f>IF(IFERROR(VLOOKUP(A956,Drank!A:S,15,FALSE),"")=0,"",IFERROR(VLOOKUP(A956,Drank!A:S,15,FALSE),""))</f>
        <v/>
      </c>
      <c r="S956" s="10" t="str">
        <f>IF(IFERROR(VLOOKUP(A956,Drank!A:S,16,FALSE),"")=0,"",IFERROR(VLOOKUP(A956,Drank!A:S,16,FALSE),""))</f>
        <v/>
      </c>
      <c r="T956" s="10"/>
      <c r="U956" s="37">
        <v>92</v>
      </c>
      <c r="V956" s="18" t="str">
        <f>IF(IFERROR(VLOOKUP(A956,Drank!A:T,19,FALSE),"")=0,"",IFERROR(VLOOKUP(A956,Drank!A:T,19,FALSE),""))</f>
        <v/>
      </c>
      <c r="W956" s="1" t="str">
        <f>IF(IFERROR(VLOOKUP(A956,Drank!A:T,20,FALSE),"")=0,"",IFERROR(VLOOKUP(A956,Drank!A:T,20,FALSE),""))</f>
        <v/>
      </c>
      <c r="X956" s="10">
        <f>SUMIF(A:A,A956,I:I)</f>
        <v>4</v>
      </c>
      <c r="Y956" s="10">
        <f>IF(Table1[[#This Row],[Drank]]&gt;0,VLOOKUP(Table1[[#This Row],[ID]],Drank!A:P,16,FALSE),IF(Table1[[#This Row],[WALDD]]&gt;0,VLOOKUP(Table1[[#This Row],[ID]],Wine1!A:Q,17,FALSE),Table1[[#This Row],[EP]]))</f>
        <v>2030</v>
      </c>
      <c r="Z956" s="18">
        <f>IF(Table1[[#This Row],[My Rating]]="",IF(Table1[[#This Row],[WA Rating Clean]]="","",Table1[[#This Row],[WA Rating Clean]]),Table1[[#This Row],[My Rating]])</f>
        <v>92</v>
      </c>
      <c r="AA956" s="37">
        <v>2031</v>
      </c>
      <c r="AB956" s="4">
        <v>27.15</v>
      </c>
      <c r="AC956" s="2">
        <f t="shared" si="51"/>
        <v>27.15</v>
      </c>
      <c r="AD956" s="8"/>
      <c r="AE956" s="10">
        <f>IF(Table1[[#This Row],[P/750]]&lt;20,1,IF(Table1[[#This Row],[P/750]]&lt;50,2,3))</f>
        <v>2</v>
      </c>
      <c r="AF956" s="10">
        <f>IF(Table1[[#This Row],[P/750]]&lt;Expenses!$C$30,1,IF(Table1[[#This Row],[P/750]]&lt;Expenses!$C$31,2,IF(Table1[[#This Row],[P/750]]&lt;Expenses!$C$32,3,4)))</f>
        <v>2</v>
      </c>
      <c r="AH956" s="37" t="s">
        <v>384</v>
      </c>
      <c r="AI956" s="11">
        <f>Table1[[#This Row],[Price]]/Table1[[#This Row],[Size (ml)]]*750</f>
        <v>27.15</v>
      </c>
      <c r="AJ956" s="37">
        <v>92</v>
      </c>
      <c r="AK956" s="10">
        <f>COUNTIF(UniqueID!A:A,Table1[[#This Row],[ID]])</f>
        <v>0</v>
      </c>
      <c r="AL956" s="10" t="str">
        <f>VLOOKUP(Table1[[#This Row],[Cellar Location]],Location!A:F,6,FALSE)</f>
        <v>W</v>
      </c>
      <c r="AN956" s="1">
        <v>44078</v>
      </c>
      <c r="AO956" s="10" t="str">
        <f>TEXT(Table1[[#This Row],[Purchased]],"mmmm")</f>
        <v>September</v>
      </c>
      <c r="AP956" s="10" t="str">
        <f>TEXT(Table1[[#This Row],[Purchased]],"yyyy")</f>
        <v>2020</v>
      </c>
      <c r="AQ956" s="1">
        <v>44137</v>
      </c>
    </row>
    <row r="957" spans="1:43" x14ac:dyDescent="0.25">
      <c r="A957" t="str">
        <f t="shared" si="50"/>
        <v>2016Tour Saint-MichelChateauneuf du Pape Cuvee du Lion</v>
      </c>
      <c r="B957" s="37">
        <v>2016</v>
      </c>
      <c r="C957" s="37" t="s">
        <v>712</v>
      </c>
      <c r="D957" s="37" t="s">
        <v>1359</v>
      </c>
      <c r="E957" s="67" t="s">
        <v>1360</v>
      </c>
      <c r="F957" s="37" t="s">
        <v>742</v>
      </c>
      <c r="G957" s="37" t="s">
        <v>759</v>
      </c>
      <c r="H957" s="37" t="s">
        <v>762</v>
      </c>
      <c r="I957" s="107">
        <v>1</v>
      </c>
      <c r="J957" s="9">
        <v>750</v>
      </c>
      <c r="K957" s="107" t="s">
        <v>661</v>
      </c>
      <c r="L957" s="10">
        <f>COUNTIF(Drank!A:A,Table1[[#This Row],[ID]])</f>
        <v>1</v>
      </c>
      <c r="M957" t="s">
        <v>202</v>
      </c>
      <c r="N957" t="s">
        <v>207</v>
      </c>
      <c r="O957">
        <v>1</v>
      </c>
      <c r="P957" s="10">
        <v>2018</v>
      </c>
      <c r="Q957">
        <v>2030</v>
      </c>
      <c r="R957" s="10">
        <f>IF(IFERROR(VLOOKUP(A957,Drank!A:S,15,FALSE),"")=0,"",IFERROR(VLOOKUP(A957,Drank!A:S,15,FALSE),""))</f>
        <v>2024</v>
      </c>
      <c r="S957" s="10">
        <f>IF(IFERROR(VLOOKUP(A957,Drank!A:S,16,FALSE),"")=0,"",IFERROR(VLOOKUP(A957,Drank!A:S,16,FALSE),""))</f>
        <v>2030</v>
      </c>
      <c r="T957" s="10"/>
      <c r="U957">
        <v>94</v>
      </c>
      <c r="V957" s="18">
        <f>IF(IFERROR(VLOOKUP(A957,Drank!A:T,19,FALSE),"")=0,"",IFERROR(VLOOKUP(A957,Drank!A:T,19,FALSE),""))</f>
        <v>92</v>
      </c>
      <c r="W957" s="1">
        <f>IF(IFERROR(VLOOKUP(A957,Drank!A:T,20,FALSE),"")=0,"",IFERROR(VLOOKUP(A957,Drank!A:T,20,FALSE),""))</f>
        <v>44056</v>
      </c>
      <c r="X957" s="10">
        <f>SUMIF(A:A,A957,I:I)</f>
        <v>5</v>
      </c>
      <c r="Y957" s="10">
        <f>IF(Table1[[#This Row],[Drank]]&gt;0,VLOOKUP(Table1[[#This Row],[ID]],Drank!A:P,16,FALSE),IF(Table1[[#This Row],[WALDD]]&gt;0,VLOOKUP(Table1[[#This Row],[ID]],Wine1!A:Q,17,FALSE),Table1[[#This Row],[EP]]))</f>
        <v>2030</v>
      </c>
      <c r="Z957" s="18">
        <f>IF(Table1[[#This Row],[My Rating]]="",IF(Table1[[#This Row],[WA Rating Clean]]="","",Table1[[#This Row],[WA Rating Clean]]),Table1[[#This Row],[My Rating]])</f>
        <v>92</v>
      </c>
      <c r="AA957" s="37">
        <v>2029</v>
      </c>
      <c r="AB957" s="4">
        <v>32.58</v>
      </c>
      <c r="AC957" s="2">
        <f t="shared" si="51"/>
        <v>32.58</v>
      </c>
      <c r="AD957" s="8">
        <v>2</v>
      </c>
      <c r="AE957" s="10">
        <f>IF(Table1[[#This Row],[P/750]]&lt;20,1,IF(Table1[[#This Row],[P/750]]&lt;50,2,3))</f>
        <v>2</v>
      </c>
      <c r="AF957" s="10">
        <f>IF(Table1[[#This Row],[P/750]]&lt;Expenses!$C$30,1,IF(Table1[[#This Row],[P/750]]&lt;Expenses!$C$31,2,IF(Table1[[#This Row],[P/750]]&lt;Expenses!$C$32,3,4)))</f>
        <v>3</v>
      </c>
      <c r="AH957" t="s">
        <v>384</v>
      </c>
      <c r="AI957" s="11">
        <f>Table1[[#This Row],[Price]]/Table1[[#This Row],[Size (ml)]]*750</f>
        <v>32.58</v>
      </c>
      <c r="AJ957">
        <v>94</v>
      </c>
      <c r="AK957" s="10">
        <f>COUNTIF(UniqueID!A:A,Table1[[#This Row],[ID]])</f>
        <v>0</v>
      </c>
      <c r="AL957" s="10" t="str">
        <f>VLOOKUP(Table1[[#This Row],[Cellar Location]],Location!A:F,6,FALSE)</f>
        <v>S</v>
      </c>
      <c r="AN957" s="1">
        <v>43934</v>
      </c>
      <c r="AO957" s="10" t="str">
        <f>TEXT(Table1[[#This Row],[Purchased]],"mmmm")</f>
        <v>April</v>
      </c>
      <c r="AP957" s="10" t="str">
        <f>TEXT(Table1[[#This Row],[Purchased]],"yyyy")</f>
        <v>2020</v>
      </c>
      <c r="AQ957" s="10"/>
    </row>
    <row r="958" spans="1:43" x14ac:dyDescent="0.25">
      <c r="A958" t="str">
        <f t="shared" si="50"/>
        <v>2015Xavier VignonCotes du Rhone Villages Arcane XIX Le Soleil</v>
      </c>
      <c r="B958" s="37">
        <v>2015</v>
      </c>
      <c r="C958" s="8" t="s">
        <v>405</v>
      </c>
      <c r="D958" s="25" t="s">
        <v>1856</v>
      </c>
      <c r="E958" s="68" t="s">
        <v>1222</v>
      </c>
      <c r="F958" s="37" t="s">
        <v>742</v>
      </c>
      <c r="G958" s="37" t="s">
        <v>759</v>
      </c>
      <c r="H958" s="37" t="s">
        <v>760</v>
      </c>
      <c r="I958" s="107">
        <v>1</v>
      </c>
      <c r="J958">
        <v>750</v>
      </c>
      <c r="K958" s="107" t="s">
        <v>647</v>
      </c>
      <c r="L958" s="37">
        <f>COUNTIF(Drank!A:A,Table1[[#This Row],[ID]])</f>
        <v>2</v>
      </c>
      <c r="M958" t="s">
        <v>202</v>
      </c>
      <c r="N958" t="s">
        <v>207</v>
      </c>
      <c r="O958">
        <v>1</v>
      </c>
      <c r="P958" s="37">
        <v>2017</v>
      </c>
      <c r="Q958">
        <v>2027</v>
      </c>
      <c r="R958" s="10">
        <f>IF(IFERROR(VLOOKUP(A958,Drank!A:S,15,FALSE),"")=0,"",IFERROR(VLOOKUP(A958,Drank!A:S,15,FALSE),""))</f>
        <v>2021</v>
      </c>
      <c r="S958" s="10">
        <f>IF(IFERROR(VLOOKUP(A958,Drank!A:S,16,FALSE),"")=0,"",IFERROR(VLOOKUP(A958,Drank!A:S,16,FALSE),""))</f>
        <v>2025</v>
      </c>
      <c r="T958" s="10"/>
      <c r="U958">
        <v>94</v>
      </c>
      <c r="V958" s="18">
        <f>IF(IFERROR(VLOOKUP(A958,Drank!A:T,19,FALSE),"")=0,"",IFERROR(VLOOKUP(A958,Drank!A:T,19,FALSE),""))</f>
        <v>93</v>
      </c>
      <c r="W958" s="1">
        <f>IF(IFERROR(VLOOKUP(A958,Drank!A:T,20,FALSE),"")=0,"",IFERROR(VLOOKUP(A958,Drank!A:T,20,FALSE),""))</f>
        <v>44071</v>
      </c>
      <c r="X958" s="10">
        <f>SUMIF(A:A,A958,I:I)</f>
        <v>6</v>
      </c>
      <c r="Y958" s="37">
        <f>IF(Table1[[#This Row],[Drank]]&gt;0,VLOOKUP(Table1[[#This Row],[ID]],Drank!A:P,16,FALSE),IF(Table1[[#This Row],[WALDD]]&gt;0,VLOOKUP(Table1[[#This Row],[ID]],Wine1!A:Q,17,FALSE),Table1[[#This Row],[EP]]))</f>
        <v>2025</v>
      </c>
      <c r="Z958" s="18">
        <f>IF(Table1[[#This Row],[My Rating]]="",IF(Table1[[#This Row],[WA Rating Clean]]="","",Table1[[#This Row],[WA Rating Clean]]),Table1[[#This Row],[My Rating]])</f>
        <v>93</v>
      </c>
      <c r="AA958" s="37">
        <v>2029</v>
      </c>
      <c r="AB958" s="4">
        <v>20</v>
      </c>
      <c r="AC958" s="2">
        <f t="shared" si="51"/>
        <v>20</v>
      </c>
      <c r="AD958" s="8">
        <v>2</v>
      </c>
      <c r="AE958" s="37">
        <f>IF(Table1[[#This Row],[P/750]]&lt;20,1,IF(Table1[[#This Row],[P/750]]&lt;50,2,3))</f>
        <v>2</v>
      </c>
      <c r="AF958" s="37">
        <f>IF(Table1[[#This Row],[P/750]]&lt;Expenses!$C$30,1,IF(Table1[[#This Row],[P/750]]&lt;Expenses!$C$31,2,IF(Table1[[#This Row],[P/750]]&lt;Expenses!$C$32,3,4)))</f>
        <v>2</v>
      </c>
      <c r="AH958" s="37" t="s">
        <v>385</v>
      </c>
      <c r="AI958" s="11">
        <f>Table1[[#This Row],[Price]]/Table1[[#This Row],[Size (ml)]]*750</f>
        <v>20</v>
      </c>
      <c r="AJ958">
        <v>94</v>
      </c>
      <c r="AK958" s="37">
        <f>COUNTIF(UniqueID!A:A,Table1[[#This Row],[ID]])</f>
        <v>0</v>
      </c>
      <c r="AL958" s="37" t="str">
        <f>VLOOKUP(Table1[[#This Row],[Cellar Location]],Location!A:F,6,FALSE)</f>
        <v>S</v>
      </c>
      <c r="AN958" s="37"/>
      <c r="AO958" s="37" t="str">
        <f>TEXT(Table1[[#This Row],[Purchased]],"mmmm")</f>
        <v>January</v>
      </c>
      <c r="AP958" s="10" t="str">
        <f>TEXT(Table1[[#This Row],[Purchased]],"yyyy")</f>
        <v>1900</v>
      </c>
      <c r="AQ958" s="10"/>
    </row>
    <row r="959" spans="1:43" x14ac:dyDescent="0.25">
      <c r="A959" t="str">
        <f t="shared" si="50"/>
        <v>2016Tenuta di NozzoleChianti Classico Riserva Nozzole</v>
      </c>
      <c r="B959" s="37">
        <v>2016</v>
      </c>
      <c r="C959" s="37" t="s">
        <v>100</v>
      </c>
      <c r="D959" s="37" t="s">
        <v>101</v>
      </c>
      <c r="E959" s="64" t="s">
        <v>399</v>
      </c>
      <c r="F959" s="37" t="s">
        <v>728</v>
      </c>
      <c r="G959" s="37" t="s">
        <v>790</v>
      </c>
      <c r="H959" s="37" t="s">
        <v>792</v>
      </c>
      <c r="I959" s="107">
        <v>1</v>
      </c>
      <c r="J959">
        <v>750</v>
      </c>
      <c r="K959" s="107" t="s">
        <v>619</v>
      </c>
      <c r="L959" s="37">
        <f>COUNTIF(Drank!A:A,Table1[[#This Row],[ID]])</f>
        <v>3</v>
      </c>
      <c r="M959" t="s">
        <v>202</v>
      </c>
      <c r="N959" t="s">
        <v>207</v>
      </c>
      <c r="O959">
        <v>1</v>
      </c>
      <c r="P959" s="37">
        <v>2019</v>
      </c>
      <c r="Q959">
        <v>2027</v>
      </c>
      <c r="R959" s="10">
        <f>IF(IFERROR(VLOOKUP(A959,Drank!A:S,15,FALSE),"")=0,"",IFERROR(VLOOKUP(A959,Drank!A:S,15,FALSE),""))</f>
        <v>2024</v>
      </c>
      <c r="S959" s="10">
        <f>IF(IFERROR(VLOOKUP(A959,Drank!A:S,16,FALSE),"")=0,"",IFERROR(VLOOKUP(A959,Drank!A:S,16,FALSE),""))</f>
        <v>2030</v>
      </c>
      <c r="T959" s="10"/>
      <c r="U959">
        <v>92</v>
      </c>
      <c r="V959" s="18">
        <f>IF(IFERROR(VLOOKUP(A959,Drank!A:T,19,FALSE),"")=0,"",IFERROR(VLOOKUP(A959,Drank!A:T,19,FALSE),""))</f>
        <v>91.333333333333329</v>
      </c>
      <c r="W959" s="1">
        <f>IF(IFERROR(VLOOKUP(A959,Drank!A:T,20,FALSE),"")=0,"",IFERROR(VLOOKUP(A959,Drank!A:T,20,FALSE),""))</f>
        <v>44058</v>
      </c>
      <c r="X959" s="10">
        <f>SUMIF(A:A,A959,I:I)</f>
        <v>6</v>
      </c>
      <c r="Y959" s="37">
        <f>IF(Table1[[#This Row],[Drank]]&gt;0,VLOOKUP(Table1[[#This Row],[ID]],Drank!A:P,16,FALSE),IF(Table1[[#This Row],[WALDD]]&gt;0,VLOOKUP(Table1[[#This Row],[ID]],Wine1!A:Q,17,FALSE),Table1[[#This Row],[EP]]))</f>
        <v>2030</v>
      </c>
      <c r="Z959" s="18">
        <f>IF(Table1[[#This Row],[My Rating]]="",IF(Table1[[#This Row],[WA Rating Clean]]="","",Table1[[#This Row],[WA Rating Clean]]),Table1[[#This Row],[My Rating]])</f>
        <v>91.333333333333329</v>
      </c>
      <c r="AA959" s="8">
        <v>2029</v>
      </c>
      <c r="AB959" s="4">
        <v>19.79</v>
      </c>
      <c r="AC959" s="2">
        <f t="shared" si="51"/>
        <v>19.79</v>
      </c>
      <c r="AD959" s="8">
        <v>2</v>
      </c>
      <c r="AE959" s="37">
        <f>IF(Table1[[#This Row],[P/750]]&lt;20,1,IF(Table1[[#This Row],[P/750]]&lt;50,2,3))</f>
        <v>1</v>
      </c>
      <c r="AF959" s="37">
        <f>IF(Table1[[#This Row],[P/750]]&lt;Expenses!$C$30,1,IF(Table1[[#This Row],[P/750]]&lt;Expenses!$C$31,2,IF(Table1[[#This Row],[P/750]]&lt;Expenses!$C$32,3,4)))</f>
        <v>2</v>
      </c>
      <c r="AH959" s="25" t="s">
        <v>1128</v>
      </c>
      <c r="AI959" s="11">
        <f>Table1[[#This Row],[Price]]/Table1[[#This Row],[Size (ml)]]*750</f>
        <v>19.79</v>
      </c>
      <c r="AJ959">
        <v>92</v>
      </c>
      <c r="AK959" s="37">
        <f>COUNTIF(UniqueID!A:A,Table1[[#This Row],[ID]])</f>
        <v>1</v>
      </c>
      <c r="AL959" s="37" t="str">
        <f>VLOOKUP(Table1[[#This Row],[Cellar Location]],Location!A:F,6,FALSE)</f>
        <v>S</v>
      </c>
      <c r="AN959" s="37"/>
      <c r="AO959" s="37" t="str">
        <f>TEXT(Table1[[#This Row],[Purchased]],"mmmm")</f>
        <v>January</v>
      </c>
      <c r="AP959" s="10" t="str">
        <f>TEXT(Table1[[#This Row],[Purchased]],"yyyy")</f>
        <v>1900</v>
      </c>
      <c r="AQ959" s="10"/>
    </row>
    <row r="960" spans="1:43" x14ac:dyDescent="0.25">
      <c r="A960" t="str">
        <f t="shared" si="50"/>
        <v>2016Anderson's Conn ValleyCabernet Sauvignon</v>
      </c>
      <c r="B960" s="37">
        <v>2016</v>
      </c>
      <c r="C960" s="37" t="s">
        <v>252</v>
      </c>
      <c r="D960" s="25" t="s">
        <v>32</v>
      </c>
      <c r="E960" s="68" t="s">
        <v>1269</v>
      </c>
      <c r="F960" s="37" t="s">
        <v>727</v>
      </c>
      <c r="G960" s="37" t="s">
        <v>806</v>
      </c>
      <c r="H960" s="37" t="s">
        <v>832</v>
      </c>
      <c r="I960" s="107">
        <v>1</v>
      </c>
      <c r="J960" s="37">
        <v>750</v>
      </c>
      <c r="K960" s="107" t="s">
        <v>926</v>
      </c>
      <c r="L960" s="37">
        <f>COUNTIF(Drank!A:A,Table1[[#This Row],[ID]])</f>
        <v>1</v>
      </c>
      <c r="M960" t="s">
        <v>202</v>
      </c>
      <c r="N960" t="s">
        <v>207</v>
      </c>
      <c r="O960">
        <v>1</v>
      </c>
      <c r="P960" s="37">
        <v>2019</v>
      </c>
      <c r="Q960">
        <v>2033</v>
      </c>
      <c r="R960" s="37">
        <f>IF(IFERROR(VLOOKUP(A960,Drank!A:S,15,FALSE),"")=0,"",IFERROR(VLOOKUP(A960,Drank!A:S,15,FALSE),""))</f>
        <v>2024</v>
      </c>
      <c r="S960" s="37">
        <f>IF(IFERROR(VLOOKUP(A960,Drank!A:S,16,FALSE),"")=0,"",IFERROR(VLOOKUP(A960,Drank!A:S,16,FALSE),""))</f>
        <v>2031</v>
      </c>
      <c r="T960" s="37"/>
      <c r="U960">
        <v>93</v>
      </c>
      <c r="V960" s="18">
        <f>IF(IFERROR(VLOOKUP(A960,Drank!A:T,19,FALSE),"")=0,"",IFERROR(VLOOKUP(A960,Drank!A:T,19,FALSE),""))</f>
        <v>93</v>
      </c>
      <c r="W960" s="1">
        <f>IF(IFERROR(VLOOKUP(A960,Drank!A:T,20,FALSE),"")=0,"",IFERROR(VLOOKUP(A960,Drank!A:T,20,FALSE),""))</f>
        <v>43582</v>
      </c>
      <c r="X960" s="37">
        <f>SUMIF(A:A,A960,I:I)</f>
        <v>3</v>
      </c>
      <c r="Y960" s="37">
        <f>IF(Table1[[#This Row],[Drank]]&gt;0,VLOOKUP(Table1[[#This Row],[ID]],Drank!A:P,16,FALSE),IF(Table1[[#This Row],[WALDD]]&gt;0,VLOOKUP(Table1[[#This Row],[ID]],Wine1!A:Q,17,FALSE),Table1[[#This Row],[EP]]))</f>
        <v>2031</v>
      </c>
      <c r="Z960" s="18">
        <f>IF(Table1[[#This Row],[My Rating]]="",IF(Table1[[#This Row],[WA Rating Clean]]="","",Table1[[#This Row],[WA Rating Clean]]),Table1[[#This Row],[My Rating]])</f>
        <v>93</v>
      </c>
      <c r="AA960" s="8">
        <v>2029</v>
      </c>
      <c r="AB960" s="4">
        <v>33</v>
      </c>
      <c r="AC960" s="2">
        <f t="shared" si="51"/>
        <v>33</v>
      </c>
      <c r="AD960" s="8">
        <v>2</v>
      </c>
      <c r="AE960" s="37">
        <f>IF(Table1[[#This Row],[P/750]]&lt;20,1,IF(Table1[[#This Row],[P/750]]&lt;50,2,3))</f>
        <v>2</v>
      </c>
      <c r="AF960" s="37">
        <f>IF(Table1[[#This Row],[P/750]]&lt;Expenses!$C$30,1,IF(Table1[[#This Row],[P/750]]&lt;Expenses!$C$31,2,IF(Table1[[#This Row],[P/750]]&lt;Expenses!$C$32,3,4)))</f>
        <v>3</v>
      </c>
      <c r="AH960" s="37" t="s">
        <v>385</v>
      </c>
      <c r="AI960" s="11">
        <f>Table1[[#This Row],[Price]]/Table1[[#This Row],[Size (ml)]]*750</f>
        <v>33</v>
      </c>
      <c r="AJ960">
        <v>93</v>
      </c>
      <c r="AK960" s="37">
        <f>COUNTIF(UniqueID!A:A,Table1[[#This Row],[ID]])</f>
        <v>1</v>
      </c>
      <c r="AL960" s="37" t="str">
        <f>VLOOKUP(Table1[[#This Row],[Cellar Location]],Location!A:F,6,FALSE)</f>
        <v>S</v>
      </c>
      <c r="AN960" s="37"/>
      <c r="AO960" s="37" t="str">
        <f>TEXT(Table1[[#This Row],[Purchased]],"mmmm")</f>
        <v>January</v>
      </c>
      <c r="AP960" s="10" t="str">
        <f>TEXT(Table1[[#This Row],[Purchased]],"yyyy")</f>
        <v>1900</v>
      </c>
      <c r="AQ960" s="10"/>
    </row>
    <row r="961" spans="1:43" x14ac:dyDescent="0.25">
      <c r="A961" t="str">
        <f t="shared" si="50"/>
        <v>2013Mazzei Chianti Classico Gran Selezione Castello Fonterutoli</v>
      </c>
      <c r="B961" s="37">
        <v>2013</v>
      </c>
      <c r="C961" s="9" t="s">
        <v>1380</v>
      </c>
      <c r="D961" s="9" t="s">
        <v>1379</v>
      </c>
      <c r="E961" s="67" t="s">
        <v>1381</v>
      </c>
      <c r="F961" s="37" t="s">
        <v>728</v>
      </c>
      <c r="G961" s="37" t="s">
        <v>790</v>
      </c>
      <c r="H961" s="9" t="s">
        <v>792</v>
      </c>
      <c r="I961" s="107">
        <v>1</v>
      </c>
      <c r="J961" s="37">
        <v>750</v>
      </c>
      <c r="K961" s="107" t="s">
        <v>1196</v>
      </c>
      <c r="L961" s="10">
        <f>COUNTIF(Drank!A:A,Table1[[#This Row],[ID]])</f>
        <v>1</v>
      </c>
      <c r="M961" t="s">
        <v>202</v>
      </c>
      <c r="N961" t="s">
        <v>207</v>
      </c>
      <c r="O961">
        <v>1</v>
      </c>
      <c r="P961" s="37">
        <v>2017</v>
      </c>
      <c r="Q961">
        <v>2030</v>
      </c>
      <c r="R961" s="10">
        <f>IF(IFERROR(VLOOKUP(A961,Drank!A:S,15,FALSE),"")=0,"",IFERROR(VLOOKUP(A961,Drank!A:S,15,FALSE),""))</f>
        <v>2026</v>
      </c>
      <c r="S961" s="10">
        <f>IF(IFERROR(VLOOKUP(A961,Drank!A:S,16,FALSE),"")=0,"",IFERROR(VLOOKUP(A961,Drank!A:S,16,FALSE),""))</f>
        <v>2032</v>
      </c>
      <c r="T961" s="10"/>
      <c r="U961">
        <v>94</v>
      </c>
      <c r="V961" s="18">
        <f>IF(IFERROR(VLOOKUP(A961,Drank!A:T,19,FALSE),"")=0,"",IFERROR(VLOOKUP(A961,Drank!A:T,19,FALSE),""))</f>
        <v>93</v>
      </c>
      <c r="W961" s="1">
        <f>IF(IFERROR(VLOOKUP(A961,Drank!A:T,20,FALSE),"")=0,"",IFERROR(VLOOKUP(A961,Drank!A:T,20,FALSE),""))</f>
        <v>44017</v>
      </c>
      <c r="X961" s="10">
        <f>SUMIF(A:A,A961,I:I)</f>
        <v>3</v>
      </c>
      <c r="Y961" s="10">
        <f>IF(Table1[[#This Row],[Drank]]&gt;0,VLOOKUP(Table1[[#This Row],[ID]],Drank!A:P,16,FALSE),IF(Table1[[#This Row],[WALDD]]&gt;0,VLOOKUP(Table1[[#This Row],[ID]],Wine1!A:Q,17,FALSE),Table1[[#This Row],[EP]]))</f>
        <v>2032</v>
      </c>
      <c r="Z961" s="18">
        <f>IF(Table1[[#This Row],[My Rating]]="",IF(Table1[[#This Row],[WA Rating Clean]]="","",Table1[[#This Row],[WA Rating Clean]]),Table1[[#This Row],[My Rating]])</f>
        <v>93</v>
      </c>
      <c r="AA961" s="37">
        <v>2029</v>
      </c>
      <c r="AB961" s="4">
        <v>35.840000000000003</v>
      </c>
      <c r="AC961" s="2">
        <f t="shared" si="51"/>
        <v>35.840000000000003</v>
      </c>
      <c r="AD961" s="8">
        <v>2</v>
      </c>
      <c r="AE961" s="10">
        <f>IF(Table1[[#This Row],[P/750]]&lt;20,1,IF(Table1[[#This Row],[P/750]]&lt;50,2,3))</f>
        <v>2</v>
      </c>
      <c r="AF961" s="10">
        <f>IF(Table1[[#This Row],[P/750]]&lt;Expenses!$C$30,1,IF(Table1[[#This Row],[P/750]]&lt;Expenses!$C$31,2,IF(Table1[[#This Row],[P/750]]&lt;Expenses!$C$32,3,4)))</f>
        <v>3</v>
      </c>
      <c r="AH961" s="25" t="s">
        <v>384</v>
      </c>
      <c r="AI961" s="11">
        <f>Table1[[#This Row],[Price]]/Table1[[#This Row],[Size (ml)]]*750</f>
        <v>35.840000000000003</v>
      </c>
      <c r="AJ961">
        <v>94</v>
      </c>
      <c r="AK961" s="10">
        <f>COUNTIF(UniqueID!A:A,Table1[[#This Row],[ID]])</f>
        <v>0</v>
      </c>
      <c r="AL961" s="10" t="str">
        <f>VLOOKUP(Table1[[#This Row],[Cellar Location]],Location!A:F,6,FALSE)</f>
        <v>S</v>
      </c>
      <c r="AN961" s="1">
        <v>43947</v>
      </c>
      <c r="AO961" s="10" t="str">
        <f>TEXT(Table1[[#This Row],[Purchased]],"mmmm")</f>
        <v>April</v>
      </c>
      <c r="AP961" s="10" t="str">
        <f>TEXT(Table1[[#This Row],[Purchased]],"yyyy")</f>
        <v>2020</v>
      </c>
      <c r="AQ961" s="10"/>
    </row>
    <row r="962" spans="1:43" x14ac:dyDescent="0.25">
      <c r="A962" t="str">
        <f t="shared" si="50"/>
        <v>2010FontanafreddaBarolo la Rosa</v>
      </c>
      <c r="B962" s="37">
        <v>2010</v>
      </c>
      <c r="C962" s="37" t="s">
        <v>428</v>
      </c>
      <c r="D962" s="37" t="s">
        <v>924</v>
      </c>
      <c r="E962" s="67" t="s">
        <v>1206</v>
      </c>
      <c r="F962" s="37" t="s">
        <v>728</v>
      </c>
      <c r="G962" s="37" t="s">
        <v>778</v>
      </c>
      <c r="H962" s="37" t="s">
        <v>268</v>
      </c>
      <c r="I962" s="107">
        <v>1</v>
      </c>
      <c r="J962">
        <v>750</v>
      </c>
      <c r="K962" s="107" t="s">
        <v>1133</v>
      </c>
      <c r="L962" s="10">
        <f>COUNTIF(Drank!A:A,Table1[[#This Row],[ID]])</f>
        <v>0</v>
      </c>
      <c r="M962" t="s">
        <v>202</v>
      </c>
      <c r="N962" t="s">
        <v>207</v>
      </c>
      <c r="O962">
        <v>1</v>
      </c>
      <c r="P962" s="10">
        <v>2017</v>
      </c>
      <c r="Q962">
        <v>2032</v>
      </c>
      <c r="R962" s="10" t="str">
        <f>IF(IFERROR(VLOOKUP(A962,Drank!A:S,15,FALSE),"")=0,"",IFERROR(VLOOKUP(A962,Drank!A:S,15,FALSE),""))</f>
        <v/>
      </c>
      <c r="S962" s="10" t="str">
        <f>IF(IFERROR(VLOOKUP(A962,Drank!A:S,16,FALSE),"")=0,"",IFERROR(VLOOKUP(A962,Drank!A:S,16,FALSE),""))</f>
        <v/>
      </c>
      <c r="T962" s="10"/>
      <c r="U962">
        <v>94</v>
      </c>
      <c r="V962" s="18" t="str">
        <f>IF(IFERROR(VLOOKUP(A962,Drank!A:T,19,FALSE),"")=0,"",IFERROR(VLOOKUP(A962,Drank!A:T,19,FALSE),""))</f>
        <v/>
      </c>
      <c r="W962" s="1" t="str">
        <f>IF(IFERROR(VLOOKUP(A962,Drank!A:T,20,FALSE),"")=0,"",IFERROR(VLOOKUP(A962,Drank!A:T,20,FALSE),""))</f>
        <v/>
      </c>
      <c r="X962" s="10">
        <f>SUMIF(A:A,A962,I:I)</f>
        <v>3</v>
      </c>
      <c r="Y962" s="10">
        <f>IF(Table1[[#This Row],[Drank]]&gt;0,VLOOKUP(Table1[[#This Row],[ID]],Drank!A:P,16,FALSE),IF(Table1[[#This Row],[WALDD]]&gt;0,VLOOKUP(Table1[[#This Row],[ID]],Wine1!A:Q,17,FALSE),Table1[[#This Row],[EP]]))</f>
        <v>2032</v>
      </c>
      <c r="Z962" s="18">
        <f>IF(Table1[[#This Row],[My Rating]]="",IF(Table1[[#This Row],[WA Rating Clean]]="","",Table1[[#This Row],[WA Rating Clean]]),Table1[[#This Row],[My Rating]])</f>
        <v>94</v>
      </c>
      <c r="AA962" s="37">
        <v>2029</v>
      </c>
      <c r="AB962" s="4">
        <v>60</v>
      </c>
      <c r="AC962" s="2">
        <f t="shared" si="51"/>
        <v>60</v>
      </c>
      <c r="AD962" s="8">
        <v>2</v>
      </c>
      <c r="AE962" s="10">
        <f>IF(Table1[[#This Row],[P/750]]&lt;20,1,IF(Table1[[#This Row],[P/750]]&lt;50,2,3))</f>
        <v>3</v>
      </c>
      <c r="AF962" s="10">
        <f>IF(Table1[[#This Row],[P/750]]&lt;Expenses!$C$30,1,IF(Table1[[#This Row],[P/750]]&lt;Expenses!$C$31,2,IF(Table1[[#This Row],[P/750]]&lt;Expenses!$C$32,3,4)))</f>
        <v>3</v>
      </c>
      <c r="AH962" s="37" t="s">
        <v>384</v>
      </c>
      <c r="AI962" s="11">
        <f>Table1[[#This Row],[Price]]/Table1[[#This Row],[Size (ml)]]*750</f>
        <v>60</v>
      </c>
      <c r="AJ962">
        <v>94</v>
      </c>
      <c r="AK962" s="10">
        <f>COUNTIF(UniqueID!A:A,Table1[[#This Row],[ID]])</f>
        <v>1</v>
      </c>
      <c r="AL962" s="37" t="str">
        <f>VLOOKUP(Table1[[#This Row],[Cellar Location]],Location!A:F,6,FALSE)</f>
        <v>S</v>
      </c>
      <c r="AN962" s="1">
        <v>43826</v>
      </c>
      <c r="AO962" s="37" t="str">
        <f>TEXT(Table1[[#This Row],[Purchased]],"mmmm")</f>
        <v>December</v>
      </c>
      <c r="AP962" s="10" t="str">
        <f>TEXT(Table1[[#This Row],[Purchased]],"yyyy")</f>
        <v>2019</v>
      </c>
      <c r="AQ962" s="10"/>
    </row>
    <row r="963" spans="1:43" x14ac:dyDescent="0.25">
      <c r="A963" t="str">
        <f t="shared" si="50"/>
        <v>2015Produttori del BarbarescoBarbaresco</v>
      </c>
      <c r="B963" s="37">
        <v>2015</v>
      </c>
      <c r="C963" s="37" t="s">
        <v>248</v>
      </c>
      <c r="D963" s="37" t="s">
        <v>249</v>
      </c>
      <c r="E963" s="67" t="s">
        <v>1206</v>
      </c>
      <c r="F963" s="37" t="s">
        <v>728</v>
      </c>
      <c r="G963" s="37" t="s">
        <v>778</v>
      </c>
      <c r="H963" s="37" t="s">
        <v>249</v>
      </c>
      <c r="I963" s="107">
        <v>1</v>
      </c>
      <c r="J963">
        <v>750</v>
      </c>
      <c r="K963" s="107" t="s">
        <v>648</v>
      </c>
      <c r="L963" s="37">
        <f>COUNTIF(Drank!A:A,Table1[[#This Row],[ID]])</f>
        <v>2</v>
      </c>
      <c r="M963" t="s">
        <v>202</v>
      </c>
      <c r="N963" t="s">
        <v>207</v>
      </c>
      <c r="O963">
        <v>1</v>
      </c>
      <c r="P963" s="37">
        <v>2020</v>
      </c>
      <c r="Q963">
        <v>2038</v>
      </c>
      <c r="R963" s="10">
        <f>IF(IFERROR(VLOOKUP(A963,Drank!A:S,15,FALSE),"")=0,"",IFERROR(VLOOKUP(A963,Drank!A:S,15,FALSE),""))</f>
        <v>2024</v>
      </c>
      <c r="S963" s="10">
        <f>IF(IFERROR(VLOOKUP(A963,Drank!A:S,16,FALSE),"")=0,"",IFERROR(VLOOKUP(A963,Drank!A:S,16,FALSE),""))</f>
        <v>2032</v>
      </c>
      <c r="T963" s="10"/>
      <c r="U963">
        <v>93</v>
      </c>
      <c r="V963" s="18">
        <f>IF(IFERROR(VLOOKUP(A963,Drank!A:T,19,FALSE),"")=0,"",IFERROR(VLOOKUP(A963,Drank!A:T,19,FALSE),""))</f>
        <v>93.5</v>
      </c>
      <c r="W963" s="1">
        <f>IF(IFERROR(VLOOKUP(A963,Drank!A:T,20,FALSE),"")=0,"",IFERROR(VLOOKUP(A963,Drank!A:T,20,FALSE),""))</f>
        <v>43757</v>
      </c>
      <c r="X963" s="10">
        <f>SUMIF(A:A,A963,I:I)</f>
        <v>5</v>
      </c>
      <c r="Y963" s="37">
        <f>IF(Table1[[#This Row],[Drank]]&gt;0,VLOOKUP(Table1[[#This Row],[ID]],Drank!A:P,16,FALSE),IF(Table1[[#This Row],[WALDD]]&gt;0,VLOOKUP(Table1[[#This Row],[ID]],Wine1!A:Q,17,FALSE),Table1[[#This Row],[EP]]))</f>
        <v>2032</v>
      </c>
      <c r="Z963" s="18">
        <f>IF(Table1[[#This Row],[My Rating]]="",IF(Table1[[#This Row],[WA Rating Clean]]="","",Table1[[#This Row],[WA Rating Clean]]),Table1[[#This Row],[My Rating]])</f>
        <v>93.5</v>
      </c>
      <c r="AA963" s="6">
        <v>2029</v>
      </c>
      <c r="AB963" s="4">
        <v>40.49</v>
      </c>
      <c r="AC963" s="2">
        <f t="shared" si="51"/>
        <v>40.49</v>
      </c>
      <c r="AD963" s="8">
        <v>2</v>
      </c>
      <c r="AE963" s="37">
        <f>IF(Table1[[#This Row],[P/750]]&lt;20,1,IF(Table1[[#This Row],[P/750]]&lt;50,2,3))</f>
        <v>2</v>
      </c>
      <c r="AF963" s="37">
        <f>IF(Table1[[#This Row],[P/750]]&lt;Expenses!$C$30,1,IF(Table1[[#This Row],[P/750]]&lt;Expenses!$C$31,2,IF(Table1[[#This Row],[P/750]]&lt;Expenses!$C$32,3,4)))</f>
        <v>3</v>
      </c>
      <c r="AH963" s="37" t="s">
        <v>1128</v>
      </c>
      <c r="AI963" s="11">
        <f>Table1[[#This Row],[Price]]/Table1[[#This Row],[Size (ml)]]*750</f>
        <v>40.49</v>
      </c>
      <c r="AJ963">
        <v>93</v>
      </c>
      <c r="AK963" s="37">
        <f>COUNTIF(UniqueID!A:A,Table1[[#This Row],[ID]])</f>
        <v>1</v>
      </c>
      <c r="AL963" s="37" t="str">
        <f>VLOOKUP(Table1[[#This Row],[Cellar Location]],Location!A:F,6,FALSE)</f>
        <v>S</v>
      </c>
      <c r="AN963" s="37"/>
      <c r="AO963" s="37" t="str">
        <f>TEXT(Table1[[#This Row],[Purchased]],"mmmm")</f>
        <v>January</v>
      </c>
      <c r="AP963" s="10" t="str">
        <f>TEXT(Table1[[#This Row],[Purchased]],"yyyy")</f>
        <v>1900</v>
      </c>
      <c r="AQ963" s="10"/>
    </row>
    <row r="964" spans="1:43" x14ac:dyDescent="0.25">
      <c r="A964" t="str">
        <f t="shared" si="50"/>
        <v>2014AllegriniAmarone della Valpolicella Classico</v>
      </c>
      <c r="B964" s="8">
        <v>2014</v>
      </c>
      <c r="C964" s="37" t="s">
        <v>111</v>
      </c>
      <c r="D964" s="37" t="s">
        <v>26</v>
      </c>
      <c r="E964" s="64" t="s">
        <v>313</v>
      </c>
      <c r="F964" s="37" t="s">
        <v>728</v>
      </c>
      <c r="G964" s="37" t="s">
        <v>799</v>
      </c>
      <c r="H964" s="37" t="s">
        <v>800</v>
      </c>
      <c r="I964" s="37">
        <v>1</v>
      </c>
      <c r="J964" s="107">
        <v>750</v>
      </c>
      <c r="K964" s="8" t="s">
        <v>1832</v>
      </c>
      <c r="L964" s="37">
        <f>COUNTIF(Drank!A:A,Table1[[#This Row],[ID]])</f>
        <v>1</v>
      </c>
      <c r="M964" t="s">
        <v>202</v>
      </c>
      <c r="N964" t="s">
        <v>207</v>
      </c>
      <c r="O964">
        <v>1</v>
      </c>
      <c r="P964" s="37">
        <v>2019</v>
      </c>
      <c r="Q964">
        <v>2030</v>
      </c>
      <c r="R964" s="10">
        <f>IF(IFERROR(VLOOKUP(A964,Drank!A:S,15,FALSE),"")=0,"",IFERROR(VLOOKUP(A964,Drank!A:S,15,FALSE),""))</f>
        <v>2025</v>
      </c>
      <c r="S964" s="10">
        <f>IF(IFERROR(VLOOKUP(A964,Drank!A:S,16,FALSE),"")=0,"",IFERROR(VLOOKUP(A964,Drank!A:S,16,FALSE),""))</f>
        <v>2032</v>
      </c>
      <c r="T964" s="10"/>
      <c r="U964">
        <v>91</v>
      </c>
      <c r="V964" s="18">
        <f>IF(IFERROR(VLOOKUP(A964,Drank!A:T,19,FALSE),"")=0,"",IFERROR(VLOOKUP(A964,Drank!A:T,19,FALSE),""))</f>
        <v>94</v>
      </c>
      <c r="W964" s="1">
        <f>IF(IFERROR(VLOOKUP(A964,Drank!A:T,20,FALSE),"")=0,"",IFERROR(VLOOKUP(A964,Drank!A:T,20,FALSE),""))</f>
        <v>43681</v>
      </c>
      <c r="X964" s="10">
        <f>SUMIF(A:A,A964,I:I)</f>
        <v>2</v>
      </c>
      <c r="Y964" s="37">
        <f>IF(Table1[[#This Row],[Drank]]&gt;0,VLOOKUP(Table1[[#This Row],[ID]],Drank!A:P,16,FALSE),IF(Table1[[#This Row],[WALDD]]&gt;0,VLOOKUP(Table1[[#This Row],[ID]],Wine1!A:Q,17,FALSE),Table1[[#This Row],[EP]]))</f>
        <v>2032</v>
      </c>
      <c r="Z964" s="18">
        <f>IF(Table1[[#This Row],[My Rating]]="",IF(Table1[[#This Row],[WA Rating Clean]]="","",Table1[[#This Row],[WA Rating Clean]]),Table1[[#This Row],[My Rating]])</f>
        <v>94</v>
      </c>
      <c r="AA964" s="37">
        <v>2029</v>
      </c>
      <c r="AB964" s="4">
        <v>67.489999999999995</v>
      </c>
      <c r="AC964" s="2">
        <f t="shared" si="51"/>
        <v>67.489999999999995</v>
      </c>
      <c r="AD964" s="8">
        <v>0</v>
      </c>
      <c r="AE964" s="37">
        <f>IF(Table1[[#This Row],[P/750]]&lt;20,1,IF(Table1[[#This Row],[P/750]]&lt;50,2,3))</f>
        <v>3</v>
      </c>
      <c r="AF964" s="37">
        <f>IF(Table1[[#This Row],[P/750]]&lt;Expenses!$C$30,1,IF(Table1[[#This Row],[P/750]]&lt;Expenses!$C$31,2,IF(Table1[[#This Row],[P/750]]&lt;Expenses!$C$32,3,4)))</f>
        <v>4</v>
      </c>
      <c r="AH964" s="25" t="s">
        <v>1128</v>
      </c>
      <c r="AI964" s="11">
        <f>Table1[[#This Row],[Price]]/Table1[[#This Row],[Size (ml)]]*750</f>
        <v>67.489999999999995</v>
      </c>
      <c r="AJ964">
        <v>91</v>
      </c>
      <c r="AK964" s="37">
        <f>COUNTIF(UniqueID!A:A,Table1[[#This Row],[ID]])</f>
        <v>1</v>
      </c>
      <c r="AL964" s="37" t="str">
        <f>VLOOKUP(Table1[[#This Row],[Cellar Location]],Location!A:F,6,FALSE)</f>
        <v>S</v>
      </c>
      <c r="AN964" s="37"/>
      <c r="AO964" s="37" t="str">
        <f>TEXT(Table1[[#This Row],[Purchased]],"mmmm")</f>
        <v>January</v>
      </c>
      <c r="AP964" s="10" t="str">
        <f>TEXT(Table1[[#This Row],[Purchased]],"yyyy")</f>
        <v>1900</v>
      </c>
      <c r="AQ964" s="10"/>
    </row>
    <row r="965" spans="1:43" x14ac:dyDescent="0.25">
      <c r="A965" t="str">
        <f t="shared" si="50"/>
        <v>2016FontanabiancaBarbaresco</v>
      </c>
      <c r="B965" s="37">
        <v>2016</v>
      </c>
      <c r="C965" s="9" t="s">
        <v>1312</v>
      </c>
      <c r="D965" s="9" t="s">
        <v>249</v>
      </c>
      <c r="E965" s="67" t="s">
        <v>1206</v>
      </c>
      <c r="F965" s="37" t="s">
        <v>728</v>
      </c>
      <c r="G965" s="37" t="s">
        <v>778</v>
      </c>
      <c r="H965" s="37" t="s">
        <v>249</v>
      </c>
      <c r="I965" s="107">
        <v>1</v>
      </c>
      <c r="J965" s="37">
        <v>750</v>
      </c>
      <c r="K965" s="107" t="s">
        <v>1406</v>
      </c>
      <c r="L965" s="10">
        <f>COUNTIF(Drank!A:A,Table1[[#This Row],[ID]])</f>
        <v>2</v>
      </c>
      <c r="M965" t="s">
        <v>202</v>
      </c>
      <c r="N965" t="s">
        <v>207</v>
      </c>
      <c r="O965">
        <v>1</v>
      </c>
      <c r="P965" s="37">
        <v>2020</v>
      </c>
      <c r="Q965">
        <v>2033</v>
      </c>
      <c r="R965" s="10">
        <f>IF(IFERROR(VLOOKUP(A965,Drank!A:S,15,FALSE),"")=0,"",IFERROR(VLOOKUP(A965,Drank!A:S,15,FALSE),""))</f>
        <v>2022</v>
      </c>
      <c r="S965" s="10">
        <f>IF(IFERROR(VLOOKUP(A965,Drank!A:S,16,FALSE),"")=0,"",IFERROR(VLOOKUP(A965,Drank!A:S,16,FALSE),""))</f>
        <v>2032</v>
      </c>
      <c r="T965" s="10"/>
      <c r="U965">
        <v>93</v>
      </c>
      <c r="V965" s="18">
        <f>IF(IFERROR(VLOOKUP(A965,Drank!A:T,19,FALSE),"")=0,"",IFERROR(VLOOKUP(A965,Drank!A:T,19,FALSE),""))</f>
        <v>93.5</v>
      </c>
      <c r="W965" s="1">
        <f>IF(IFERROR(VLOOKUP(A965,Drank!A:T,20,FALSE),"")=0,"",IFERROR(VLOOKUP(A965,Drank!A:T,20,FALSE),""))</f>
        <v>44059</v>
      </c>
      <c r="X965" s="10">
        <f>SUMIF(A:A,A965,I:I)</f>
        <v>3</v>
      </c>
      <c r="Y965" s="10">
        <f>IF(Table1[[#This Row],[Drank]]&gt;0,VLOOKUP(Table1[[#This Row],[ID]],Drank!A:P,16,FALSE),IF(Table1[[#This Row],[WALDD]]&gt;0,VLOOKUP(Table1[[#This Row],[ID]],Wine1!A:Q,17,FALSE),Table1[[#This Row],[EP]]))</f>
        <v>2032</v>
      </c>
      <c r="Z965" s="18">
        <f>IF(Table1[[#This Row],[My Rating]]="",IF(Table1[[#This Row],[WA Rating Clean]]="","",Table1[[#This Row],[WA Rating Clean]]),Table1[[#This Row],[My Rating]])</f>
        <v>93.5</v>
      </c>
      <c r="AA965" s="8">
        <v>2029</v>
      </c>
      <c r="AB965" s="4">
        <v>41.07</v>
      </c>
      <c r="AC965" s="2">
        <f t="shared" si="51"/>
        <v>41.07</v>
      </c>
      <c r="AD965" s="8">
        <v>2</v>
      </c>
      <c r="AE965" s="10">
        <f>IF(Table1[[#This Row],[P/750]]&lt;20,1,IF(Table1[[#This Row],[P/750]]&lt;50,2,3))</f>
        <v>2</v>
      </c>
      <c r="AF965" s="10">
        <f>IF(Table1[[#This Row],[P/750]]&lt;Expenses!$C$30,1,IF(Table1[[#This Row],[P/750]]&lt;Expenses!$C$31,2,IF(Table1[[#This Row],[P/750]]&lt;Expenses!$C$32,3,4)))</f>
        <v>3</v>
      </c>
      <c r="AH965" t="s">
        <v>1128</v>
      </c>
      <c r="AI965" s="11">
        <f>Table1[[#This Row],[Price]]/Table1[[#This Row],[Size (ml)]]*750</f>
        <v>41.07</v>
      </c>
      <c r="AJ965">
        <v>93</v>
      </c>
      <c r="AK965" s="10">
        <f>COUNTIF(UniqueID!A:A,Table1[[#This Row],[ID]])</f>
        <v>0</v>
      </c>
      <c r="AL965" s="10" t="str">
        <f>VLOOKUP(Table1[[#This Row],[Cellar Location]],Location!A:F,6,FALSE)</f>
        <v>S</v>
      </c>
      <c r="AN965" s="1">
        <v>43966</v>
      </c>
      <c r="AO965" s="10" t="str">
        <f>TEXT(Table1[[#This Row],[Purchased]],"mmmm")</f>
        <v>May</v>
      </c>
      <c r="AP965" s="10" t="str">
        <f>TEXT(Table1[[#This Row],[Purchased]],"yyyy")</f>
        <v>2020</v>
      </c>
      <c r="AQ965" s="10"/>
    </row>
    <row r="966" spans="1:43" x14ac:dyDescent="0.25">
      <c r="A966" t="str">
        <f t="shared" si="50"/>
        <v>2014Castellare di CastellinaI Sodi di S. NiccolÃ²</v>
      </c>
      <c r="B966" s="37">
        <v>2014</v>
      </c>
      <c r="C966" s="37" t="s">
        <v>403</v>
      </c>
      <c r="D966" s="25" t="s">
        <v>404</v>
      </c>
      <c r="E966" s="67" t="s">
        <v>1260</v>
      </c>
      <c r="F966" s="37" t="s">
        <v>728</v>
      </c>
      <c r="G966" s="37" t="s">
        <v>790</v>
      </c>
      <c r="H966" s="37" t="s">
        <v>796</v>
      </c>
      <c r="I966" s="107">
        <v>1</v>
      </c>
      <c r="J966" s="37">
        <v>750</v>
      </c>
      <c r="K966" s="107" t="s">
        <v>646</v>
      </c>
      <c r="L966" s="37">
        <f>COUNTIF(Drank!A:A,Table1[[#This Row],[ID]])</f>
        <v>0</v>
      </c>
      <c r="M966" s="37" t="s">
        <v>202</v>
      </c>
      <c r="N966" s="37" t="s">
        <v>207</v>
      </c>
      <c r="O966">
        <v>1</v>
      </c>
      <c r="P966" s="37">
        <v>2019</v>
      </c>
      <c r="Q966">
        <v>2033</v>
      </c>
      <c r="R966" s="10" t="str">
        <f>IF(IFERROR(VLOOKUP(A966,Drank!A:S,15,FALSE),"")=0,"",IFERROR(VLOOKUP(A966,Drank!A:S,15,FALSE),""))</f>
        <v/>
      </c>
      <c r="S966" s="10" t="str">
        <f>IF(IFERROR(VLOOKUP(A966,Drank!A:S,16,FALSE),"")=0,"",IFERROR(VLOOKUP(A966,Drank!A:S,16,FALSE),""))</f>
        <v/>
      </c>
      <c r="T966" s="10"/>
      <c r="U966" t="s">
        <v>17</v>
      </c>
      <c r="V966" s="18" t="str">
        <f>IF(IFERROR(VLOOKUP(A966,Drank!A:T,19,FALSE),"")=0,"",IFERROR(VLOOKUP(A966,Drank!A:T,19,FALSE),""))</f>
        <v/>
      </c>
      <c r="W966" s="1" t="str">
        <f>IF(IFERROR(VLOOKUP(A966,Drank!A:T,20,FALSE),"")=0,"",IFERROR(VLOOKUP(A966,Drank!A:T,20,FALSE),""))</f>
        <v/>
      </c>
      <c r="X966" s="10">
        <f>SUMIF(A:A,A966,I:I)</f>
        <v>4</v>
      </c>
      <c r="Y966" s="37">
        <f>IF(Table1[[#This Row],[Drank]]&gt;0,VLOOKUP(Table1[[#This Row],[ID]],Drank!A:P,16,FALSE),IF(Table1[[#This Row],[WALDD]]&gt;0,VLOOKUP(Table1[[#This Row],[ID]],Wine1!A:Q,17,FALSE),Table1[[#This Row],[EP]]))</f>
        <v>2033</v>
      </c>
      <c r="Z966" s="18">
        <f>IF(Table1[[#This Row],[My Rating]]="",IF(Table1[[#This Row],[WA Rating Clean]]="","",Table1[[#This Row],[WA Rating Clean]]),Table1[[#This Row],[My Rating]])</f>
        <v>94</v>
      </c>
      <c r="AA966" s="6">
        <v>2029</v>
      </c>
      <c r="AB966" s="4">
        <v>52</v>
      </c>
      <c r="AC966" s="2">
        <f t="shared" si="51"/>
        <v>52</v>
      </c>
      <c r="AD966" s="8">
        <v>2</v>
      </c>
      <c r="AE966" s="37">
        <f>IF(Table1[[#This Row],[P/750]]&lt;20,1,IF(Table1[[#This Row],[P/750]]&lt;50,2,3))</f>
        <v>3</v>
      </c>
      <c r="AF966" s="37">
        <f>IF(Table1[[#This Row],[P/750]]&lt;Expenses!$C$30,1,IF(Table1[[#This Row],[P/750]]&lt;Expenses!$C$31,2,IF(Table1[[#This Row],[P/750]]&lt;Expenses!$C$32,3,4)))</f>
        <v>3</v>
      </c>
      <c r="AH966" s="37" t="s">
        <v>385</v>
      </c>
      <c r="AI966" s="11">
        <f>Table1[[#This Row],[Price]]/Table1[[#This Row],[Size (ml)]]*750</f>
        <v>52</v>
      </c>
      <c r="AJ966">
        <v>94</v>
      </c>
      <c r="AK966" s="37">
        <f>COUNTIF(UniqueID!A:A,Table1[[#This Row],[ID]])</f>
        <v>1</v>
      </c>
      <c r="AL966" s="37" t="str">
        <f>VLOOKUP(Table1[[#This Row],[Cellar Location]],Location!A:F,6,FALSE)</f>
        <v>S</v>
      </c>
      <c r="AN966" s="37"/>
      <c r="AO966" s="37" t="str">
        <f>TEXT(Table1[[#This Row],[Purchased]],"mmmm")</f>
        <v>January</v>
      </c>
      <c r="AP966" s="10" t="str">
        <f>TEXT(Table1[[#This Row],[Purchased]],"yyyy")</f>
        <v>1900</v>
      </c>
      <c r="AQ966" s="10"/>
    </row>
    <row r="967" spans="1:43" x14ac:dyDescent="0.25">
      <c r="A967" t="str">
        <f t="shared" si="50"/>
        <v>2015CortonesiBrunello di Montalcino La Mannella</v>
      </c>
      <c r="B967" s="37">
        <v>2015</v>
      </c>
      <c r="C967" s="37" t="s">
        <v>72</v>
      </c>
      <c r="D967" s="25" t="s">
        <v>73</v>
      </c>
      <c r="E967" s="67" t="s">
        <v>1250</v>
      </c>
      <c r="F967" s="37" t="s">
        <v>728</v>
      </c>
      <c r="G967" s="37" t="s">
        <v>790</v>
      </c>
      <c r="H967" s="37" t="s">
        <v>19</v>
      </c>
      <c r="I967" s="107">
        <v>1</v>
      </c>
      <c r="J967" s="37">
        <v>750</v>
      </c>
      <c r="K967" s="107" t="s">
        <v>1195</v>
      </c>
      <c r="L967" s="10">
        <f>COUNTIF(Drank!A:A,Table1[[#This Row],[ID]])</f>
        <v>1</v>
      </c>
      <c r="M967" s="37" t="s">
        <v>202</v>
      </c>
      <c r="N967" s="37" t="s">
        <v>207</v>
      </c>
      <c r="O967">
        <v>1</v>
      </c>
      <c r="P967" s="37">
        <v>2021</v>
      </c>
      <c r="Q967" s="37">
        <v>2035</v>
      </c>
      <c r="R967" s="10">
        <f>IF(IFERROR(VLOOKUP(A967,Drank!A:S,15,FALSE),"")=0,"",IFERROR(VLOOKUP(A967,Drank!A:S,15,FALSE),""))</f>
        <v>2026</v>
      </c>
      <c r="S967" s="10">
        <f>IF(IFERROR(VLOOKUP(A967,Drank!A:S,16,FALSE),"")=0,"",IFERROR(VLOOKUP(A967,Drank!A:S,16,FALSE),""))</f>
        <v>2033</v>
      </c>
      <c r="T967" s="10"/>
      <c r="U967">
        <v>94</v>
      </c>
      <c r="V967" s="18">
        <f>IF(IFERROR(VLOOKUP(A967,Drank!A:T,19,FALSE),"")=0,"",IFERROR(VLOOKUP(A967,Drank!A:T,19,FALSE),""))</f>
        <v>94</v>
      </c>
      <c r="W967" s="1">
        <f>IF(IFERROR(VLOOKUP(A967,Drank!A:T,20,FALSE),"")=0,"",IFERROR(VLOOKUP(A967,Drank!A:T,20,FALSE),""))</f>
        <v>43995</v>
      </c>
      <c r="X967" s="10">
        <f>SUMIF(A:A,A967,I:I)</f>
        <v>23</v>
      </c>
      <c r="Y967" s="10">
        <f>IF(Table1[[#This Row],[Drank]]&gt;0,VLOOKUP(Table1[[#This Row],[ID]],Drank!A:P,16,FALSE),IF(Table1[[#This Row],[WALDD]]&gt;0,VLOOKUP(Table1[[#This Row],[ID]],Wine1!A:Q,17,FALSE),Table1[[#This Row],[EP]]))</f>
        <v>2033</v>
      </c>
      <c r="Z967" s="18">
        <f>IF(Table1[[#This Row],[My Rating]]="",IF(Table1[[#This Row],[WA Rating Clean]]="","",Table1[[#This Row],[WA Rating Clean]]),Table1[[#This Row],[My Rating]])</f>
        <v>94</v>
      </c>
      <c r="AA967" s="37">
        <v>2029</v>
      </c>
      <c r="AB967" s="4">
        <v>36.92</v>
      </c>
      <c r="AC967" s="2">
        <f t="shared" si="51"/>
        <v>36.92</v>
      </c>
      <c r="AD967" s="8">
        <v>2</v>
      </c>
      <c r="AE967" s="10">
        <f>IF(Table1[[#This Row],[P/750]]&lt;20,1,IF(Table1[[#This Row],[P/750]]&lt;50,2,3))</f>
        <v>2</v>
      </c>
      <c r="AF967" s="10">
        <f>IF(Table1[[#This Row],[P/750]]&lt;Expenses!$C$30,1,IF(Table1[[#This Row],[P/750]]&lt;Expenses!$C$31,2,IF(Table1[[#This Row],[P/750]]&lt;Expenses!$C$32,3,4)))</f>
        <v>3</v>
      </c>
      <c r="AH967" s="37" t="s">
        <v>384</v>
      </c>
      <c r="AI967" s="11">
        <f>Table1[[#This Row],[Price]]/Table1[[#This Row],[Size (ml)]]*750</f>
        <v>36.92</v>
      </c>
      <c r="AJ967">
        <v>94</v>
      </c>
      <c r="AK967" s="10">
        <f>COUNTIF(UniqueID!A:A,Table1[[#This Row],[ID]])</f>
        <v>0</v>
      </c>
      <c r="AL967" s="10" t="str">
        <f>VLOOKUP(Table1[[#This Row],[Cellar Location]],Location!A:F,6,FALSE)</f>
        <v>S</v>
      </c>
      <c r="AN967" s="1">
        <v>43984</v>
      </c>
      <c r="AO967" s="10" t="str">
        <f>TEXT(Table1[[#This Row],[Purchased]],"mmmm")</f>
        <v>June</v>
      </c>
      <c r="AP967" s="10" t="str">
        <f>TEXT(Table1[[#This Row],[Purchased]],"yyyy")</f>
        <v>2020</v>
      </c>
      <c r="AQ967" s="10"/>
    </row>
    <row r="968" spans="1:43" x14ac:dyDescent="0.25">
      <c r="A968" t="str">
        <f t="shared" si="50"/>
        <v>2013FontanafreddaBarolo Serralunga</v>
      </c>
      <c r="B968" s="37">
        <v>2013</v>
      </c>
      <c r="C968" s="37" t="s">
        <v>428</v>
      </c>
      <c r="D968" s="37" t="s">
        <v>429</v>
      </c>
      <c r="E968" s="67" t="s">
        <v>1206</v>
      </c>
      <c r="F968" s="37" t="s">
        <v>728</v>
      </c>
      <c r="G968" s="37" t="s">
        <v>778</v>
      </c>
      <c r="H968" s="37" t="s">
        <v>783</v>
      </c>
      <c r="I968" s="107">
        <v>1</v>
      </c>
      <c r="J968" s="37">
        <v>1000</v>
      </c>
      <c r="K968" s="107" t="s">
        <v>625</v>
      </c>
      <c r="L968" s="37">
        <f>COUNTIF(Drank!A:A,Table1[[#This Row],[ID]])</f>
        <v>2</v>
      </c>
      <c r="M968" s="37" t="s">
        <v>202</v>
      </c>
      <c r="N968" s="37" t="s">
        <v>207</v>
      </c>
      <c r="O968">
        <v>1</v>
      </c>
      <c r="P968" s="37">
        <v>2018</v>
      </c>
      <c r="Q968" s="37">
        <v>2030</v>
      </c>
      <c r="R968" s="10">
        <f>IF(IFERROR(VLOOKUP(A968,Drank!A:S,15,FALSE),"")=0,"",IFERROR(VLOOKUP(A968,Drank!A:S,15,FALSE),""))</f>
        <v>2025</v>
      </c>
      <c r="S968" s="10">
        <f>IF(IFERROR(VLOOKUP(A968,Drank!A:S,16,FALSE),"")=0,"",IFERROR(VLOOKUP(A968,Drank!A:S,16,FALSE),""))</f>
        <v>2033</v>
      </c>
      <c r="T968" s="10"/>
      <c r="U968">
        <v>92</v>
      </c>
      <c r="V968" s="18">
        <f>IF(IFERROR(VLOOKUP(A968,Drank!A:T,19,FALSE),"")=0,"",IFERROR(VLOOKUP(A968,Drank!A:T,19,FALSE),""))</f>
        <v>91.5</v>
      </c>
      <c r="W968" s="1">
        <f>IF(IFERROR(VLOOKUP(A968,Drank!A:T,20,FALSE),"")=0,"",IFERROR(VLOOKUP(A968,Drank!A:T,20,FALSE),""))</f>
        <v>44057</v>
      </c>
      <c r="X968" s="10">
        <f>SUMIF(A:A,A968,I:I)</f>
        <v>7</v>
      </c>
      <c r="Y968" s="37">
        <f>IF(Table1[[#This Row],[Drank]]&gt;0,VLOOKUP(Table1[[#This Row],[ID]],Drank!A:P,16,FALSE),IF(Table1[[#This Row],[WALDD]]&gt;0,VLOOKUP(Table1[[#This Row],[ID]],Wine1!A:Q,17,FALSE),Table1[[#This Row],[EP]]))</f>
        <v>2033</v>
      </c>
      <c r="Z968" s="18">
        <f>IF(Table1[[#This Row],[My Rating]]="",IF(Table1[[#This Row],[WA Rating Clean]]="","",Table1[[#This Row],[WA Rating Clean]]),Table1[[#This Row],[My Rating]])</f>
        <v>91.5</v>
      </c>
      <c r="AA968" s="8">
        <v>2029</v>
      </c>
      <c r="AB968" s="4">
        <v>32.99</v>
      </c>
      <c r="AC968" s="2">
        <f t="shared" si="51"/>
        <v>32.99</v>
      </c>
      <c r="AD968" s="8">
        <v>2</v>
      </c>
      <c r="AE968" s="37">
        <f>IF(Table1[[#This Row],[P/750]]&lt;20,1,IF(Table1[[#This Row],[P/750]]&lt;50,2,3))</f>
        <v>2</v>
      </c>
      <c r="AF968" s="37">
        <f>IF(Table1[[#This Row],[P/750]]&lt;Expenses!$C$30,1,IF(Table1[[#This Row],[P/750]]&lt;Expenses!$C$31,2,IF(Table1[[#This Row],[P/750]]&lt;Expenses!$C$32,3,4)))</f>
        <v>2</v>
      </c>
      <c r="AH968" t="s">
        <v>384</v>
      </c>
      <c r="AI968" s="11">
        <f>Table1[[#This Row],[Price]]/Table1[[#This Row],[Size (ml)]]*750</f>
        <v>24.742500000000003</v>
      </c>
      <c r="AJ968">
        <v>92</v>
      </c>
      <c r="AK968" s="37">
        <f>COUNTIF(UniqueID!A:A,Table1[[#This Row],[ID]])</f>
        <v>1</v>
      </c>
      <c r="AL968" s="37" t="str">
        <f>VLOOKUP(Table1[[#This Row],[Cellar Location]],Location!A:F,6,FALSE)</f>
        <v>S</v>
      </c>
      <c r="AN968" s="1">
        <v>43806</v>
      </c>
      <c r="AO968" s="37" t="str">
        <f>TEXT(Table1[[#This Row],[Purchased]],"mmmm")</f>
        <v>December</v>
      </c>
      <c r="AP968" s="10" t="str">
        <f>TEXT(Table1[[#This Row],[Purchased]],"yyyy")</f>
        <v>2019</v>
      </c>
      <c r="AQ968" s="10"/>
    </row>
    <row r="969" spans="1:43" x14ac:dyDescent="0.25">
      <c r="A969" t="str">
        <f t="shared" si="50"/>
        <v>2016Produttori del BarbarescoBarbaresco</v>
      </c>
      <c r="B969" s="37">
        <v>2016</v>
      </c>
      <c r="C969" s="37" t="s">
        <v>248</v>
      </c>
      <c r="D969" s="37" t="s">
        <v>249</v>
      </c>
      <c r="E969" s="67" t="s">
        <v>1206</v>
      </c>
      <c r="F969" s="37" t="s">
        <v>728</v>
      </c>
      <c r="G969" s="37" t="s">
        <v>778</v>
      </c>
      <c r="H969" s="37" t="s">
        <v>249</v>
      </c>
      <c r="I969" s="37">
        <v>1</v>
      </c>
      <c r="J969" s="107">
        <v>750</v>
      </c>
      <c r="K969" s="8" t="s">
        <v>1850</v>
      </c>
      <c r="L969" s="10">
        <f>COUNTIF(Drank!A:A,Table1[[#This Row],[ID]])</f>
        <v>2</v>
      </c>
      <c r="M969" s="37" t="s">
        <v>202</v>
      </c>
      <c r="N969" s="37" t="s">
        <v>207</v>
      </c>
      <c r="O969">
        <v>1</v>
      </c>
      <c r="P969" s="37">
        <v>2022</v>
      </c>
      <c r="Q969" s="37">
        <v>2040</v>
      </c>
      <c r="R969" s="10">
        <f>IF(IFERROR(VLOOKUP(A969,Drank!A:S,15,FALSE),"")=0,"",IFERROR(VLOOKUP(A969,Drank!A:S,15,FALSE),""))</f>
        <v>2021</v>
      </c>
      <c r="S969" s="10">
        <f>IF(IFERROR(VLOOKUP(A969,Drank!A:S,16,FALSE),"")=0,"",IFERROR(VLOOKUP(A969,Drank!A:S,16,FALSE),""))</f>
        <v>2032</v>
      </c>
      <c r="T969" s="10"/>
      <c r="U969">
        <v>95</v>
      </c>
      <c r="V969" s="18">
        <f>IF(IFERROR(VLOOKUP(A969,Drank!A:T,19,FALSE),"")=0,"",IFERROR(VLOOKUP(A969,Drank!A:T,19,FALSE),""))</f>
        <v>95.5</v>
      </c>
      <c r="W969" s="1">
        <f>IF(IFERROR(VLOOKUP(A969,Drank!A:T,20,FALSE),"")=0,"",IFERROR(VLOOKUP(A969,Drank!A:T,20,FALSE),""))</f>
        <v>44079</v>
      </c>
      <c r="X969" s="10">
        <f>SUMIF(A:A,A969,I:I)</f>
        <v>41</v>
      </c>
      <c r="Y969" s="10">
        <f>IF(Table1[[#This Row],[Drank]]&gt;0,VLOOKUP(Table1[[#This Row],[ID]],Drank!A:P,16,FALSE),IF(Table1[[#This Row],[WALDD]]&gt;0,VLOOKUP(Table1[[#This Row],[ID]],Wine1!A:Q,17,FALSE),Table1[[#This Row],[EP]]))</f>
        <v>2032</v>
      </c>
      <c r="Z969" s="18">
        <f>IF(Table1[[#This Row],[My Rating]]="",IF(Table1[[#This Row],[WA Rating Clean]]="","",Table1[[#This Row],[WA Rating Clean]]),Table1[[#This Row],[My Rating]])</f>
        <v>95.5</v>
      </c>
      <c r="AA969" s="37">
        <v>2029</v>
      </c>
      <c r="AB969" s="129">
        <v>42.36</v>
      </c>
      <c r="AC969" s="2">
        <f t="shared" si="51"/>
        <v>42.36</v>
      </c>
      <c r="AD969" s="8">
        <v>1</v>
      </c>
      <c r="AE969" s="10">
        <f>IF(Table1[[#This Row],[P/750]]&lt;20,1,IF(Table1[[#This Row],[P/750]]&lt;50,2,3))</f>
        <v>2</v>
      </c>
      <c r="AF969" s="10">
        <f>IF(Table1[[#This Row],[P/750]]&lt;Expenses!$C$30,1,IF(Table1[[#This Row],[P/750]]&lt;Expenses!$C$31,2,IF(Table1[[#This Row],[P/750]]&lt;Expenses!$C$32,3,4)))</f>
        <v>3</v>
      </c>
      <c r="AH969" s="37" t="s">
        <v>1128</v>
      </c>
      <c r="AI969" s="11">
        <f>Table1[[#This Row],[Price]]/Table1[[#This Row],[Size (ml)]]*750</f>
        <v>42.36</v>
      </c>
      <c r="AJ969">
        <v>95</v>
      </c>
      <c r="AK969" s="10">
        <f>COUNTIF(UniqueID!A:A,Table1[[#This Row],[ID]])</f>
        <v>1</v>
      </c>
      <c r="AL969" s="10" t="str">
        <f>VLOOKUP(Table1[[#This Row],[Cellar Location]],Location!A:F,6,FALSE)</f>
        <v>S</v>
      </c>
      <c r="AN969" s="1">
        <v>44070</v>
      </c>
      <c r="AO969" s="10" t="str">
        <f>TEXT(Table1[[#This Row],[Purchased]],"mmmm")</f>
        <v>August</v>
      </c>
      <c r="AP969" s="10" t="str">
        <f>TEXT(Table1[[#This Row],[Purchased]],"yyyy")</f>
        <v>2020</v>
      </c>
      <c r="AQ969" s="1"/>
    </row>
    <row r="970" spans="1:43" x14ac:dyDescent="0.25">
      <c r="A970" t="str">
        <f t="shared" si="50"/>
        <v>2010La Rioja AltaGran Reserva 904</v>
      </c>
      <c r="B970" s="37">
        <v>2010</v>
      </c>
      <c r="C970" s="37" t="s">
        <v>221</v>
      </c>
      <c r="D970" s="37" t="s">
        <v>222</v>
      </c>
      <c r="E970" s="67" t="s">
        <v>1296</v>
      </c>
      <c r="F970" s="37" t="s">
        <v>729</v>
      </c>
      <c r="G970" s="37" t="s">
        <v>823</v>
      </c>
      <c r="H970" s="37" t="s">
        <v>824</v>
      </c>
      <c r="I970" s="37">
        <v>1</v>
      </c>
      <c r="J970" s="38">
        <v>750</v>
      </c>
      <c r="K970" s="38" t="s">
        <v>1564</v>
      </c>
      <c r="L970" s="10">
        <f>COUNTIF(Drank!A:A,Table1[[#This Row],[ID]])</f>
        <v>0</v>
      </c>
      <c r="M970" s="37" t="s">
        <v>202</v>
      </c>
      <c r="N970" s="37" t="s">
        <v>207</v>
      </c>
      <c r="O970">
        <v>1</v>
      </c>
      <c r="P970" s="10">
        <v>2019</v>
      </c>
      <c r="Q970">
        <v>2035</v>
      </c>
      <c r="R970" s="10" t="str">
        <f>IF(IFERROR(VLOOKUP(A970,Drank!A:S,15,FALSE),"")=0,"",IFERROR(VLOOKUP(A970,Drank!A:S,15,FALSE),""))</f>
        <v/>
      </c>
      <c r="S970" s="10" t="str">
        <f>IF(IFERROR(VLOOKUP(A970,Drank!A:S,16,FALSE),"")=0,"",IFERROR(VLOOKUP(A970,Drank!A:S,16,FALSE),""))</f>
        <v/>
      </c>
      <c r="T970" s="10"/>
      <c r="U970" t="s">
        <v>1180</v>
      </c>
      <c r="V970" s="18" t="str">
        <f>IF(IFERROR(VLOOKUP(A970,Drank!A:T,19,FALSE),"")=0,"",IFERROR(VLOOKUP(A970,Drank!A:T,19,FALSE),""))</f>
        <v/>
      </c>
      <c r="W970" s="1" t="str">
        <f>IF(IFERROR(VLOOKUP(A970,Drank!A:T,20,FALSE),"")=0,"",IFERROR(VLOOKUP(A970,Drank!A:T,20,FALSE),""))</f>
        <v/>
      </c>
      <c r="X970" s="10">
        <f>SUMIF(A:A,A970,I:I)</f>
        <v>9</v>
      </c>
      <c r="Y970" s="10">
        <f>IF(Table1[[#This Row],[Drank]]&gt;0,VLOOKUP(Table1[[#This Row],[ID]],Drank!A:P,16,FALSE),IF(Table1[[#This Row],[WALDD]]&gt;0,VLOOKUP(Table1[[#This Row],[ID]],Wine1!A:Q,17,FALSE),Table1[[#This Row],[EP]]))</f>
        <v>2035</v>
      </c>
      <c r="Z970" s="18">
        <f>IF(Table1[[#This Row],[My Rating]]="",IF(Table1[[#This Row],[WA Rating Clean]]="","",Table1[[#This Row],[WA Rating Clean]]),Table1[[#This Row],[My Rating]])</f>
        <v>96</v>
      </c>
      <c r="AA970" s="37">
        <v>2029</v>
      </c>
      <c r="AB970" s="127">
        <v>64.08</v>
      </c>
      <c r="AC970" s="2">
        <f t="shared" si="51"/>
        <v>64.08</v>
      </c>
      <c r="AD970" s="8">
        <v>1</v>
      </c>
      <c r="AE970" s="10">
        <f>IF(Table1[[#This Row],[P/750]]&lt;20,1,IF(Table1[[#This Row],[P/750]]&lt;50,2,3))</f>
        <v>3</v>
      </c>
      <c r="AF970" s="10">
        <f>IF(Table1[[#This Row],[P/750]]&lt;Expenses!$C$30,1,IF(Table1[[#This Row],[P/750]]&lt;Expenses!$C$31,2,IF(Table1[[#This Row],[P/750]]&lt;Expenses!$C$32,3,4)))</f>
        <v>3</v>
      </c>
      <c r="AH970" s="25" t="s">
        <v>1564</v>
      </c>
      <c r="AI970" s="11">
        <f>Table1[[#This Row],[Price]]/Table1[[#This Row],[Size (ml)]]*750</f>
        <v>64.08</v>
      </c>
      <c r="AJ970">
        <v>96</v>
      </c>
      <c r="AK970" s="10">
        <f>COUNTIF(UniqueID!A:A,Table1[[#This Row],[ID]])</f>
        <v>0</v>
      </c>
      <c r="AL970" s="10" t="str">
        <f>VLOOKUP(Table1[[#This Row],[Cellar Location]],Location!A:F,6,FALSE)</f>
        <v>W</v>
      </c>
      <c r="AN970" s="1">
        <v>44064</v>
      </c>
      <c r="AO970" s="10" t="str">
        <f>TEXT(Table1[[#This Row],[Purchased]],"mmmm")</f>
        <v>August</v>
      </c>
      <c r="AP970" s="10" t="str">
        <f>TEXT(Table1[[#This Row],[Purchased]],"yyyy")</f>
        <v>2020</v>
      </c>
      <c r="AQ970" s="1">
        <v>44114</v>
      </c>
    </row>
    <row r="971" spans="1:43" x14ac:dyDescent="0.25">
      <c r="A971" t="str">
        <f t="shared" si="50"/>
        <v>2013FelsinaFontalloro</v>
      </c>
      <c r="B971" s="37">
        <v>2013</v>
      </c>
      <c r="C971" s="8" t="s">
        <v>795</v>
      </c>
      <c r="D971" s="25" t="s">
        <v>387</v>
      </c>
      <c r="E971" s="64" t="s">
        <v>280</v>
      </c>
      <c r="F971" s="37" t="s">
        <v>728</v>
      </c>
      <c r="G971" s="37" t="s">
        <v>790</v>
      </c>
      <c r="H971" s="37" t="s">
        <v>794</v>
      </c>
      <c r="I971" s="107">
        <v>1</v>
      </c>
      <c r="J971" s="37">
        <v>750</v>
      </c>
      <c r="K971" s="107" t="s">
        <v>656</v>
      </c>
      <c r="L971" s="37">
        <f>COUNTIF(Drank!A:A,Table1[[#This Row],[ID]])</f>
        <v>0</v>
      </c>
      <c r="M971" s="37" t="s">
        <v>202</v>
      </c>
      <c r="N971" s="37" t="s">
        <v>207</v>
      </c>
      <c r="O971">
        <v>1</v>
      </c>
      <c r="P971" s="37">
        <v>2018</v>
      </c>
      <c r="Q971" s="37">
        <v>2035</v>
      </c>
      <c r="R971" s="10" t="str">
        <f>IF(IFERROR(VLOOKUP(A971,Drank!A:S,15,FALSE),"")=0,"",IFERROR(VLOOKUP(A971,Drank!A:S,15,FALSE),""))</f>
        <v/>
      </c>
      <c r="S971" s="10" t="str">
        <f>IF(IFERROR(VLOOKUP(A971,Drank!A:S,16,FALSE),"")=0,"",IFERROR(VLOOKUP(A971,Drank!A:S,16,FALSE),""))</f>
        <v/>
      </c>
      <c r="T971" s="10"/>
      <c r="U971">
        <v>96</v>
      </c>
      <c r="V971" s="18" t="str">
        <f>IF(IFERROR(VLOOKUP(A971,Drank!A:T,19,FALSE),"")=0,"",IFERROR(VLOOKUP(A971,Drank!A:T,19,FALSE),""))</f>
        <v/>
      </c>
      <c r="W971" s="1" t="str">
        <f>IF(IFERROR(VLOOKUP(A971,Drank!A:T,20,FALSE),"")=0,"",IFERROR(VLOOKUP(A971,Drank!A:T,20,FALSE),""))</f>
        <v/>
      </c>
      <c r="X971" s="10">
        <f>SUMIF(A:A,A971,I:I)</f>
        <v>3</v>
      </c>
      <c r="Y971" s="37">
        <f>IF(Table1[[#This Row],[Drank]]&gt;0,VLOOKUP(Table1[[#This Row],[ID]],Drank!A:P,16,FALSE),IF(Table1[[#This Row],[WALDD]]&gt;0,VLOOKUP(Table1[[#This Row],[ID]],Wine1!A:Q,17,FALSE),Table1[[#This Row],[EP]]))</f>
        <v>2035</v>
      </c>
      <c r="Z971" s="18">
        <f>IF(Table1[[#This Row],[My Rating]]="",IF(Table1[[#This Row],[WA Rating Clean]]="","",Table1[[#This Row],[WA Rating Clean]]),Table1[[#This Row],[My Rating]])</f>
        <v>96</v>
      </c>
      <c r="AA971" s="6">
        <v>2029</v>
      </c>
      <c r="AB971" s="4">
        <v>45</v>
      </c>
      <c r="AC971" s="2">
        <f t="shared" si="51"/>
        <v>45</v>
      </c>
      <c r="AD971" s="8">
        <v>2</v>
      </c>
      <c r="AE971" s="37">
        <f>IF(Table1[[#This Row],[P/750]]&lt;20,1,IF(Table1[[#This Row],[P/750]]&lt;50,2,3))</f>
        <v>2</v>
      </c>
      <c r="AF971" s="37">
        <f>IF(Table1[[#This Row],[P/750]]&lt;Expenses!$C$30,1,IF(Table1[[#This Row],[P/750]]&lt;Expenses!$C$31,2,IF(Table1[[#This Row],[P/750]]&lt;Expenses!$C$32,3,4)))</f>
        <v>3</v>
      </c>
      <c r="AH971" s="37" t="s">
        <v>385</v>
      </c>
      <c r="AI971" s="11">
        <f>Table1[[#This Row],[Price]]/Table1[[#This Row],[Size (ml)]]*750</f>
        <v>45</v>
      </c>
      <c r="AJ971">
        <v>96</v>
      </c>
      <c r="AK971" s="37">
        <f>COUNTIF(UniqueID!A:A,Table1[[#This Row],[ID]])</f>
        <v>1</v>
      </c>
      <c r="AL971" s="37" t="str">
        <f>VLOOKUP(Table1[[#This Row],[Cellar Location]],Location!A:F,6,FALSE)</f>
        <v>S</v>
      </c>
      <c r="AN971" s="37"/>
      <c r="AO971" s="37" t="str">
        <f>TEXT(Table1[[#This Row],[Purchased]],"mmmm")</f>
        <v>January</v>
      </c>
      <c r="AP971" s="10" t="str">
        <f>TEXT(Table1[[#This Row],[Purchased]],"yyyy")</f>
        <v>1900</v>
      </c>
      <c r="AQ971" s="10"/>
    </row>
    <row r="972" spans="1:43" x14ac:dyDescent="0.25">
      <c r="A972" t="str">
        <f t="shared" si="50"/>
        <v>2016Kay BrothersShiraz Block 6</v>
      </c>
      <c r="B972" s="37">
        <v>2016</v>
      </c>
      <c r="C972" s="8" t="s">
        <v>392</v>
      </c>
      <c r="D972" s="37" t="s">
        <v>393</v>
      </c>
      <c r="E972" s="64" t="s">
        <v>400</v>
      </c>
      <c r="F972" s="37" t="s">
        <v>736</v>
      </c>
      <c r="G972" s="37" t="s">
        <v>737</v>
      </c>
      <c r="H972" s="37" t="s">
        <v>738</v>
      </c>
      <c r="I972" s="107">
        <v>1</v>
      </c>
      <c r="J972" s="37">
        <v>750</v>
      </c>
      <c r="K972" s="107" t="s">
        <v>641</v>
      </c>
      <c r="L972" s="37">
        <f>COUNTIF(Drank!A:A,Table1[[#This Row],[ID]])</f>
        <v>0</v>
      </c>
      <c r="M972" s="37" t="s">
        <v>202</v>
      </c>
      <c r="N972" s="37" t="s">
        <v>207</v>
      </c>
      <c r="O972">
        <v>1</v>
      </c>
      <c r="P972" s="37">
        <v>2020</v>
      </c>
      <c r="Q972" s="37">
        <v>2035</v>
      </c>
      <c r="R972" s="10" t="str">
        <f>IF(IFERROR(VLOOKUP(A972,Drank!A:S,15,FALSE),"")=0,"",IFERROR(VLOOKUP(A972,Drank!A:S,15,FALSE),""))</f>
        <v/>
      </c>
      <c r="S972" s="10" t="str">
        <f>IF(IFERROR(VLOOKUP(A972,Drank!A:S,16,FALSE),"")=0,"",IFERROR(VLOOKUP(A972,Drank!A:S,16,FALSE),""))</f>
        <v/>
      </c>
      <c r="T972" s="10"/>
      <c r="U972">
        <v>96</v>
      </c>
      <c r="V972" s="18" t="str">
        <f>IF(IFERROR(VLOOKUP(A972,Drank!A:T,19,FALSE),"")=0,"",IFERROR(VLOOKUP(A972,Drank!A:T,19,FALSE),""))</f>
        <v/>
      </c>
      <c r="W972" s="1" t="str">
        <f>IF(IFERROR(VLOOKUP(A972,Drank!A:T,20,FALSE),"")=0,"",IFERROR(VLOOKUP(A972,Drank!A:T,20,FALSE),""))</f>
        <v/>
      </c>
      <c r="X972" s="10">
        <f>SUMIF(A:A,A972,I:I)</f>
        <v>3</v>
      </c>
      <c r="Y972" s="37">
        <f>IF(Table1[[#This Row],[Drank]]&gt;0,VLOOKUP(Table1[[#This Row],[ID]],Drank!A:P,16,FALSE),IF(Table1[[#This Row],[WALDD]]&gt;0,VLOOKUP(Table1[[#This Row],[ID]],Wine1!A:Q,17,FALSE),Table1[[#This Row],[EP]]))</f>
        <v>2035</v>
      </c>
      <c r="Z972" s="18">
        <f>IF(Table1[[#This Row],[My Rating]]="",IF(Table1[[#This Row],[WA Rating Clean]]="","",Table1[[#This Row],[WA Rating Clean]]),Table1[[#This Row],[My Rating]])</f>
        <v>96</v>
      </c>
      <c r="AA972" s="6">
        <v>2029</v>
      </c>
      <c r="AB972" s="4">
        <v>59</v>
      </c>
      <c r="AC972" s="2">
        <f t="shared" si="51"/>
        <v>59</v>
      </c>
      <c r="AD972" s="8">
        <v>2</v>
      </c>
      <c r="AE972" s="37">
        <f>IF(Table1[[#This Row],[P/750]]&lt;20,1,IF(Table1[[#This Row],[P/750]]&lt;50,2,3))</f>
        <v>3</v>
      </c>
      <c r="AF972" s="37">
        <f>IF(Table1[[#This Row],[P/750]]&lt;Expenses!$C$30,1,IF(Table1[[#This Row],[P/750]]&lt;Expenses!$C$31,2,IF(Table1[[#This Row],[P/750]]&lt;Expenses!$C$32,3,4)))</f>
        <v>3</v>
      </c>
      <c r="AH972" s="37" t="s">
        <v>384</v>
      </c>
      <c r="AI972" s="11">
        <f>Table1[[#This Row],[Price]]/Table1[[#This Row],[Size (ml)]]*750</f>
        <v>59</v>
      </c>
      <c r="AJ972">
        <v>96</v>
      </c>
      <c r="AK972" s="37">
        <f>COUNTIF(UniqueID!A:A,Table1[[#This Row],[ID]])</f>
        <v>1</v>
      </c>
      <c r="AL972" s="37" t="str">
        <f>VLOOKUP(Table1[[#This Row],[Cellar Location]],Location!A:F,6,FALSE)</f>
        <v>S</v>
      </c>
      <c r="AN972" s="37"/>
      <c r="AO972" s="37" t="str">
        <f>TEXT(Table1[[#This Row],[Purchased]],"mmmm")</f>
        <v>January</v>
      </c>
      <c r="AP972" s="10" t="str">
        <f>TEXT(Table1[[#This Row],[Purchased]],"yyyy")</f>
        <v>1900</v>
      </c>
      <c r="AQ972" s="10"/>
    </row>
    <row r="973" spans="1:43" x14ac:dyDescent="0.25">
      <c r="A973" t="str">
        <f t="shared" si="50"/>
        <v>2013Pertimali - Livio SassettiBrunello di Montalcino</v>
      </c>
      <c r="B973" s="8">
        <v>2013</v>
      </c>
      <c r="C973" s="9" t="s">
        <v>293</v>
      </c>
      <c r="D973" s="30" t="s">
        <v>19</v>
      </c>
      <c r="E973" s="64" t="s">
        <v>280</v>
      </c>
      <c r="F973" s="37" t="s">
        <v>728</v>
      </c>
      <c r="G973" s="37" t="s">
        <v>790</v>
      </c>
      <c r="H973" s="37" t="s">
        <v>19</v>
      </c>
      <c r="I973" s="107">
        <v>1</v>
      </c>
      <c r="J973" s="37">
        <v>750</v>
      </c>
      <c r="K973" s="107" t="s">
        <v>926</v>
      </c>
      <c r="L973" s="37">
        <f>COUNTIF(Drank!A:A,Table1[[#This Row],[ID]])</f>
        <v>1</v>
      </c>
      <c r="M973" s="37" t="s">
        <v>202</v>
      </c>
      <c r="N973" s="37" t="s">
        <v>207</v>
      </c>
      <c r="O973">
        <v>1</v>
      </c>
      <c r="P973" s="37">
        <v>2020</v>
      </c>
      <c r="Q973" s="37">
        <v>2035</v>
      </c>
      <c r="R973" s="10">
        <f>IF(IFERROR(VLOOKUP(A973,Drank!A:S,15,FALSE),"")=0,"",IFERROR(VLOOKUP(A973,Drank!A:S,15,FALSE),""))</f>
        <v>2024</v>
      </c>
      <c r="S973" s="10">
        <f>IF(IFERROR(VLOOKUP(A973,Drank!A:S,16,FALSE),"")=0,"",IFERROR(VLOOKUP(A973,Drank!A:S,16,FALSE),""))</f>
        <v>2035</v>
      </c>
      <c r="T973" s="10"/>
      <c r="U973">
        <v>93</v>
      </c>
      <c r="V973" s="18">
        <f>IF(IFERROR(VLOOKUP(A973,Drank!A:T,19,FALSE),"")=0,"",IFERROR(VLOOKUP(A973,Drank!A:T,19,FALSE),""))</f>
        <v>93</v>
      </c>
      <c r="W973" s="1">
        <f>IF(IFERROR(VLOOKUP(A973,Drank!A:T,20,FALSE),"")=0,"",IFERROR(VLOOKUP(A973,Drank!A:T,20,FALSE),""))</f>
        <v>43590</v>
      </c>
      <c r="X973" s="10">
        <f>SUMIF(A:A,A973,I:I)</f>
        <v>2</v>
      </c>
      <c r="Y973" s="37">
        <f>IF(Table1[[#This Row],[Drank]]&gt;0,VLOOKUP(Table1[[#This Row],[ID]],Drank!A:P,16,FALSE),IF(Table1[[#This Row],[WALDD]]&gt;0,VLOOKUP(Table1[[#This Row],[ID]],Wine1!A:Q,17,FALSE),Table1[[#This Row],[EP]]))</f>
        <v>2035</v>
      </c>
      <c r="Z973" s="18">
        <f>IF(Table1[[#This Row],[My Rating]]="",IF(Table1[[#This Row],[WA Rating Clean]]="","",Table1[[#This Row],[WA Rating Clean]]),Table1[[#This Row],[My Rating]])</f>
        <v>93</v>
      </c>
      <c r="AA973" s="37">
        <v>2029</v>
      </c>
      <c r="AB973" s="4">
        <v>52</v>
      </c>
      <c r="AC973" s="2">
        <f t="shared" si="51"/>
        <v>52</v>
      </c>
      <c r="AD973" s="8">
        <v>2</v>
      </c>
      <c r="AE973" s="37">
        <f>IF(Table1[[#This Row],[P/750]]&lt;20,1,IF(Table1[[#This Row],[P/750]]&lt;50,2,3))</f>
        <v>3</v>
      </c>
      <c r="AF973" s="37">
        <f>IF(Table1[[#This Row],[P/750]]&lt;Expenses!$C$30,1,IF(Table1[[#This Row],[P/750]]&lt;Expenses!$C$31,2,IF(Table1[[#This Row],[P/750]]&lt;Expenses!$C$32,3,4)))</f>
        <v>3</v>
      </c>
      <c r="AH973" t="s">
        <v>385</v>
      </c>
      <c r="AI973" s="11">
        <f>Table1[[#This Row],[Price]]/Table1[[#This Row],[Size (ml)]]*750</f>
        <v>52</v>
      </c>
      <c r="AJ973">
        <v>93</v>
      </c>
      <c r="AK973" s="37">
        <f>COUNTIF(UniqueID!A:A,Table1[[#This Row],[ID]])</f>
        <v>1</v>
      </c>
      <c r="AL973" s="37" t="str">
        <f>VLOOKUP(Table1[[#This Row],[Cellar Location]],Location!A:F,6,FALSE)</f>
        <v>S</v>
      </c>
      <c r="AN973" s="37"/>
      <c r="AO973" s="37" t="str">
        <f>TEXT(Table1[[#This Row],[Purchased]],"mmmm")</f>
        <v>January</v>
      </c>
      <c r="AP973" s="10" t="str">
        <f>TEXT(Table1[[#This Row],[Purchased]],"yyyy")</f>
        <v>1900</v>
      </c>
      <c r="AQ973" s="10"/>
    </row>
    <row r="974" spans="1:43" x14ac:dyDescent="0.25">
      <c r="A974" t="str">
        <f t="shared" si="50"/>
        <v>2010Raymond-LafonRaymond-Lafon</v>
      </c>
      <c r="B974" s="37">
        <v>2010</v>
      </c>
      <c r="C974" s="9" t="s">
        <v>197</v>
      </c>
      <c r="D974" s="9" t="s">
        <v>197</v>
      </c>
      <c r="E974" s="69" t="s">
        <v>274</v>
      </c>
      <c r="F974" s="37" t="s">
        <v>742</v>
      </c>
      <c r="G974" s="37" t="s">
        <v>748</v>
      </c>
      <c r="H974" s="37" t="s">
        <v>260</v>
      </c>
      <c r="I974" s="37">
        <v>1</v>
      </c>
      <c r="J974" s="37">
        <v>375</v>
      </c>
      <c r="K974" s="8" t="s">
        <v>8</v>
      </c>
      <c r="L974" s="37">
        <f>COUNTIF(Drank!A:A,Table1[[#This Row],[ID]])</f>
        <v>5</v>
      </c>
      <c r="M974" s="37" t="s">
        <v>201</v>
      </c>
      <c r="N974" s="37" t="s">
        <v>206</v>
      </c>
      <c r="O974">
        <v>1</v>
      </c>
      <c r="P974" s="37"/>
      <c r="R974" s="37">
        <f>IF(IFERROR(VLOOKUP(A974,Drank!A:S,15,FALSE),"")=0,"",IFERROR(VLOOKUP(A974,Drank!A:S,15,FALSE),""))</f>
        <v>2024</v>
      </c>
      <c r="S974" s="37">
        <f>IF(IFERROR(VLOOKUP(A974,Drank!A:S,16,FALSE),"")=0,"",IFERROR(VLOOKUP(A974,Drank!A:S,16,FALSE),""))</f>
        <v>2035</v>
      </c>
      <c r="T974" s="37"/>
      <c r="U974">
        <v>93</v>
      </c>
      <c r="V974" s="18">
        <f>IF(IFERROR(VLOOKUP(A974,Drank!A:T,19,FALSE),"")=0,"",IFERROR(VLOOKUP(A974,Drank!A:T,19,FALSE),""))</f>
        <v>92.8</v>
      </c>
      <c r="W974" s="1">
        <f>IF(IFERROR(VLOOKUP(A974,Drank!A:T,20,FALSE),"")=0,"",IFERROR(VLOOKUP(A974,Drank!A:T,20,FALSE),""))</f>
        <v>43708</v>
      </c>
      <c r="X974" s="37">
        <f>SUMIF(A:A,A974,I:I)</f>
        <v>4</v>
      </c>
      <c r="Y974" s="37">
        <f>IF(Table1[[#This Row],[Drank]]&gt;0,VLOOKUP(Table1[[#This Row],[ID]],Drank!A:P,16,FALSE),IF(Table1[[#This Row],[WALDD]]&gt;0,VLOOKUP(Table1[[#This Row],[ID]],Wine1!A:Q,17,FALSE),Table1[[#This Row],[EP]]))</f>
        <v>2035</v>
      </c>
      <c r="Z974" s="18">
        <f>IF(Table1[[#This Row],[My Rating]]="",IF(Table1[[#This Row],[WA Rating Clean]]="","",Table1[[#This Row],[WA Rating Clean]]),Table1[[#This Row],[My Rating]])</f>
        <v>92.8</v>
      </c>
      <c r="AA974" s="37">
        <v>2029</v>
      </c>
      <c r="AB974" s="4">
        <v>22.99</v>
      </c>
      <c r="AC974" s="2">
        <f t="shared" si="51"/>
        <v>22.99</v>
      </c>
      <c r="AD974" s="8">
        <v>0</v>
      </c>
      <c r="AE974" s="37">
        <f>IF(Table1[[#This Row],[P/750]]&lt;20,1,IF(Table1[[#This Row],[P/750]]&lt;50,2,3))</f>
        <v>2</v>
      </c>
      <c r="AF974" s="37">
        <f>IF(Table1[[#This Row],[P/750]]&lt;Expenses!$C$30,1,IF(Table1[[#This Row],[P/750]]&lt;Expenses!$C$31,2,IF(Table1[[#This Row],[P/750]]&lt;Expenses!$C$32,3,4)))</f>
        <v>3</v>
      </c>
      <c r="AH974" s="37" t="s">
        <v>384</v>
      </c>
      <c r="AI974" s="11">
        <f>Table1[[#This Row],[Price]]/Table1[[#This Row],[Size (ml)]]*750</f>
        <v>45.98</v>
      </c>
      <c r="AJ974">
        <v>93</v>
      </c>
      <c r="AK974" s="37">
        <f>COUNTIF(UniqueID!A:A,Table1[[#This Row],[ID]])</f>
        <v>1</v>
      </c>
      <c r="AL974" s="37" t="str">
        <f>VLOOKUP(Table1[[#This Row],[Cellar Location]],Location!A:F,6,FALSE)</f>
        <v>K</v>
      </c>
      <c r="AN974" s="37"/>
      <c r="AO974" s="37" t="str">
        <f>TEXT(Table1[[#This Row],[Purchased]],"mmmm")</f>
        <v>January</v>
      </c>
      <c r="AP974" s="10" t="str">
        <f>TEXT(Table1[[#This Row],[Purchased]],"yyyy")</f>
        <v>1900</v>
      </c>
      <c r="AQ974" s="10"/>
    </row>
    <row r="975" spans="1:43" s="37" customFormat="1" x14ac:dyDescent="0.25">
      <c r="A975" s="37" t="str">
        <f t="shared" si="50"/>
        <v>2016GrattamaccoBolgheri Superiore l'Alberello</v>
      </c>
      <c r="B975" s="37">
        <v>2016</v>
      </c>
      <c r="C975" s="37" t="s">
        <v>1802</v>
      </c>
      <c r="D975" s="37" t="s">
        <v>1334</v>
      </c>
      <c r="E975" s="67" t="s">
        <v>1335</v>
      </c>
      <c r="F975" s="67" t="s">
        <v>728</v>
      </c>
      <c r="G975" s="37" t="s">
        <v>790</v>
      </c>
      <c r="H975" s="37" t="s">
        <v>1336</v>
      </c>
      <c r="I975" s="8">
        <v>1</v>
      </c>
      <c r="J975" s="38">
        <v>750</v>
      </c>
      <c r="K975" s="38" t="s">
        <v>1572</v>
      </c>
      <c r="L975" s="10">
        <f>COUNTIF(Drank!A:A,Table1[[#This Row],[ID]])</f>
        <v>0</v>
      </c>
      <c r="M975" s="37" t="s">
        <v>202</v>
      </c>
      <c r="N975" s="37" t="s">
        <v>207</v>
      </c>
      <c r="O975" s="37">
        <v>1</v>
      </c>
      <c r="P975" s="10">
        <v>2020</v>
      </c>
      <c r="Q975" s="37">
        <v>2035</v>
      </c>
      <c r="R975" s="10" t="str">
        <f>IF(IFERROR(VLOOKUP(A975,Drank!A:S,15,FALSE),"")=0,"",IFERROR(VLOOKUP(A975,Drank!A:S,15,FALSE),""))</f>
        <v/>
      </c>
      <c r="S975" s="10" t="str">
        <f>IF(IFERROR(VLOOKUP(A975,Drank!A:S,16,FALSE),"")=0,"",IFERROR(VLOOKUP(A975,Drank!A:S,16,FALSE),""))</f>
        <v/>
      </c>
      <c r="T975" s="10"/>
      <c r="U975" s="37">
        <v>96</v>
      </c>
      <c r="V975" s="18" t="str">
        <f>IF(IFERROR(VLOOKUP(A975,Drank!A:T,19,FALSE),"")=0,"",IFERROR(VLOOKUP(A975,Drank!A:T,19,FALSE),""))</f>
        <v/>
      </c>
      <c r="W975" s="1" t="str">
        <f>IF(IFERROR(VLOOKUP(A975,Drank!A:T,20,FALSE),"")=0,"",IFERROR(VLOOKUP(A975,Drank!A:T,20,FALSE),""))</f>
        <v/>
      </c>
      <c r="X975" s="10">
        <f>SUMIF(A:A,A975,I:I)</f>
        <v>9</v>
      </c>
      <c r="Y975" s="10">
        <f>IF(Table1[[#This Row],[Drank]]&gt;0,VLOOKUP(Table1[[#This Row],[ID]],Drank!A:P,16,FALSE),IF(Table1[[#This Row],[WALDD]]&gt;0,VLOOKUP(Table1[[#This Row],[ID]],Wine1!A:Q,17,FALSE),Table1[[#This Row],[EP]]))</f>
        <v>2035</v>
      </c>
      <c r="Z975" s="18">
        <f>IF(Table1[[#This Row],[My Rating]]="",IF(Table1[[#This Row],[WA Rating Clean]]="","",Table1[[#This Row],[WA Rating Clean]]),Table1[[#This Row],[My Rating]])</f>
        <v>96</v>
      </c>
      <c r="AA975" s="8">
        <v>2029</v>
      </c>
      <c r="AB975" s="4">
        <v>60.08</v>
      </c>
      <c r="AC975" s="2">
        <f t="shared" si="51"/>
        <v>60.08</v>
      </c>
      <c r="AD975" s="8">
        <v>1</v>
      </c>
      <c r="AE975" s="10">
        <f>IF(Table1[[#This Row],[P/750]]&lt;20,1,IF(Table1[[#This Row],[P/750]]&lt;50,2,3))</f>
        <v>3</v>
      </c>
      <c r="AF975" s="10">
        <f>IF(Table1[[#This Row],[P/750]]&lt;Expenses!$C$30,1,IF(Table1[[#This Row],[P/750]]&lt;Expenses!$C$31,2,IF(Table1[[#This Row],[P/750]]&lt;Expenses!$C$32,3,4)))</f>
        <v>3</v>
      </c>
      <c r="AH975" s="37" t="s">
        <v>1572</v>
      </c>
      <c r="AI975" s="11">
        <f>Table1[[#This Row],[Price]]/Table1[[#This Row],[Size (ml)]]*750</f>
        <v>60.079999999999991</v>
      </c>
      <c r="AJ975" s="37">
        <v>96</v>
      </c>
      <c r="AK975" s="10">
        <f>COUNTIF(UniqueID!A:A,Table1[[#This Row],[ID]])</f>
        <v>0</v>
      </c>
      <c r="AL975" s="10" t="str">
        <f>VLOOKUP(Table1[[#This Row],[Cellar Location]],Location!A:F,6,FALSE)</f>
        <v>W</v>
      </c>
      <c r="AN975" s="1">
        <v>44055</v>
      </c>
      <c r="AO975" s="10" t="str">
        <f>TEXT(Table1[[#This Row],[Purchased]],"mmmm")</f>
        <v>August</v>
      </c>
      <c r="AP975" s="10" t="str">
        <f>TEXT(Table1[[#This Row],[Purchased]],"yyyy")</f>
        <v>2020</v>
      </c>
      <c r="AQ975" s="1">
        <v>44114</v>
      </c>
    </row>
    <row r="976" spans="1:43" s="37" customFormat="1" x14ac:dyDescent="0.25">
      <c r="A976" s="37" t="str">
        <f t="shared" si="50"/>
        <v>2016Quinta do ValladoField Blend Reserva</v>
      </c>
      <c r="B976" s="8">
        <v>2016</v>
      </c>
      <c r="C976" s="30" t="s">
        <v>210</v>
      </c>
      <c r="D976" s="9" t="s">
        <v>1423</v>
      </c>
      <c r="E976" s="65" t="s">
        <v>274</v>
      </c>
      <c r="F976" s="37" t="s">
        <v>804</v>
      </c>
      <c r="G976" s="37" t="s">
        <v>1422</v>
      </c>
      <c r="H976" s="9"/>
      <c r="I976" s="107">
        <v>1</v>
      </c>
      <c r="J976" s="37">
        <v>750</v>
      </c>
      <c r="K976" s="107" t="s">
        <v>1195</v>
      </c>
      <c r="L976" s="10">
        <f>COUNTIF(Drank!A:A,Table1[[#This Row],[ID]])</f>
        <v>1</v>
      </c>
      <c r="M976" s="37" t="s">
        <v>202</v>
      </c>
      <c r="N976" s="37" t="s">
        <v>207</v>
      </c>
      <c r="O976" s="37">
        <v>1</v>
      </c>
      <c r="P976" s="37">
        <v>2021</v>
      </c>
      <c r="Q976" s="37">
        <v>2041</v>
      </c>
      <c r="R976" s="10">
        <f>IF(IFERROR(VLOOKUP(A976,Drank!A:S,15,FALSE),"")=0,"",IFERROR(VLOOKUP(A976,Drank!A:S,15,FALSE),""))</f>
        <v>2025</v>
      </c>
      <c r="S976" s="10">
        <f>IF(IFERROR(VLOOKUP(A976,Drank!A:S,16,FALSE),"")=0,"",IFERROR(VLOOKUP(A976,Drank!A:S,16,FALSE),""))</f>
        <v>2037</v>
      </c>
      <c r="T976" s="10"/>
      <c r="U976" s="37">
        <v>95</v>
      </c>
      <c r="V976" s="18">
        <f>IF(IFERROR(VLOOKUP(A976,Drank!A:T,19,FALSE),"")=0,"",IFERROR(VLOOKUP(A976,Drank!A:T,19,FALSE),""))</f>
        <v>92</v>
      </c>
      <c r="W976" s="1">
        <f>IF(IFERROR(VLOOKUP(A976,Drank!A:T,20,FALSE),"")=0,"",IFERROR(VLOOKUP(A976,Drank!A:T,20,FALSE),""))</f>
        <v>43987</v>
      </c>
      <c r="X976" s="10">
        <f>SUMIF(A:A,A976,I:I)</f>
        <v>5</v>
      </c>
      <c r="Y976" s="10">
        <f>IF(Table1[[#This Row],[Drank]]&gt;0,VLOOKUP(Table1[[#This Row],[ID]],Drank!A:P,16,FALSE),IF(Table1[[#This Row],[WALDD]]&gt;0,VLOOKUP(Table1[[#This Row],[ID]],Wine1!A:Q,17,FALSE),Table1[[#This Row],[EP]]))</f>
        <v>2037</v>
      </c>
      <c r="Z976" s="18">
        <f>IF(Table1[[#This Row],[My Rating]]="",IF(Table1[[#This Row],[WA Rating Clean]]="","",Table1[[#This Row],[WA Rating Clean]]),Table1[[#This Row],[My Rating]])</f>
        <v>92</v>
      </c>
      <c r="AA976" s="37">
        <v>2029</v>
      </c>
      <c r="AB976" s="4">
        <v>32.58</v>
      </c>
      <c r="AC976" s="2">
        <f t="shared" si="51"/>
        <v>32.58</v>
      </c>
      <c r="AD976" s="8">
        <v>2</v>
      </c>
      <c r="AE976" s="10">
        <f>IF(Table1[[#This Row],[P/750]]&lt;20,1,IF(Table1[[#This Row],[P/750]]&lt;50,2,3))</f>
        <v>2</v>
      </c>
      <c r="AF976" s="10">
        <f>IF(Table1[[#This Row],[P/750]]&lt;Expenses!$C$30,1,IF(Table1[[#This Row],[P/750]]&lt;Expenses!$C$31,2,IF(Table1[[#This Row],[P/750]]&lt;Expenses!$C$32,3,4)))</f>
        <v>3</v>
      </c>
      <c r="AH976" s="37" t="s">
        <v>384</v>
      </c>
      <c r="AI976" s="11">
        <f>Table1[[#This Row],[Price]]/Table1[[#This Row],[Size (ml)]]*750</f>
        <v>32.58</v>
      </c>
      <c r="AJ976" s="37">
        <v>95</v>
      </c>
      <c r="AK976" s="10">
        <f>COUNTIF(UniqueID!A:A,Table1[[#This Row],[ID]])</f>
        <v>0</v>
      </c>
      <c r="AL976" s="10" t="str">
        <f>VLOOKUP(Table1[[#This Row],[Cellar Location]],Location!A:F,6,FALSE)</f>
        <v>S</v>
      </c>
      <c r="AN976" s="1">
        <v>43984</v>
      </c>
      <c r="AO976" s="10" t="str">
        <f>TEXT(Table1[[#This Row],[Purchased]],"mmmm")</f>
        <v>June</v>
      </c>
      <c r="AP976" s="10" t="str">
        <f>TEXT(Table1[[#This Row],[Purchased]],"yyyy")</f>
        <v>2020</v>
      </c>
      <c r="AQ976" s="10"/>
    </row>
    <row r="977" spans="1:43" x14ac:dyDescent="0.25">
      <c r="A977" t="str">
        <f t="shared" si="50"/>
        <v>2009Chateau La Tour BlancheLa Tour Blanche</v>
      </c>
      <c r="B977" s="37">
        <v>2009</v>
      </c>
      <c r="C977" s="37" t="s">
        <v>1208</v>
      </c>
      <c r="D977" s="37" t="s">
        <v>216</v>
      </c>
      <c r="E977" s="69" t="s">
        <v>1215</v>
      </c>
      <c r="F977" s="37" t="s">
        <v>742</v>
      </c>
      <c r="G977" s="37" t="s">
        <v>748</v>
      </c>
      <c r="H977" s="37" t="s">
        <v>260</v>
      </c>
      <c r="I977" s="107">
        <v>1</v>
      </c>
      <c r="J977" s="37">
        <v>375</v>
      </c>
      <c r="K977" s="107" t="s">
        <v>1504</v>
      </c>
      <c r="L977" s="37">
        <f>COUNTIF(Drank!A:A,Table1[[#This Row],[ID]])</f>
        <v>4</v>
      </c>
      <c r="M977" s="37" t="s">
        <v>201</v>
      </c>
      <c r="N977" s="37" t="s">
        <v>206</v>
      </c>
      <c r="O977">
        <v>1</v>
      </c>
      <c r="P977" s="37">
        <v>2019</v>
      </c>
      <c r="Q977">
        <v>2042</v>
      </c>
      <c r="R977" s="37">
        <f>IF(IFERROR(VLOOKUP(A977,Drank!A:S,15,FALSE),"")=0,"",IFERROR(VLOOKUP(A977,Drank!A:S,15,FALSE),""))</f>
        <v>2020</v>
      </c>
      <c r="S977" s="37">
        <f>IF(IFERROR(VLOOKUP(A977,Drank!A:S,16,FALSE),"")=0,"",IFERROR(VLOOKUP(A977,Drank!A:S,16,FALSE),""))</f>
        <v>2040</v>
      </c>
      <c r="T977" s="37"/>
      <c r="U977">
        <v>93</v>
      </c>
      <c r="V977" s="18">
        <f>IF(IFERROR(VLOOKUP(A977,Drank!A:T,19,FALSE),"")=0,"",IFERROR(VLOOKUP(A977,Drank!A:T,19,FALSE),""))</f>
        <v>92.25</v>
      </c>
      <c r="W977" s="1">
        <f>IF(IFERROR(VLOOKUP(A977,Drank!A:T,20,FALSE),"")=0,"",IFERROR(VLOOKUP(A977,Drank!A:T,20,FALSE),""))</f>
        <v>43646</v>
      </c>
      <c r="X977" s="37">
        <f>SUMIF(A:A,A977,I:I)</f>
        <v>9</v>
      </c>
      <c r="Y977" s="37">
        <f>IF(Table1[[#This Row],[Drank]]&gt;0,VLOOKUP(Table1[[#This Row],[ID]],Drank!A:P,16,FALSE),IF(Table1[[#This Row],[WALDD]]&gt;0,VLOOKUP(Table1[[#This Row],[ID]],Wine1!A:Q,17,FALSE),Table1[[#This Row],[EP]]))</f>
        <v>2040</v>
      </c>
      <c r="Z977" s="18">
        <f>IF(Table1[[#This Row],[My Rating]]="",IF(Table1[[#This Row],[WA Rating Clean]]="","",Table1[[#This Row],[WA Rating Clean]]),Table1[[#This Row],[My Rating]])</f>
        <v>92.25</v>
      </c>
      <c r="AA977" s="37">
        <v>2029</v>
      </c>
      <c r="AB977" s="4">
        <v>20.99</v>
      </c>
      <c r="AC977" s="2">
        <f t="shared" si="51"/>
        <v>20.99</v>
      </c>
      <c r="AD977" s="8">
        <v>2</v>
      </c>
      <c r="AE977" s="37">
        <f>IF(Table1[[#This Row],[P/750]]&lt;20,1,IF(Table1[[#This Row],[P/750]]&lt;50,2,3))</f>
        <v>2</v>
      </c>
      <c r="AF977" s="37">
        <f>IF(Table1[[#This Row],[P/750]]&lt;Expenses!$C$30,1,IF(Table1[[#This Row],[P/750]]&lt;Expenses!$C$31,2,IF(Table1[[#This Row],[P/750]]&lt;Expenses!$C$32,3,4)))</f>
        <v>3</v>
      </c>
      <c r="AH977" s="37" t="s">
        <v>385</v>
      </c>
      <c r="AI977" s="11">
        <f>Table1[[#This Row],[Price]]/Table1[[#This Row],[Size (ml)]]*750</f>
        <v>41.98</v>
      </c>
      <c r="AJ977">
        <v>93</v>
      </c>
      <c r="AK977" s="37">
        <f>COUNTIF(UniqueID!A:A,Table1[[#This Row],[ID]])</f>
        <v>1</v>
      </c>
      <c r="AL977" s="37" t="str">
        <f>VLOOKUP(Table1[[#This Row],[Cellar Location]],Location!A:F,6,FALSE)</f>
        <v>S</v>
      </c>
      <c r="AN977" s="1">
        <v>43846</v>
      </c>
      <c r="AO977" s="37" t="str">
        <f>TEXT(Table1[[#This Row],[Purchased]],"mmmm")</f>
        <v>January</v>
      </c>
      <c r="AP977" s="10" t="str">
        <f>TEXT(Table1[[#This Row],[Purchased]],"yyyy")</f>
        <v>2020</v>
      </c>
      <c r="AQ977" s="10"/>
    </row>
    <row r="978" spans="1:43" x14ac:dyDescent="0.25">
      <c r="A978" t="str">
        <f t="shared" si="50"/>
        <v>2016Mauro MolinoBarolo</v>
      </c>
      <c r="B978" s="37">
        <v>2016</v>
      </c>
      <c r="C978" s="37" t="s">
        <v>1695</v>
      </c>
      <c r="D978" s="37" t="s">
        <v>268</v>
      </c>
      <c r="E978" s="67" t="s">
        <v>1206</v>
      </c>
      <c r="F978" s="37" t="s">
        <v>728</v>
      </c>
      <c r="G978" s="37" t="s">
        <v>778</v>
      </c>
      <c r="H978" s="37" t="s">
        <v>268</v>
      </c>
      <c r="I978" s="8">
        <v>1</v>
      </c>
      <c r="J978" s="38">
        <v>750</v>
      </c>
      <c r="K978" s="38" t="s">
        <v>1687</v>
      </c>
      <c r="L978" s="10">
        <f>COUNTIF(Drank!A:A,Table1[[#This Row],[ID]])</f>
        <v>0</v>
      </c>
      <c r="M978" s="37" t="s">
        <v>202</v>
      </c>
      <c r="N978" s="37" t="s">
        <v>207</v>
      </c>
      <c r="O978">
        <v>1</v>
      </c>
      <c r="P978" s="37">
        <v>2023</v>
      </c>
      <c r="Q978">
        <v>2040</v>
      </c>
      <c r="R978" s="10" t="str">
        <f>IF(IFERROR(VLOOKUP(A978,Drank!A:S,15,FALSE),"")=0,"",IFERROR(VLOOKUP(A978,Drank!A:S,15,FALSE),""))</f>
        <v/>
      </c>
      <c r="S978" s="10" t="str">
        <f>IF(IFERROR(VLOOKUP(A978,Drank!A:S,16,FALSE),"")=0,"",IFERROR(VLOOKUP(A978,Drank!A:S,16,FALSE),""))</f>
        <v/>
      </c>
      <c r="T978" s="10"/>
      <c r="U978" t="s">
        <v>74</v>
      </c>
      <c r="V978" s="18" t="str">
        <f>IF(IFERROR(VLOOKUP(A978,Drank!A:T,19,FALSE),"")=0,"",IFERROR(VLOOKUP(A978,Drank!A:T,19,FALSE),""))</f>
        <v/>
      </c>
      <c r="W978" s="1" t="str">
        <f>IF(IFERROR(VLOOKUP(A978,Drank!A:T,20,FALSE),"")=0,"",IFERROR(VLOOKUP(A978,Drank!A:T,20,FALSE),""))</f>
        <v/>
      </c>
      <c r="X978" s="10">
        <f>SUMIF(A:A,A978,I:I)</f>
        <v>4</v>
      </c>
      <c r="Y978" s="10">
        <f>IF(Table1[[#This Row],[Drank]]&gt;0,VLOOKUP(Table1[[#This Row],[ID]],Drank!A:P,16,FALSE),IF(Table1[[#This Row],[WALDD]]&gt;0,VLOOKUP(Table1[[#This Row],[ID]],Wine1!A:Q,17,FALSE),Table1[[#This Row],[EP]]))</f>
        <v>2040</v>
      </c>
      <c r="Z978" s="18">
        <f>IF(Table1[[#This Row],[My Rating]]="",IF(Table1[[#This Row],[WA Rating Clean]]="","",Table1[[#This Row],[WA Rating Clean]]),Table1[[#This Row],[My Rating]])</f>
        <v>93</v>
      </c>
      <c r="AA978" s="8">
        <v>2029</v>
      </c>
      <c r="AB978" s="4">
        <v>34.24</v>
      </c>
      <c r="AC978" s="2">
        <f t="shared" si="51"/>
        <v>34.24</v>
      </c>
      <c r="AD978" s="8">
        <v>1</v>
      </c>
      <c r="AE978" s="10">
        <f>IF(Table1[[#This Row],[P/750]]&lt;20,1,IF(Table1[[#This Row],[P/750]]&lt;50,2,3))</f>
        <v>2</v>
      </c>
      <c r="AF978" s="10">
        <f>IF(Table1[[#This Row],[P/750]]&lt;Expenses!$C$30,1,IF(Table1[[#This Row],[P/750]]&lt;Expenses!$C$31,2,IF(Table1[[#This Row],[P/750]]&lt;Expenses!$C$32,3,4)))</f>
        <v>3</v>
      </c>
      <c r="AH978" s="37" t="s">
        <v>1189</v>
      </c>
      <c r="AI978" s="11">
        <f>Table1[[#This Row],[Price]]/Table1[[#This Row],[Size (ml)]]*750</f>
        <v>34.24</v>
      </c>
      <c r="AJ978">
        <v>93</v>
      </c>
      <c r="AK978" s="10">
        <f>COUNTIF(UniqueID!A:A,Table1[[#This Row],[ID]])</f>
        <v>0</v>
      </c>
      <c r="AL978" s="10" t="str">
        <f>VLOOKUP(Table1[[#This Row],[Cellar Location]],Location!A:F,6,FALSE)</f>
        <v>W</v>
      </c>
      <c r="AN978" s="1">
        <v>44061</v>
      </c>
      <c r="AO978" s="10" t="str">
        <f>TEXT(Table1[[#This Row],[Purchased]],"mmmm")</f>
        <v>August</v>
      </c>
      <c r="AP978" s="10" t="str">
        <f>TEXT(Table1[[#This Row],[Purchased]],"yyyy")</f>
        <v>2020</v>
      </c>
      <c r="AQ978" s="1">
        <v>44137</v>
      </c>
    </row>
    <row r="979" spans="1:43" s="37" customFormat="1" x14ac:dyDescent="0.25">
      <c r="A979" s="37" t="str">
        <f t="shared" si="50"/>
        <v>2016OdderoBarolo</v>
      </c>
      <c r="B979" s="37">
        <v>2016</v>
      </c>
      <c r="C979" s="37" t="s">
        <v>1173</v>
      </c>
      <c r="D979" s="37" t="s">
        <v>268</v>
      </c>
      <c r="E979" s="37" t="s">
        <v>1206</v>
      </c>
      <c r="F979" s="37" t="s">
        <v>728</v>
      </c>
      <c r="G979" s="37" t="s">
        <v>778</v>
      </c>
      <c r="H979" s="37" t="s">
        <v>268</v>
      </c>
      <c r="I979" s="8">
        <v>1</v>
      </c>
      <c r="J979" s="38">
        <v>750</v>
      </c>
      <c r="K979" s="38" t="s">
        <v>1526</v>
      </c>
      <c r="L979" s="10">
        <f>COUNTIF(Drank!A:A,Table1[[#This Row],[ID]])</f>
        <v>0</v>
      </c>
      <c r="M979" s="37" t="s">
        <v>202</v>
      </c>
      <c r="N979" s="37" t="s">
        <v>207</v>
      </c>
      <c r="O979" s="37">
        <v>1</v>
      </c>
      <c r="P979" s="37">
        <v>2022</v>
      </c>
      <c r="Q979" s="37">
        <v>2040</v>
      </c>
      <c r="R979" s="10" t="str">
        <f>IF(IFERROR(VLOOKUP(A979,Drank!A:S,15,FALSE),"")=0,"",IFERROR(VLOOKUP(A979,Drank!A:S,15,FALSE),""))</f>
        <v/>
      </c>
      <c r="S979" s="10" t="str">
        <f>IF(IFERROR(VLOOKUP(A979,Drank!A:S,16,FALSE),"")=0,"",IFERROR(VLOOKUP(A979,Drank!A:S,16,FALSE),""))</f>
        <v/>
      </c>
      <c r="T979" s="10"/>
      <c r="U979" s="37" t="s">
        <v>17</v>
      </c>
      <c r="V979" s="18" t="str">
        <f>IF(IFERROR(VLOOKUP(A979,Drank!A:T,19,FALSE),"")=0,"",IFERROR(VLOOKUP(A979,Drank!A:T,19,FALSE),""))</f>
        <v/>
      </c>
      <c r="W979" s="1" t="str">
        <f>IF(IFERROR(VLOOKUP(A979,Drank!A:T,20,FALSE),"")=0,"",IFERROR(VLOOKUP(A979,Drank!A:T,20,FALSE),""))</f>
        <v/>
      </c>
      <c r="X979" s="10">
        <f>SUMIF(A:A,A979,I:I)</f>
        <v>4</v>
      </c>
      <c r="Y979" s="10">
        <f>IF(Table1[[#This Row],[Drank]]&gt;0,VLOOKUP(Table1[[#This Row],[ID]],Drank!A:P,16,FALSE),IF(Table1[[#This Row],[WALDD]]&gt;0,VLOOKUP(Table1[[#This Row],[ID]],Wine1!A:Q,17,FALSE),Table1[[#This Row],[EP]]))</f>
        <v>2040</v>
      </c>
      <c r="Z979" s="18">
        <f>IF(Table1[[#This Row],[My Rating]]="",IF(Table1[[#This Row],[WA Rating Clean]]="","",Table1[[#This Row],[WA Rating Clean]]),Table1[[#This Row],[My Rating]])</f>
        <v>94</v>
      </c>
      <c r="AA979" s="8">
        <v>2029</v>
      </c>
      <c r="AB979" s="4">
        <v>43.44</v>
      </c>
      <c r="AC979" s="2">
        <f t="shared" si="51"/>
        <v>43.44</v>
      </c>
      <c r="AD979" s="8">
        <v>1</v>
      </c>
      <c r="AE979" s="10">
        <f>IF(Table1[[#This Row],[P/750]]&lt;20,1,IF(Table1[[#This Row],[P/750]]&lt;50,2,3))</f>
        <v>2</v>
      </c>
      <c r="AF979" s="10">
        <f>IF(Table1[[#This Row],[P/750]]&lt;Expenses!$C$30,1,IF(Table1[[#This Row],[P/750]]&lt;Expenses!$C$31,2,IF(Table1[[#This Row],[P/750]]&lt;Expenses!$C$32,3,4)))</f>
        <v>3</v>
      </c>
      <c r="AH979" s="37" t="s">
        <v>1478</v>
      </c>
      <c r="AI979" s="11">
        <f>Table1[[#This Row],[Price]]/Table1[[#This Row],[Size (ml)]]*750</f>
        <v>43.44</v>
      </c>
      <c r="AJ979" s="37">
        <v>94</v>
      </c>
      <c r="AK979" s="10">
        <f>COUNTIF(UniqueID!A:A,Table1[[#This Row],[ID]])</f>
        <v>0</v>
      </c>
      <c r="AL979" s="10" t="str">
        <f>VLOOKUP(Table1[[#This Row],[Cellar Location]],Location!A:F,6,FALSE)</f>
        <v>W</v>
      </c>
      <c r="AN979" s="1">
        <v>44064</v>
      </c>
      <c r="AO979" s="10" t="str">
        <f>TEXT(Table1[[#This Row],[Purchased]],"mmmm")</f>
        <v>August</v>
      </c>
      <c r="AP979" s="10" t="str">
        <f>TEXT(Table1[[#This Row],[Purchased]],"yyyy")</f>
        <v>2020</v>
      </c>
      <c r="AQ979" s="1">
        <v>44114</v>
      </c>
    </row>
    <row r="980" spans="1:43" s="37" customFormat="1" x14ac:dyDescent="0.25">
      <c r="A980" s="37" t="str">
        <f t="shared" si="50"/>
        <v>2016FelsinaFontalloro</v>
      </c>
      <c r="B980" s="37">
        <v>2016</v>
      </c>
      <c r="C980" s="37" t="s">
        <v>795</v>
      </c>
      <c r="D980" s="25" t="s">
        <v>387</v>
      </c>
      <c r="E980" s="67" t="s">
        <v>1250</v>
      </c>
      <c r="F980" s="37" t="s">
        <v>728</v>
      </c>
      <c r="G980" s="37" t="s">
        <v>790</v>
      </c>
      <c r="H980" s="37" t="s">
        <v>796</v>
      </c>
      <c r="I980" s="78">
        <v>1</v>
      </c>
      <c r="J980" s="37">
        <v>750</v>
      </c>
      <c r="K980" s="78" t="s">
        <v>1545</v>
      </c>
      <c r="L980" s="10">
        <f>COUNTIF(Drank!A:A,Table1[[#This Row],[ID]])</f>
        <v>1</v>
      </c>
      <c r="M980" s="37" t="s">
        <v>202</v>
      </c>
      <c r="N980" s="37" t="s">
        <v>207</v>
      </c>
      <c r="O980" s="37">
        <v>1</v>
      </c>
      <c r="P980" s="10">
        <v>2021</v>
      </c>
      <c r="Q980" s="37">
        <v>2045</v>
      </c>
      <c r="R980" s="10" t="str">
        <f>IF(IFERROR(VLOOKUP(A980,Drank!A:S,15,FALSE),"")=0,"",IFERROR(VLOOKUP(A980,Drank!A:S,15,FALSE),""))</f>
        <v/>
      </c>
      <c r="S980" s="10" t="str">
        <f>IF(IFERROR(VLOOKUP(A980,Drank!A:S,16,FALSE),"")=0,"",IFERROR(VLOOKUP(A980,Drank!A:S,16,FALSE),""))</f>
        <v/>
      </c>
      <c r="T980" s="10"/>
      <c r="U980" s="37" t="s">
        <v>852</v>
      </c>
      <c r="V980" s="18">
        <f>IF(IFERROR(VLOOKUP(A980,Drank!A:T,19,FALSE),"")=0,"",IFERROR(VLOOKUP(A980,Drank!A:T,19,FALSE),""))</f>
        <v>94</v>
      </c>
      <c r="W980" s="1">
        <f>IF(IFERROR(VLOOKUP(A980,Drank!A:T,20,FALSE),"")=0,"",IFERROR(VLOOKUP(A980,Drank!A:T,20,FALSE),""))</f>
        <v>44074</v>
      </c>
      <c r="X980" s="10">
        <f>SUMIF(A:A,A980,I:I)</f>
        <v>6</v>
      </c>
      <c r="Y980" s="10">
        <f>IF(Table1[[#This Row],[Drank]]&gt;0,VLOOKUP(Table1[[#This Row],[ID]],Drank!A:P,16,FALSE),IF(Table1[[#This Row],[WALDD]]&gt;0,VLOOKUP(Table1[[#This Row],[ID]],Wine1!A:Q,17,FALSE),Table1[[#This Row],[EP]]))</f>
        <v>0</v>
      </c>
      <c r="Z980" s="18">
        <f>IF(Table1[[#This Row],[My Rating]]="",IF(Table1[[#This Row],[WA Rating Clean]]="","",Table1[[#This Row],[WA Rating Clean]]),Table1[[#This Row],[My Rating]])</f>
        <v>94</v>
      </c>
      <c r="AA980" s="37">
        <v>2029</v>
      </c>
      <c r="AB980" s="128">
        <v>60.29</v>
      </c>
      <c r="AC980" s="2">
        <f t="shared" si="51"/>
        <v>60.29</v>
      </c>
      <c r="AD980" s="8"/>
      <c r="AE980" s="10">
        <f>IF(Table1[[#This Row],[P/750]]&lt;20,1,IF(Table1[[#This Row],[P/750]]&lt;50,2,3))</f>
        <v>3</v>
      </c>
      <c r="AF980" s="10">
        <f>IF(Table1[[#This Row],[P/750]]&lt;Expenses!$C$30,1,IF(Table1[[#This Row],[P/750]]&lt;Expenses!$C$31,2,IF(Table1[[#This Row],[P/750]]&lt;Expenses!$C$32,3,4)))</f>
        <v>3</v>
      </c>
      <c r="AH980" s="25" t="s">
        <v>1545</v>
      </c>
      <c r="AI980" s="11">
        <f>Table1[[#This Row],[Price]]/Table1[[#This Row],[Size (ml)]]*750</f>
        <v>60.29</v>
      </c>
      <c r="AJ980" s="37">
        <v>98</v>
      </c>
      <c r="AK980" s="10">
        <f>COUNTIF(UniqueID!A:A,Table1[[#This Row],[ID]])</f>
        <v>0</v>
      </c>
      <c r="AL980" s="10" t="str">
        <f>VLOOKUP(Table1[[#This Row],[Cellar Location]],Location!A:F,6,FALSE)</f>
        <v>W</v>
      </c>
      <c r="AN980" s="1">
        <v>44065</v>
      </c>
      <c r="AO980" s="10" t="str">
        <f>TEXT(Table1[[#This Row],[Purchased]],"mmmm")</f>
        <v>August</v>
      </c>
      <c r="AP980" s="10" t="str">
        <f>TEXT(Table1[[#This Row],[Purchased]],"yyyy")</f>
        <v>2020</v>
      </c>
      <c r="AQ980" s="10"/>
    </row>
    <row r="981" spans="1:43" s="37" customFormat="1" x14ac:dyDescent="0.25">
      <c r="A981" s="37" t="str">
        <f t="shared" si="50"/>
        <v>2016Clos du RoyClos du Roy</v>
      </c>
      <c r="B981" s="37">
        <v>2016</v>
      </c>
      <c r="C981" s="37" t="s">
        <v>854</v>
      </c>
      <c r="D981" s="37" t="s">
        <v>854</v>
      </c>
      <c r="E981" s="37" t="s">
        <v>1198</v>
      </c>
      <c r="F981" s="37" t="s">
        <v>742</v>
      </c>
      <c r="G981" s="37" t="s">
        <v>748</v>
      </c>
      <c r="H981" s="37" t="s">
        <v>856</v>
      </c>
      <c r="I981" s="107">
        <v>1</v>
      </c>
      <c r="J981" s="37">
        <v>750</v>
      </c>
      <c r="K981" s="107" t="s">
        <v>1145</v>
      </c>
      <c r="L981" s="10">
        <f>COUNTIF(Drank!A:A,Table1[[#This Row],[ID]])</f>
        <v>1</v>
      </c>
      <c r="M981" s="37" t="s">
        <v>202</v>
      </c>
      <c r="N981" s="37" t="s">
        <v>207</v>
      </c>
      <c r="O981" s="37">
        <v>1</v>
      </c>
      <c r="P981" s="10">
        <v>2021</v>
      </c>
      <c r="Q981" s="37">
        <v>2038</v>
      </c>
      <c r="R981" s="10" t="str">
        <f>IF(IFERROR(VLOOKUP(A981,Drank!A:S,15,FALSE),"")=0,"",IFERROR(VLOOKUP(A981,Drank!A:S,15,FALSE),""))</f>
        <v/>
      </c>
      <c r="S981" s="10">
        <f>IF(IFERROR(VLOOKUP(A981,Drank!A:S,16,FALSE),"")=0,"",IFERROR(VLOOKUP(A981,Drank!A:S,16,FALSE),""))</f>
        <v>2045</v>
      </c>
      <c r="T981" s="10"/>
      <c r="U981" s="37" t="s">
        <v>855</v>
      </c>
      <c r="V981" s="18">
        <f>IF(IFERROR(VLOOKUP(A981,Drank!A:T,19,FALSE),"")=0,"",IFERROR(VLOOKUP(A981,Drank!A:T,19,FALSE),""))</f>
        <v>91</v>
      </c>
      <c r="W981" s="1">
        <f>IF(IFERROR(VLOOKUP(A981,Drank!A:T,20,FALSE),"")=0,"",IFERROR(VLOOKUP(A981,Drank!A:T,20,FALSE),""))</f>
        <v>43830</v>
      </c>
      <c r="X981" s="10">
        <f>SUMIF(A:A,A981,I:I)</f>
        <v>15</v>
      </c>
      <c r="Y981" s="10">
        <f>IF(Table1[[#This Row],[Drank]]&gt;0,VLOOKUP(Table1[[#This Row],[ID]],Drank!A:P,16,FALSE),IF(Table1[[#This Row],[WALDD]]&gt;0,VLOOKUP(Table1[[#This Row],[ID]],Wine1!A:Q,17,FALSE),Table1[[#This Row],[EP]]))</f>
        <v>2045</v>
      </c>
      <c r="Z981" s="18">
        <f>IF(Table1[[#This Row],[My Rating]]="",IF(Table1[[#This Row],[WA Rating Clean]]="","",Table1[[#This Row],[WA Rating Clean]]),Table1[[#This Row],[My Rating]])</f>
        <v>91</v>
      </c>
      <c r="AA981" s="37">
        <v>2029</v>
      </c>
      <c r="AB981" s="4">
        <v>17.91</v>
      </c>
      <c r="AC981" s="2">
        <f t="shared" si="51"/>
        <v>17.91</v>
      </c>
      <c r="AD981" s="8">
        <v>2</v>
      </c>
      <c r="AE981" s="10">
        <f>IF(Table1[[#This Row],[P/750]]&lt;20,1,IF(Table1[[#This Row],[P/750]]&lt;50,2,3))</f>
        <v>1</v>
      </c>
      <c r="AF981" s="10">
        <f>IF(Table1[[#This Row],[P/750]]&lt;Expenses!$C$30,1,IF(Table1[[#This Row],[P/750]]&lt;Expenses!$C$31,2,IF(Table1[[#This Row],[P/750]]&lt;Expenses!$C$32,3,4)))</f>
        <v>2</v>
      </c>
      <c r="AH981" s="37" t="s">
        <v>1128</v>
      </c>
      <c r="AI981" s="11">
        <f>Table1[[#This Row],[Price]]/Table1[[#This Row],[Size (ml)]]*750</f>
        <v>17.91</v>
      </c>
      <c r="AJ981" s="37">
        <v>92</v>
      </c>
      <c r="AK981" s="10">
        <f>COUNTIF(UniqueID!A:A,Table1[[#This Row],[ID]])</f>
        <v>1</v>
      </c>
      <c r="AL981" s="37" t="str">
        <f>VLOOKUP(Table1[[#This Row],[Cellar Location]],Location!A:F,6,FALSE)</f>
        <v>S</v>
      </c>
      <c r="AN981" s="1">
        <v>43830</v>
      </c>
      <c r="AO981" s="37" t="str">
        <f>TEXT(Table1[[#This Row],[Purchased]],"mmmm")</f>
        <v>December</v>
      </c>
      <c r="AP981" s="10" t="str">
        <f>TEXT(Table1[[#This Row],[Purchased]],"yyyy")</f>
        <v>2019</v>
      </c>
      <c r="AQ981" s="10"/>
    </row>
    <row r="982" spans="1:43" s="37" customFormat="1" x14ac:dyDescent="0.25">
      <c r="A982" s="37" t="str">
        <f t="shared" si="50"/>
        <v>2015FontodiFlaccianello della Pieve</v>
      </c>
      <c r="B982" s="37">
        <v>2015</v>
      </c>
      <c r="C982" s="37" t="s">
        <v>20</v>
      </c>
      <c r="D982" s="37" t="s">
        <v>21</v>
      </c>
      <c r="E982" s="67" t="s">
        <v>1250</v>
      </c>
      <c r="F982" s="37" t="s">
        <v>728</v>
      </c>
      <c r="G982" s="37" t="s">
        <v>790</v>
      </c>
      <c r="H982" s="37" t="s">
        <v>836</v>
      </c>
      <c r="I982" s="37">
        <v>1</v>
      </c>
      <c r="J982" s="107">
        <v>750</v>
      </c>
      <c r="K982" s="8" t="s">
        <v>1812</v>
      </c>
      <c r="L982" s="10">
        <f>COUNTIF(Drank!A:A,Table1[[#This Row],[ID]])</f>
        <v>0</v>
      </c>
      <c r="M982" s="37" t="s">
        <v>202</v>
      </c>
      <c r="N982" s="37" t="s">
        <v>207</v>
      </c>
      <c r="O982" s="37">
        <v>1</v>
      </c>
      <c r="P982" s="37">
        <v>2020</v>
      </c>
      <c r="Q982" s="37">
        <v>2050</v>
      </c>
      <c r="R982" s="10" t="str">
        <f>IF(IFERROR(VLOOKUP(A982,Drank!A:S,15,FALSE),"")=0,"",IFERROR(VLOOKUP(A982,Drank!A:S,15,FALSE),""))</f>
        <v/>
      </c>
      <c r="S982" s="10" t="str">
        <f>IF(IFERROR(VLOOKUP(A982,Drank!A:S,16,FALSE),"")=0,"",IFERROR(VLOOKUP(A982,Drank!A:S,16,FALSE),""))</f>
        <v/>
      </c>
      <c r="T982" s="10"/>
      <c r="U982" s="37">
        <v>98</v>
      </c>
      <c r="V982" s="18" t="str">
        <f>IF(IFERROR(VLOOKUP(A982,Drank!A:T,19,FALSE),"")=0,"",IFERROR(VLOOKUP(A982,Drank!A:T,19,FALSE),""))</f>
        <v/>
      </c>
      <c r="W982" s="1" t="str">
        <f>IF(IFERROR(VLOOKUP(A982,Drank!A:T,20,FALSE),"")=0,"",IFERROR(VLOOKUP(A982,Drank!A:T,20,FALSE),""))</f>
        <v/>
      </c>
      <c r="X982" s="10">
        <f>SUMIF(A:A,A982,I:I)</f>
        <v>6</v>
      </c>
      <c r="Y982" s="10">
        <f>IF(Table1[[#This Row],[Drank]]&gt;0,VLOOKUP(Table1[[#This Row],[ID]],Drank!A:P,16,FALSE),IF(Table1[[#This Row],[WALDD]]&gt;0,VLOOKUP(Table1[[#This Row],[ID]],Wine1!A:Q,17,FALSE),Table1[[#This Row],[EP]]))</f>
        <v>2050</v>
      </c>
      <c r="Z982" s="18">
        <f>IF(Table1[[#This Row],[My Rating]]="",IF(Table1[[#This Row],[WA Rating Clean]]="","",Table1[[#This Row],[WA Rating Clean]]),Table1[[#This Row],[My Rating]])</f>
        <v>98</v>
      </c>
      <c r="AA982" s="8">
        <v>2029</v>
      </c>
      <c r="AB982" s="4">
        <v>136.04</v>
      </c>
      <c r="AC982" s="2">
        <f t="shared" si="51"/>
        <v>136.04</v>
      </c>
      <c r="AD982" s="8">
        <v>1</v>
      </c>
      <c r="AE982" s="10">
        <f>IF(Table1[[#This Row],[P/750]]&lt;20,1,IF(Table1[[#This Row],[P/750]]&lt;50,2,3))</f>
        <v>3</v>
      </c>
      <c r="AF982" s="10">
        <f>IF(Table1[[#This Row],[P/750]]&lt;Expenses!$C$30,1,IF(Table1[[#This Row],[P/750]]&lt;Expenses!$C$31,2,IF(Table1[[#This Row],[P/750]]&lt;Expenses!$C$32,3,4)))</f>
        <v>4</v>
      </c>
      <c r="AH982" s="37" t="s">
        <v>1749</v>
      </c>
      <c r="AI982" s="11">
        <f>Table1[[#This Row],[Price]]/Table1[[#This Row],[Size (ml)]]*750</f>
        <v>136.04</v>
      </c>
      <c r="AJ982" s="37">
        <v>98</v>
      </c>
      <c r="AK982" s="10">
        <f>COUNTIF(UniqueID!A:A,Table1[[#This Row],[ID]])</f>
        <v>0</v>
      </c>
      <c r="AL982" s="10" t="str">
        <f>VLOOKUP(Table1[[#This Row],[Cellar Location]],Location!A:F,6,FALSE)</f>
        <v>S</v>
      </c>
      <c r="AN982" s="1">
        <v>44063</v>
      </c>
      <c r="AO982" s="10" t="str">
        <f>TEXT(Table1[[#This Row],[Purchased]],"mmmm")</f>
        <v>August</v>
      </c>
      <c r="AP982" s="10" t="str">
        <f>TEXT(Table1[[#This Row],[Purchased]],"yyyy")</f>
        <v>2020</v>
      </c>
      <c r="AQ982" s="10"/>
    </row>
    <row r="983" spans="1:43" s="37" customFormat="1" x14ac:dyDescent="0.25">
      <c r="A983" s="37" t="str">
        <f t="shared" si="50"/>
        <v>2016FontodiFlaccianello della Pieve</v>
      </c>
      <c r="B983" s="37">
        <v>2016</v>
      </c>
      <c r="C983" s="37" t="s">
        <v>20</v>
      </c>
      <c r="D983" s="37" t="s">
        <v>21</v>
      </c>
      <c r="E983" s="67" t="s">
        <v>1250</v>
      </c>
      <c r="F983" s="37" t="s">
        <v>728</v>
      </c>
      <c r="G983" s="37" t="s">
        <v>790</v>
      </c>
      <c r="H983" s="37" t="s">
        <v>836</v>
      </c>
      <c r="I983" s="37">
        <v>1</v>
      </c>
      <c r="J983" s="107">
        <v>750</v>
      </c>
      <c r="K983" s="8" t="s">
        <v>1813</v>
      </c>
      <c r="L983" s="10">
        <f>COUNTIF(Drank!A:A,Table1[[#This Row],[ID]])</f>
        <v>0</v>
      </c>
      <c r="M983" s="37" t="s">
        <v>202</v>
      </c>
      <c r="N983" s="37" t="s">
        <v>207</v>
      </c>
      <c r="O983" s="37">
        <v>1</v>
      </c>
      <c r="P983" s="37">
        <v>2020</v>
      </c>
      <c r="Q983" s="37">
        <v>2050</v>
      </c>
      <c r="R983" s="10" t="str">
        <f>IF(IFERROR(VLOOKUP(A983,Drank!A:S,15,FALSE),"")=0,"",IFERROR(VLOOKUP(A983,Drank!A:S,15,FALSE),""))</f>
        <v/>
      </c>
      <c r="S983" s="10" t="str">
        <f>IF(IFERROR(VLOOKUP(A983,Drank!A:S,16,FALSE),"")=0,"",IFERROR(VLOOKUP(A983,Drank!A:S,16,FALSE),""))</f>
        <v/>
      </c>
      <c r="T983" s="10"/>
      <c r="U983" s="37">
        <v>100</v>
      </c>
      <c r="V983" s="18" t="str">
        <f>IF(IFERROR(VLOOKUP(A983,Drank!A:T,19,FALSE),"")=0,"",IFERROR(VLOOKUP(A983,Drank!A:T,19,FALSE),""))</f>
        <v/>
      </c>
      <c r="W983" s="1" t="str">
        <f>IF(IFERROR(VLOOKUP(A983,Drank!A:T,20,FALSE),"")=0,"",IFERROR(VLOOKUP(A983,Drank!A:T,20,FALSE),""))</f>
        <v/>
      </c>
      <c r="X983" s="10">
        <f>SUMIF(A:A,A983,I:I)</f>
        <v>6</v>
      </c>
      <c r="Y983" s="10">
        <f>IF(Table1[[#This Row],[Drank]]&gt;0,VLOOKUP(Table1[[#This Row],[ID]],Drank!A:P,16,FALSE),IF(Table1[[#This Row],[WALDD]]&gt;0,VLOOKUP(Table1[[#This Row],[ID]],Wine1!A:Q,17,FALSE),Table1[[#This Row],[EP]]))</f>
        <v>2050</v>
      </c>
      <c r="Z983" s="18">
        <f>IF(Table1[[#This Row],[My Rating]]="",IF(Table1[[#This Row],[WA Rating Clean]]="","",Table1[[#This Row],[WA Rating Clean]]),Table1[[#This Row],[My Rating]])</f>
        <v>100</v>
      </c>
      <c r="AA983" s="8">
        <v>2029</v>
      </c>
      <c r="AB983" s="4">
        <v>183.98</v>
      </c>
      <c r="AC983" s="2">
        <f t="shared" si="51"/>
        <v>183.98</v>
      </c>
      <c r="AD983" s="8">
        <v>1</v>
      </c>
      <c r="AE983" s="10">
        <f>IF(Table1[[#This Row],[P/750]]&lt;20,1,IF(Table1[[#This Row],[P/750]]&lt;50,2,3))</f>
        <v>3</v>
      </c>
      <c r="AF983" s="10">
        <f>IF(Table1[[#This Row],[P/750]]&lt;Expenses!$C$30,1,IF(Table1[[#This Row],[P/750]]&lt;Expenses!$C$31,2,IF(Table1[[#This Row],[P/750]]&lt;Expenses!$C$32,3,4)))</f>
        <v>4</v>
      </c>
      <c r="AH983" s="37" t="s">
        <v>1750</v>
      </c>
      <c r="AI983" s="11">
        <f>Table1[[#This Row],[Price]]/Table1[[#This Row],[Size (ml)]]*750</f>
        <v>183.98</v>
      </c>
      <c r="AJ983" s="37">
        <v>100</v>
      </c>
      <c r="AK983" s="10">
        <f>COUNTIF(UniqueID!A:A,Table1[[#This Row],[ID]])</f>
        <v>0</v>
      </c>
      <c r="AL983" s="10" t="str">
        <f>VLOOKUP(Table1[[#This Row],[Cellar Location]],Location!A:F,6,FALSE)</f>
        <v>S</v>
      </c>
      <c r="AN983" s="1">
        <v>44063</v>
      </c>
      <c r="AO983" s="10" t="str">
        <f>TEXT(Table1[[#This Row],[Purchased]],"mmmm")</f>
        <v>August</v>
      </c>
      <c r="AP983" s="10" t="str">
        <f>TEXT(Table1[[#This Row],[Purchased]],"yyyy")</f>
        <v>2020</v>
      </c>
      <c r="AQ983" s="10"/>
    </row>
    <row r="984" spans="1:43" s="37" customFormat="1" x14ac:dyDescent="0.25">
      <c r="A984" s="37" t="str">
        <f t="shared" si="50"/>
        <v>2017SichelSichel</v>
      </c>
      <c r="B984" s="8">
        <v>2017</v>
      </c>
      <c r="C984" s="9" t="s">
        <v>409</v>
      </c>
      <c r="D984" s="9" t="s">
        <v>409</v>
      </c>
      <c r="E984" s="37" t="s">
        <v>1200</v>
      </c>
      <c r="F984" s="37" t="s">
        <v>742</v>
      </c>
      <c r="G984" s="37" t="s">
        <v>748</v>
      </c>
      <c r="H984" s="37" t="s">
        <v>260</v>
      </c>
      <c r="I984" s="107">
        <v>1</v>
      </c>
      <c r="J984" s="37">
        <v>375</v>
      </c>
      <c r="K984" s="107" t="s">
        <v>1504</v>
      </c>
      <c r="L984" s="37">
        <f>COUNTIF(Drank!A:A,Table1[[#This Row],[ID]])</f>
        <v>10</v>
      </c>
      <c r="M984" s="37" t="s">
        <v>201</v>
      </c>
      <c r="N984" s="37" t="s">
        <v>206</v>
      </c>
      <c r="O984" s="37">
        <v>1</v>
      </c>
      <c r="R984" s="10">
        <f>IF(IFERROR(VLOOKUP(A984,Drank!A:S,15,FALSE),"")=0,"",IFERROR(VLOOKUP(A984,Drank!A:S,15,FALSE),""))</f>
        <v>2020</v>
      </c>
      <c r="S984" s="10">
        <f>IF(IFERROR(VLOOKUP(A984,Drank!A:S,16,FALSE),"")=0,"",IFERROR(VLOOKUP(A984,Drank!A:S,16,FALSE),""))</f>
        <v>2025</v>
      </c>
      <c r="T984" s="10"/>
      <c r="V984" s="18">
        <f>IF(IFERROR(VLOOKUP(A984,Drank!A:T,19,FALSE),"")=0,"",IFERROR(VLOOKUP(A984,Drank!A:T,19,FALSE),""))</f>
        <v>89.7</v>
      </c>
      <c r="W984" s="1">
        <f>IF(IFERROR(VLOOKUP(A984,Drank!A:T,20,FALSE),"")=0,"",IFERROR(VLOOKUP(A984,Drank!A:T,20,FALSE),""))</f>
        <v>44002</v>
      </c>
      <c r="X984" s="10">
        <f>SUMIF(A:A,A984,I:I)</f>
        <v>20</v>
      </c>
      <c r="Y984" s="37">
        <f>IF(Table1[[#This Row],[Drank]]&gt;0,VLOOKUP(Table1[[#This Row],[ID]],Drank!A:P,16,FALSE),IF(Table1[[#This Row],[WALDD]]&gt;0,VLOOKUP(Table1[[#This Row],[ID]],Wine1!A:Q,17,FALSE),Table1[[#This Row],[EP]]))</f>
        <v>2025</v>
      </c>
      <c r="Z984" s="18">
        <f>IF(Table1[[#This Row],[My Rating]]="",IF(Table1[[#This Row],[WA Rating Clean]]="","",Table1[[#This Row],[WA Rating Clean]]),Table1[[#This Row],[My Rating]])</f>
        <v>89.7</v>
      </c>
      <c r="AA984" s="37">
        <v>2030</v>
      </c>
      <c r="AB984" s="4">
        <v>12</v>
      </c>
      <c r="AC984" s="2">
        <f t="shared" si="51"/>
        <v>12</v>
      </c>
      <c r="AD984" s="8">
        <v>2</v>
      </c>
      <c r="AE984" s="37">
        <f>IF(Table1[[#This Row],[P/750]]&lt;20,1,IF(Table1[[#This Row],[P/750]]&lt;50,2,3))</f>
        <v>2</v>
      </c>
      <c r="AF984" s="37">
        <f>IF(Table1[[#This Row],[P/750]]&lt;Expenses!$C$30,1,IF(Table1[[#This Row],[P/750]]&lt;Expenses!$C$31,2,IF(Table1[[#This Row],[P/750]]&lt;Expenses!$C$32,3,4)))</f>
        <v>2</v>
      </c>
      <c r="AH984" s="37" t="s">
        <v>385</v>
      </c>
      <c r="AI984" s="11">
        <f>Table1[[#This Row],[Price]]/Table1[[#This Row],[Size (ml)]]*750</f>
        <v>24</v>
      </c>
      <c r="AK984" s="37">
        <f>COUNTIF(UniqueID!A:A,Table1[[#This Row],[ID]])</f>
        <v>1</v>
      </c>
      <c r="AL984" s="37" t="str">
        <f>VLOOKUP(Table1[[#This Row],[Cellar Location]],Location!A:F,6,FALSE)</f>
        <v>S</v>
      </c>
      <c r="AN984" s="1">
        <v>43845</v>
      </c>
      <c r="AO984" s="37" t="str">
        <f>TEXT(Table1[[#This Row],[Purchased]],"mmmm")</f>
        <v>January</v>
      </c>
      <c r="AP984" s="10" t="str">
        <f>TEXT(Table1[[#This Row],[Purchased]],"yyyy")</f>
        <v>2020</v>
      </c>
      <c r="AQ984" s="10"/>
    </row>
    <row r="985" spans="1:43" s="37" customFormat="1" x14ac:dyDescent="0.25">
      <c r="A985" s="37" t="str">
        <f t="shared" si="50"/>
        <v>2017SichelSichel</v>
      </c>
      <c r="B985" s="8">
        <v>2017</v>
      </c>
      <c r="C985" s="37" t="s">
        <v>409</v>
      </c>
      <c r="D985" s="37" t="s">
        <v>409</v>
      </c>
      <c r="E985" s="37" t="s">
        <v>1200</v>
      </c>
      <c r="F985" s="37" t="s">
        <v>742</v>
      </c>
      <c r="G985" s="37" t="s">
        <v>748</v>
      </c>
      <c r="H985" s="37" t="s">
        <v>260</v>
      </c>
      <c r="I985" s="107">
        <v>1</v>
      </c>
      <c r="J985" s="37">
        <v>375</v>
      </c>
      <c r="K985" s="107" t="s">
        <v>1504</v>
      </c>
      <c r="L985" s="37">
        <f>COUNTIF(Drank!A:A,Table1[[#This Row],[ID]])</f>
        <v>10</v>
      </c>
      <c r="M985" s="37" t="s">
        <v>201</v>
      </c>
      <c r="N985" s="37" t="s">
        <v>206</v>
      </c>
      <c r="O985" s="37">
        <v>1</v>
      </c>
      <c r="R985" s="10">
        <f>IF(IFERROR(VLOOKUP(A985,Drank!A:S,15,FALSE),"")=0,"",IFERROR(VLOOKUP(A985,Drank!A:S,15,FALSE),""))</f>
        <v>2020</v>
      </c>
      <c r="S985" s="10">
        <f>IF(IFERROR(VLOOKUP(A985,Drank!A:S,16,FALSE),"")=0,"",IFERROR(VLOOKUP(A985,Drank!A:S,16,FALSE),""))</f>
        <v>2025</v>
      </c>
      <c r="T985" s="10"/>
      <c r="V985" s="18">
        <f>IF(IFERROR(VLOOKUP(A985,Drank!A:T,19,FALSE),"")=0,"",IFERROR(VLOOKUP(A985,Drank!A:T,19,FALSE),""))</f>
        <v>89.7</v>
      </c>
      <c r="W985" s="1">
        <f>IF(IFERROR(VLOOKUP(A985,Drank!A:T,20,FALSE),"")=0,"",IFERROR(VLOOKUP(A985,Drank!A:T,20,FALSE),""))</f>
        <v>44002</v>
      </c>
      <c r="X985" s="10">
        <f>SUMIF(A:A,A985,I:I)</f>
        <v>20</v>
      </c>
      <c r="Y985" s="37">
        <f>IF(Table1[[#This Row],[Drank]]&gt;0,VLOOKUP(Table1[[#This Row],[ID]],Drank!A:P,16,FALSE),IF(Table1[[#This Row],[WALDD]]&gt;0,VLOOKUP(Table1[[#This Row],[ID]],Wine1!A:Q,17,FALSE),Table1[[#This Row],[EP]]))</f>
        <v>2025</v>
      </c>
      <c r="Z985" s="18">
        <f>IF(Table1[[#This Row],[My Rating]]="",IF(Table1[[#This Row],[WA Rating Clean]]="","",Table1[[#This Row],[WA Rating Clean]]),Table1[[#This Row],[My Rating]])</f>
        <v>89.7</v>
      </c>
      <c r="AA985" s="37">
        <v>2030</v>
      </c>
      <c r="AB985" s="4">
        <v>12</v>
      </c>
      <c r="AC985" s="2">
        <f t="shared" si="51"/>
        <v>12</v>
      </c>
      <c r="AD985" s="8">
        <v>2</v>
      </c>
      <c r="AE985" s="37">
        <f>IF(Table1[[#This Row],[P/750]]&lt;20,1,IF(Table1[[#This Row],[P/750]]&lt;50,2,3))</f>
        <v>2</v>
      </c>
      <c r="AF985" s="37">
        <f>IF(Table1[[#This Row],[P/750]]&lt;Expenses!$C$30,1,IF(Table1[[#This Row],[P/750]]&lt;Expenses!$C$31,2,IF(Table1[[#This Row],[P/750]]&lt;Expenses!$C$32,3,4)))</f>
        <v>2</v>
      </c>
      <c r="AH985" s="37" t="s">
        <v>385</v>
      </c>
      <c r="AI985" s="11">
        <f>Table1[[#This Row],[Price]]/Table1[[#This Row],[Size (ml)]]*750</f>
        <v>24</v>
      </c>
      <c r="AK985" s="37">
        <f>COUNTIF(UniqueID!A:A,Table1[[#This Row],[ID]])</f>
        <v>1</v>
      </c>
      <c r="AL985" s="37" t="str">
        <f>VLOOKUP(Table1[[#This Row],[Cellar Location]],Location!A:F,6,FALSE)</f>
        <v>S</v>
      </c>
      <c r="AN985" s="1">
        <v>43845</v>
      </c>
      <c r="AO985" s="37" t="str">
        <f>TEXT(Table1[[#This Row],[Purchased]],"mmmm")</f>
        <v>January</v>
      </c>
      <c r="AP985" s="10" t="str">
        <f>TEXT(Table1[[#This Row],[Purchased]],"yyyy")</f>
        <v>2020</v>
      </c>
      <c r="AQ985" s="10"/>
    </row>
    <row r="986" spans="1:43" s="37" customFormat="1" x14ac:dyDescent="0.25">
      <c r="A986" s="37" t="str">
        <f t="shared" si="50"/>
        <v>2008Tua RitaGiusto di Notri</v>
      </c>
      <c r="B986" s="37">
        <v>2008</v>
      </c>
      <c r="C986" s="37" t="s">
        <v>859</v>
      </c>
      <c r="D986" s="37" t="s">
        <v>860</v>
      </c>
      <c r="E986" s="67" t="s">
        <v>1563</v>
      </c>
      <c r="F986" s="37" t="s">
        <v>728</v>
      </c>
      <c r="G986" s="37" t="s">
        <v>790</v>
      </c>
      <c r="H986" s="37" t="s">
        <v>796</v>
      </c>
      <c r="I986" s="8">
        <v>1</v>
      </c>
      <c r="J986" s="38">
        <v>750</v>
      </c>
      <c r="K986" s="38" t="s">
        <v>1564</v>
      </c>
      <c r="L986" s="10">
        <f>COUNTIF(Drank!A:A,Table1[[#This Row],[ID]])</f>
        <v>0</v>
      </c>
      <c r="M986" s="37" t="s">
        <v>202</v>
      </c>
      <c r="N986" s="37" t="s">
        <v>207</v>
      </c>
      <c r="O986" s="37">
        <v>1</v>
      </c>
      <c r="P986" s="10">
        <v>2016</v>
      </c>
      <c r="Q986" s="37">
        <v>2028</v>
      </c>
      <c r="R986" s="10" t="str">
        <f>IF(IFERROR(VLOOKUP(A986,Drank!A:S,15,FALSE),"")=0,"",IFERROR(VLOOKUP(A986,Drank!A:S,15,FALSE),""))</f>
        <v/>
      </c>
      <c r="S986" s="10" t="str">
        <f>IF(IFERROR(VLOOKUP(A986,Drank!A:S,16,FALSE),"")=0,"",IFERROR(VLOOKUP(A986,Drank!A:S,16,FALSE),""))</f>
        <v/>
      </c>
      <c r="T986" s="10"/>
      <c r="U986" s="37">
        <v>94</v>
      </c>
      <c r="V986" s="18" t="str">
        <f>IF(IFERROR(VLOOKUP(A986,Drank!A:T,19,FALSE),"")=0,"",IFERROR(VLOOKUP(A986,Drank!A:T,19,FALSE),""))</f>
        <v/>
      </c>
      <c r="W986" s="1" t="str">
        <f>IF(IFERROR(VLOOKUP(A986,Drank!A:T,20,FALSE),"")=0,"",IFERROR(VLOOKUP(A986,Drank!A:T,20,FALSE),""))</f>
        <v/>
      </c>
      <c r="X986" s="10">
        <f>SUMIF(A:A,A986,I:I)</f>
        <v>12</v>
      </c>
      <c r="Y986" s="10">
        <f>IF(Table1[[#This Row],[Drank]]&gt;0,VLOOKUP(Table1[[#This Row],[ID]],Drank!A:P,16,FALSE),IF(Table1[[#This Row],[WALDD]]&gt;0,VLOOKUP(Table1[[#This Row],[ID]],Wine1!A:Q,17,FALSE),Table1[[#This Row],[EP]]))</f>
        <v>2028</v>
      </c>
      <c r="Z986" s="18">
        <f>IF(Table1[[#This Row],[My Rating]]="",IF(Table1[[#This Row],[WA Rating Clean]]="","",Table1[[#This Row],[WA Rating Clean]]),Table1[[#This Row],[My Rating]])</f>
        <v>94</v>
      </c>
      <c r="AA986" s="37">
        <v>2030</v>
      </c>
      <c r="AB986" s="4">
        <v>54.41</v>
      </c>
      <c r="AC986" s="2">
        <f t="shared" si="51"/>
        <v>54.41</v>
      </c>
      <c r="AD986" s="8">
        <v>1</v>
      </c>
      <c r="AE986" s="10">
        <f>IF(Table1[[#This Row],[P/750]]&lt;20,1,IF(Table1[[#This Row],[P/750]]&lt;50,2,3))</f>
        <v>3</v>
      </c>
      <c r="AF986" s="10">
        <f>IF(Table1[[#This Row],[P/750]]&lt;Expenses!$C$30,1,IF(Table1[[#This Row],[P/750]]&lt;Expenses!$C$31,2,IF(Table1[[#This Row],[P/750]]&lt;Expenses!$C$32,3,4)))</f>
        <v>3</v>
      </c>
      <c r="AH986" s="37" t="s">
        <v>1564</v>
      </c>
      <c r="AI986" s="11">
        <f>Table1[[#This Row],[Price]]/Table1[[#This Row],[Size (ml)]]*750</f>
        <v>54.41</v>
      </c>
      <c r="AJ986" s="37">
        <v>94</v>
      </c>
      <c r="AK986" s="10">
        <f>COUNTIF(UniqueID!A:A,Table1[[#This Row],[ID]])</f>
        <v>0</v>
      </c>
      <c r="AL986" s="10" t="str">
        <f>VLOOKUP(Table1[[#This Row],[Cellar Location]],Location!A:F,6,FALSE)</f>
        <v>W</v>
      </c>
      <c r="AN986" s="1">
        <v>44045</v>
      </c>
      <c r="AO986" s="10" t="str">
        <f>TEXT(Table1[[#This Row],[Purchased]],"mmmm")</f>
        <v>August</v>
      </c>
      <c r="AP986" s="10" t="str">
        <f>TEXT(Table1[[#This Row],[Purchased]],"yyyy")</f>
        <v>2020</v>
      </c>
      <c r="AQ986" s="1">
        <v>44094</v>
      </c>
    </row>
    <row r="987" spans="1:43" s="37" customFormat="1" x14ac:dyDescent="0.25">
      <c r="A987" s="37" t="str">
        <f t="shared" si="50"/>
        <v>2015Luis Seabra VinhosTinto Xisto Cru</v>
      </c>
      <c r="B987" s="37">
        <v>2015</v>
      </c>
      <c r="C987" s="37" t="s">
        <v>250</v>
      </c>
      <c r="D987" s="37" t="s">
        <v>1275</v>
      </c>
      <c r="E987" s="64" t="s">
        <v>274</v>
      </c>
      <c r="F987" s="9" t="s">
        <v>804</v>
      </c>
      <c r="G987" s="9" t="s">
        <v>805</v>
      </c>
      <c r="I987" s="8">
        <v>1</v>
      </c>
      <c r="J987" s="107">
        <v>750</v>
      </c>
      <c r="K987" s="8" t="s">
        <v>1832</v>
      </c>
      <c r="L987" s="37">
        <f>COUNTIF(Drank!A:A,Table1[[#This Row],[ID]])</f>
        <v>1</v>
      </c>
      <c r="M987" s="37" t="s">
        <v>202</v>
      </c>
      <c r="N987" s="37" t="s">
        <v>207</v>
      </c>
      <c r="O987" s="37">
        <v>1</v>
      </c>
      <c r="P987" s="37">
        <v>2021</v>
      </c>
      <c r="Q987" s="37">
        <v>2040</v>
      </c>
      <c r="R987" s="37">
        <f>IF(IFERROR(VLOOKUP(A987,Drank!A:S,15,FALSE),"")=0,"",IFERROR(VLOOKUP(A987,Drank!A:S,15,FALSE),""))</f>
        <v>2021</v>
      </c>
      <c r="S987" s="37">
        <f>IF(IFERROR(VLOOKUP(A987,Drank!A:S,16,FALSE),"")=0,"",IFERROR(VLOOKUP(A987,Drank!A:S,16,FALSE),""))</f>
        <v>2028</v>
      </c>
      <c r="U987" s="37">
        <v>95</v>
      </c>
      <c r="V987" s="18">
        <f>IF(IFERROR(VLOOKUP(A987,Drank!A:T,19,FALSE),"")=0,"",IFERROR(VLOOKUP(A987,Drank!A:T,19,FALSE),""))</f>
        <v>95</v>
      </c>
      <c r="W987" s="1">
        <f>IF(IFERROR(VLOOKUP(A987,Drank!A:T,20,FALSE),"")=0,"",IFERROR(VLOOKUP(A987,Drank!A:T,20,FALSE),""))</f>
        <v>43576</v>
      </c>
      <c r="X987" s="37">
        <f>SUMIF(A:A,A987,I:I)</f>
        <v>3</v>
      </c>
      <c r="Y987" s="37">
        <f>IF(Table1[[#This Row],[Drank]]&gt;0,VLOOKUP(Table1[[#This Row],[ID]],Drank!A:P,16,FALSE),IF(Table1[[#This Row],[WALDD]]&gt;0,VLOOKUP(Table1[[#This Row],[ID]],Wine1!A:Q,17,FALSE),Table1[[#This Row],[EP]]))</f>
        <v>2028</v>
      </c>
      <c r="Z987" s="18">
        <f>IF(Table1[[#This Row],[My Rating]]="",IF(Table1[[#This Row],[WA Rating Clean]]="","",Table1[[#This Row],[WA Rating Clean]]),Table1[[#This Row],[My Rating]])</f>
        <v>95</v>
      </c>
      <c r="AA987" s="37">
        <v>2030</v>
      </c>
      <c r="AB987" s="4">
        <v>45</v>
      </c>
      <c r="AC987" s="2">
        <f t="shared" si="51"/>
        <v>45</v>
      </c>
      <c r="AD987" s="8">
        <v>0</v>
      </c>
      <c r="AE987" s="37">
        <f>IF(Table1[[#This Row],[P/750]]&lt;20,1,IF(Table1[[#This Row],[P/750]]&lt;50,2,3))</f>
        <v>2</v>
      </c>
      <c r="AF987" s="37">
        <f>IF(Table1[[#This Row],[P/750]]&lt;Expenses!$C$30,1,IF(Table1[[#This Row],[P/750]]&lt;Expenses!$C$31,2,IF(Table1[[#This Row],[P/750]]&lt;Expenses!$C$32,3,4)))</f>
        <v>3</v>
      </c>
      <c r="AH987" s="37" t="s">
        <v>385</v>
      </c>
      <c r="AI987" s="11">
        <f>Table1[[#This Row],[Price]]/Table1[[#This Row],[Size (ml)]]*750</f>
        <v>45</v>
      </c>
      <c r="AJ987" s="37">
        <v>95</v>
      </c>
      <c r="AK987" s="37">
        <f>COUNTIF(UniqueID!A:A,Table1[[#This Row],[ID]])</f>
        <v>1</v>
      </c>
      <c r="AL987" s="37" t="str">
        <f>VLOOKUP(Table1[[#This Row],[Cellar Location]],Location!A:F,6,FALSE)</f>
        <v>S</v>
      </c>
      <c r="AO987" s="37" t="str">
        <f>TEXT(Table1[[#This Row],[Purchased]],"mmmm")</f>
        <v>January</v>
      </c>
      <c r="AP987" s="10" t="str">
        <f>TEXT(Table1[[#This Row],[Purchased]],"yyyy")</f>
        <v>1900</v>
      </c>
      <c r="AQ987" s="10"/>
    </row>
    <row r="988" spans="1:43" s="37" customFormat="1" x14ac:dyDescent="0.25">
      <c r="A988" s="37" t="str">
        <f t="shared" si="50"/>
        <v>2016AaltoAalto</v>
      </c>
      <c r="B988" s="37">
        <v>2016</v>
      </c>
      <c r="C988" s="37" t="s">
        <v>1184</v>
      </c>
      <c r="D988" s="37" t="s">
        <v>1184</v>
      </c>
      <c r="E988" s="67" t="s">
        <v>1220</v>
      </c>
      <c r="F988" s="37" t="s">
        <v>729</v>
      </c>
      <c r="G988" s="37" t="s">
        <v>1718</v>
      </c>
      <c r="H988" s="37" t="s">
        <v>818</v>
      </c>
      <c r="I988" s="107">
        <v>1</v>
      </c>
      <c r="J988" s="37">
        <v>750</v>
      </c>
      <c r="K988" s="107" t="s">
        <v>1315</v>
      </c>
      <c r="L988" s="10">
        <f>COUNTIF(Drank!A:A,Table1[[#This Row],[ID]])</f>
        <v>1</v>
      </c>
      <c r="M988" s="37" t="s">
        <v>202</v>
      </c>
      <c r="N988" s="37" t="s">
        <v>207</v>
      </c>
      <c r="O988" s="37">
        <v>1</v>
      </c>
      <c r="P988" s="10">
        <v>2020</v>
      </c>
      <c r="Q988" s="37">
        <v>2026</v>
      </c>
      <c r="R988" s="10">
        <f>IF(IFERROR(VLOOKUP(A988,Drank!A:S,15,FALSE),"")=0,"",IFERROR(VLOOKUP(A988,Drank!A:S,15,FALSE),""))</f>
        <v>2026</v>
      </c>
      <c r="S988" s="10">
        <f>IF(IFERROR(VLOOKUP(A988,Drank!A:S,16,FALSE),"")=0,"",IFERROR(VLOOKUP(A988,Drank!A:S,16,FALSE),""))</f>
        <v>2029</v>
      </c>
      <c r="T988" s="10"/>
      <c r="U988" s="37" t="s">
        <v>1185</v>
      </c>
      <c r="V988" s="18">
        <f>IF(IFERROR(VLOOKUP(A988,Drank!A:T,19,FALSE),"")=0,"",IFERROR(VLOOKUP(A988,Drank!A:T,19,FALSE),""))</f>
        <v>94</v>
      </c>
      <c r="W988" s="1">
        <f>IF(IFERROR(VLOOKUP(A988,Drank!A:T,20,FALSE),"")=0,"",IFERROR(VLOOKUP(A988,Drank!A:T,20,FALSE),""))</f>
        <v>43870</v>
      </c>
      <c r="X988" s="10">
        <f>SUMIF(A:A,A988,I:I)</f>
        <v>7</v>
      </c>
      <c r="Y988" s="10">
        <f>IF(Table1[[#This Row],[Drank]]&gt;0,VLOOKUP(Table1[[#This Row],[ID]],Drank!A:P,16,FALSE),IF(Table1[[#This Row],[WALDD]]&gt;0,VLOOKUP(Table1[[#This Row],[ID]],Wine1!A:Q,17,FALSE),Table1[[#This Row],[EP]]))</f>
        <v>2029</v>
      </c>
      <c r="Z988" s="18">
        <f>IF(Table1[[#This Row],[My Rating]]="",IF(Table1[[#This Row],[WA Rating Clean]]="","",Table1[[#This Row],[WA Rating Clean]]),Table1[[#This Row],[My Rating]])</f>
        <v>94</v>
      </c>
      <c r="AA988" s="37">
        <v>2030</v>
      </c>
      <c r="AB988" s="4">
        <v>46.67</v>
      </c>
      <c r="AC988" s="2">
        <f t="shared" si="51"/>
        <v>46.67</v>
      </c>
      <c r="AD988" s="8">
        <v>2</v>
      </c>
      <c r="AE988" s="10">
        <f>IF(Table1[[#This Row],[P/750]]&lt;20,1,IF(Table1[[#This Row],[P/750]]&lt;50,2,3))</f>
        <v>2</v>
      </c>
      <c r="AF988" s="10">
        <f>IF(Table1[[#This Row],[P/750]]&lt;Expenses!$C$30,1,IF(Table1[[#This Row],[P/750]]&lt;Expenses!$C$31,2,IF(Table1[[#This Row],[P/750]]&lt;Expenses!$C$32,3,4)))</f>
        <v>3</v>
      </c>
      <c r="AH988" s="37" t="s">
        <v>1189</v>
      </c>
      <c r="AI988" s="11">
        <f>Table1[[#This Row],[Price]]/Table1[[#This Row],[Size (ml)]]*750</f>
        <v>46.67</v>
      </c>
      <c r="AJ988" s="37">
        <v>94</v>
      </c>
      <c r="AK988" s="10">
        <f>COUNTIF(UniqueID!A:A,Table1[[#This Row],[ID]])</f>
        <v>1</v>
      </c>
      <c r="AL988" s="10" t="str">
        <f>VLOOKUP(Table1[[#This Row],[Cellar Location]],Location!A:F,6,FALSE)</f>
        <v>S</v>
      </c>
      <c r="AN988" s="1">
        <v>43871</v>
      </c>
      <c r="AO988" s="37" t="str">
        <f>TEXT(Table1[[#This Row],[Purchased]],"mmmm")</f>
        <v>February</v>
      </c>
      <c r="AP988" s="10" t="str">
        <f>TEXT(Table1[[#This Row],[Purchased]],"yyyy")</f>
        <v>2020</v>
      </c>
      <c r="AQ988" s="10"/>
    </row>
    <row r="989" spans="1:43" s="37" customFormat="1" x14ac:dyDescent="0.25">
      <c r="A989" s="37" t="str">
        <f t="shared" ref="A989:A1052" si="52">CONCATENATE(B989,C989,D989)</f>
        <v>2015Durfort VivensDurfort Vivens</v>
      </c>
      <c r="B989" s="37">
        <v>2015</v>
      </c>
      <c r="C989" s="37" t="s">
        <v>116</v>
      </c>
      <c r="D989" s="37" t="s">
        <v>116</v>
      </c>
      <c r="E989" s="67" t="s">
        <v>1262</v>
      </c>
      <c r="F989" s="37" t="s">
        <v>742</v>
      </c>
      <c r="G989" s="37" t="s">
        <v>748</v>
      </c>
      <c r="H989" s="37" t="s">
        <v>750</v>
      </c>
      <c r="I989" s="107">
        <v>1</v>
      </c>
      <c r="J989" s="37">
        <v>750</v>
      </c>
      <c r="K989" s="107" t="s">
        <v>653</v>
      </c>
      <c r="L989" s="37">
        <f>COUNTIF(Drank!A:A,Table1[[#This Row],[ID]])</f>
        <v>1</v>
      </c>
      <c r="M989" s="37" t="s">
        <v>202</v>
      </c>
      <c r="N989" s="37" t="s">
        <v>207</v>
      </c>
      <c r="O989" s="37">
        <v>1</v>
      </c>
      <c r="P989" s="37">
        <v>2018</v>
      </c>
      <c r="Q989" s="37">
        <v>2030</v>
      </c>
      <c r="R989" s="37">
        <f>IF(IFERROR(VLOOKUP(A989,Drank!A:S,15,FALSE),"")=0,"",IFERROR(VLOOKUP(A989,Drank!A:S,15,FALSE),""))</f>
        <v>2019</v>
      </c>
      <c r="S989" s="37">
        <f>IF(IFERROR(VLOOKUP(A989,Drank!A:S,16,FALSE),"")=0,"",IFERROR(VLOOKUP(A989,Drank!A:S,16,FALSE),""))</f>
        <v>2029</v>
      </c>
      <c r="U989" s="37" t="s">
        <v>117</v>
      </c>
      <c r="V989" s="18">
        <f>IF(IFERROR(VLOOKUP(A989,Drank!A:T,19,FALSE),"")=0,"",IFERROR(VLOOKUP(A989,Drank!A:T,19,FALSE),""))</f>
        <v>91</v>
      </c>
      <c r="W989" s="1">
        <f>IF(IFERROR(VLOOKUP(A989,Drank!A:T,20,FALSE),"")=0,"",IFERROR(VLOOKUP(A989,Drank!A:T,20,FALSE),""))</f>
        <v>43554</v>
      </c>
      <c r="X989" s="37">
        <f>SUMIF(A:A,A989,I:I)</f>
        <v>4</v>
      </c>
      <c r="Y989" s="37">
        <f>IF(Table1[[#This Row],[Drank]]&gt;0,VLOOKUP(Table1[[#This Row],[ID]],Drank!A:P,16,FALSE),IF(Table1[[#This Row],[WALDD]]&gt;0,VLOOKUP(Table1[[#This Row],[ID]],Wine1!A:Q,17,FALSE),Table1[[#This Row],[EP]]))</f>
        <v>2029</v>
      </c>
      <c r="Z989" s="18">
        <f>IF(Table1[[#This Row],[My Rating]]="",IF(Table1[[#This Row],[WA Rating Clean]]="","",Table1[[#This Row],[WA Rating Clean]]),Table1[[#This Row],[My Rating]])</f>
        <v>91</v>
      </c>
      <c r="AA989" s="6">
        <v>2030</v>
      </c>
      <c r="AB989" s="3">
        <v>70</v>
      </c>
      <c r="AC989" s="2">
        <f t="shared" ref="AC989:AC1052" si="53">AB989*I989</f>
        <v>70</v>
      </c>
      <c r="AD989" s="8">
        <v>2</v>
      </c>
      <c r="AE989" s="37">
        <f>IF(Table1[[#This Row],[P/750]]&lt;20,1,IF(Table1[[#This Row],[P/750]]&lt;50,2,3))</f>
        <v>3</v>
      </c>
      <c r="AF989" s="37">
        <f>IF(Table1[[#This Row],[P/750]]&lt;Expenses!$C$30,1,IF(Table1[[#This Row],[P/750]]&lt;Expenses!$C$31,2,IF(Table1[[#This Row],[P/750]]&lt;Expenses!$C$32,3,4)))</f>
        <v>4</v>
      </c>
      <c r="AH989" s="37" t="s">
        <v>1130</v>
      </c>
      <c r="AI989" s="11">
        <f>Table1[[#This Row],[Price]]/Table1[[#This Row],[Size (ml)]]*750</f>
        <v>70</v>
      </c>
      <c r="AJ989" s="37">
        <v>90</v>
      </c>
      <c r="AK989" s="37">
        <f>COUNTIF(UniqueID!A:A,Table1[[#This Row],[ID]])</f>
        <v>1</v>
      </c>
      <c r="AL989" s="37" t="str">
        <f>VLOOKUP(Table1[[#This Row],[Cellar Location]],Location!A:F,6,FALSE)</f>
        <v>S</v>
      </c>
      <c r="AO989" s="37" t="str">
        <f>TEXT(Table1[[#This Row],[Purchased]],"mmmm")</f>
        <v>January</v>
      </c>
      <c r="AP989" s="10" t="str">
        <f>TEXT(Table1[[#This Row],[Purchased]],"yyyy")</f>
        <v>1900</v>
      </c>
      <c r="AQ989" s="10"/>
    </row>
    <row r="990" spans="1:43" s="37" customFormat="1" x14ac:dyDescent="0.25">
      <c r="A990" s="37" t="str">
        <f t="shared" si="52"/>
        <v>2016Luna BeberidePaixar</v>
      </c>
      <c r="B990" s="37">
        <v>2016</v>
      </c>
      <c r="C990" s="37" t="s">
        <v>357</v>
      </c>
      <c r="D990" s="37" t="s">
        <v>358</v>
      </c>
      <c r="E990" s="64" t="s">
        <v>363</v>
      </c>
      <c r="F990" s="37" t="s">
        <v>729</v>
      </c>
      <c r="G990" s="37" t="s">
        <v>1718</v>
      </c>
      <c r="H990" s="37" t="s">
        <v>815</v>
      </c>
      <c r="I990" s="107">
        <v>1</v>
      </c>
      <c r="J990" s="37">
        <v>750</v>
      </c>
      <c r="K990" s="107" t="s">
        <v>653</v>
      </c>
      <c r="L990" s="37">
        <f>COUNTIF(Drank!A:A,Table1[[#This Row],[ID]])</f>
        <v>1</v>
      </c>
      <c r="M990" s="37" t="s">
        <v>202</v>
      </c>
      <c r="N990" s="37" t="s">
        <v>207</v>
      </c>
      <c r="O990" s="37">
        <v>1</v>
      </c>
      <c r="P990" s="37">
        <v>2020</v>
      </c>
      <c r="Q990" s="37">
        <v>2030</v>
      </c>
      <c r="R990" s="10">
        <f>IF(IFERROR(VLOOKUP(A990,Drank!A:S,15,FALSE),"")=0,"",IFERROR(VLOOKUP(A990,Drank!A:S,15,FALSE),""))</f>
        <v>2024</v>
      </c>
      <c r="S990" s="10">
        <f>IF(IFERROR(VLOOKUP(A990,Drank!A:S,16,FALSE),"")=0,"",IFERROR(VLOOKUP(A990,Drank!A:S,16,FALSE),""))</f>
        <v>2029</v>
      </c>
      <c r="T990" s="10"/>
      <c r="U990" s="37">
        <v>95</v>
      </c>
      <c r="V990" s="18">
        <f>IF(IFERROR(VLOOKUP(A990,Drank!A:T,19,FALSE),"")=0,"",IFERROR(VLOOKUP(A990,Drank!A:T,19,FALSE),""))</f>
        <v>94</v>
      </c>
      <c r="W990" s="1">
        <f>IF(IFERROR(VLOOKUP(A990,Drank!A:T,20,FALSE),"")=0,"",IFERROR(VLOOKUP(A990,Drank!A:T,20,FALSE),""))</f>
        <v>43650</v>
      </c>
      <c r="X990" s="10">
        <f>SUMIF(A:A,A990,I:I)</f>
        <v>3</v>
      </c>
      <c r="Y990" s="37">
        <f>IF(Table1[[#This Row],[Drank]]&gt;0,VLOOKUP(Table1[[#This Row],[ID]],Drank!A:P,16,FALSE),IF(Table1[[#This Row],[WALDD]]&gt;0,VLOOKUP(Table1[[#This Row],[ID]],Wine1!A:Q,17,FALSE),Table1[[#This Row],[EP]]))</f>
        <v>2029</v>
      </c>
      <c r="Z990" s="18">
        <f>IF(Table1[[#This Row],[My Rating]]="",IF(Table1[[#This Row],[WA Rating Clean]]="","",Table1[[#This Row],[WA Rating Clean]]),Table1[[#This Row],[My Rating]])</f>
        <v>94</v>
      </c>
      <c r="AA990" s="8">
        <v>2030</v>
      </c>
      <c r="AB990" s="4">
        <v>37.99</v>
      </c>
      <c r="AC990" s="2">
        <f t="shared" si="53"/>
        <v>37.99</v>
      </c>
      <c r="AD990" s="8">
        <v>2</v>
      </c>
      <c r="AE990" s="37">
        <f>IF(Table1[[#This Row],[P/750]]&lt;20,1,IF(Table1[[#This Row],[P/750]]&lt;50,2,3))</f>
        <v>2</v>
      </c>
      <c r="AF990" s="37">
        <f>IF(Table1[[#This Row],[P/750]]&lt;Expenses!$C$30,1,IF(Table1[[#This Row],[P/750]]&lt;Expenses!$C$31,2,IF(Table1[[#This Row],[P/750]]&lt;Expenses!$C$32,3,4)))</f>
        <v>3</v>
      </c>
      <c r="AH990" s="37" t="s">
        <v>384</v>
      </c>
      <c r="AI990" s="11">
        <f>Table1[[#This Row],[Price]]/Table1[[#This Row],[Size (ml)]]*750</f>
        <v>37.99</v>
      </c>
      <c r="AJ990" s="37">
        <v>95</v>
      </c>
      <c r="AK990" s="37">
        <f>COUNTIF(UniqueID!A:A,Table1[[#This Row],[ID]])</f>
        <v>1</v>
      </c>
      <c r="AL990" s="37" t="str">
        <f>VLOOKUP(Table1[[#This Row],[Cellar Location]],Location!A:F,6,FALSE)</f>
        <v>S</v>
      </c>
      <c r="AO990" s="37" t="str">
        <f>TEXT(Table1[[#This Row],[Purchased]],"mmmm")</f>
        <v>January</v>
      </c>
      <c r="AP990" s="10" t="str">
        <f>TEXT(Table1[[#This Row],[Purchased]],"yyyy")</f>
        <v>1900</v>
      </c>
      <c r="AQ990" s="10"/>
    </row>
    <row r="991" spans="1:43" s="37" customFormat="1" x14ac:dyDescent="0.25">
      <c r="A991" s="37" t="str">
        <f t="shared" si="52"/>
        <v>2017Altos Las HormigasMalbec Appellation Gualtallary</v>
      </c>
      <c r="B991" s="37">
        <v>2017</v>
      </c>
      <c r="C991" s="37" t="s">
        <v>232</v>
      </c>
      <c r="D991" s="9" t="s">
        <v>233</v>
      </c>
      <c r="E991" s="67" t="s">
        <v>1207</v>
      </c>
      <c r="F991" s="37" t="s">
        <v>731</v>
      </c>
      <c r="G991" s="37" t="s">
        <v>732</v>
      </c>
      <c r="H991" s="37" t="s">
        <v>1190</v>
      </c>
      <c r="I991" s="8">
        <v>1</v>
      </c>
      <c r="J991" s="107">
        <v>750</v>
      </c>
      <c r="K991" s="8" t="s">
        <v>1848</v>
      </c>
      <c r="L991" s="10">
        <f>COUNTIF(Drank!A:A,Table1[[#This Row],[ID]])</f>
        <v>1</v>
      </c>
      <c r="M991" s="37" t="s">
        <v>202</v>
      </c>
      <c r="N991" s="37" t="s">
        <v>207</v>
      </c>
      <c r="O991" s="37">
        <v>1</v>
      </c>
      <c r="P991" s="10">
        <v>2019</v>
      </c>
      <c r="Q991" s="37">
        <v>2030</v>
      </c>
      <c r="R991" s="10">
        <f>IF(IFERROR(VLOOKUP(A991,Drank!A:S,15,FALSE),"")=0,"",IFERROR(VLOOKUP(A991,Drank!A:S,15,FALSE),""))</f>
        <v>2022</v>
      </c>
      <c r="S991" s="10">
        <f>IF(IFERROR(VLOOKUP(A991,Drank!A:S,16,FALSE),"")=0,"",IFERROR(VLOOKUP(A991,Drank!A:S,16,FALSE),""))</f>
        <v>2030</v>
      </c>
      <c r="T991" s="10"/>
      <c r="U991" s="37" t="s">
        <v>1180</v>
      </c>
      <c r="V991" s="18">
        <f>IF(IFERROR(VLOOKUP(A991,Drank!A:T,19,FALSE),"")=0,"",IFERROR(VLOOKUP(A991,Drank!A:T,19,FALSE),""))</f>
        <v>94</v>
      </c>
      <c r="W991" s="1">
        <f>IF(IFERROR(VLOOKUP(A991,Drank!A:T,20,FALSE),"")=0,"",IFERROR(VLOOKUP(A991,Drank!A:T,20,FALSE),""))</f>
        <v>43953</v>
      </c>
      <c r="X991" s="10">
        <f>SUMIF(A:A,A991,I:I)</f>
        <v>38</v>
      </c>
      <c r="Y991" s="10">
        <f>IF(Table1[[#This Row],[Drank]]&gt;0,VLOOKUP(Table1[[#This Row],[ID]],Drank!A:P,16,FALSE),IF(Table1[[#This Row],[WALDD]]&gt;0,VLOOKUP(Table1[[#This Row],[ID]],Wine1!A:Q,17,FALSE),Table1[[#This Row],[EP]]))</f>
        <v>2030</v>
      </c>
      <c r="Z991" s="18">
        <f>IF(Table1[[#This Row],[My Rating]]="",IF(Table1[[#This Row],[WA Rating Clean]]="","",Table1[[#This Row],[WA Rating Clean]]),Table1[[#This Row],[My Rating]])</f>
        <v>94</v>
      </c>
      <c r="AA991" s="37">
        <v>2030</v>
      </c>
      <c r="AB991" s="129">
        <v>35.85</v>
      </c>
      <c r="AC991" s="2">
        <f t="shared" si="53"/>
        <v>35.85</v>
      </c>
      <c r="AD991" s="8">
        <v>1</v>
      </c>
      <c r="AE991" s="10">
        <f>IF(Table1[[#This Row],[P/750]]&lt;20,1,IF(Table1[[#This Row],[P/750]]&lt;50,2,3))</f>
        <v>2</v>
      </c>
      <c r="AF991" s="10">
        <f>IF(Table1[[#This Row],[P/750]]&lt;Expenses!$C$30,1,IF(Table1[[#This Row],[P/750]]&lt;Expenses!$C$31,2,IF(Table1[[#This Row],[P/750]]&lt;Expenses!$C$32,3,4)))</f>
        <v>3</v>
      </c>
      <c r="AH991" s="37" t="s">
        <v>1128</v>
      </c>
      <c r="AI991" s="11">
        <f>Table1[[#This Row],[Price]]/Table1[[#This Row],[Size (ml)]]*750</f>
        <v>35.85</v>
      </c>
      <c r="AJ991" s="37">
        <v>96</v>
      </c>
      <c r="AK991" s="10">
        <f>COUNTIF(UniqueID!A:A,Table1[[#This Row],[ID]])</f>
        <v>1</v>
      </c>
      <c r="AL991" s="10" t="str">
        <f>VLOOKUP(Table1[[#This Row],[Cellar Location]],Location!A:F,6,FALSE)</f>
        <v>S</v>
      </c>
      <c r="AN991" s="1">
        <v>44070</v>
      </c>
      <c r="AO991" s="10" t="str">
        <f>TEXT(Table1[[#This Row],[Purchased]],"mmmm")</f>
        <v>August</v>
      </c>
      <c r="AP991" s="10" t="str">
        <f>TEXT(Table1[[#This Row],[Purchased]],"yyyy")</f>
        <v>2020</v>
      </c>
      <c r="AQ991" s="1"/>
    </row>
    <row r="992" spans="1:43" s="37" customFormat="1" x14ac:dyDescent="0.25">
      <c r="A992" s="37" t="str">
        <f t="shared" si="52"/>
        <v>2016Domaine BenedettiLes Larmes Papales Chateauneuf du Pape</v>
      </c>
      <c r="B992" s="8">
        <v>2016</v>
      </c>
      <c r="C992" s="37" t="s">
        <v>1578</v>
      </c>
      <c r="D992" s="37" t="s">
        <v>1579</v>
      </c>
      <c r="E992" s="37" t="s">
        <v>1248</v>
      </c>
      <c r="F992" s="37" t="s">
        <v>742</v>
      </c>
      <c r="G992" s="37" t="s">
        <v>759</v>
      </c>
      <c r="H992" s="37" t="s">
        <v>762</v>
      </c>
      <c r="I992" s="8">
        <v>1</v>
      </c>
      <c r="J992" s="38">
        <v>750</v>
      </c>
      <c r="K992" s="38" t="s">
        <v>384</v>
      </c>
      <c r="L992" s="10">
        <f>COUNTIF(Drank!A:A,Table1[[#This Row],[ID]])</f>
        <v>0</v>
      </c>
      <c r="M992" s="37" t="s">
        <v>202</v>
      </c>
      <c r="N992" s="37" t="s">
        <v>207</v>
      </c>
      <c r="O992" s="37">
        <v>1</v>
      </c>
      <c r="P992" s="37">
        <v>2018</v>
      </c>
      <c r="Q992" s="37">
        <v>2030</v>
      </c>
      <c r="R992" s="10" t="str">
        <f>IF(IFERROR(VLOOKUP(A992,Drank!A:S,15,FALSE),"")=0,"",IFERROR(VLOOKUP(A992,Drank!A:S,15,FALSE),""))</f>
        <v/>
      </c>
      <c r="S992" s="10" t="str">
        <f>IF(IFERROR(VLOOKUP(A992,Drank!A:S,16,FALSE),"")=0,"",IFERROR(VLOOKUP(A992,Drank!A:S,16,FALSE),""))</f>
        <v/>
      </c>
      <c r="T992" s="10"/>
      <c r="U992" s="37">
        <v>95</v>
      </c>
      <c r="V992" s="18" t="str">
        <f>IF(IFERROR(VLOOKUP(A992,Drank!A:T,19,FALSE),"")=0,"",IFERROR(VLOOKUP(A992,Drank!A:T,19,FALSE),""))</f>
        <v/>
      </c>
      <c r="W992" s="1" t="str">
        <f>IF(IFERROR(VLOOKUP(A992,Drank!A:T,20,FALSE),"")=0,"",IFERROR(VLOOKUP(A992,Drank!A:T,20,FALSE),""))</f>
        <v/>
      </c>
      <c r="X992" s="10">
        <f>SUMIF(A:A,A992,I:I)</f>
        <v>8</v>
      </c>
      <c r="Y992" s="10">
        <f>IF(Table1[[#This Row],[Drank]]&gt;0,VLOOKUP(Table1[[#This Row],[ID]],Drank!A:P,16,FALSE),IF(Table1[[#This Row],[WALDD]]&gt;0,VLOOKUP(Table1[[#This Row],[ID]],Wine1!A:Q,17,FALSE),Table1[[#This Row],[EP]]))</f>
        <v>2030</v>
      </c>
      <c r="Z992" s="18">
        <f>IF(Table1[[#This Row],[My Rating]]="",IF(Table1[[#This Row],[WA Rating Clean]]="","",Table1[[#This Row],[WA Rating Clean]]),Table1[[#This Row],[My Rating]])</f>
        <v>95</v>
      </c>
      <c r="AA992" s="8">
        <v>2030</v>
      </c>
      <c r="AB992" s="4">
        <v>35.840000000000003</v>
      </c>
      <c r="AC992" s="2">
        <f t="shared" si="53"/>
        <v>35.840000000000003</v>
      </c>
      <c r="AD992" s="8">
        <v>1</v>
      </c>
      <c r="AE992" s="10">
        <f>IF(Table1[[#This Row],[P/750]]&lt;20,1,IF(Table1[[#This Row],[P/750]]&lt;50,2,3))</f>
        <v>2</v>
      </c>
      <c r="AF992" s="10">
        <f>IF(Table1[[#This Row],[P/750]]&lt;Expenses!$C$30,1,IF(Table1[[#This Row],[P/750]]&lt;Expenses!$C$31,2,IF(Table1[[#This Row],[P/750]]&lt;Expenses!$C$32,3,4)))</f>
        <v>3</v>
      </c>
      <c r="AH992" s="37" t="s">
        <v>384</v>
      </c>
      <c r="AI992" s="11">
        <f>Table1[[#This Row],[Price]]/Table1[[#This Row],[Size (ml)]]*750</f>
        <v>35.840000000000003</v>
      </c>
      <c r="AJ992" s="37">
        <v>95</v>
      </c>
      <c r="AK992" s="10">
        <f>COUNTIF(UniqueID!A:A,Table1[[#This Row],[ID]])</f>
        <v>0</v>
      </c>
      <c r="AL992" s="10" t="str">
        <f>VLOOKUP(Table1[[#This Row],[Cellar Location]],Location!A:F,6,FALSE)</f>
        <v>W</v>
      </c>
      <c r="AN992" s="1">
        <v>44056</v>
      </c>
      <c r="AO992" s="10" t="str">
        <f>TEXT(Table1[[#This Row],[Purchased]],"mmmm")</f>
        <v>August</v>
      </c>
      <c r="AP992" s="10" t="str">
        <f>TEXT(Table1[[#This Row],[Purchased]],"yyyy")</f>
        <v>2020</v>
      </c>
      <c r="AQ992" s="1">
        <v>44137</v>
      </c>
    </row>
    <row r="993" spans="1:43" s="37" customFormat="1" x14ac:dyDescent="0.25">
      <c r="A993" s="37" t="str">
        <f t="shared" si="52"/>
        <v>2016Domaine BenedettiLes Larmes Papales Chateauneuf du Pape</v>
      </c>
      <c r="B993" s="8">
        <v>2016</v>
      </c>
      <c r="C993" s="37" t="s">
        <v>1578</v>
      </c>
      <c r="D993" s="37" t="s">
        <v>1579</v>
      </c>
      <c r="E993" s="37" t="s">
        <v>1248</v>
      </c>
      <c r="F993" s="37" t="s">
        <v>742</v>
      </c>
      <c r="G993" s="37" t="s">
        <v>759</v>
      </c>
      <c r="H993" s="37" t="s">
        <v>762</v>
      </c>
      <c r="I993" s="8">
        <v>1</v>
      </c>
      <c r="J993" s="38">
        <v>750</v>
      </c>
      <c r="K993" s="38" t="s">
        <v>384</v>
      </c>
      <c r="L993" s="10">
        <f>COUNTIF(Drank!A:A,Table1[[#This Row],[ID]])</f>
        <v>0</v>
      </c>
      <c r="M993" s="37" t="s">
        <v>202</v>
      </c>
      <c r="N993" s="37" t="s">
        <v>207</v>
      </c>
      <c r="O993" s="37">
        <v>1</v>
      </c>
      <c r="P993" s="37">
        <v>2018</v>
      </c>
      <c r="Q993" s="37">
        <v>2030</v>
      </c>
      <c r="R993" s="10" t="str">
        <f>IF(IFERROR(VLOOKUP(A993,Drank!A:S,15,FALSE),"")=0,"",IFERROR(VLOOKUP(A993,Drank!A:S,15,FALSE),""))</f>
        <v/>
      </c>
      <c r="S993" s="10" t="str">
        <f>IF(IFERROR(VLOOKUP(A993,Drank!A:S,16,FALSE),"")=0,"",IFERROR(VLOOKUP(A993,Drank!A:S,16,FALSE),""))</f>
        <v/>
      </c>
      <c r="T993" s="10"/>
      <c r="U993" s="37">
        <v>95</v>
      </c>
      <c r="V993" s="18" t="str">
        <f>IF(IFERROR(VLOOKUP(A993,Drank!A:T,19,FALSE),"")=0,"",IFERROR(VLOOKUP(A993,Drank!A:T,19,FALSE),""))</f>
        <v/>
      </c>
      <c r="W993" s="1" t="str">
        <f>IF(IFERROR(VLOOKUP(A993,Drank!A:T,20,FALSE),"")=0,"",IFERROR(VLOOKUP(A993,Drank!A:T,20,FALSE),""))</f>
        <v/>
      </c>
      <c r="X993" s="10">
        <f>SUMIF(A:A,A993,I:I)</f>
        <v>8</v>
      </c>
      <c r="Y993" s="10">
        <f>IF(Table1[[#This Row],[Drank]]&gt;0,VLOOKUP(Table1[[#This Row],[ID]],Drank!A:P,16,FALSE),IF(Table1[[#This Row],[WALDD]]&gt;0,VLOOKUP(Table1[[#This Row],[ID]],Wine1!A:Q,17,FALSE),Table1[[#This Row],[EP]]))</f>
        <v>2030</v>
      </c>
      <c r="Z993" s="18">
        <f>IF(Table1[[#This Row],[My Rating]]="",IF(Table1[[#This Row],[WA Rating Clean]]="","",Table1[[#This Row],[WA Rating Clean]]),Table1[[#This Row],[My Rating]])</f>
        <v>95</v>
      </c>
      <c r="AA993" s="8">
        <v>2030</v>
      </c>
      <c r="AB993" s="4">
        <v>35.840000000000003</v>
      </c>
      <c r="AC993" s="2">
        <f t="shared" si="53"/>
        <v>35.840000000000003</v>
      </c>
      <c r="AD993" s="8">
        <v>1</v>
      </c>
      <c r="AE993" s="10">
        <f>IF(Table1[[#This Row],[P/750]]&lt;20,1,IF(Table1[[#This Row],[P/750]]&lt;50,2,3))</f>
        <v>2</v>
      </c>
      <c r="AF993" s="10">
        <f>IF(Table1[[#This Row],[P/750]]&lt;Expenses!$C$30,1,IF(Table1[[#This Row],[P/750]]&lt;Expenses!$C$31,2,IF(Table1[[#This Row],[P/750]]&lt;Expenses!$C$32,3,4)))</f>
        <v>3</v>
      </c>
      <c r="AH993" s="37" t="s">
        <v>384</v>
      </c>
      <c r="AI993" s="11">
        <f>Table1[[#This Row],[Price]]/Table1[[#This Row],[Size (ml)]]*750</f>
        <v>35.840000000000003</v>
      </c>
      <c r="AJ993" s="37">
        <v>95</v>
      </c>
      <c r="AK993" s="10">
        <f>COUNTIF(UniqueID!A:A,Table1[[#This Row],[ID]])</f>
        <v>0</v>
      </c>
      <c r="AL993" s="10" t="str">
        <f>VLOOKUP(Table1[[#This Row],[Cellar Location]],Location!A:F,6,FALSE)</f>
        <v>W</v>
      </c>
      <c r="AN993" s="1">
        <v>44056</v>
      </c>
      <c r="AO993" s="10" t="str">
        <f>TEXT(Table1[[#This Row],[Purchased]],"mmmm")</f>
        <v>August</v>
      </c>
      <c r="AP993" s="10" t="str">
        <f>TEXT(Table1[[#This Row],[Purchased]],"yyyy")</f>
        <v>2020</v>
      </c>
      <c r="AQ993" s="1">
        <v>44137</v>
      </c>
    </row>
    <row r="994" spans="1:43" s="37" customFormat="1" x14ac:dyDescent="0.25">
      <c r="A994" s="8" t="str">
        <f t="shared" si="52"/>
        <v>2007La Rioja AltaGran Reserva 904</v>
      </c>
      <c r="B994" s="37">
        <v>2007</v>
      </c>
      <c r="C994" s="37" t="s">
        <v>221</v>
      </c>
      <c r="D994" s="37" t="s">
        <v>222</v>
      </c>
      <c r="E994" s="67" t="s">
        <v>1296</v>
      </c>
      <c r="F994" s="37" t="s">
        <v>729</v>
      </c>
      <c r="G994" s="37" t="s">
        <v>823</v>
      </c>
      <c r="H994" s="37" t="s">
        <v>824</v>
      </c>
      <c r="I994" s="37">
        <v>1</v>
      </c>
      <c r="J994" s="107">
        <v>1500</v>
      </c>
      <c r="K994" s="8" t="s">
        <v>1403</v>
      </c>
      <c r="L994" s="10">
        <f>COUNTIF(Drank!A:A,Table1[[#This Row],[ID]])</f>
        <v>2</v>
      </c>
      <c r="M994" s="37" t="s">
        <v>202</v>
      </c>
      <c r="N994" s="37" t="s">
        <v>207</v>
      </c>
      <c r="O994" s="37">
        <v>1</v>
      </c>
      <c r="P994" s="10">
        <v>2016</v>
      </c>
      <c r="Q994" s="37">
        <v>2027</v>
      </c>
      <c r="R994" s="10">
        <f>IF(IFERROR(VLOOKUP(A994,Drank!A:S,15,FALSE),"")=0,"",IFERROR(VLOOKUP(A994,Drank!A:S,15,FALSE),""))</f>
        <v>2029</v>
      </c>
      <c r="S994" s="10">
        <f>IF(IFERROR(VLOOKUP(A994,Drank!A:S,16,FALSE),"")=0,"",IFERROR(VLOOKUP(A994,Drank!A:S,16,FALSE),""))</f>
        <v>2030</v>
      </c>
      <c r="T994" s="10"/>
      <c r="U994" s="37">
        <v>95</v>
      </c>
      <c r="V994" s="18">
        <f>IF(IFERROR(VLOOKUP(A994,Drank!A:T,19,FALSE),"")=0,"",IFERROR(VLOOKUP(A994,Drank!A:T,19,FALSE),""))</f>
        <v>94.5</v>
      </c>
      <c r="W994" s="1">
        <f>IF(IFERROR(VLOOKUP(A994,Drank!A:T,20,FALSE),"")=0,"",IFERROR(VLOOKUP(A994,Drank!A:T,20,FALSE),""))</f>
        <v>44037</v>
      </c>
      <c r="X994" s="10">
        <f>SUMIF(A:A,A994,I:I)</f>
        <v>1</v>
      </c>
      <c r="Y994" s="10">
        <f>IF(Table1[[#This Row],[Drank]]&gt;0,VLOOKUP(Table1[[#This Row],[ID]],Drank!A:P,16,FALSE),IF(Table1[[#This Row],[WALDD]]&gt;0,VLOOKUP(Table1[[#This Row],[ID]],Wine1!A:Q,17,FALSE),Table1[[#This Row],[EP]]))</f>
        <v>2030</v>
      </c>
      <c r="Z994" s="18">
        <f>IF(Table1[[#This Row],[My Rating]]="",IF(Table1[[#This Row],[WA Rating Clean]]="","",Table1[[#This Row],[WA Rating Clean]]),Table1[[#This Row],[My Rating]])</f>
        <v>94.5</v>
      </c>
      <c r="AA994" s="37">
        <v>2030</v>
      </c>
      <c r="AB994" s="4">
        <v>134.99</v>
      </c>
      <c r="AC994" s="2">
        <f t="shared" si="53"/>
        <v>134.99</v>
      </c>
      <c r="AD994" s="8">
        <v>0</v>
      </c>
      <c r="AE994" s="10">
        <f>IF(Table1[[#This Row],[P/750]]&lt;20,1,IF(Table1[[#This Row],[P/750]]&lt;50,2,3))</f>
        <v>3</v>
      </c>
      <c r="AF994" s="10">
        <f>IF(Table1[[#This Row],[P/750]]&lt;Expenses!$C$30,1,IF(Table1[[#This Row],[P/750]]&lt;Expenses!$C$31,2,IF(Table1[[#This Row],[P/750]]&lt;Expenses!$C$32,3,4)))</f>
        <v>4</v>
      </c>
      <c r="AH994" s="37" t="s">
        <v>1477</v>
      </c>
      <c r="AI994" s="11">
        <f>Table1[[#This Row],[Price]]/Table1[[#This Row],[Size (ml)]]*750</f>
        <v>67.495000000000005</v>
      </c>
      <c r="AJ994" s="37">
        <v>95</v>
      </c>
      <c r="AK994" s="10">
        <f>COUNTIF(UniqueID!A:A,Table1[[#This Row],[ID]])</f>
        <v>1</v>
      </c>
      <c r="AL994" s="10" t="str">
        <f>VLOOKUP(Table1[[#This Row],[Cellar Location]],Location!A:F,6,FALSE)</f>
        <v>S</v>
      </c>
      <c r="AN994" s="1">
        <v>44019</v>
      </c>
      <c r="AO994" s="10" t="str">
        <f>TEXT(Table1[[#This Row],[Purchased]],"mmmm")</f>
        <v>July</v>
      </c>
      <c r="AP994" s="10" t="str">
        <f>TEXT(Table1[[#This Row],[Purchased]],"yyyy")</f>
        <v>2020</v>
      </c>
      <c r="AQ994" s="10"/>
    </row>
    <row r="995" spans="1:43" s="37" customFormat="1" x14ac:dyDescent="0.25">
      <c r="A995" s="37" t="str">
        <f t="shared" si="52"/>
        <v>2015MasiAmarone della Valpolicella Classico Costasera</v>
      </c>
      <c r="B995" s="37">
        <v>2015</v>
      </c>
      <c r="C995" s="25" t="s">
        <v>37</v>
      </c>
      <c r="D995" s="37" t="s">
        <v>53</v>
      </c>
      <c r="E995" s="64" t="s">
        <v>313</v>
      </c>
      <c r="F995" s="37" t="s">
        <v>728</v>
      </c>
      <c r="G995" s="37" t="s">
        <v>799</v>
      </c>
      <c r="H995" s="37" t="s">
        <v>800</v>
      </c>
      <c r="I995" s="107">
        <v>1</v>
      </c>
      <c r="J995" s="37">
        <v>750</v>
      </c>
      <c r="K995" s="107" t="s">
        <v>1406</v>
      </c>
      <c r="L995" s="37">
        <f>COUNTIF(Drank!A:A,Table1[[#This Row],[ID]])</f>
        <v>1</v>
      </c>
      <c r="M995" s="37" t="s">
        <v>202</v>
      </c>
      <c r="N995" s="37" t="s">
        <v>207</v>
      </c>
      <c r="O995" s="37">
        <v>1</v>
      </c>
      <c r="R995" s="10">
        <f>IF(IFERROR(VLOOKUP(A995,Drank!A:S,15,FALSE),"")=0,"",IFERROR(VLOOKUP(A995,Drank!A:S,15,FALSE),""))</f>
        <v>2030</v>
      </c>
      <c r="S995" s="10">
        <f>IF(IFERROR(VLOOKUP(A995,Drank!A:S,16,FALSE),"")=0,"",IFERROR(VLOOKUP(A995,Drank!A:S,16,FALSE),""))</f>
        <v>2030</v>
      </c>
      <c r="T995" s="10"/>
      <c r="V995" s="18">
        <f>IF(IFERROR(VLOOKUP(A995,Drank!A:T,19,FALSE),"")=0,"",IFERROR(VLOOKUP(A995,Drank!A:T,19,FALSE),""))</f>
        <v>94</v>
      </c>
      <c r="W995" s="1">
        <f>IF(IFERROR(VLOOKUP(A995,Drank!A:T,20,FALSE),"")=0,"",IFERROR(VLOOKUP(A995,Drank!A:T,20,FALSE),""))</f>
        <v>43918</v>
      </c>
      <c r="X995" s="10">
        <f>SUMIF(A:A,A995,I:I)</f>
        <v>11</v>
      </c>
      <c r="Y995" s="37">
        <f>IF(Table1[[#This Row],[Drank]]&gt;0,VLOOKUP(Table1[[#This Row],[ID]],Drank!A:P,16,FALSE),IF(Table1[[#This Row],[WALDD]]&gt;0,VLOOKUP(Table1[[#This Row],[ID]],Wine1!A:Q,17,FALSE),Table1[[#This Row],[EP]]))</f>
        <v>2030</v>
      </c>
      <c r="Z995" s="18">
        <f>IF(Table1[[#This Row],[My Rating]]="",IF(Table1[[#This Row],[WA Rating Clean]]="","",Table1[[#This Row],[WA Rating Clean]]),Table1[[#This Row],[My Rating]])</f>
        <v>94</v>
      </c>
      <c r="AA995" s="37">
        <v>2030</v>
      </c>
      <c r="AB995" s="4">
        <v>58.67</v>
      </c>
      <c r="AC995" s="2">
        <f t="shared" si="53"/>
        <v>58.67</v>
      </c>
      <c r="AD995" s="8">
        <v>2</v>
      </c>
      <c r="AE995" s="37">
        <f>IF(Table1[[#This Row],[P/750]]&lt;20,1,IF(Table1[[#This Row],[P/750]]&lt;50,2,3))</f>
        <v>3</v>
      </c>
      <c r="AF995" s="37">
        <f>IF(Table1[[#This Row],[P/750]]&lt;Expenses!$C$30,1,IF(Table1[[#This Row],[P/750]]&lt;Expenses!$C$31,2,IF(Table1[[#This Row],[P/750]]&lt;Expenses!$C$32,3,4)))</f>
        <v>3</v>
      </c>
      <c r="AH995" s="37" t="s">
        <v>1128</v>
      </c>
      <c r="AI995" s="11">
        <f>Table1[[#This Row],[Price]]/Table1[[#This Row],[Size (ml)]]*750</f>
        <v>58.67</v>
      </c>
      <c r="AK995" s="37">
        <f>COUNTIF(UniqueID!A:A,Table1[[#This Row],[ID]])</f>
        <v>0</v>
      </c>
      <c r="AL995" s="37" t="str">
        <f>VLOOKUP(Table1[[#This Row],[Cellar Location]],Location!A:F,6,FALSE)</f>
        <v>S</v>
      </c>
      <c r="AN995" s="1">
        <v>43966</v>
      </c>
      <c r="AO995" s="37" t="str">
        <f>TEXT(Table1[[#This Row],[Purchased]],"mmmm")</f>
        <v>May</v>
      </c>
      <c r="AP995" s="10" t="str">
        <f>TEXT(Table1[[#This Row],[Purchased]],"yyyy")</f>
        <v>2020</v>
      </c>
      <c r="AQ995" s="10"/>
    </row>
    <row r="996" spans="1:43" s="37" customFormat="1" x14ac:dyDescent="0.25">
      <c r="A996" s="8" t="str">
        <f t="shared" si="52"/>
        <v>2017Guy FargeSaint Joseph Terroir de Granit</v>
      </c>
      <c r="B996" s="8">
        <v>2017</v>
      </c>
      <c r="C996" s="8" t="s">
        <v>1430</v>
      </c>
      <c r="D996" s="37" t="s">
        <v>1456</v>
      </c>
      <c r="E996" s="67" t="s">
        <v>1431</v>
      </c>
      <c r="F996" s="37" t="s">
        <v>742</v>
      </c>
      <c r="G996" s="37" t="s">
        <v>759</v>
      </c>
      <c r="H996" s="37" t="s">
        <v>1432</v>
      </c>
      <c r="I996" s="107">
        <v>1</v>
      </c>
      <c r="J996" s="37">
        <v>750</v>
      </c>
      <c r="K996" s="107" t="s">
        <v>657</v>
      </c>
      <c r="L996" s="10">
        <f>COUNTIF(Drank!A:A,Table1[[#This Row],[ID]])</f>
        <v>1</v>
      </c>
      <c r="M996" s="37" t="s">
        <v>202</v>
      </c>
      <c r="N996" s="37" t="s">
        <v>207</v>
      </c>
      <c r="O996" s="37">
        <v>1</v>
      </c>
      <c r="P996" s="37">
        <v>2019</v>
      </c>
      <c r="Q996" s="37">
        <v>2030</v>
      </c>
      <c r="R996" s="10">
        <f>IF(IFERROR(VLOOKUP(A996,Drank!A:S,15,FALSE),"")=0,"",IFERROR(VLOOKUP(A996,Drank!A:S,15,FALSE),""))</f>
        <v>2025</v>
      </c>
      <c r="S996" s="10">
        <f>IF(IFERROR(VLOOKUP(A996,Drank!A:S,16,FALSE),"")=0,"",IFERROR(VLOOKUP(A996,Drank!A:S,16,FALSE),""))</f>
        <v>2030</v>
      </c>
      <c r="T996" s="10"/>
      <c r="U996" s="37">
        <v>93</v>
      </c>
      <c r="V996" s="18">
        <f>IF(IFERROR(VLOOKUP(A996,Drank!A:T,19,FALSE),"")=0,"",IFERROR(VLOOKUP(A996,Drank!A:T,19,FALSE),""))</f>
        <v>93</v>
      </c>
      <c r="W996" s="1">
        <f>IF(IFERROR(VLOOKUP(A996,Drank!A:T,20,FALSE),"")=0,"",IFERROR(VLOOKUP(A996,Drank!A:T,20,FALSE),""))</f>
        <v>44016</v>
      </c>
      <c r="X996" s="10">
        <f>SUMIF(A:A,A996,I:I)</f>
        <v>3</v>
      </c>
      <c r="Y996" s="10">
        <f>IF(Table1[[#This Row],[Drank]]&gt;0,VLOOKUP(Table1[[#This Row],[ID]],Drank!A:P,16,FALSE),IF(Table1[[#This Row],[WALDD]]&gt;0,VLOOKUP(Table1[[#This Row],[ID]],Wine1!A:Q,17,FALSE),Table1[[#This Row],[EP]]))</f>
        <v>2030</v>
      </c>
      <c r="Z996" s="18">
        <f>IF(Table1[[#This Row],[My Rating]]="",IF(Table1[[#This Row],[WA Rating Clean]]="","",Table1[[#This Row],[WA Rating Clean]]),Table1[[#This Row],[My Rating]])</f>
        <v>93</v>
      </c>
      <c r="AA996" s="37">
        <v>2030</v>
      </c>
      <c r="AB996" s="4">
        <v>21.72</v>
      </c>
      <c r="AC996" s="2">
        <f t="shared" si="53"/>
        <v>21.72</v>
      </c>
      <c r="AD996" s="8">
        <v>2</v>
      </c>
      <c r="AE996" s="10">
        <f>IF(Table1[[#This Row],[P/750]]&lt;20,1,IF(Table1[[#This Row],[P/750]]&lt;50,2,3))</f>
        <v>2</v>
      </c>
      <c r="AF996" s="10">
        <f>IF(Table1[[#This Row],[P/750]]&lt;Expenses!$C$30,1,IF(Table1[[#This Row],[P/750]]&lt;Expenses!$C$31,2,IF(Table1[[#This Row],[P/750]]&lt;Expenses!$C$32,3,4)))</f>
        <v>2</v>
      </c>
      <c r="AH996" s="37" t="s">
        <v>384</v>
      </c>
      <c r="AI996" s="11">
        <f>Table1[[#This Row],[Price]]/Table1[[#This Row],[Size (ml)]]*750</f>
        <v>21.72</v>
      </c>
      <c r="AJ996" s="37">
        <v>93</v>
      </c>
      <c r="AK996" s="10">
        <f>COUNTIF(UniqueID!A:A,Table1[[#This Row],[ID]])</f>
        <v>0</v>
      </c>
      <c r="AL996" s="10" t="str">
        <f>VLOOKUP(Table1[[#This Row],[Cellar Location]],Location!A:F,6,FALSE)</f>
        <v>S</v>
      </c>
      <c r="AN996" s="1">
        <v>43998</v>
      </c>
      <c r="AO996" s="10" t="str">
        <f>TEXT(Table1[[#This Row],[Purchased]],"mmmm")</f>
        <v>June</v>
      </c>
      <c r="AP996" s="10" t="str">
        <f>TEXT(Table1[[#This Row],[Purchased]],"yyyy")</f>
        <v>2020</v>
      </c>
      <c r="AQ996" s="10"/>
    </row>
    <row r="997" spans="1:43" s="37" customFormat="1" x14ac:dyDescent="0.25">
      <c r="A997" s="37" t="str">
        <f t="shared" si="52"/>
        <v>2015Fattoria le PupillePoggio Valente</v>
      </c>
      <c r="B997" s="37">
        <v>2015</v>
      </c>
      <c r="C997" s="37" t="s">
        <v>1474</v>
      </c>
      <c r="D997" s="37" t="s">
        <v>1475</v>
      </c>
      <c r="E997" s="9" t="s">
        <v>1250</v>
      </c>
      <c r="F997" s="37" t="s">
        <v>728</v>
      </c>
      <c r="G997" s="37" t="s">
        <v>790</v>
      </c>
      <c r="H997" s="37" t="s">
        <v>796</v>
      </c>
      <c r="I997" s="37">
        <v>1</v>
      </c>
      <c r="J997" s="38">
        <v>750</v>
      </c>
      <c r="K997" s="38" t="s">
        <v>415</v>
      </c>
      <c r="L997" s="10">
        <f>COUNTIF(Drank!A:A,Table1[[#This Row],[ID]])</f>
        <v>0</v>
      </c>
      <c r="M997" s="37" t="s">
        <v>202</v>
      </c>
      <c r="N997" s="37" t="s">
        <v>207</v>
      </c>
      <c r="O997" s="37">
        <v>1</v>
      </c>
      <c r="P997" s="10">
        <v>2018</v>
      </c>
      <c r="Q997" s="37">
        <v>2030</v>
      </c>
      <c r="R997" s="10" t="str">
        <f>IF(IFERROR(VLOOKUP(A997,Drank!A:S,15,FALSE),"")=0,"",IFERROR(VLOOKUP(A997,Drank!A:S,15,FALSE),""))</f>
        <v/>
      </c>
      <c r="S997" s="10" t="str">
        <f>IF(IFERROR(VLOOKUP(A997,Drank!A:S,16,FALSE),"")=0,"",IFERROR(VLOOKUP(A997,Drank!A:S,16,FALSE),""))</f>
        <v/>
      </c>
      <c r="T997" s="10"/>
      <c r="U997" s="37">
        <v>94</v>
      </c>
      <c r="V997" s="18" t="str">
        <f>IF(IFERROR(VLOOKUP(A997,Drank!A:T,19,FALSE),"")=0,"",IFERROR(VLOOKUP(A997,Drank!A:T,19,FALSE),""))</f>
        <v/>
      </c>
      <c r="W997" s="1" t="str">
        <f>IF(IFERROR(VLOOKUP(A997,Drank!A:T,20,FALSE),"")=0,"",IFERROR(VLOOKUP(A997,Drank!A:T,20,FALSE),""))</f>
        <v/>
      </c>
      <c r="X997" s="10">
        <f>SUMIF(A:A,A997,I:I)</f>
        <v>2</v>
      </c>
      <c r="Y997" s="10">
        <f>IF(Table1[[#This Row],[Drank]]&gt;0,VLOOKUP(Table1[[#This Row],[ID]],Drank!A:P,16,FALSE),IF(Table1[[#This Row],[WALDD]]&gt;0,VLOOKUP(Table1[[#This Row],[ID]],Wine1!A:Q,17,FALSE),Table1[[#This Row],[EP]]))</f>
        <v>2030</v>
      </c>
      <c r="Z997" s="18">
        <f>IF(Table1[[#This Row],[My Rating]]="",IF(Table1[[#This Row],[WA Rating Clean]]="","",Table1[[#This Row],[WA Rating Clean]]),Table1[[#This Row],[My Rating]])</f>
        <v>94</v>
      </c>
      <c r="AA997" s="37">
        <v>2030</v>
      </c>
      <c r="AB997" s="4">
        <v>35.99</v>
      </c>
      <c r="AC997" s="2">
        <f t="shared" si="53"/>
        <v>35.99</v>
      </c>
      <c r="AD997" s="8">
        <v>1</v>
      </c>
      <c r="AE997" s="10">
        <f>IF(Table1[[#This Row],[P/750]]&lt;20,1,IF(Table1[[#This Row],[P/750]]&lt;50,2,3))</f>
        <v>2</v>
      </c>
      <c r="AF997" s="10">
        <f>IF(Table1[[#This Row],[P/750]]&lt;Expenses!$C$30,1,IF(Table1[[#This Row],[P/750]]&lt;Expenses!$C$31,2,IF(Table1[[#This Row],[P/750]]&lt;Expenses!$C$32,3,4)))</f>
        <v>3</v>
      </c>
      <c r="AH997" s="37" t="s">
        <v>415</v>
      </c>
      <c r="AI997" s="11">
        <f>Table1[[#This Row],[Price]]/Table1[[#This Row],[Size (ml)]]*750</f>
        <v>35.99</v>
      </c>
      <c r="AJ997" s="37">
        <v>94</v>
      </c>
      <c r="AK997" s="10">
        <f>COUNTIF(UniqueID!A:A,Table1[[#This Row],[ID]])</f>
        <v>0</v>
      </c>
      <c r="AL997" s="10" t="str">
        <f>VLOOKUP(Table1[[#This Row],[Cellar Location]],Location!A:F,6,FALSE)</f>
        <v>W</v>
      </c>
      <c r="AN997" s="1">
        <v>44015</v>
      </c>
      <c r="AO997" s="10" t="str">
        <f>TEXT(Table1[[#This Row],[Purchased]],"mmmm")</f>
        <v>July</v>
      </c>
      <c r="AP997" s="10" t="str">
        <f>TEXT(Table1[[#This Row],[Purchased]],"yyyy")</f>
        <v>2020</v>
      </c>
      <c r="AQ997" s="1">
        <v>44114</v>
      </c>
    </row>
    <row r="998" spans="1:43" s="37" customFormat="1" x14ac:dyDescent="0.25">
      <c r="A998" s="37" t="str">
        <f t="shared" si="52"/>
        <v>2017Tenuta San GuidoGuidalberto</v>
      </c>
      <c r="B998" s="37">
        <v>2017</v>
      </c>
      <c r="C998" s="37" t="s">
        <v>91</v>
      </c>
      <c r="D998" s="37" t="s">
        <v>1236</v>
      </c>
      <c r="E998" s="67" t="s">
        <v>1455</v>
      </c>
      <c r="F998" s="37" t="s">
        <v>728</v>
      </c>
      <c r="G998" s="37" t="s">
        <v>790</v>
      </c>
      <c r="H998" s="37" t="s">
        <v>796</v>
      </c>
      <c r="I998" s="107">
        <v>1</v>
      </c>
      <c r="J998" s="37">
        <v>750</v>
      </c>
      <c r="K998" s="107" t="s">
        <v>1407</v>
      </c>
      <c r="L998" s="10">
        <f>COUNTIF(Drank!A:A,Table1[[#This Row],[ID]])</f>
        <v>1</v>
      </c>
      <c r="M998" s="37" t="s">
        <v>202</v>
      </c>
      <c r="N998" s="37" t="s">
        <v>207</v>
      </c>
      <c r="O998" s="37">
        <v>1</v>
      </c>
      <c r="P998" s="37">
        <v>2019</v>
      </c>
      <c r="Q998" s="37">
        <v>2028</v>
      </c>
      <c r="R998" s="10">
        <f>IF(IFERROR(VLOOKUP(A998,Drank!A:S,15,FALSE),"")=0,"",IFERROR(VLOOKUP(A998,Drank!A:S,15,FALSE),""))</f>
        <v>2025</v>
      </c>
      <c r="S998" s="10">
        <f>IF(IFERROR(VLOOKUP(A998,Drank!A:S,16,FALSE),"")=0,"",IFERROR(VLOOKUP(A998,Drank!A:S,16,FALSE),""))</f>
        <v>2030</v>
      </c>
      <c r="T998" s="10"/>
      <c r="U998" s="37" t="s">
        <v>29</v>
      </c>
      <c r="V998" s="18">
        <f>IF(IFERROR(VLOOKUP(A998,Drank!A:T,19,FALSE),"")=0,"",IFERROR(VLOOKUP(A998,Drank!A:T,19,FALSE),""))</f>
        <v>94</v>
      </c>
      <c r="W998" s="1">
        <f>IF(IFERROR(VLOOKUP(A998,Drank!A:T,20,FALSE),"")=0,"",IFERROR(VLOOKUP(A998,Drank!A:T,20,FALSE),""))</f>
        <v>44010</v>
      </c>
      <c r="X998" s="10">
        <f>SUMIF(A:A,A998,I:I)</f>
        <v>5</v>
      </c>
      <c r="Y998" s="10">
        <f>IF(Table1[[#This Row],[Drank]]&gt;0,VLOOKUP(Table1[[#This Row],[ID]],Drank!A:P,16,FALSE),IF(Table1[[#This Row],[WALDD]]&gt;0,VLOOKUP(Table1[[#This Row],[ID]],Wine1!A:Q,17,FALSE),Table1[[#This Row],[EP]]))</f>
        <v>2030</v>
      </c>
      <c r="Z998" s="18">
        <f>IF(Table1[[#This Row],[My Rating]]="",IF(Table1[[#This Row],[WA Rating Clean]]="","",Table1[[#This Row],[WA Rating Clean]]),Table1[[#This Row],[My Rating]])</f>
        <v>94</v>
      </c>
      <c r="AA998" s="37">
        <v>2030</v>
      </c>
      <c r="AB998" s="4">
        <v>48.89</v>
      </c>
      <c r="AC998" s="2">
        <f t="shared" si="53"/>
        <v>48.89</v>
      </c>
      <c r="AD998" s="8">
        <v>2</v>
      </c>
      <c r="AE998" s="10">
        <f>IF(Table1[[#This Row],[P/750]]&lt;20,1,IF(Table1[[#This Row],[P/750]]&lt;50,2,3))</f>
        <v>2</v>
      </c>
      <c r="AF998" s="10">
        <f>IF(Table1[[#This Row],[P/750]]&lt;Expenses!$C$30,1,IF(Table1[[#This Row],[P/750]]&lt;Expenses!$C$31,2,IF(Table1[[#This Row],[P/750]]&lt;Expenses!$C$32,3,4)))</f>
        <v>3</v>
      </c>
      <c r="AH998" s="37" t="s">
        <v>1128</v>
      </c>
      <c r="AI998" s="11">
        <f>Table1[[#This Row],[Price]]/Table1[[#This Row],[Size (ml)]]*750</f>
        <v>48.89</v>
      </c>
      <c r="AJ998" s="37">
        <v>92</v>
      </c>
      <c r="AK998" s="10">
        <f>COUNTIF(UniqueID!A:A,Table1[[#This Row],[ID]])</f>
        <v>0</v>
      </c>
      <c r="AL998" s="10" t="str">
        <f>VLOOKUP(Table1[[#This Row],[Cellar Location]],Location!A:F,6,FALSE)</f>
        <v>S</v>
      </c>
      <c r="AN998" s="1">
        <v>43966</v>
      </c>
      <c r="AO998" s="10" t="str">
        <f>TEXT(Table1[[#This Row],[Purchased]],"mmmm")</f>
        <v>May</v>
      </c>
      <c r="AP998" s="10" t="str">
        <f>TEXT(Table1[[#This Row],[Purchased]],"yyyy")</f>
        <v>2020</v>
      </c>
      <c r="AQ998" s="10"/>
    </row>
    <row r="999" spans="1:43" s="37" customFormat="1" x14ac:dyDescent="0.25">
      <c r="A999" s="37" t="str">
        <f t="shared" si="52"/>
        <v>2016Altos Las HormigasMalbec Appellation Gualtallary</v>
      </c>
      <c r="B999" s="37">
        <v>2016</v>
      </c>
      <c r="C999" s="37" t="s">
        <v>232</v>
      </c>
      <c r="D999" s="25" t="s">
        <v>233</v>
      </c>
      <c r="E999" s="68" t="s">
        <v>1207</v>
      </c>
      <c r="F999" s="9" t="s">
        <v>731</v>
      </c>
      <c r="G999" s="9" t="s">
        <v>732</v>
      </c>
      <c r="H999" s="9" t="s">
        <v>734</v>
      </c>
      <c r="I999" s="107">
        <v>1</v>
      </c>
      <c r="J999" s="37">
        <v>750</v>
      </c>
      <c r="K999" s="107" t="s">
        <v>646</v>
      </c>
      <c r="L999" s="37">
        <f>COUNTIF(Drank!A:A,Table1[[#This Row],[ID]])</f>
        <v>2</v>
      </c>
      <c r="M999" s="37" t="s">
        <v>202</v>
      </c>
      <c r="N999" s="37" t="s">
        <v>207</v>
      </c>
      <c r="O999" s="37">
        <v>1</v>
      </c>
      <c r="P999" s="37">
        <v>2018</v>
      </c>
      <c r="Q999" s="37">
        <v>2028</v>
      </c>
      <c r="R999" s="10">
        <f>IF(IFERROR(VLOOKUP(A999,Drank!A:S,15,FALSE),"")=0,"",IFERROR(VLOOKUP(A999,Drank!A:S,15,FALSE),""))</f>
        <v>2020</v>
      </c>
      <c r="S999" s="10">
        <f>IF(IFERROR(VLOOKUP(A999,Drank!A:S,16,FALSE),"")=0,"",IFERROR(VLOOKUP(A999,Drank!A:S,16,FALSE),""))</f>
        <v>2030</v>
      </c>
      <c r="T999" s="10"/>
      <c r="U999" s="37">
        <v>96</v>
      </c>
      <c r="V999" s="18">
        <f>IF(IFERROR(VLOOKUP(A999,Drank!A:T,19,FALSE),"")=0,"",IFERROR(VLOOKUP(A999,Drank!A:T,19,FALSE),""))</f>
        <v>95.5</v>
      </c>
      <c r="W999" s="1">
        <f>IF(IFERROR(VLOOKUP(A999,Drank!A:T,20,FALSE),"")=0,"",IFERROR(VLOOKUP(A999,Drank!A:T,20,FALSE),""))</f>
        <v>43611</v>
      </c>
      <c r="X999" s="10">
        <f>SUMIF(A:A,A999,I:I)</f>
        <v>4</v>
      </c>
      <c r="Y999" s="37">
        <f>IF(Table1[[#This Row],[Drank]]&gt;0,VLOOKUP(Table1[[#This Row],[ID]],Drank!A:P,16,FALSE),IF(Table1[[#This Row],[WALDD]]&gt;0,VLOOKUP(Table1[[#This Row],[ID]],Wine1!A:Q,17,FALSE),Table1[[#This Row],[EP]]))</f>
        <v>2030</v>
      </c>
      <c r="Z999" s="18">
        <f>IF(Table1[[#This Row],[My Rating]]="",IF(Table1[[#This Row],[WA Rating Clean]]="","",Table1[[#This Row],[WA Rating Clean]]),Table1[[#This Row],[My Rating]])</f>
        <v>95.5</v>
      </c>
      <c r="AA999" s="6">
        <v>2030</v>
      </c>
      <c r="AB999" s="4">
        <v>39.99</v>
      </c>
      <c r="AC999" s="2">
        <f t="shared" si="53"/>
        <v>39.99</v>
      </c>
      <c r="AD999" s="8">
        <v>2</v>
      </c>
      <c r="AE999" s="37">
        <f>IF(Table1[[#This Row],[P/750]]&lt;20,1,IF(Table1[[#This Row],[P/750]]&lt;50,2,3))</f>
        <v>2</v>
      </c>
      <c r="AF999" s="37">
        <f>IF(Table1[[#This Row],[P/750]]&lt;Expenses!$C$30,1,IF(Table1[[#This Row],[P/750]]&lt;Expenses!$C$31,2,IF(Table1[[#This Row],[P/750]]&lt;Expenses!$C$32,3,4)))</f>
        <v>3</v>
      </c>
      <c r="AH999" s="37" t="s">
        <v>371</v>
      </c>
      <c r="AI999" s="11">
        <f>Table1[[#This Row],[Price]]/Table1[[#This Row],[Size (ml)]]*750</f>
        <v>39.99</v>
      </c>
      <c r="AJ999" s="37">
        <v>96</v>
      </c>
      <c r="AK999" s="37">
        <f>COUNTIF(UniqueID!A:A,Table1[[#This Row],[ID]])</f>
        <v>1</v>
      </c>
      <c r="AL999" s="37" t="str">
        <f>VLOOKUP(Table1[[#This Row],[Cellar Location]],Location!A:F,6,FALSE)</f>
        <v>S</v>
      </c>
      <c r="AO999" s="37" t="str">
        <f>TEXT(Table1[[#This Row],[Purchased]],"mmmm")</f>
        <v>January</v>
      </c>
      <c r="AP999" s="10" t="str">
        <f>TEXT(Table1[[#This Row],[Purchased]],"yyyy")</f>
        <v>1900</v>
      </c>
      <c r="AQ999" s="10"/>
    </row>
    <row r="1000" spans="1:43" s="37" customFormat="1" x14ac:dyDescent="0.25">
      <c r="A1000" s="37" t="str">
        <f t="shared" si="52"/>
        <v>2017Altos Las HormigasMalbec Appellation Gualtallary</v>
      </c>
      <c r="B1000" s="37">
        <v>2017</v>
      </c>
      <c r="C1000" s="37" t="s">
        <v>232</v>
      </c>
      <c r="D1000" s="37" t="s">
        <v>233</v>
      </c>
      <c r="E1000" s="67" t="s">
        <v>1207</v>
      </c>
      <c r="F1000" s="37" t="s">
        <v>731</v>
      </c>
      <c r="G1000" s="37" t="s">
        <v>732</v>
      </c>
      <c r="H1000" s="37" t="s">
        <v>1190</v>
      </c>
      <c r="I1000" s="107">
        <v>1</v>
      </c>
      <c r="J1000" s="37">
        <v>750</v>
      </c>
      <c r="K1000" s="107" t="s">
        <v>643</v>
      </c>
      <c r="L1000" s="10">
        <f>COUNTIF(Drank!A:A,Table1[[#This Row],[ID]])</f>
        <v>1</v>
      </c>
      <c r="M1000" s="37" t="s">
        <v>202</v>
      </c>
      <c r="N1000" s="37" t="s">
        <v>207</v>
      </c>
      <c r="O1000" s="37">
        <v>1</v>
      </c>
      <c r="P1000" s="10">
        <v>2019</v>
      </c>
      <c r="Q1000" s="37">
        <v>2030</v>
      </c>
      <c r="R1000" s="10">
        <f>IF(IFERROR(VLOOKUP(A1000,Drank!A:S,15,FALSE),"")=0,"",IFERROR(VLOOKUP(A1000,Drank!A:S,15,FALSE),""))</f>
        <v>2022</v>
      </c>
      <c r="S1000" s="10">
        <f>IF(IFERROR(VLOOKUP(A1000,Drank!A:S,16,FALSE),"")=0,"",IFERROR(VLOOKUP(A1000,Drank!A:S,16,FALSE),""))</f>
        <v>2030</v>
      </c>
      <c r="T1000" s="10"/>
      <c r="U1000" s="37" t="s">
        <v>1180</v>
      </c>
      <c r="V1000" s="18">
        <f>IF(IFERROR(VLOOKUP(A1000,Drank!A:T,19,FALSE),"")=0,"",IFERROR(VLOOKUP(A1000,Drank!A:T,19,FALSE),""))</f>
        <v>94</v>
      </c>
      <c r="W1000" s="1">
        <f>IF(IFERROR(VLOOKUP(A1000,Drank!A:T,20,FALSE),"")=0,"",IFERROR(VLOOKUP(A1000,Drank!A:T,20,FALSE),""))</f>
        <v>43953</v>
      </c>
      <c r="X1000" s="10">
        <f>SUMIF(A:A,A1000,I:I)</f>
        <v>38</v>
      </c>
      <c r="Y1000" s="10">
        <f>IF(Table1[[#This Row],[Drank]]&gt;0,VLOOKUP(Table1[[#This Row],[ID]],Drank!A:P,16,FALSE),IF(Table1[[#This Row],[WALDD]]&gt;0,VLOOKUP(Table1[[#This Row],[ID]],Wine1!A:Q,17,FALSE),Table1[[#This Row],[EP]]))</f>
        <v>2030</v>
      </c>
      <c r="Z1000" s="18">
        <f>IF(Table1[[#This Row],[My Rating]]="",IF(Table1[[#This Row],[WA Rating Clean]]="","",Table1[[#This Row],[WA Rating Clean]]),Table1[[#This Row],[My Rating]])</f>
        <v>94</v>
      </c>
      <c r="AA1000" s="37">
        <v>2030</v>
      </c>
      <c r="AB1000" s="4">
        <v>39.97</v>
      </c>
      <c r="AC1000" s="2">
        <f t="shared" si="53"/>
        <v>39.97</v>
      </c>
      <c r="AD1000" s="8">
        <v>2</v>
      </c>
      <c r="AE1000" s="10">
        <f>IF(Table1[[#This Row],[P/750]]&lt;20,1,IF(Table1[[#This Row],[P/750]]&lt;50,2,3))</f>
        <v>2</v>
      </c>
      <c r="AF1000" s="10">
        <f>IF(Table1[[#This Row],[P/750]]&lt;Expenses!$C$30,1,IF(Table1[[#This Row],[P/750]]&lt;Expenses!$C$31,2,IF(Table1[[#This Row],[P/750]]&lt;Expenses!$C$32,3,4)))</f>
        <v>3</v>
      </c>
      <c r="AH1000" s="37" t="s">
        <v>1188</v>
      </c>
      <c r="AI1000" s="11">
        <f>Table1[[#This Row],[Price]]/Table1[[#This Row],[Size (ml)]]*750</f>
        <v>39.97</v>
      </c>
      <c r="AJ1000" s="37">
        <v>96</v>
      </c>
      <c r="AK1000" s="10">
        <f>COUNTIF(UniqueID!A:A,Table1[[#This Row],[ID]])</f>
        <v>1</v>
      </c>
      <c r="AL1000" s="10" t="str">
        <f>VLOOKUP(Table1[[#This Row],[Cellar Location]],Location!A:F,6,FALSE)</f>
        <v>S</v>
      </c>
      <c r="AN1000" s="1">
        <v>43860</v>
      </c>
      <c r="AO1000" s="37" t="str">
        <f>TEXT(Table1[[#This Row],[Purchased]],"mmmm")</f>
        <v>January</v>
      </c>
      <c r="AP1000" s="10" t="str">
        <f>TEXT(Table1[[#This Row],[Purchased]],"yyyy")</f>
        <v>2020</v>
      </c>
      <c r="AQ1000" s="10"/>
    </row>
    <row r="1001" spans="1:43" s="37" customFormat="1" x14ac:dyDescent="0.25">
      <c r="A1001" s="37" t="str">
        <f t="shared" si="52"/>
        <v>2013BrancaiaIlatraia</v>
      </c>
      <c r="B1001" s="37">
        <v>2013</v>
      </c>
      <c r="C1001" s="37" t="s">
        <v>140</v>
      </c>
      <c r="D1001" s="37" t="s">
        <v>372</v>
      </c>
      <c r="E1001" s="67" t="s">
        <v>1637</v>
      </c>
      <c r="F1001" s="37" t="s">
        <v>728</v>
      </c>
      <c r="G1001" s="37" t="s">
        <v>790</v>
      </c>
      <c r="H1001" s="37" t="s">
        <v>794</v>
      </c>
      <c r="I1001" s="107">
        <v>1</v>
      </c>
      <c r="J1001" s="37">
        <v>750</v>
      </c>
      <c r="K1001" s="107" t="s">
        <v>648</v>
      </c>
      <c r="L1001" s="37">
        <f>COUNTIF(Drank!A:A,Table1[[#This Row],[ID]])</f>
        <v>1</v>
      </c>
      <c r="M1001" s="37" t="s">
        <v>202</v>
      </c>
      <c r="N1001" s="37" t="s">
        <v>207</v>
      </c>
      <c r="O1001" s="37">
        <v>1</v>
      </c>
      <c r="P1001" s="37">
        <v>2017</v>
      </c>
      <c r="Q1001" s="37">
        <v>2030</v>
      </c>
      <c r="R1001" s="10">
        <f>IF(IFERROR(VLOOKUP(A1001,Drank!A:S,15,FALSE),"")=0,"",IFERROR(VLOOKUP(A1001,Drank!A:S,15,FALSE),""))</f>
        <v>2027</v>
      </c>
      <c r="S1001" s="10">
        <f>IF(IFERROR(VLOOKUP(A1001,Drank!A:S,16,FALSE),"")=0,"",IFERROR(VLOOKUP(A1001,Drank!A:S,16,FALSE),""))</f>
        <v>2030</v>
      </c>
      <c r="T1001" s="10"/>
      <c r="U1001" s="37">
        <v>97</v>
      </c>
      <c r="V1001" s="18">
        <f>IF(IFERROR(VLOOKUP(A1001,Drank!A:T,19,FALSE),"")=0,"",IFERROR(VLOOKUP(A1001,Drank!A:T,19,FALSE),""))</f>
        <v>92</v>
      </c>
      <c r="W1001" s="1">
        <f>IF(IFERROR(VLOOKUP(A1001,Drank!A:T,20,FALSE),"")=0,"",IFERROR(VLOOKUP(A1001,Drank!A:T,20,FALSE),""))</f>
        <v>44067</v>
      </c>
      <c r="X1001" s="10">
        <f>SUMIF(A:A,A1001,I:I)</f>
        <v>8</v>
      </c>
      <c r="Y1001" s="37">
        <f>IF(Table1[[#This Row],[Drank]]&gt;0,VLOOKUP(Table1[[#This Row],[ID]],Drank!A:P,16,FALSE),IF(Table1[[#This Row],[WALDD]]&gt;0,VLOOKUP(Table1[[#This Row],[ID]],Wine1!A:Q,17,FALSE),Table1[[#This Row],[EP]]))</f>
        <v>2030</v>
      </c>
      <c r="Z1001" s="18">
        <f>IF(Table1[[#This Row],[My Rating]]="",IF(Table1[[#This Row],[WA Rating Clean]]="","",Table1[[#This Row],[WA Rating Clean]]),Table1[[#This Row],[My Rating]])</f>
        <v>92</v>
      </c>
      <c r="AA1001" s="6">
        <v>2030</v>
      </c>
      <c r="AB1001" s="4">
        <v>61.99</v>
      </c>
      <c r="AC1001" s="2">
        <f t="shared" si="53"/>
        <v>61.99</v>
      </c>
      <c r="AD1001" s="8">
        <v>2</v>
      </c>
      <c r="AE1001" s="37">
        <f>IF(Table1[[#This Row],[P/750]]&lt;20,1,IF(Table1[[#This Row],[P/750]]&lt;50,2,3))</f>
        <v>3</v>
      </c>
      <c r="AF1001" s="37">
        <f>IF(Table1[[#This Row],[P/750]]&lt;Expenses!$C$30,1,IF(Table1[[#This Row],[P/750]]&lt;Expenses!$C$31,2,IF(Table1[[#This Row],[P/750]]&lt;Expenses!$C$32,3,4)))</f>
        <v>3</v>
      </c>
      <c r="AH1001" s="37" t="s">
        <v>1139</v>
      </c>
      <c r="AI1001" s="11">
        <f>Table1[[#This Row],[Price]]/Table1[[#This Row],[Size (ml)]]*750</f>
        <v>61.990000000000009</v>
      </c>
      <c r="AJ1001" s="37">
        <v>97</v>
      </c>
      <c r="AK1001" s="37">
        <f>COUNTIF(UniqueID!A:A,Table1[[#This Row],[ID]])</f>
        <v>1</v>
      </c>
      <c r="AL1001" s="37" t="str">
        <f>VLOOKUP(Table1[[#This Row],[Cellar Location]],Location!A:F,6,FALSE)</f>
        <v>S</v>
      </c>
      <c r="AO1001" s="37" t="str">
        <f>TEXT(Table1[[#This Row],[Purchased]],"mmmm")</f>
        <v>January</v>
      </c>
      <c r="AP1001" s="10" t="str">
        <f>TEXT(Table1[[#This Row],[Purchased]],"yyyy")</f>
        <v>1900</v>
      </c>
      <c r="AQ1001" s="10"/>
    </row>
    <row r="1002" spans="1:43" s="37" customFormat="1" x14ac:dyDescent="0.25">
      <c r="A1002" s="37" t="str">
        <f t="shared" si="52"/>
        <v>2016Castello RomitorioIl Toro</v>
      </c>
      <c r="B1002" s="37">
        <v>2016</v>
      </c>
      <c r="C1002" s="37" t="s">
        <v>689</v>
      </c>
      <c r="D1002" s="37" t="s">
        <v>846</v>
      </c>
      <c r="E1002" s="69" t="s">
        <v>1271</v>
      </c>
      <c r="F1002" s="37" t="s">
        <v>728</v>
      </c>
      <c r="G1002" s="37" t="s">
        <v>790</v>
      </c>
      <c r="H1002" s="37" t="s">
        <v>796</v>
      </c>
      <c r="I1002" s="107">
        <v>1</v>
      </c>
      <c r="J1002" s="37">
        <v>750</v>
      </c>
      <c r="K1002" s="107" t="s">
        <v>927</v>
      </c>
      <c r="L1002" s="10">
        <f>COUNTIF(Drank!A:A,Table1[[#This Row],[ID]])</f>
        <v>1</v>
      </c>
      <c r="M1002" s="37" t="s">
        <v>202</v>
      </c>
      <c r="N1002" s="37" t="s">
        <v>207</v>
      </c>
      <c r="O1002" s="37">
        <v>1</v>
      </c>
      <c r="P1002" s="10">
        <v>2019</v>
      </c>
      <c r="Q1002" s="37">
        <v>2028</v>
      </c>
      <c r="R1002" s="10">
        <f>IF(IFERROR(VLOOKUP(A1002,Drank!A:S,15,FALSE),"")=0,"",IFERROR(VLOOKUP(A1002,Drank!A:S,15,FALSE),""))</f>
        <v>2024</v>
      </c>
      <c r="S1002" s="10">
        <f>IF(IFERROR(VLOOKUP(A1002,Drank!A:S,16,FALSE),"")=0,"",IFERROR(VLOOKUP(A1002,Drank!A:S,16,FALSE),""))</f>
        <v>2030</v>
      </c>
      <c r="T1002" s="10"/>
      <c r="U1002" s="37">
        <v>95</v>
      </c>
      <c r="V1002" s="18">
        <f>IF(IFERROR(VLOOKUP(A1002,Drank!A:T,19,FALSE),"")=0,"",IFERROR(VLOOKUP(A1002,Drank!A:T,19,FALSE),""))</f>
        <v>93</v>
      </c>
      <c r="W1002" s="1">
        <f>IF(IFERROR(VLOOKUP(A1002,Drank!A:T,20,FALSE),"")=0,"",IFERROR(VLOOKUP(A1002,Drank!A:T,20,FALSE),""))</f>
        <v>43842</v>
      </c>
      <c r="X1002" s="10">
        <f>SUMIF(A:A,A1002,I:I)</f>
        <v>3</v>
      </c>
      <c r="Y1002" s="10">
        <f>IF(Table1[[#This Row],[Drank]]&gt;0,VLOOKUP(Table1[[#This Row],[ID]],Drank!A:P,16,FALSE),IF(Table1[[#This Row],[WALDD]]&gt;0,VLOOKUP(Table1[[#This Row],[ID]],Wine1!A:Q,17,FALSE),Table1[[#This Row],[EP]]))</f>
        <v>2030</v>
      </c>
      <c r="Z1002" s="18">
        <f>IF(Table1[[#This Row],[My Rating]]="",IF(Table1[[#This Row],[WA Rating Clean]]="","",Table1[[#This Row],[WA Rating Clean]]),Table1[[#This Row],[My Rating]])</f>
        <v>93</v>
      </c>
      <c r="AA1002" s="37">
        <v>2030</v>
      </c>
      <c r="AB1002" s="4">
        <v>24.99</v>
      </c>
      <c r="AC1002" s="2">
        <f t="shared" si="53"/>
        <v>24.99</v>
      </c>
      <c r="AD1002" s="8">
        <v>2</v>
      </c>
      <c r="AE1002" s="10">
        <f>IF(Table1[[#This Row],[P/750]]&lt;20,1,IF(Table1[[#This Row],[P/750]]&lt;50,2,3))</f>
        <v>2</v>
      </c>
      <c r="AF1002" s="10">
        <f>IF(Table1[[#This Row],[P/750]]&lt;Expenses!$C$30,1,IF(Table1[[#This Row],[P/750]]&lt;Expenses!$C$31,2,IF(Table1[[#This Row],[P/750]]&lt;Expenses!$C$32,3,4)))</f>
        <v>2</v>
      </c>
      <c r="AH1002" s="37" t="s">
        <v>1139</v>
      </c>
      <c r="AI1002" s="11">
        <f>Table1[[#This Row],[Price]]/Table1[[#This Row],[Size (ml)]]*750</f>
        <v>24.989999999999995</v>
      </c>
      <c r="AJ1002" s="37">
        <v>95</v>
      </c>
      <c r="AK1002" s="10">
        <f>COUNTIF(UniqueID!A:A,Table1[[#This Row],[ID]])</f>
        <v>1</v>
      </c>
      <c r="AL1002" s="37" t="str">
        <f>VLOOKUP(Table1[[#This Row],[Cellar Location]],Location!A:F,6,FALSE)</f>
        <v>S</v>
      </c>
      <c r="AO1002" s="37" t="str">
        <f>TEXT(Table1[[#This Row],[Purchased]],"mmmm")</f>
        <v>January</v>
      </c>
      <c r="AP1002" s="10" t="str">
        <f>TEXT(Table1[[#This Row],[Purchased]],"yyyy")</f>
        <v>1900</v>
      </c>
      <c r="AQ1002" s="10"/>
    </row>
    <row r="1003" spans="1:43" s="37" customFormat="1" x14ac:dyDescent="0.25">
      <c r="A1003" s="37" t="str">
        <f t="shared" si="52"/>
        <v>2013CortonesiBrunello di Montalcino La Mannella</v>
      </c>
      <c r="B1003" s="37">
        <v>2013</v>
      </c>
      <c r="C1003" s="37" t="s">
        <v>72</v>
      </c>
      <c r="D1003" s="37" t="s">
        <v>73</v>
      </c>
      <c r="E1003" s="67" t="s">
        <v>1250</v>
      </c>
      <c r="F1003" s="37" t="s">
        <v>728</v>
      </c>
      <c r="G1003" s="37" t="s">
        <v>790</v>
      </c>
      <c r="H1003" s="37" t="s">
        <v>19</v>
      </c>
      <c r="I1003" s="37">
        <v>1</v>
      </c>
      <c r="J1003" s="37">
        <v>750</v>
      </c>
      <c r="K1003" s="8" t="s">
        <v>8</v>
      </c>
      <c r="L1003" s="37">
        <f>COUNTIF(Drank!A:A,Table1[[#This Row],[ID]])</f>
        <v>1</v>
      </c>
      <c r="M1003" s="37" t="s">
        <v>202</v>
      </c>
      <c r="N1003" s="37" t="s">
        <v>207</v>
      </c>
      <c r="O1003" s="37">
        <v>1</v>
      </c>
      <c r="P1003" s="37">
        <v>2020</v>
      </c>
      <c r="Q1003" s="37">
        <v>2033</v>
      </c>
      <c r="R1003" s="37">
        <f>IF(IFERROR(VLOOKUP(A1003,Drank!A:S,15,FALSE),"")=0,"",IFERROR(VLOOKUP(A1003,Drank!A:S,15,FALSE),""))</f>
        <v>2024</v>
      </c>
      <c r="S1003" s="37">
        <f>IF(IFERROR(VLOOKUP(A1003,Drank!A:S,16,FALSE),"")=0,"",IFERROR(VLOOKUP(A1003,Drank!A:S,16,FALSE),""))</f>
        <v>2030</v>
      </c>
      <c r="U1003" s="37" t="s">
        <v>74</v>
      </c>
      <c r="V1003" s="18">
        <f>IF(IFERROR(VLOOKUP(A1003,Drank!A:T,19,FALSE),"")=0,"",IFERROR(VLOOKUP(A1003,Drank!A:T,19,FALSE),""))</f>
        <v>93</v>
      </c>
      <c r="W1003" s="1">
        <f>IF(IFERROR(VLOOKUP(A1003,Drank!A:T,20,FALSE),"")=0,"",IFERROR(VLOOKUP(A1003,Drank!A:T,20,FALSE),""))</f>
        <v>43924</v>
      </c>
      <c r="X1003" s="37">
        <f>SUMIF(A:A,A1003,I:I)</f>
        <v>5</v>
      </c>
      <c r="Y1003" s="37">
        <f>IF(Table1[[#This Row],[Drank]]&gt;0,VLOOKUP(Table1[[#This Row],[ID]],Drank!A:P,16,FALSE),IF(Table1[[#This Row],[WALDD]]&gt;0,VLOOKUP(Table1[[#This Row],[ID]],Wine1!A:Q,17,FALSE),Table1[[#This Row],[EP]]))</f>
        <v>2030</v>
      </c>
      <c r="Z1003" s="18">
        <f>IF(Table1[[#This Row],[My Rating]]="",IF(Table1[[#This Row],[WA Rating Clean]]="","",Table1[[#This Row],[WA Rating Clean]]),Table1[[#This Row],[My Rating]])</f>
        <v>93</v>
      </c>
      <c r="AA1003" s="37">
        <v>2030</v>
      </c>
      <c r="AB1003" s="3">
        <v>39</v>
      </c>
      <c r="AC1003" s="2">
        <f t="shared" si="53"/>
        <v>39</v>
      </c>
      <c r="AD1003" s="8">
        <v>0</v>
      </c>
      <c r="AE1003" s="37">
        <f>IF(Table1[[#This Row],[P/750]]&lt;20,1,IF(Table1[[#This Row],[P/750]]&lt;50,2,3))</f>
        <v>2</v>
      </c>
      <c r="AF1003" s="37">
        <f>IF(Table1[[#This Row],[P/750]]&lt;Expenses!$C$30,1,IF(Table1[[#This Row],[P/750]]&lt;Expenses!$C$31,2,IF(Table1[[#This Row],[P/750]]&lt;Expenses!$C$32,3,4)))</f>
        <v>3</v>
      </c>
      <c r="AH1003" s="37" t="s">
        <v>1131</v>
      </c>
      <c r="AI1003" s="11">
        <f>Table1[[#This Row],[Price]]/Table1[[#This Row],[Size (ml)]]*750</f>
        <v>39</v>
      </c>
      <c r="AJ1003" s="37">
        <v>93</v>
      </c>
      <c r="AK1003" s="37">
        <f>COUNTIF(UniqueID!A:A,Table1[[#This Row],[ID]])</f>
        <v>1</v>
      </c>
      <c r="AL1003" s="37" t="str">
        <f>VLOOKUP(Table1[[#This Row],[Cellar Location]],Location!A:F,6,FALSE)</f>
        <v>K</v>
      </c>
      <c r="AO1003" s="37" t="str">
        <f>TEXT(Table1[[#This Row],[Purchased]],"mmmm")</f>
        <v>January</v>
      </c>
      <c r="AP1003" s="10" t="str">
        <f>TEXT(Table1[[#This Row],[Purchased]],"yyyy")</f>
        <v>1900</v>
      </c>
      <c r="AQ1003" s="10"/>
    </row>
    <row r="1004" spans="1:43" s="37" customFormat="1" x14ac:dyDescent="0.25">
      <c r="A1004" s="37" t="str">
        <f t="shared" si="52"/>
        <v>2017Domaine du Grand MontmirailGigondas le Coteau de Mon Reve</v>
      </c>
      <c r="B1004" s="37">
        <v>2017</v>
      </c>
      <c r="C1004" s="8" t="s">
        <v>1387</v>
      </c>
      <c r="D1004" s="37" t="s">
        <v>1388</v>
      </c>
      <c r="E1004" s="67" t="s">
        <v>1360</v>
      </c>
      <c r="F1004" s="37" t="s">
        <v>742</v>
      </c>
      <c r="G1004" s="37" t="s">
        <v>759</v>
      </c>
      <c r="H1004" s="37" t="s">
        <v>764</v>
      </c>
      <c r="I1004" s="37">
        <v>1</v>
      </c>
      <c r="J1004" s="107">
        <v>1500</v>
      </c>
      <c r="K1004" s="37" t="s">
        <v>1403</v>
      </c>
      <c r="L1004" s="10">
        <f>COUNTIF(Drank!A:A,Table1[[#This Row],[ID]])</f>
        <v>2</v>
      </c>
      <c r="M1004" s="37" t="s">
        <v>202</v>
      </c>
      <c r="N1004" s="37" t="s">
        <v>207</v>
      </c>
      <c r="O1004" s="37">
        <v>1</v>
      </c>
      <c r="P1004" s="10">
        <v>2020</v>
      </c>
      <c r="Q1004" s="37">
        <v>2030</v>
      </c>
      <c r="R1004" s="10">
        <f>IF(IFERROR(VLOOKUP(A1004,Drank!A:S,15,FALSE),"")=0,"",IFERROR(VLOOKUP(A1004,Drank!A:S,15,FALSE),""))</f>
        <v>2022</v>
      </c>
      <c r="S1004" s="10">
        <f>IF(IFERROR(VLOOKUP(A1004,Drank!A:S,16,FALSE),"")=0,"",IFERROR(VLOOKUP(A1004,Drank!A:S,16,FALSE),""))</f>
        <v>2030</v>
      </c>
      <c r="T1004" s="10"/>
      <c r="U1004" s="37">
        <v>96</v>
      </c>
      <c r="V1004" s="18">
        <f>IF(IFERROR(VLOOKUP(A1004,Drank!A:T,19,FALSE),"")=0,"",IFERROR(VLOOKUP(A1004,Drank!A:T,19,FALSE),""))</f>
        <v>93</v>
      </c>
      <c r="W1004" s="1">
        <f>IF(IFERROR(VLOOKUP(A1004,Drank!A:T,20,FALSE),"")=0,"",IFERROR(VLOOKUP(A1004,Drank!A:T,20,FALSE),""))</f>
        <v>43976</v>
      </c>
      <c r="X1004" s="10">
        <f>SUMIF(A:A,A1004,I:I)</f>
        <v>10</v>
      </c>
      <c r="Y1004" s="10">
        <f>IF(Table1[[#This Row],[Drank]]&gt;0,VLOOKUP(Table1[[#This Row],[ID]],Drank!A:P,16,FALSE),IF(Table1[[#This Row],[WALDD]]&gt;0,VLOOKUP(Table1[[#This Row],[ID]],Wine1!A:Q,17,FALSE),Table1[[#This Row],[EP]]))</f>
        <v>2030</v>
      </c>
      <c r="Z1004" s="18">
        <f>IF(Table1[[#This Row],[My Rating]]="",IF(Table1[[#This Row],[WA Rating Clean]]="","",Table1[[#This Row],[WA Rating Clean]]),Table1[[#This Row],[My Rating]])</f>
        <v>93</v>
      </c>
      <c r="AA1004" s="37">
        <v>2030</v>
      </c>
      <c r="AB1004" s="4">
        <v>57.56</v>
      </c>
      <c r="AC1004" s="2">
        <f t="shared" si="53"/>
        <v>57.56</v>
      </c>
      <c r="AD1004" s="8">
        <v>0</v>
      </c>
      <c r="AE1004" s="10">
        <f>IF(Table1[[#This Row],[P/750]]&lt;20,1,IF(Table1[[#This Row],[P/750]]&lt;50,2,3))</f>
        <v>2</v>
      </c>
      <c r="AF1004" s="10">
        <f>IF(Table1[[#This Row],[P/750]]&lt;Expenses!$C$30,1,IF(Table1[[#This Row],[P/750]]&lt;Expenses!$C$31,2,IF(Table1[[#This Row],[P/750]]&lt;Expenses!$C$32,3,4)))</f>
        <v>2</v>
      </c>
      <c r="AH1004" s="37" t="s">
        <v>384</v>
      </c>
      <c r="AI1004" s="11">
        <f>Table1[[#This Row],[Price]]/Table1[[#This Row],[Size (ml)]]*750</f>
        <v>28.78</v>
      </c>
      <c r="AJ1004" s="37">
        <v>96</v>
      </c>
      <c r="AK1004" s="10">
        <f>COUNTIF(UniqueID!A:A,Table1[[#This Row],[ID]])</f>
        <v>0</v>
      </c>
      <c r="AL1004" s="10" t="str">
        <f>VLOOKUP(Table1[[#This Row],[Cellar Location]],Location!A:F,6,FALSE)</f>
        <v>S</v>
      </c>
      <c r="AN1004" s="1">
        <v>43963</v>
      </c>
      <c r="AO1004" s="10" t="str">
        <f>TEXT(Table1[[#This Row],[Purchased]],"mmmm")</f>
        <v>May</v>
      </c>
      <c r="AP1004" s="10" t="str">
        <f>TEXT(Table1[[#This Row],[Purchased]],"yyyy")</f>
        <v>2020</v>
      </c>
      <c r="AQ1004" s="10"/>
    </row>
    <row r="1005" spans="1:43" s="37" customFormat="1" x14ac:dyDescent="0.25">
      <c r="A1005" s="37" t="str">
        <f t="shared" si="52"/>
        <v>2017Domaine du Grand MontmirailGigondas le Coteau de Mon Reve</v>
      </c>
      <c r="B1005" s="37">
        <v>2017</v>
      </c>
      <c r="C1005" s="37" t="s">
        <v>1387</v>
      </c>
      <c r="D1005" s="37" t="s">
        <v>1388</v>
      </c>
      <c r="E1005" s="67" t="s">
        <v>1360</v>
      </c>
      <c r="F1005" s="37" t="s">
        <v>742</v>
      </c>
      <c r="G1005" s="37" t="s">
        <v>759</v>
      </c>
      <c r="H1005" s="37" t="s">
        <v>764</v>
      </c>
      <c r="I1005" s="107">
        <v>1</v>
      </c>
      <c r="J1005" s="37">
        <v>750</v>
      </c>
      <c r="K1005" s="107" t="s">
        <v>1196</v>
      </c>
      <c r="L1005" s="10">
        <f>COUNTIF(Drank!A:A,Table1[[#This Row],[ID]])</f>
        <v>2</v>
      </c>
      <c r="M1005" s="37" t="s">
        <v>202</v>
      </c>
      <c r="N1005" s="37" t="s">
        <v>207</v>
      </c>
      <c r="O1005" s="37">
        <v>1</v>
      </c>
      <c r="P1005" s="10">
        <v>2020</v>
      </c>
      <c r="Q1005" s="37">
        <v>2030</v>
      </c>
      <c r="R1005" s="10">
        <f>IF(IFERROR(VLOOKUP(A1005,Drank!A:S,15,FALSE),"")=0,"",IFERROR(VLOOKUP(A1005,Drank!A:S,15,FALSE),""))</f>
        <v>2022</v>
      </c>
      <c r="S1005" s="10">
        <f>IF(IFERROR(VLOOKUP(A1005,Drank!A:S,16,FALSE),"")=0,"",IFERROR(VLOOKUP(A1005,Drank!A:S,16,FALSE),""))</f>
        <v>2030</v>
      </c>
      <c r="T1005" s="10"/>
      <c r="U1005" s="37">
        <v>96</v>
      </c>
      <c r="V1005" s="18">
        <f>IF(IFERROR(VLOOKUP(A1005,Drank!A:T,19,FALSE),"")=0,"",IFERROR(VLOOKUP(A1005,Drank!A:T,19,FALSE),""))</f>
        <v>93</v>
      </c>
      <c r="W1005" s="1">
        <f>IF(IFERROR(VLOOKUP(A1005,Drank!A:T,20,FALSE),"")=0,"",IFERROR(VLOOKUP(A1005,Drank!A:T,20,FALSE),""))</f>
        <v>43976</v>
      </c>
      <c r="X1005" s="10">
        <f>SUMIF(A:A,A1005,I:I)</f>
        <v>10</v>
      </c>
      <c r="Y1005" s="10">
        <f>IF(Table1[[#This Row],[Drank]]&gt;0,VLOOKUP(Table1[[#This Row],[ID]],Drank!A:P,16,FALSE),IF(Table1[[#This Row],[WALDD]]&gt;0,VLOOKUP(Table1[[#This Row],[ID]],Wine1!A:Q,17,FALSE),Table1[[#This Row],[EP]]))</f>
        <v>2030</v>
      </c>
      <c r="Z1005" s="18">
        <f>IF(Table1[[#This Row],[My Rating]]="",IF(Table1[[#This Row],[WA Rating Clean]]="","",Table1[[#This Row],[WA Rating Clean]]),Table1[[#This Row],[My Rating]])</f>
        <v>93</v>
      </c>
      <c r="AA1005" s="37">
        <v>2030</v>
      </c>
      <c r="AB1005" s="4">
        <v>24.97</v>
      </c>
      <c r="AC1005" s="2">
        <f t="shared" si="53"/>
        <v>24.97</v>
      </c>
      <c r="AD1005" s="8">
        <v>2</v>
      </c>
      <c r="AE1005" s="10">
        <f>IF(Table1[[#This Row],[P/750]]&lt;20,1,IF(Table1[[#This Row],[P/750]]&lt;50,2,3))</f>
        <v>2</v>
      </c>
      <c r="AF1005" s="10">
        <f>IF(Table1[[#This Row],[P/750]]&lt;Expenses!$C$30,1,IF(Table1[[#This Row],[P/750]]&lt;Expenses!$C$31,2,IF(Table1[[#This Row],[P/750]]&lt;Expenses!$C$32,3,4)))</f>
        <v>2</v>
      </c>
      <c r="AH1005" s="37" t="s">
        <v>384</v>
      </c>
      <c r="AI1005" s="11">
        <f>Table1[[#This Row],[Price]]/Table1[[#This Row],[Size (ml)]]*750</f>
        <v>24.970000000000002</v>
      </c>
      <c r="AJ1005" s="37">
        <v>96</v>
      </c>
      <c r="AK1005" s="10">
        <f>COUNTIF(UniqueID!A:A,Table1[[#This Row],[ID]])</f>
        <v>0</v>
      </c>
      <c r="AL1005" s="10" t="str">
        <f>VLOOKUP(Table1[[#This Row],[Cellar Location]],Location!A:F,6,FALSE)</f>
        <v>S</v>
      </c>
      <c r="AN1005" s="1">
        <v>43948</v>
      </c>
      <c r="AO1005" s="10" t="str">
        <f>TEXT(Table1[[#This Row],[Purchased]],"mmmm")</f>
        <v>April</v>
      </c>
      <c r="AP1005" s="10" t="str">
        <f>TEXT(Table1[[#This Row],[Purchased]],"yyyy")</f>
        <v>2020</v>
      </c>
      <c r="AQ1005" s="10"/>
    </row>
    <row r="1006" spans="1:43" s="37" customFormat="1" x14ac:dyDescent="0.25">
      <c r="A1006" s="37" t="str">
        <f t="shared" si="52"/>
        <v>2016Domaine du Grand TinelChateauneuf du Pape Cuvee Alexis Establet</v>
      </c>
      <c r="B1006" s="37">
        <v>2016</v>
      </c>
      <c r="C1006" s="37" t="s">
        <v>1168</v>
      </c>
      <c r="D1006" s="37" t="s">
        <v>1169</v>
      </c>
      <c r="E1006" s="67" t="s">
        <v>1248</v>
      </c>
      <c r="F1006" s="37" t="s">
        <v>742</v>
      </c>
      <c r="G1006" s="37" t="s">
        <v>759</v>
      </c>
      <c r="H1006" s="9" t="s">
        <v>762</v>
      </c>
      <c r="I1006" s="107">
        <v>1</v>
      </c>
      <c r="J1006" s="37">
        <v>750</v>
      </c>
      <c r="K1006" s="107" t="s">
        <v>1150</v>
      </c>
      <c r="L1006" s="10">
        <f>COUNTIF(Drank!A:A,Table1[[#This Row],[ID]])</f>
        <v>0</v>
      </c>
      <c r="M1006" s="37" t="s">
        <v>202</v>
      </c>
      <c r="N1006" s="37" t="s">
        <v>207</v>
      </c>
      <c r="O1006" s="37">
        <v>1</v>
      </c>
      <c r="P1006" s="10">
        <v>2019</v>
      </c>
      <c r="Q1006" s="37">
        <v>2030</v>
      </c>
      <c r="R1006" s="10" t="str">
        <f>IF(IFERROR(VLOOKUP(A1006,Drank!A:S,15,FALSE),"")=0,"",IFERROR(VLOOKUP(A1006,Drank!A:S,15,FALSE),""))</f>
        <v/>
      </c>
      <c r="S1006" s="10" t="str">
        <f>IF(IFERROR(VLOOKUP(A1006,Drank!A:S,16,FALSE),"")=0,"",IFERROR(VLOOKUP(A1006,Drank!A:S,16,FALSE),""))</f>
        <v/>
      </c>
      <c r="T1006" s="10"/>
      <c r="U1006" s="37" t="s">
        <v>1170</v>
      </c>
      <c r="V1006" s="18" t="str">
        <f>IF(IFERROR(VLOOKUP(A1006,Drank!A:T,19,FALSE),"")=0,"",IFERROR(VLOOKUP(A1006,Drank!A:T,19,FALSE),""))</f>
        <v/>
      </c>
      <c r="W1006" s="1" t="str">
        <f>IF(IFERROR(VLOOKUP(A1006,Drank!A:T,20,FALSE),"")=0,"",IFERROR(VLOOKUP(A1006,Drank!A:T,20,FALSE),""))</f>
        <v/>
      </c>
      <c r="X1006" s="10">
        <f>SUMIF(A:A,A1006,I:I)</f>
        <v>4</v>
      </c>
      <c r="Y1006" s="10">
        <f>IF(Table1[[#This Row],[Drank]]&gt;0,VLOOKUP(Table1[[#This Row],[ID]],Drank!A:P,16,FALSE),IF(Table1[[#This Row],[WALDD]]&gt;0,VLOOKUP(Table1[[#This Row],[ID]],Wine1!A:Q,17,FALSE),Table1[[#This Row],[EP]]))</f>
        <v>2030</v>
      </c>
      <c r="Z1006" s="18">
        <f>IF(Table1[[#This Row],[My Rating]]="",IF(Table1[[#This Row],[WA Rating Clean]]="","",Table1[[#This Row],[WA Rating Clean]]),Table1[[#This Row],[My Rating]])</f>
        <v>95</v>
      </c>
      <c r="AA1006" s="37">
        <v>2030</v>
      </c>
      <c r="AB1006" s="4">
        <v>39.99</v>
      </c>
      <c r="AC1006" s="2">
        <f t="shared" si="53"/>
        <v>39.99</v>
      </c>
      <c r="AD1006" s="8">
        <v>2</v>
      </c>
      <c r="AE1006" s="10">
        <f>IF(Table1[[#This Row],[P/750]]&lt;20,1,IF(Table1[[#This Row],[P/750]]&lt;50,2,3))</f>
        <v>2</v>
      </c>
      <c r="AF1006" s="10">
        <f>IF(Table1[[#This Row],[P/750]]&lt;Expenses!$C$30,1,IF(Table1[[#This Row],[P/750]]&lt;Expenses!$C$31,2,IF(Table1[[#This Row],[P/750]]&lt;Expenses!$C$32,3,4)))</f>
        <v>3</v>
      </c>
      <c r="AH1006" s="37" t="s">
        <v>384</v>
      </c>
      <c r="AI1006" s="11">
        <f>Table1[[#This Row],[Price]]/Table1[[#This Row],[Size (ml)]]*750</f>
        <v>39.99</v>
      </c>
      <c r="AJ1006" s="37">
        <v>95</v>
      </c>
      <c r="AK1006" s="10">
        <f>COUNTIF(UniqueID!A:A,Table1[[#This Row],[ID]])</f>
        <v>1</v>
      </c>
      <c r="AL1006" s="10" t="str">
        <f>VLOOKUP(Table1[[#This Row],[Cellar Location]],Location!A:F,6,FALSE)</f>
        <v>S</v>
      </c>
      <c r="AN1006" s="1">
        <v>43854</v>
      </c>
      <c r="AO1006" s="37" t="str">
        <f>TEXT(Table1[[#This Row],[Purchased]],"mmmm")</f>
        <v>January</v>
      </c>
      <c r="AP1006" s="10" t="str">
        <f>TEXT(Table1[[#This Row],[Purchased]],"yyyy")</f>
        <v>2020</v>
      </c>
      <c r="AQ1006" s="10"/>
    </row>
    <row r="1007" spans="1:43" s="37" customFormat="1" x14ac:dyDescent="0.25">
      <c r="A1007" s="37" t="str">
        <f t="shared" si="52"/>
        <v>2016Domaine Saint DamienGigondas les Souteyrades</v>
      </c>
      <c r="B1007" s="37">
        <v>2016</v>
      </c>
      <c r="C1007" s="37" t="s">
        <v>394</v>
      </c>
      <c r="D1007" s="25" t="s">
        <v>395</v>
      </c>
      <c r="E1007" s="68" t="s">
        <v>1255</v>
      </c>
      <c r="F1007" s="37" t="s">
        <v>742</v>
      </c>
      <c r="G1007" s="37" t="s">
        <v>759</v>
      </c>
      <c r="H1007" s="37" t="s">
        <v>764</v>
      </c>
      <c r="I1007" s="107">
        <v>1</v>
      </c>
      <c r="J1007" s="37">
        <v>750</v>
      </c>
      <c r="K1007" s="107" t="s">
        <v>646</v>
      </c>
      <c r="L1007" s="37">
        <f>COUNTIF(Drank!A:A,Table1[[#This Row],[ID]])</f>
        <v>0</v>
      </c>
      <c r="M1007" s="37" t="s">
        <v>202</v>
      </c>
      <c r="N1007" s="37" t="s">
        <v>207</v>
      </c>
      <c r="O1007" s="37">
        <v>1</v>
      </c>
      <c r="P1007" s="37">
        <v>2020</v>
      </c>
      <c r="Q1007" s="37">
        <v>2030</v>
      </c>
      <c r="R1007" s="10" t="str">
        <f>IF(IFERROR(VLOOKUP(A1007,Drank!A:S,15,FALSE),"")=0,"",IFERROR(VLOOKUP(A1007,Drank!A:S,15,FALSE),""))</f>
        <v/>
      </c>
      <c r="S1007" s="10" t="str">
        <f>IF(IFERROR(VLOOKUP(A1007,Drank!A:S,16,FALSE),"")=0,"",IFERROR(VLOOKUP(A1007,Drank!A:S,16,FALSE),""))</f>
        <v/>
      </c>
      <c r="T1007" s="10"/>
      <c r="U1007" s="37">
        <v>95</v>
      </c>
      <c r="V1007" s="18" t="str">
        <f>IF(IFERROR(VLOOKUP(A1007,Drank!A:T,19,FALSE),"")=0,"",IFERROR(VLOOKUP(A1007,Drank!A:T,19,FALSE),""))</f>
        <v/>
      </c>
      <c r="W1007" s="1" t="str">
        <f>IF(IFERROR(VLOOKUP(A1007,Drank!A:T,20,FALSE),"")=0,"",IFERROR(VLOOKUP(A1007,Drank!A:T,20,FALSE),""))</f>
        <v/>
      </c>
      <c r="X1007" s="10">
        <f>SUMIF(A:A,A1007,I:I)</f>
        <v>4</v>
      </c>
      <c r="Y1007" s="37">
        <f>IF(Table1[[#This Row],[Drank]]&gt;0,VLOOKUP(Table1[[#This Row],[ID]],Drank!A:P,16,FALSE),IF(Table1[[#This Row],[WALDD]]&gt;0,VLOOKUP(Table1[[#This Row],[ID]],Wine1!A:Q,17,FALSE),Table1[[#This Row],[EP]]))</f>
        <v>2030</v>
      </c>
      <c r="Z1007" s="18">
        <f>IF(Table1[[#This Row],[My Rating]]="",IF(Table1[[#This Row],[WA Rating Clean]]="","",Table1[[#This Row],[WA Rating Clean]]),Table1[[#This Row],[My Rating]])</f>
        <v>95</v>
      </c>
      <c r="AA1007" s="6">
        <v>2030</v>
      </c>
      <c r="AB1007" s="4">
        <v>28</v>
      </c>
      <c r="AC1007" s="2">
        <f t="shared" si="53"/>
        <v>28</v>
      </c>
      <c r="AD1007" s="8">
        <v>2</v>
      </c>
      <c r="AE1007" s="37">
        <f>IF(Table1[[#This Row],[P/750]]&lt;20,1,IF(Table1[[#This Row],[P/750]]&lt;50,2,3))</f>
        <v>2</v>
      </c>
      <c r="AF1007" s="37">
        <f>IF(Table1[[#This Row],[P/750]]&lt;Expenses!$C$30,1,IF(Table1[[#This Row],[P/750]]&lt;Expenses!$C$31,2,IF(Table1[[#This Row],[P/750]]&lt;Expenses!$C$32,3,4)))</f>
        <v>2</v>
      </c>
      <c r="AH1007" s="37" t="s">
        <v>385</v>
      </c>
      <c r="AI1007" s="11">
        <f>Table1[[#This Row],[Price]]/Table1[[#This Row],[Size (ml)]]*750</f>
        <v>28.000000000000004</v>
      </c>
      <c r="AJ1007" s="37">
        <v>95</v>
      </c>
      <c r="AK1007" s="37">
        <f>COUNTIF(UniqueID!A:A,Table1[[#This Row],[ID]])</f>
        <v>1</v>
      </c>
      <c r="AL1007" s="37" t="str">
        <f>VLOOKUP(Table1[[#This Row],[Cellar Location]],Location!A:F,6,FALSE)</f>
        <v>S</v>
      </c>
      <c r="AO1007" s="37" t="str">
        <f>TEXT(Table1[[#This Row],[Purchased]],"mmmm")</f>
        <v>January</v>
      </c>
      <c r="AP1007" s="10" t="str">
        <f>TEXT(Table1[[#This Row],[Purchased]],"yyyy")</f>
        <v>1900</v>
      </c>
      <c r="AQ1007" s="10"/>
    </row>
    <row r="1008" spans="1:43" s="37" customFormat="1" x14ac:dyDescent="0.25">
      <c r="A1008" s="37" t="str">
        <f t="shared" si="52"/>
        <v>2007López de HerediaViña Tondonia Reserva</v>
      </c>
      <c r="B1008" s="37">
        <v>2007</v>
      </c>
      <c r="C1008" s="37" t="s">
        <v>1263</v>
      </c>
      <c r="D1008" s="37" t="s">
        <v>1264</v>
      </c>
      <c r="E1008" s="67" t="s">
        <v>1265</v>
      </c>
      <c r="F1008" s="37" t="s">
        <v>729</v>
      </c>
      <c r="G1008" s="37" t="s">
        <v>823</v>
      </c>
      <c r="I1008" s="107">
        <v>1</v>
      </c>
      <c r="J1008" s="37">
        <v>750</v>
      </c>
      <c r="K1008" s="107" t="s">
        <v>926</v>
      </c>
      <c r="L1008" s="10">
        <f>COUNTIF(Drank!A:A,Table1[[#This Row],[ID]])</f>
        <v>0</v>
      </c>
      <c r="M1008" s="37" t="s">
        <v>202</v>
      </c>
      <c r="N1008" s="37" t="s">
        <v>207</v>
      </c>
      <c r="O1008" s="37">
        <v>1</v>
      </c>
      <c r="P1008" s="10">
        <v>2019</v>
      </c>
      <c r="Q1008" s="37">
        <v>2030</v>
      </c>
      <c r="R1008" s="10" t="str">
        <f>IF(IFERROR(VLOOKUP(A1008,Drank!A:S,15,FALSE),"")=0,"",IFERROR(VLOOKUP(A1008,Drank!A:S,15,FALSE),""))</f>
        <v/>
      </c>
      <c r="S1008" s="10" t="str">
        <f>IF(IFERROR(VLOOKUP(A1008,Drank!A:S,16,FALSE),"")=0,"",IFERROR(VLOOKUP(A1008,Drank!A:S,16,FALSE),""))</f>
        <v/>
      </c>
      <c r="T1008" s="10"/>
      <c r="U1008" s="37">
        <v>96</v>
      </c>
      <c r="V1008" s="18" t="str">
        <f>IF(IFERROR(VLOOKUP(A1008,Drank!A:T,19,FALSE),"")=0,"",IFERROR(VLOOKUP(A1008,Drank!A:T,19,FALSE),""))</f>
        <v/>
      </c>
      <c r="W1008" s="1" t="str">
        <f>IF(IFERROR(VLOOKUP(A1008,Drank!A:T,20,FALSE),"")=0,"",IFERROR(VLOOKUP(A1008,Drank!A:T,20,FALSE),""))</f>
        <v/>
      </c>
      <c r="X1008" s="10">
        <f>SUMIF(A:A,A1008,I:I)</f>
        <v>4</v>
      </c>
      <c r="Y1008" s="10">
        <f>IF(Table1[[#This Row],[Drank]]&gt;0,VLOOKUP(Table1[[#This Row],[ID]],Drank!A:P,16,FALSE),IF(Table1[[#This Row],[WALDD]]&gt;0,VLOOKUP(Table1[[#This Row],[ID]],Wine1!A:Q,17,FALSE),Table1[[#This Row],[EP]]))</f>
        <v>2030</v>
      </c>
      <c r="Z1008" s="18">
        <f>IF(Table1[[#This Row],[My Rating]]="",IF(Table1[[#This Row],[WA Rating Clean]]="","",Table1[[#This Row],[WA Rating Clean]]),Table1[[#This Row],[My Rating]])</f>
        <v>96</v>
      </c>
      <c r="AA1008" s="37">
        <v>2030</v>
      </c>
      <c r="AB1008" s="4">
        <v>43.99</v>
      </c>
      <c r="AC1008" s="2">
        <f t="shared" si="53"/>
        <v>43.99</v>
      </c>
      <c r="AD1008" s="8">
        <v>2</v>
      </c>
      <c r="AE1008" s="10">
        <f>IF(Table1[[#This Row],[P/750]]&lt;20,1,IF(Table1[[#This Row],[P/750]]&lt;50,2,3))</f>
        <v>2</v>
      </c>
      <c r="AF1008" s="10">
        <f>IF(Table1[[#This Row],[P/750]]&lt;Expenses!$C$30,1,IF(Table1[[#This Row],[P/750]]&lt;Expenses!$C$31,2,IF(Table1[[#This Row],[P/750]]&lt;Expenses!$C$32,3,4)))</f>
        <v>3</v>
      </c>
      <c r="AH1008" s="37" t="s">
        <v>1139</v>
      </c>
      <c r="AI1008" s="11">
        <f>Table1[[#This Row],[Price]]/Table1[[#This Row],[Size (ml)]]*750</f>
        <v>43.99</v>
      </c>
      <c r="AJ1008" s="37">
        <v>96</v>
      </c>
      <c r="AK1008" s="10">
        <f>COUNTIF(UniqueID!A:A,Table1[[#This Row],[ID]])</f>
        <v>1</v>
      </c>
      <c r="AL1008" s="37" t="str">
        <f>VLOOKUP(Table1[[#This Row],[Cellar Location]],Location!A:F,6,FALSE)</f>
        <v>S</v>
      </c>
      <c r="AO1008" s="37" t="str">
        <f>TEXT(Table1[[#This Row],[Purchased]],"mmmm")</f>
        <v>January</v>
      </c>
      <c r="AP1008" s="10" t="str">
        <f>TEXT(Table1[[#This Row],[Purchased]],"yyyy")</f>
        <v>1900</v>
      </c>
      <c r="AQ1008" s="10"/>
    </row>
    <row r="1009" spans="1:43" s="37" customFormat="1" x14ac:dyDescent="0.25">
      <c r="A1009" s="37" t="str">
        <f t="shared" si="52"/>
        <v>2012Poggio AnticoBrunello di Montalcino Altero</v>
      </c>
      <c r="B1009" s="37">
        <v>2012</v>
      </c>
      <c r="C1009" s="37" t="s">
        <v>223</v>
      </c>
      <c r="D1009" s="37" t="s">
        <v>1181</v>
      </c>
      <c r="E1009" s="64" t="s">
        <v>280</v>
      </c>
      <c r="F1009" s="37" t="s">
        <v>728</v>
      </c>
      <c r="G1009" s="37" t="s">
        <v>790</v>
      </c>
      <c r="H1009" s="37" t="s">
        <v>19</v>
      </c>
      <c r="I1009" s="107">
        <v>1</v>
      </c>
      <c r="J1009" s="37">
        <v>750</v>
      </c>
      <c r="K1009" s="107" t="s">
        <v>627</v>
      </c>
      <c r="L1009" s="10">
        <f>COUNTIF(Drank!A:A,Table1[[#This Row],[ID]])</f>
        <v>0</v>
      </c>
      <c r="M1009" s="37" t="s">
        <v>202</v>
      </c>
      <c r="N1009" s="37" t="s">
        <v>207</v>
      </c>
      <c r="O1009" s="37">
        <v>1</v>
      </c>
      <c r="P1009" s="10">
        <v>2018</v>
      </c>
      <c r="Q1009" s="37">
        <v>2030</v>
      </c>
      <c r="R1009" s="10" t="str">
        <f>IF(IFERROR(VLOOKUP(A1009,Drank!A:S,15,FALSE),"")=0,"",IFERROR(VLOOKUP(A1009,Drank!A:S,15,FALSE),""))</f>
        <v/>
      </c>
      <c r="S1009" s="10" t="str">
        <f>IF(IFERROR(VLOOKUP(A1009,Drank!A:S,16,FALSE),"")=0,"",IFERROR(VLOOKUP(A1009,Drank!A:S,16,FALSE),""))</f>
        <v/>
      </c>
      <c r="T1009" s="10"/>
      <c r="U1009" s="37">
        <v>95</v>
      </c>
      <c r="V1009" s="18" t="str">
        <f>IF(IFERROR(VLOOKUP(A1009,Drank!A:T,19,FALSE),"")=0,"",IFERROR(VLOOKUP(A1009,Drank!A:T,19,FALSE),""))</f>
        <v/>
      </c>
      <c r="W1009" s="1" t="str">
        <f>IF(IFERROR(VLOOKUP(A1009,Drank!A:T,20,FALSE),"")=0,"",IFERROR(VLOOKUP(A1009,Drank!A:T,20,FALSE),""))</f>
        <v/>
      </c>
      <c r="X1009" s="10">
        <f>SUMIF(A:A,A1009,I:I)</f>
        <v>3</v>
      </c>
      <c r="Y1009" s="10">
        <f>IF(Table1[[#This Row],[Drank]]&gt;0,VLOOKUP(Table1[[#This Row],[ID]],Drank!A:P,16,FALSE),IF(Table1[[#This Row],[WALDD]]&gt;0,VLOOKUP(Table1[[#This Row],[ID]],Wine1!A:Q,17,FALSE),Table1[[#This Row],[EP]]))</f>
        <v>2030</v>
      </c>
      <c r="Z1009" s="18">
        <f>IF(Table1[[#This Row],[My Rating]]="",IF(Table1[[#This Row],[WA Rating Clean]]="","",Table1[[#This Row],[WA Rating Clean]]),Table1[[#This Row],[My Rating]])</f>
        <v>95</v>
      </c>
      <c r="AA1009" s="37">
        <v>2030</v>
      </c>
      <c r="AB1009" s="4">
        <v>57.94</v>
      </c>
      <c r="AC1009" s="2">
        <f t="shared" si="53"/>
        <v>57.94</v>
      </c>
      <c r="AD1009" s="8">
        <v>2</v>
      </c>
      <c r="AE1009" s="10">
        <f>IF(Table1[[#This Row],[P/750]]&lt;20,1,IF(Table1[[#This Row],[P/750]]&lt;50,2,3))</f>
        <v>3</v>
      </c>
      <c r="AF1009" s="10">
        <f>IF(Table1[[#This Row],[P/750]]&lt;Expenses!$C$30,1,IF(Table1[[#This Row],[P/750]]&lt;Expenses!$C$31,2,IF(Table1[[#This Row],[P/750]]&lt;Expenses!$C$32,3,4)))</f>
        <v>3</v>
      </c>
      <c r="AH1009" s="37" t="s">
        <v>1189</v>
      </c>
      <c r="AI1009" s="11">
        <f>Table1[[#This Row],[Price]]/Table1[[#This Row],[Size (ml)]]*750</f>
        <v>57.94</v>
      </c>
      <c r="AJ1009" s="37">
        <v>95</v>
      </c>
      <c r="AK1009" s="10">
        <f>COUNTIF(UniqueID!A:A,Table1[[#This Row],[ID]])</f>
        <v>1</v>
      </c>
      <c r="AL1009" s="10" t="str">
        <f>VLOOKUP(Table1[[#This Row],[Cellar Location]],Location!A:F,6,FALSE)</f>
        <v>S</v>
      </c>
      <c r="AN1009" s="1">
        <v>43860</v>
      </c>
      <c r="AO1009" s="37" t="str">
        <f>TEXT(Table1[[#This Row],[Purchased]],"mmmm")</f>
        <v>January</v>
      </c>
      <c r="AP1009" s="10" t="str">
        <f>TEXT(Table1[[#This Row],[Purchased]],"yyyy")</f>
        <v>2020</v>
      </c>
      <c r="AQ1009" s="10"/>
    </row>
    <row r="1010" spans="1:43" s="37" customFormat="1" x14ac:dyDescent="0.25">
      <c r="A1010" s="37" t="str">
        <f t="shared" si="52"/>
        <v>2012San RusticoAmarone della Valpolicella Classico</v>
      </c>
      <c r="B1010" s="37">
        <v>2012</v>
      </c>
      <c r="C1010" s="37" t="s">
        <v>444</v>
      </c>
      <c r="D1010" s="37" t="s">
        <v>26</v>
      </c>
      <c r="E1010" s="69" t="s">
        <v>1252</v>
      </c>
      <c r="F1010" s="37" t="s">
        <v>728</v>
      </c>
      <c r="G1010" s="37" t="s">
        <v>799</v>
      </c>
      <c r="H1010" s="37" t="s">
        <v>800</v>
      </c>
      <c r="I1010" s="107">
        <v>1</v>
      </c>
      <c r="J1010" s="37">
        <v>750</v>
      </c>
      <c r="K1010" s="107" t="s">
        <v>642</v>
      </c>
      <c r="L1010" s="10">
        <f>COUNTIF(Drank!A:A,Table1[[#This Row],[ID]])</f>
        <v>1</v>
      </c>
      <c r="M1010" s="37" t="s">
        <v>202</v>
      </c>
      <c r="N1010" s="37" t="s">
        <v>207</v>
      </c>
      <c r="O1010" s="37">
        <v>1</v>
      </c>
      <c r="P1010" s="10">
        <v>2019</v>
      </c>
      <c r="Q1010" s="37">
        <v>2027</v>
      </c>
      <c r="R1010" s="10">
        <f>IF(IFERROR(VLOOKUP(A1010,Drank!A:S,15,FALSE),"")=0,"",IFERROR(VLOOKUP(A1010,Drank!A:S,15,FALSE),""))</f>
        <v>2022</v>
      </c>
      <c r="S1010" s="10">
        <f>IF(IFERROR(VLOOKUP(A1010,Drank!A:S,16,FALSE),"")=0,"",IFERROR(VLOOKUP(A1010,Drank!A:S,16,FALSE),""))</f>
        <v>2030</v>
      </c>
      <c r="T1010" s="10"/>
      <c r="U1010" s="37">
        <v>91</v>
      </c>
      <c r="V1010" s="18">
        <f>IF(IFERROR(VLOOKUP(A1010,Drank!A:T,19,FALSE),"")=0,"",IFERROR(VLOOKUP(A1010,Drank!A:T,19,FALSE),""))</f>
        <v>91</v>
      </c>
      <c r="W1010" s="1">
        <f>IF(IFERROR(VLOOKUP(A1010,Drank!A:T,20,FALSE),"")=0,"",IFERROR(VLOOKUP(A1010,Drank!A:T,20,FALSE),""))</f>
        <v>43834</v>
      </c>
      <c r="X1010" s="10">
        <f>SUMIF(A:A,A1010,I:I)</f>
        <v>5</v>
      </c>
      <c r="Y1010" s="10">
        <f>IF(Table1[[#This Row],[Drank]]&gt;0,VLOOKUP(Table1[[#This Row],[ID]],Drank!A:P,16,FALSE),IF(Table1[[#This Row],[WALDD]]&gt;0,VLOOKUP(Table1[[#This Row],[ID]],Wine1!A:Q,17,FALSE),Table1[[#This Row],[EP]]))</f>
        <v>2030</v>
      </c>
      <c r="Z1010" s="18">
        <f>IF(Table1[[#This Row],[My Rating]]="",IF(Table1[[#This Row],[WA Rating Clean]]="","",Table1[[#This Row],[WA Rating Clean]]),Table1[[#This Row],[My Rating]])</f>
        <v>91</v>
      </c>
      <c r="AA1010" s="37">
        <v>2030</v>
      </c>
      <c r="AB1010" s="4">
        <v>24.99</v>
      </c>
      <c r="AC1010" s="2">
        <f t="shared" si="53"/>
        <v>24.99</v>
      </c>
      <c r="AD1010" s="8">
        <v>2</v>
      </c>
      <c r="AE1010" s="10">
        <f>IF(Table1[[#This Row],[P/750]]&lt;20,1,IF(Table1[[#This Row],[P/750]]&lt;50,2,3))</f>
        <v>2</v>
      </c>
      <c r="AF1010" s="10">
        <f>IF(Table1[[#This Row],[P/750]]&lt;Expenses!$C$30,1,IF(Table1[[#This Row],[P/750]]&lt;Expenses!$C$31,2,IF(Table1[[#This Row],[P/750]]&lt;Expenses!$C$32,3,4)))</f>
        <v>2</v>
      </c>
      <c r="AH1010" s="37" t="s">
        <v>384</v>
      </c>
      <c r="AI1010" s="11">
        <f>Table1[[#This Row],[Price]]/Table1[[#This Row],[Size (ml)]]*750</f>
        <v>24.989999999999995</v>
      </c>
      <c r="AJ1010" s="37">
        <v>91</v>
      </c>
      <c r="AK1010" s="37">
        <f>COUNTIF(UniqueID!A:A,Table1[[#This Row],[ID]])</f>
        <v>1</v>
      </c>
      <c r="AL1010" s="37" t="str">
        <f>VLOOKUP(Table1[[#This Row],[Cellar Location]],Location!A:F,6,FALSE)</f>
        <v>S</v>
      </c>
      <c r="AO1010" s="37" t="str">
        <f>TEXT(Table1[[#This Row],[Purchased]],"mmmm")</f>
        <v>January</v>
      </c>
      <c r="AP1010" s="10" t="str">
        <f>TEXT(Table1[[#This Row],[Purchased]],"yyyy")</f>
        <v>1900</v>
      </c>
      <c r="AQ1010" s="10"/>
    </row>
    <row r="1011" spans="1:43" s="37" customFormat="1" x14ac:dyDescent="0.25">
      <c r="A1011" s="37" t="str">
        <f t="shared" si="52"/>
        <v>2018Sante ArcangeliPinot Noir Integrato</v>
      </c>
      <c r="B1011" s="37">
        <v>2018</v>
      </c>
      <c r="C1011" s="8" t="s">
        <v>1347</v>
      </c>
      <c r="D1011" s="37" t="s">
        <v>1348</v>
      </c>
      <c r="E1011" s="64" t="s">
        <v>263</v>
      </c>
      <c r="F1011" s="37" t="s">
        <v>727</v>
      </c>
      <c r="G1011" s="37" t="s">
        <v>806</v>
      </c>
      <c r="H1011" s="37" t="s">
        <v>1349</v>
      </c>
      <c r="I1011" s="107">
        <v>1</v>
      </c>
      <c r="J1011" s="37">
        <v>750</v>
      </c>
      <c r="K1011" s="107" t="s">
        <v>1406</v>
      </c>
      <c r="L1011" s="10">
        <f>COUNTIF(Drank!A:A,Table1[[#This Row],[ID]])</f>
        <v>1</v>
      </c>
      <c r="M1011" s="37" t="s">
        <v>202</v>
      </c>
      <c r="N1011" s="37" t="s">
        <v>207</v>
      </c>
      <c r="O1011" s="37">
        <v>1</v>
      </c>
      <c r="P1011" s="37">
        <v>2020</v>
      </c>
      <c r="Q1011" s="37">
        <v>2030</v>
      </c>
      <c r="R1011" s="10">
        <f>IF(IFERROR(VLOOKUP(A1011,Drank!A:S,15,FALSE),"")=0,"",IFERROR(VLOOKUP(A1011,Drank!A:S,15,FALSE),""))</f>
        <v>2024</v>
      </c>
      <c r="S1011" s="10">
        <f>IF(IFERROR(VLOOKUP(A1011,Drank!A:S,16,FALSE),"")=0,"",IFERROR(VLOOKUP(A1011,Drank!A:S,16,FALSE),""))</f>
        <v>2030</v>
      </c>
      <c r="T1011" s="10"/>
      <c r="U1011" s="37">
        <v>94</v>
      </c>
      <c r="V1011" s="18">
        <f>IF(IFERROR(VLOOKUP(A1011,Drank!A:T,19,FALSE),"")=0,"",IFERROR(VLOOKUP(A1011,Drank!A:T,19,FALSE),""))</f>
        <v>92</v>
      </c>
      <c r="W1011" s="1">
        <f>IF(IFERROR(VLOOKUP(A1011,Drank!A:T,20,FALSE),"")=0,"",IFERROR(VLOOKUP(A1011,Drank!A:T,20,FALSE),""))</f>
        <v>44008</v>
      </c>
      <c r="X1011" s="10">
        <f>SUMIF(A:A,A1011,I:I)</f>
        <v>3</v>
      </c>
      <c r="Y1011" s="10">
        <f>IF(Table1[[#This Row],[Drank]]&gt;0,VLOOKUP(Table1[[#This Row],[ID]],Drank!A:P,16,FALSE),IF(Table1[[#This Row],[WALDD]]&gt;0,VLOOKUP(Table1[[#This Row],[ID]],Wine1!A:Q,17,FALSE),Table1[[#This Row],[EP]]))</f>
        <v>2030</v>
      </c>
      <c r="Z1011" s="18">
        <f>IF(Table1[[#This Row],[My Rating]]="",IF(Table1[[#This Row],[WA Rating Clean]]="","",Table1[[#This Row],[WA Rating Clean]]),Table1[[#This Row],[My Rating]])</f>
        <v>92</v>
      </c>
      <c r="AA1011" s="37">
        <v>2030</v>
      </c>
      <c r="AB1011" s="4">
        <v>27.31</v>
      </c>
      <c r="AC1011" s="2">
        <f t="shared" si="53"/>
        <v>27.31</v>
      </c>
      <c r="AD1011" s="8">
        <v>2</v>
      </c>
      <c r="AE1011" s="10">
        <f>IF(Table1[[#This Row],[P/750]]&lt;20,1,IF(Table1[[#This Row],[P/750]]&lt;50,2,3))</f>
        <v>2</v>
      </c>
      <c r="AF1011" s="10">
        <f>IF(Table1[[#This Row],[P/750]]&lt;Expenses!$C$30,1,IF(Table1[[#This Row],[P/750]]&lt;Expenses!$C$31,2,IF(Table1[[#This Row],[P/750]]&lt;Expenses!$C$32,3,4)))</f>
        <v>2</v>
      </c>
      <c r="AH1011" s="37" t="s">
        <v>385</v>
      </c>
      <c r="AI1011" s="11">
        <f>Table1[[#This Row],[Price]]/Table1[[#This Row],[Size (ml)]]*750</f>
        <v>27.31</v>
      </c>
      <c r="AJ1011" s="37">
        <v>94</v>
      </c>
      <c r="AK1011" s="10">
        <f>COUNTIF(UniqueID!A:A,Table1[[#This Row],[ID]])</f>
        <v>0</v>
      </c>
      <c r="AL1011" s="10" t="str">
        <f>VLOOKUP(Table1[[#This Row],[Cellar Location]],Location!A:F,6,FALSE)</f>
        <v>S</v>
      </c>
      <c r="AN1011" s="1">
        <v>43924</v>
      </c>
      <c r="AO1011" s="10" t="str">
        <f>TEXT(Table1[[#This Row],[Purchased]],"mmmm")</f>
        <v>April</v>
      </c>
      <c r="AP1011" s="10" t="str">
        <f>TEXT(Table1[[#This Row],[Purchased]],"yyyy")</f>
        <v>2020</v>
      </c>
      <c r="AQ1011" s="10"/>
    </row>
    <row r="1012" spans="1:43" s="37" customFormat="1" x14ac:dyDescent="0.25">
      <c r="A1012" s="37" t="str">
        <f t="shared" si="52"/>
        <v>2014Telmo RodriguezPegaso Barrancos de Pizarra</v>
      </c>
      <c r="B1012" s="37">
        <v>2014</v>
      </c>
      <c r="C1012" s="37" t="s">
        <v>816</v>
      </c>
      <c r="D1012" s="25" t="s">
        <v>432</v>
      </c>
      <c r="E1012" s="67" t="s">
        <v>1248</v>
      </c>
      <c r="F1012" s="37" t="s">
        <v>729</v>
      </c>
      <c r="G1012" s="37" t="s">
        <v>1718</v>
      </c>
      <c r="H1012" s="37" t="s">
        <v>817</v>
      </c>
      <c r="I1012" s="107">
        <v>1</v>
      </c>
      <c r="J1012" s="37">
        <v>750</v>
      </c>
      <c r="K1012" s="107" t="s">
        <v>649</v>
      </c>
      <c r="L1012" s="10">
        <f>COUNTIF(Drank!A:A,Table1[[#This Row],[ID]])</f>
        <v>0</v>
      </c>
      <c r="M1012" s="37" t="s">
        <v>202</v>
      </c>
      <c r="N1012" s="37" t="s">
        <v>207</v>
      </c>
      <c r="O1012" s="37">
        <v>1</v>
      </c>
      <c r="P1012" s="37">
        <v>2017</v>
      </c>
      <c r="Q1012" s="37">
        <v>2030</v>
      </c>
      <c r="R1012" s="10" t="str">
        <f>IF(IFERROR(VLOOKUP(A1012,Drank!A:S,15,FALSE),"")=0,"",IFERROR(VLOOKUP(A1012,Drank!A:S,15,FALSE),""))</f>
        <v/>
      </c>
      <c r="S1012" s="10" t="str">
        <f>IF(IFERROR(VLOOKUP(A1012,Drank!A:S,16,FALSE),"")=0,"",IFERROR(VLOOKUP(A1012,Drank!A:S,16,FALSE),""))</f>
        <v/>
      </c>
      <c r="T1012" s="10"/>
      <c r="U1012" s="37">
        <v>95</v>
      </c>
      <c r="V1012" s="18" t="str">
        <f>IF(IFERROR(VLOOKUP(A1012,Drank!A:T,19,FALSE),"")=0,"",IFERROR(VLOOKUP(A1012,Drank!A:T,19,FALSE),""))</f>
        <v/>
      </c>
      <c r="W1012" s="1" t="str">
        <f>IF(IFERROR(VLOOKUP(A1012,Drank!A:T,20,FALSE),"")=0,"",IFERROR(VLOOKUP(A1012,Drank!A:T,20,FALSE),""))</f>
        <v/>
      </c>
      <c r="X1012" s="10">
        <f>SUMIF(A:A,A1012,I:I)</f>
        <v>6</v>
      </c>
      <c r="Y1012" s="10">
        <f>IF(Table1[[#This Row],[Drank]]&gt;0,VLOOKUP(Table1[[#This Row],[ID]],Drank!A:P,16,FALSE),IF(Table1[[#This Row],[WALDD]]&gt;0,VLOOKUP(Table1[[#This Row],[ID]],Wine1!A:Q,17,FALSE),Table1[[#This Row],[EP]]))</f>
        <v>2030</v>
      </c>
      <c r="Z1012" s="18">
        <f>IF(Table1[[#This Row],[My Rating]]="",IF(Table1[[#This Row],[WA Rating Clean]]="","",Table1[[#This Row],[WA Rating Clean]]),Table1[[#This Row],[My Rating]])</f>
        <v>95</v>
      </c>
      <c r="AA1012" s="37">
        <v>2030</v>
      </c>
      <c r="AB1012" s="4">
        <v>25</v>
      </c>
      <c r="AC1012" s="2">
        <f t="shared" si="53"/>
        <v>25</v>
      </c>
      <c r="AD1012" s="8">
        <v>2</v>
      </c>
      <c r="AE1012" s="37">
        <f>IF(Table1[[#This Row],[P/750]]&lt;20,1,IF(Table1[[#This Row],[P/750]]&lt;50,2,3))</f>
        <v>2</v>
      </c>
      <c r="AF1012" s="37">
        <f>IF(Table1[[#This Row],[P/750]]&lt;Expenses!$C$30,1,IF(Table1[[#This Row],[P/750]]&lt;Expenses!$C$31,2,IF(Table1[[#This Row],[P/750]]&lt;Expenses!$C$32,3,4)))</f>
        <v>2</v>
      </c>
      <c r="AH1012" s="37" t="s">
        <v>385</v>
      </c>
      <c r="AI1012" s="11">
        <f>Table1[[#This Row],[Price]]/Table1[[#This Row],[Size (ml)]]*750</f>
        <v>25</v>
      </c>
      <c r="AJ1012" s="37">
        <v>95</v>
      </c>
      <c r="AK1012" s="37">
        <f>COUNTIF(UniqueID!A:A,Table1[[#This Row],[ID]])</f>
        <v>1</v>
      </c>
      <c r="AL1012" s="37" t="str">
        <f>VLOOKUP(Table1[[#This Row],[Cellar Location]],Location!A:F,6,FALSE)</f>
        <v>S</v>
      </c>
      <c r="AO1012" s="37" t="str">
        <f>TEXT(Table1[[#This Row],[Purchased]],"mmmm")</f>
        <v>January</v>
      </c>
      <c r="AP1012" s="10" t="str">
        <f>TEXT(Table1[[#This Row],[Purchased]],"yyyy")</f>
        <v>1900</v>
      </c>
      <c r="AQ1012" s="10"/>
    </row>
    <row r="1013" spans="1:43" s="37" customFormat="1" x14ac:dyDescent="0.25">
      <c r="A1013" s="37" t="str">
        <f t="shared" si="52"/>
        <v>2013Tenuta CarrettaRoero Riserva Bric Paradiso</v>
      </c>
      <c r="B1013" s="37">
        <v>2013</v>
      </c>
      <c r="C1013" s="37" t="s">
        <v>452</v>
      </c>
      <c r="D1013" s="37" t="s">
        <v>453</v>
      </c>
      <c r="E1013" s="67" t="s">
        <v>1206</v>
      </c>
      <c r="F1013" s="37" t="s">
        <v>728</v>
      </c>
      <c r="G1013" s="37" t="s">
        <v>778</v>
      </c>
      <c r="H1013" s="37" t="s">
        <v>773</v>
      </c>
      <c r="I1013" s="107">
        <v>1</v>
      </c>
      <c r="J1013" s="37">
        <v>750</v>
      </c>
      <c r="K1013" s="107" t="s">
        <v>641</v>
      </c>
      <c r="L1013" s="10">
        <f>COUNTIF(Drank!A:A,Table1[[#This Row],[ID]])</f>
        <v>1</v>
      </c>
      <c r="M1013" s="37" t="s">
        <v>202</v>
      </c>
      <c r="N1013" s="37" t="s">
        <v>207</v>
      </c>
      <c r="O1013" s="37">
        <v>1</v>
      </c>
      <c r="P1013" s="10">
        <v>2018</v>
      </c>
      <c r="Q1013" s="37">
        <v>2028</v>
      </c>
      <c r="R1013" s="10">
        <f>IF(IFERROR(VLOOKUP(A1013,Drank!A:S,15,FALSE),"")=0,"",IFERROR(VLOOKUP(A1013,Drank!A:S,15,FALSE),""))</f>
        <v>2022</v>
      </c>
      <c r="S1013" s="10">
        <f>IF(IFERROR(VLOOKUP(A1013,Drank!A:S,16,FALSE),"")=0,"",IFERROR(VLOOKUP(A1013,Drank!A:S,16,FALSE),""))</f>
        <v>2030</v>
      </c>
      <c r="T1013" s="10"/>
      <c r="U1013" s="37" t="s">
        <v>196</v>
      </c>
      <c r="V1013" s="18">
        <f>IF(IFERROR(VLOOKUP(A1013,Drank!A:T,19,FALSE),"")=0,"",IFERROR(VLOOKUP(A1013,Drank!A:T,19,FALSE),""))</f>
        <v>94</v>
      </c>
      <c r="W1013" s="1">
        <f>IF(IFERROR(VLOOKUP(A1013,Drank!A:T,20,FALSE),"")=0,"",IFERROR(VLOOKUP(A1013,Drank!A:T,20,FALSE),""))</f>
        <v>43849</v>
      </c>
      <c r="X1013" s="10">
        <f>SUMIF(A:A,A1013,I:I)</f>
        <v>5</v>
      </c>
      <c r="Y1013" s="10">
        <f>IF(Table1[[#This Row],[Drank]]&gt;0,VLOOKUP(Table1[[#This Row],[ID]],Drank!A:P,16,FALSE),IF(Table1[[#This Row],[WALDD]]&gt;0,VLOOKUP(Table1[[#This Row],[ID]],Wine1!A:Q,17,FALSE),Table1[[#This Row],[EP]]))</f>
        <v>2030</v>
      </c>
      <c r="Z1013" s="18">
        <f>IF(Table1[[#This Row],[My Rating]]="",IF(Table1[[#This Row],[WA Rating Clean]]="","",Table1[[#This Row],[WA Rating Clean]]),Table1[[#This Row],[My Rating]])</f>
        <v>94</v>
      </c>
      <c r="AA1013" s="37">
        <v>2030</v>
      </c>
      <c r="AB1013" s="4">
        <v>26</v>
      </c>
      <c r="AC1013" s="2">
        <f t="shared" si="53"/>
        <v>26</v>
      </c>
      <c r="AD1013" s="8">
        <v>2</v>
      </c>
      <c r="AE1013" s="10">
        <f>IF(Table1[[#This Row],[P/750]]&lt;20,1,IF(Table1[[#This Row],[P/750]]&lt;50,2,3))</f>
        <v>2</v>
      </c>
      <c r="AF1013" s="10">
        <f>IF(Table1[[#This Row],[P/750]]&lt;Expenses!$C$30,1,IF(Table1[[#This Row],[P/750]]&lt;Expenses!$C$31,2,IF(Table1[[#This Row],[P/750]]&lt;Expenses!$C$32,3,4)))</f>
        <v>2</v>
      </c>
      <c r="AH1013" s="37" t="s">
        <v>385</v>
      </c>
      <c r="AI1013" s="11">
        <f>Table1[[#This Row],[Price]]/Table1[[#This Row],[Size (ml)]]*750</f>
        <v>26</v>
      </c>
      <c r="AJ1013" s="37">
        <v>91</v>
      </c>
      <c r="AK1013" s="37">
        <f>COUNTIF(UniqueID!A:A,Table1[[#This Row],[ID]])</f>
        <v>1</v>
      </c>
      <c r="AL1013" s="37" t="str">
        <f>VLOOKUP(Table1[[#This Row],[Cellar Location]],Location!A:F,6,FALSE)</f>
        <v>S</v>
      </c>
      <c r="AO1013" s="37" t="str">
        <f>TEXT(Table1[[#This Row],[Purchased]],"mmmm")</f>
        <v>January</v>
      </c>
      <c r="AP1013" s="10" t="str">
        <f>TEXT(Table1[[#This Row],[Purchased]],"yyyy")</f>
        <v>1900</v>
      </c>
      <c r="AQ1013" s="10"/>
    </row>
    <row r="1014" spans="1:43" s="37" customFormat="1" x14ac:dyDescent="0.25">
      <c r="A1014" s="37" t="str">
        <f t="shared" si="52"/>
        <v>2015Tenuta di NozzoleChianti Classico Riserva Nozzole</v>
      </c>
      <c r="B1014" s="37">
        <v>2015</v>
      </c>
      <c r="C1014" s="37" t="s">
        <v>100</v>
      </c>
      <c r="D1014" s="37" t="s">
        <v>101</v>
      </c>
      <c r="E1014" s="69" t="s">
        <v>399</v>
      </c>
      <c r="F1014" s="37" t="s">
        <v>728</v>
      </c>
      <c r="G1014" s="37" t="s">
        <v>790</v>
      </c>
      <c r="H1014" s="37" t="s">
        <v>792</v>
      </c>
      <c r="I1014" s="107">
        <v>1</v>
      </c>
      <c r="J1014" s="37">
        <v>750</v>
      </c>
      <c r="K1014" s="107" t="s">
        <v>648</v>
      </c>
      <c r="L1014" s="37">
        <f>COUNTIF(Drank!A:A,Table1[[#This Row],[ID]])</f>
        <v>6</v>
      </c>
      <c r="M1014" s="37" t="s">
        <v>202</v>
      </c>
      <c r="N1014" s="37" t="s">
        <v>207</v>
      </c>
      <c r="O1014" s="37">
        <v>1</v>
      </c>
      <c r="P1014" s="37">
        <v>2018</v>
      </c>
      <c r="Q1014" s="37">
        <v>2028</v>
      </c>
      <c r="R1014" s="10">
        <f>IF(IFERROR(VLOOKUP(A1014,Drank!A:S,15,FALSE),"")=0,"",IFERROR(VLOOKUP(A1014,Drank!A:S,15,FALSE),""))</f>
        <v>2020</v>
      </c>
      <c r="S1014" s="10">
        <f>IF(IFERROR(VLOOKUP(A1014,Drank!A:S,16,FALSE),"")=0,"",IFERROR(VLOOKUP(A1014,Drank!A:S,16,FALSE),""))</f>
        <v>2030</v>
      </c>
      <c r="T1014" s="10"/>
      <c r="U1014" s="37">
        <v>92</v>
      </c>
      <c r="V1014" s="18">
        <f>IF(IFERROR(VLOOKUP(A1014,Drank!A:T,19,FALSE),"")=0,"",IFERROR(VLOOKUP(A1014,Drank!A:T,19,FALSE),""))</f>
        <v>91</v>
      </c>
      <c r="W1014" s="1">
        <f>IF(IFERROR(VLOOKUP(A1014,Drank!A:T,20,FALSE),"")=0,"",IFERROR(VLOOKUP(A1014,Drank!A:T,20,FALSE),""))</f>
        <v>43779</v>
      </c>
      <c r="X1014" s="10">
        <f>SUMIF(A:A,A1014,I:I)</f>
        <v>4</v>
      </c>
      <c r="Y1014" s="37">
        <f>IF(Table1[[#This Row],[Drank]]&gt;0,VLOOKUP(Table1[[#This Row],[ID]],Drank!A:P,16,FALSE),IF(Table1[[#This Row],[WALDD]]&gt;0,VLOOKUP(Table1[[#This Row],[ID]],Wine1!A:Q,17,FALSE),Table1[[#This Row],[EP]]))</f>
        <v>2030</v>
      </c>
      <c r="Z1014" s="18">
        <f>IF(Table1[[#This Row],[My Rating]]="",IF(Table1[[#This Row],[WA Rating Clean]]="","",Table1[[#This Row],[WA Rating Clean]]),Table1[[#This Row],[My Rating]])</f>
        <v>91</v>
      </c>
      <c r="AA1014" s="8">
        <v>2030</v>
      </c>
      <c r="AB1014" s="4">
        <v>19.79</v>
      </c>
      <c r="AC1014" s="2">
        <f t="shared" si="53"/>
        <v>19.79</v>
      </c>
      <c r="AD1014" s="8">
        <v>2</v>
      </c>
      <c r="AE1014" s="37">
        <f>IF(Table1[[#This Row],[P/750]]&lt;20,1,IF(Table1[[#This Row],[P/750]]&lt;50,2,3))</f>
        <v>1</v>
      </c>
      <c r="AF1014" s="37">
        <f>IF(Table1[[#This Row],[P/750]]&lt;Expenses!$C$30,1,IF(Table1[[#This Row],[P/750]]&lt;Expenses!$C$31,2,IF(Table1[[#This Row],[P/750]]&lt;Expenses!$C$32,3,4)))</f>
        <v>2</v>
      </c>
      <c r="AH1014" s="25" t="s">
        <v>1128</v>
      </c>
      <c r="AI1014" s="11">
        <f>Table1[[#This Row],[Price]]/Table1[[#This Row],[Size (ml)]]*750</f>
        <v>19.79</v>
      </c>
      <c r="AJ1014" s="37">
        <v>92</v>
      </c>
      <c r="AK1014" s="37">
        <f>COUNTIF(UniqueID!A:A,Table1[[#This Row],[ID]])</f>
        <v>1</v>
      </c>
      <c r="AL1014" s="37" t="str">
        <f>VLOOKUP(Table1[[#This Row],[Cellar Location]],Location!A:F,6,FALSE)</f>
        <v>S</v>
      </c>
      <c r="AO1014" s="37" t="str">
        <f>TEXT(Table1[[#This Row],[Purchased]],"mmmm")</f>
        <v>January</v>
      </c>
      <c r="AP1014" s="10" t="str">
        <f>TEXT(Table1[[#This Row],[Purchased]],"yyyy")</f>
        <v>1900</v>
      </c>
      <c r="AQ1014" s="10"/>
    </row>
    <row r="1015" spans="1:43" s="37" customFormat="1" x14ac:dyDescent="0.25">
      <c r="A1015" s="37" t="str">
        <f t="shared" si="52"/>
        <v>2016Tenuta San GuidoGuidalberto</v>
      </c>
      <c r="B1015" s="37">
        <v>2016</v>
      </c>
      <c r="C1015" s="37" t="s">
        <v>91</v>
      </c>
      <c r="D1015" s="37" t="s">
        <v>1236</v>
      </c>
      <c r="E1015" s="67" t="s">
        <v>1455</v>
      </c>
      <c r="F1015" s="37" t="s">
        <v>728</v>
      </c>
      <c r="G1015" s="37" t="s">
        <v>790</v>
      </c>
      <c r="H1015" s="37" t="s">
        <v>796</v>
      </c>
      <c r="I1015" s="107">
        <v>1</v>
      </c>
      <c r="J1015" s="37">
        <v>750</v>
      </c>
      <c r="K1015" s="107" t="s">
        <v>1315</v>
      </c>
      <c r="L1015" s="10">
        <f>COUNTIF(Drank!A:A,Table1[[#This Row],[ID]])</f>
        <v>1</v>
      </c>
      <c r="M1015" s="37" t="s">
        <v>202</v>
      </c>
      <c r="N1015" s="37" t="s">
        <v>207</v>
      </c>
      <c r="O1015" s="37">
        <v>1</v>
      </c>
      <c r="P1015" s="37">
        <v>2019</v>
      </c>
      <c r="Q1015" s="37">
        <v>2030</v>
      </c>
      <c r="R1015" s="10">
        <f>IF(IFERROR(VLOOKUP(A1015,Drank!A:S,15,FALSE),"")=0,"",IFERROR(VLOOKUP(A1015,Drank!A:S,15,FALSE),""))</f>
        <v>2025</v>
      </c>
      <c r="S1015" s="10">
        <f>IF(IFERROR(VLOOKUP(A1015,Drank!A:S,16,FALSE),"")=0,"",IFERROR(VLOOKUP(A1015,Drank!A:S,16,FALSE),""))</f>
        <v>2030</v>
      </c>
      <c r="T1015" s="10"/>
      <c r="U1015" s="37" t="s">
        <v>17</v>
      </c>
      <c r="V1015" s="18">
        <f>IF(IFERROR(VLOOKUP(A1015,Drank!A:T,19,FALSE),"")=0,"",IFERROR(VLOOKUP(A1015,Drank!A:T,19,FALSE),""))</f>
        <v>93</v>
      </c>
      <c r="W1015" s="1">
        <f>IF(IFERROR(VLOOKUP(A1015,Drank!A:T,20,FALSE),"")=0,"",IFERROR(VLOOKUP(A1015,Drank!A:T,20,FALSE),""))</f>
        <v>43866</v>
      </c>
      <c r="X1015" s="10">
        <f>SUMIF(A:A,A1015,I:I)</f>
        <v>6</v>
      </c>
      <c r="Y1015" s="10">
        <f>IF(Table1[[#This Row],[Drank]]&gt;0,VLOOKUP(Table1[[#This Row],[ID]],Drank!A:P,16,FALSE),IF(Table1[[#This Row],[WALDD]]&gt;0,VLOOKUP(Table1[[#This Row],[ID]],Wine1!A:Q,17,FALSE),Table1[[#This Row],[EP]]))</f>
        <v>2030</v>
      </c>
      <c r="Z1015" s="18">
        <f>IF(Table1[[#This Row],[My Rating]]="",IF(Table1[[#This Row],[WA Rating Clean]]="","",Table1[[#This Row],[WA Rating Clean]]),Table1[[#This Row],[My Rating]])</f>
        <v>93</v>
      </c>
      <c r="AA1015" s="37">
        <v>2030</v>
      </c>
      <c r="AB1015" s="4">
        <v>44.25</v>
      </c>
      <c r="AC1015" s="2">
        <f t="shared" si="53"/>
        <v>44.25</v>
      </c>
      <c r="AD1015" s="8">
        <v>2</v>
      </c>
      <c r="AE1015" s="10">
        <f>IF(Table1[[#This Row],[P/750]]&lt;20,1,IF(Table1[[#This Row],[P/750]]&lt;50,2,3))</f>
        <v>2</v>
      </c>
      <c r="AF1015" s="10">
        <f>IF(Table1[[#This Row],[P/750]]&lt;Expenses!$C$30,1,IF(Table1[[#This Row],[P/750]]&lt;Expenses!$C$31,2,IF(Table1[[#This Row],[P/750]]&lt;Expenses!$C$32,3,4)))</f>
        <v>3</v>
      </c>
      <c r="AH1015" s="37" t="s">
        <v>1238</v>
      </c>
      <c r="AI1015" s="11">
        <f>Table1[[#This Row],[Price]]/Table1[[#This Row],[Size (ml)]]*750</f>
        <v>44.25</v>
      </c>
      <c r="AJ1015" s="37">
        <v>94</v>
      </c>
      <c r="AK1015" s="10">
        <f>COUNTIF(UniqueID!A:A,Table1[[#This Row],[ID]])</f>
        <v>1</v>
      </c>
      <c r="AL1015" s="10" t="str">
        <f>VLOOKUP(Table1[[#This Row],[Cellar Location]],Location!A:F,6,FALSE)</f>
        <v>S</v>
      </c>
      <c r="AN1015" s="1">
        <v>43869</v>
      </c>
      <c r="AO1015" s="37" t="str">
        <f>TEXT(Table1[[#This Row],[Purchased]],"mmmm")</f>
        <v>February</v>
      </c>
      <c r="AP1015" s="10" t="str">
        <f>TEXT(Table1[[#This Row],[Purchased]],"yyyy")</f>
        <v>2020</v>
      </c>
      <c r="AQ1015" s="10"/>
    </row>
    <row r="1016" spans="1:43" s="37" customFormat="1" x14ac:dyDescent="0.25">
      <c r="A1016" s="37" t="str">
        <f t="shared" si="52"/>
        <v>2015Tenuta Sant'AntonioAmarone della Valpolicella Selezione Antonio Castagnedi</v>
      </c>
      <c r="B1016" s="37">
        <v>2015</v>
      </c>
      <c r="C1016" s="37" t="s">
        <v>1182</v>
      </c>
      <c r="D1016" s="37" t="s">
        <v>1183</v>
      </c>
      <c r="E1016" s="67" t="s">
        <v>1194</v>
      </c>
      <c r="F1016" s="37" t="s">
        <v>728</v>
      </c>
      <c r="G1016" s="37" t="s">
        <v>799</v>
      </c>
      <c r="H1016" s="37" t="s">
        <v>803</v>
      </c>
      <c r="I1016" s="107">
        <v>1</v>
      </c>
      <c r="J1016" s="37">
        <v>750</v>
      </c>
      <c r="K1016" s="107" t="s">
        <v>627</v>
      </c>
      <c r="L1016" s="10">
        <f>COUNTIF(Drank!A:A,Table1[[#This Row],[ID]])</f>
        <v>0</v>
      </c>
      <c r="M1016" s="37" t="s">
        <v>202</v>
      </c>
      <c r="N1016" s="37" t="s">
        <v>207</v>
      </c>
      <c r="O1016" s="37">
        <v>1</v>
      </c>
      <c r="P1016" s="10">
        <v>2019</v>
      </c>
      <c r="Q1016" s="37">
        <v>2030</v>
      </c>
      <c r="R1016" s="10" t="str">
        <f>IF(IFERROR(VLOOKUP(A1016,Drank!A:S,15,FALSE),"")=0,"",IFERROR(VLOOKUP(A1016,Drank!A:S,15,FALSE),""))</f>
        <v/>
      </c>
      <c r="S1016" s="10" t="str">
        <f>IF(IFERROR(VLOOKUP(A1016,Drank!A:S,16,FALSE),"")=0,"",IFERROR(VLOOKUP(A1016,Drank!A:S,16,FALSE),""))</f>
        <v/>
      </c>
      <c r="T1016" s="10"/>
      <c r="U1016" s="37">
        <v>93</v>
      </c>
      <c r="V1016" s="18" t="str">
        <f>IF(IFERROR(VLOOKUP(A1016,Drank!A:T,19,FALSE),"")=0,"",IFERROR(VLOOKUP(A1016,Drank!A:T,19,FALSE),""))</f>
        <v/>
      </c>
      <c r="W1016" s="1" t="str">
        <f>IF(IFERROR(VLOOKUP(A1016,Drank!A:T,20,FALSE),"")=0,"",IFERROR(VLOOKUP(A1016,Drank!A:T,20,FALSE),""))</f>
        <v/>
      </c>
      <c r="X1016" s="10">
        <f>SUMIF(A:A,A1016,I:I)</f>
        <v>4</v>
      </c>
      <c r="Y1016" s="10">
        <f>IF(Table1[[#This Row],[Drank]]&gt;0,VLOOKUP(Table1[[#This Row],[ID]],Drank!A:P,16,FALSE),IF(Table1[[#This Row],[WALDD]]&gt;0,VLOOKUP(Table1[[#This Row],[ID]],Wine1!A:Q,17,FALSE),Table1[[#This Row],[EP]]))</f>
        <v>2030</v>
      </c>
      <c r="Z1016" s="18">
        <f>IF(Table1[[#This Row],[My Rating]]="",IF(Table1[[#This Row],[WA Rating Clean]]="","",Table1[[#This Row],[WA Rating Clean]]),Table1[[#This Row],[My Rating]])</f>
        <v>93</v>
      </c>
      <c r="AA1016" s="37">
        <v>2030</v>
      </c>
      <c r="AB1016" s="4">
        <v>38.9</v>
      </c>
      <c r="AC1016" s="2">
        <f t="shared" si="53"/>
        <v>38.9</v>
      </c>
      <c r="AD1016" s="8">
        <v>2</v>
      </c>
      <c r="AE1016" s="10">
        <f>IF(Table1[[#This Row],[P/750]]&lt;20,1,IF(Table1[[#This Row],[P/750]]&lt;50,2,3))</f>
        <v>2</v>
      </c>
      <c r="AF1016" s="10">
        <f>IF(Table1[[#This Row],[P/750]]&lt;Expenses!$C$30,1,IF(Table1[[#This Row],[P/750]]&lt;Expenses!$C$31,2,IF(Table1[[#This Row],[P/750]]&lt;Expenses!$C$32,3,4)))</f>
        <v>3</v>
      </c>
      <c r="AH1016" s="37" t="s">
        <v>1189</v>
      </c>
      <c r="AI1016" s="11">
        <f>Table1[[#This Row],[Price]]/Table1[[#This Row],[Size (ml)]]*750</f>
        <v>38.9</v>
      </c>
      <c r="AJ1016" s="37">
        <v>93</v>
      </c>
      <c r="AK1016" s="10">
        <f>COUNTIF(UniqueID!A:A,Table1[[#This Row],[ID]])</f>
        <v>1</v>
      </c>
      <c r="AL1016" s="10" t="str">
        <f>VLOOKUP(Table1[[#This Row],[Cellar Location]],Location!A:F,6,FALSE)</f>
        <v>S</v>
      </c>
      <c r="AN1016" s="1">
        <v>43860</v>
      </c>
      <c r="AO1016" s="37" t="str">
        <f>TEXT(Table1[[#This Row],[Purchased]],"mmmm")</f>
        <v>January</v>
      </c>
      <c r="AP1016" s="10" t="str">
        <f>TEXT(Table1[[#This Row],[Purchased]],"yyyy")</f>
        <v>2020</v>
      </c>
      <c r="AQ1016" s="10"/>
    </row>
    <row r="1017" spans="1:43" s="37" customFormat="1" x14ac:dyDescent="0.25">
      <c r="A1017" s="37" t="str">
        <f t="shared" si="52"/>
        <v>2016Tour Saint-MichelChateauneuf du Pape Cuvee du Lion</v>
      </c>
      <c r="B1017" s="37">
        <v>2016</v>
      </c>
      <c r="C1017" s="37" t="s">
        <v>712</v>
      </c>
      <c r="D1017" s="37" t="s">
        <v>1359</v>
      </c>
      <c r="E1017" s="67" t="s">
        <v>1360</v>
      </c>
      <c r="F1017" s="37" t="s">
        <v>742</v>
      </c>
      <c r="G1017" s="37" t="s">
        <v>759</v>
      </c>
      <c r="H1017" s="37" t="s">
        <v>762</v>
      </c>
      <c r="I1017" s="107">
        <v>1</v>
      </c>
      <c r="J1017" s="9">
        <v>750</v>
      </c>
      <c r="K1017" s="107" t="s">
        <v>1196</v>
      </c>
      <c r="L1017" s="10">
        <f>COUNTIF(Drank!A:A,Table1[[#This Row],[ID]])</f>
        <v>1</v>
      </c>
      <c r="M1017" s="37" t="s">
        <v>202</v>
      </c>
      <c r="N1017" s="37" t="s">
        <v>207</v>
      </c>
      <c r="O1017" s="37">
        <v>1</v>
      </c>
      <c r="P1017" s="10">
        <v>2018</v>
      </c>
      <c r="Q1017" s="37">
        <v>2030</v>
      </c>
      <c r="R1017" s="10">
        <f>IF(IFERROR(VLOOKUP(A1017,Drank!A:S,15,FALSE),"")=0,"",IFERROR(VLOOKUP(A1017,Drank!A:S,15,FALSE),""))</f>
        <v>2024</v>
      </c>
      <c r="S1017" s="10">
        <f>IF(IFERROR(VLOOKUP(A1017,Drank!A:S,16,FALSE),"")=0,"",IFERROR(VLOOKUP(A1017,Drank!A:S,16,FALSE),""))</f>
        <v>2030</v>
      </c>
      <c r="T1017" s="10"/>
      <c r="U1017" s="37">
        <v>94</v>
      </c>
      <c r="V1017" s="18">
        <f>IF(IFERROR(VLOOKUP(A1017,Drank!A:T,19,FALSE),"")=0,"",IFERROR(VLOOKUP(A1017,Drank!A:T,19,FALSE),""))</f>
        <v>92</v>
      </c>
      <c r="W1017" s="1">
        <f>IF(IFERROR(VLOOKUP(A1017,Drank!A:T,20,FALSE),"")=0,"",IFERROR(VLOOKUP(A1017,Drank!A:T,20,FALSE),""))</f>
        <v>44056</v>
      </c>
      <c r="X1017" s="10">
        <f>SUMIF(A:A,A1017,I:I)</f>
        <v>5</v>
      </c>
      <c r="Y1017" s="10">
        <f>IF(Table1[[#This Row],[Drank]]&gt;0,VLOOKUP(Table1[[#This Row],[ID]],Drank!A:P,16,FALSE),IF(Table1[[#This Row],[WALDD]]&gt;0,VLOOKUP(Table1[[#This Row],[ID]],Wine1!A:Q,17,FALSE),Table1[[#This Row],[EP]]))</f>
        <v>2030</v>
      </c>
      <c r="Z1017" s="18">
        <f>IF(Table1[[#This Row],[My Rating]]="",IF(Table1[[#This Row],[WA Rating Clean]]="","",Table1[[#This Row],[WA Rating Clean]]),Table1[[#This Row],[My Rating]])</f>
        <v>92</v>
      </c>
      <c r="AA1017" s="37">
        <v>2030</v>
      </c>
      <c r="AB1017" s="4">
        <v>32.58</v>
      </c>
      <c r="AC1017" s="2">
        <f t="shared" si="53"/>
        <v>32.58</v>
      </c>
      <c r="AD1017" s="8">
        <v>2</v>
      </c>
      <c r="AE1017" s="10">
        <f>IF(Table1[[#This Row],[P/750]]&lt;20,1,IF(Table1[[#This Row],[P/750]]&lt;50,2,3))</f>
        <v>2</v>
      </c>
      <c r="AF1017" s="10">
        <f>IF(Table1[[#This Row],[P/750]]&lt;Expenses!$C$30,1,IF(Table1[[#This Row],[P/750]]&lt;Expenses!$C$31,2,IF(Table1[[#This Row],[P/750]]&lt;Expenses!$C$32,3,4)))</f>
        <v>3</v>
      </c>
      <c r="AH1017" s="37" t="s">
        <v>384</v>
      </c>
      <c r="AI1017" s="11">
        <f>Table1[[#This Row],[Price]]/Table1[[#This Row],[Size (ml)]]*750</f>
        <v>32.58</v>
      </c>
      <c r="AJ1017" s="37">
        <v>94</v>
      </c>
      <c r="AK1017" s="10">
        <f>COUNTIF(UniqueID!A:A,Table1[[#This Row],[ID]])</f>
        <v>0</v>
      </c>
      <c r="AL1017" s="10" t="str">
        <f>VLOOKUP(Table1[[#This Row],[Cellar Location]],Location!A:F,6,FALSE)</f>
        <v>S</v>
      </c>
      <c r="AN1017" s="1">
        <v>43934</v>
      </c>
      <c r="AO1017" s="10" t="str">
        <f>TEXT(Table1[[#This Row],[Purchased]],"mmmm")</f>
        <v>April</v>
      </c>
      <c r="AP1017" s="10" t="str">
        <f>TEXT(Table1[[#This Row],[Purchased]],"yyyy")</f>
        <v>2020</v>
      </c>
      <c r="AQ1017" s="10"/>
    </row>
    <row r="1018" spans="1:43" s="37" customFormat="1" x14ac:dyDescent="0.25">
      <c r="A1018" s="37" t="str">
        <f t="shared" si="52"/>
        <v>2009Marchesi AntinoriMuffato della Sala IGT</v>
      </c>
      <c r="B1018" s="37">
        <v>2009</v>
      </c>
      <c r="C1018" s="37" t="s">
        <v>1699</v>
      </c>
      <c r="D1018" s="37" t="s">
        <v>1700</v>
      </c>
      <c r="E1018" s="37" t="s">
        <v>1701</v>
      </c>
      <c r="F1018" s="37" t="s">
        <v>728</v>
      </c>
      <c r="G1018" s="37" t="s">
        <v>797</v>
      </c>
      <c r="I1018" s="8">
        <v>1</v>
      </c>
      <c r="J1018" s="38">
        <v>500</v>
      </c>
      <c r="K1018" s="38" t="s">
        <v>1687</v>
      </c>
      <c r="L1018" s="10">
        <f>COUNTIF(Drank!A:A,Table1[[#This Row],[ID]])</f>
        <v>0</v>
      </c>
      <c r="M1018" s="37" t="s">
        <v>201</v>
      </c>
      <c r="N1018" s="37" t="s">
        <v>206</v>
      </c>
      <c r="O1018" s="37">
        <v>1</v>
      </c>
      <c r="P1018" s="37">
        <v>2014</v>
      </c>
      <c r="Q1018" s="37">
        <v>2030</v>
      </c>
      <c r="R1018" s="10" t="str">
        <f>IF(IFERROR(VLOOKUP(A1018,Drank!A:S,15,FALSE),"")=0,"",IFERROR(VLOOKUP(A1018,Drank!A:S,15,FALSE),""))</f>
        <v/>
      </c>
      <c r="S1018" s="10" t="str">
        <f>IF(IFERROR(VLOOKUP(A1018,Drank!A:S,16,FALSE),"")=0,"",IFERROR(VLOOKUP(A1018,Drank!A:S,16,FALSE),""))</f>
        <v/>
      </c>
      <c r="T1018" s="10"/>
      <c r="U1018" s="37">
        <v>96</v>
      </c>
      <c r="V1018" s="18" t="str">
        <f>IF(IFERROR(VLOOKUP(A1018,Drank!A:T,19,FALSE),"")=0,"",IFERROR(VLOOKUP(A1018,Drank!A:T,19,FALSE),""))</f>
        <v/>
      </c>
      <c r="W1018" s="1" t="str">
        <f>IF(IFERROR(VLOOKUP(A1018,Drank!A:T,20,FALSE),"")=0,"",IFERROR(VLOOKUP(A1018,Drank!A:T,20,FALSE),""))</f>
        <v/>
      </c>
      <c r="X1018" s="10">
        <f>SUMIF(A:A,A1018,I:I)</f>
        <v>2</v>
      </c>
      <c r="Y1018" s="10">
        <f>IF(Table1[[#This Row],[Drank]]&gt;0,VLOOKUP(Table1[[#This Row],[ID]],Drank!A:P,16,FALSE),IF(Table1[[#This Row],[WALDD]]&gt;0,VLOOKUP(Table1[[#This Row],[ID]],Wine1!A:Q,17,FALSE),Table1[[#This Row],[EP]]))</f>
        <v>2030</v>
      </c>
      <c r="Z1018" s="18">
        <f>IF(Table1[[#This Row],[My Rating]]="",IF(Table1[[#This Row],[WA Rating Clean]]="","",Table1[[#This Row],[WA Rating Clean]]),Table1[[#This Row],[My Rating]])</f>
        <v>96</v>
      </c>
      <c r="AA1018" s="8">
        <v>2030</v>
      </c>
      <c r="AB1018" s="4">
        <v>56.07</v>
      </c>
      <c r="AC1018" s="2">
        <f t="shared" si="53"/>
        <v>56.07</v>
      </c>
      <c r="AD1018" s="8">
        <v>1</v>
      </c>
      <c r="AE1018" s="10">
        <f>IF(Table1[[#This Row],[P/750]]&lt;20,1,IF(Table1[[#This Row],[P/750]]&lt;50,2,3))</f>
        <v>3</v>
      </c>
      <c r="AF1018" s="10">
        <f>IF(Table1[[#This Row],[P/750]]&lt;Expenses!$C$30,1,IF(Table1[[#This Row],[P/750]]&lt;Expenses!$C$31,2,IF(Table1[[#This Row],[P/750]]&lt;Expenses!$C$32,3,4)))</f>
        <v>4</v>
      </c>
      <c r="AH1018" s="37" t="s">
        <v>1189</v>
      </c>
      <c r="AI1018" s="11">
        <f>Table1[[#This Row],[Price]]/Table1[[#This Row],[Size (ml)]]*750</f>
        <v>84.105000000000004</v>
      </c>
      <c r="AJ1018" s="37">
        <v>96</v>
      </c>
      <c r="AK1018" s="10">
        <f>COUNTIF(UniqueID!A:A,Table1[[#This Row],[ID]])</f>
        <v>0</v>
      </c>
      <c r="AL1018" s="10" t="str">
        <f>VLOOKUP(Table1[[#This Row],[Cellar Location]],Location!A:F,6,FALSE)</f>
        <v>W</v>
      </c>
      <c r="AN1018" s="1">
        <v>44061</v>
      </c>
      <c r="AO1018" s="10" t="str">
        <f>TEXT(Table1[[#This Row],[Purchased]],"mmmm")</f>
        <v>August</v>
      </c>
      <c r="AP1018" s="10" t="str">
        <f>TEXT(Table1[[#This Row],[Purchased]],"yyyy")</f>
        <v>2020</v>
      </c>
      <c r="AQ1018" s="1">
        <v>44137</v>
      </c>
    </row>
    <row r="1019" spans="1:43" s="37" customFormat="1" x14ac:dyDescent="0.25">
      <c r="A1019" s="37" t="str">
        <f t="shared" si="52"/>
        <v>2014Freemark AbbeyCabernet Sauvignon Napa Valley</v>
      </c>
      <c r="B1019" s="37">
        <v>2014</v>
      </c>
      <c r="C1019" s="37" t="s">
        <v>93</v>
      </c>
      <c r="D1019" s="25" t="s">
        <v>94</v>
      </c>
      <c r="E1019" s="64" t="s">
        <v>32</v>
      </c>
      <c r="F1019" s="37" t="s">
        <v>727</v>
      </c>
      <c r="G1019" s="37" t="s">
        <v>806</v>
      </c>
      <c r="H1019" s="37" t="s">
        <v>832</v>
      </c>
      <c r="I1019" s="107">
        <v>1</v>
      </c>
      <c r="J1019" s="37">
        <v>750</v>
      </c>
      <c r="K1019" s="107" t="s">
        <v>656</v>
      </c>
      <c r="L1019" s="37">
        <f>COUNTIF(Drank!A:A,Table1[[#This Row],[ID]])</f>
        <v>0</v>
      </c>
      <c r="M1019" s="37" t="s">
        <v>202</v>
      </c>
      <c r="N1019" s="37" t="s">
        <v>207</v>
      </c>
      <c r="O1019" s="37">
        <v>1</v>
      </c>
      <c r="P1019" s="37">
        <v>2017</v>
      </c>
      <c r="Q1019" s="37">
        <v>2031</v>
      </c>
      <c r="R1019" s="37" t="str">
        <f>IF(IFERROR(VLOOKUP(A1019,Drank!A:S,15,FALSE),"")=0,"",IFERROR(VLOOKUP(A1019,Drank!A:S,15,FALSE),""))</f>
        <v/>
      </c>
      <c r="S1019" s="37" t="str">
        <f>IF(IFERROR(VLOOKUP(A1019,Drank!A:S,16,FALSE),"")=0,"",IFERROR(VLOOKUP(A1019,Drank!A:S,16,FALSE),""))</f>
        <v/>
      </c>
      <c r="U1019" s="37">
        <v>92</v>
      </c>
      <c r="V1019" s="18" t="str">
        <f>IF(IFERROR(VLOOKUP(A1019,Drank!A:T,19,FALSE),"")=0,"",IFERROR(VLOOKUP(A1019,Drank!A:T,19,FALSE),""))</f>
        <v/>
      </c>
      <c r="W1019" s="1" t="str">
        <f>IF(IFERROR(VLOOKUP(A1019,Drank!A:T,20,FALSE),"")=0,"",IFERROR(VLOOKUP(A1019,Drank!A:T,20,FALSE),""))</f>
        <v/>
      </c>
      <c r="X1019" s="37">
        <f>SUMIF(A:A,A1019,I:I)</f>
        <v>2</v>
      </c>
      <c r="Y1019" s="37">
        <f>IF(Table1[[#This Row],[Drank]]&gt;0,VLOOKUP(Table1[[#This Row],[ID]],Drank!A:P,16,FALSE),IF(Table1[[#This Row],[WALDD]]&gt;0,VLOOKUP(Table1[[#This Row],[ID]],Wine1!A:Q,17,FALSE),Table1[[#This Row],[EP]]))</f>
        <v>2031</v>
      </c>
      <c r="Z1019" s="18">
        <f>IF(Table1[[#This Row],[My Rating]]="",IF(Table1[[#This Row],[WA Rating Clean]]="","",Table1[[#This Row],[WA Rating Clean]]),Table1[[#This Row],[My Rating]])</f>
        <v>92</v>
      </c>
      <c r="AA1019" s="8">
        <v>2030</v>
      </c>
      <c r="AB1019" s="2">
        <v>44.99</v>
      </c>
      <c r="AC1019" s="2">
        <f t="shared" si="53"/>
        <v>44.99</v>
      </c>
      <c r="AD1019" s="8">
        <v>2</v>
      </c>
      <c r="AE1019" s="37">
        <f>IF(Table1[[#This Row],[P/750]]&lt;20,1,IF(Table1[[#This Row],[P/750]]&lt;50,2,3))</f>
        <v>2</v>
      </c>
      <c r="AF1019" s="37">
        <f>IF(Table1[[#This Row],[P/750]]&lt;Expenses!$C$30,1,IF(Table1[[#This Row],[P/750]]&lt;Expenses!$C$31,2,IF(Table1[[#This Row],[P/750]]&lt;Expenses!$C$32,3,4)))</f>
        <v>3</v>
      </c>
      <c r="AH1019" s="37" t="s">
        <v>1128</v>
      </c>
      <c r="AI1019" s="11">
        <f>Table1[[#This Row],[Price]]/Table1[[#This Row],[Size (ml)]]*750</f>
        <v>44.99</v>
      </c>
      <c r="AJ1019" s="37">
        <v>92</v>
      </c>
      <c r="AK1019" s="37">
        <f>COUNTIF(UniqueID!A:A,Table1[[#This Row],[ID]])</f>
        <v>1</v>
      </c>
      <c r="AL1019" s="37" t="str">
        <f>VLOOKUP(Table1[[#This Row],[Cellar Location]],Location!A:F,6,FALSE)</f>
        <v>S</v>
      </c>
      <c r="AO1019" s="37" t="str">
        <f>TEXT(Table1[[#This Row],[Purchased]],"mmmm")</f>
        <v>January</v>
      </c>
      <c r="AP1019" s="10" t="str">
        <f>TEXT(Table1[[#This Row],[Purchased]],"yyyy")</f>
        <v>1900</v>
      </c>
      <c r="AQ1019" s="10"/>
    </row>
    <row r="1020" spans="1:43" s="37" customFormat="1" x14ac:dyDescent="0.25">
      <c r="A1020" s="37" t="str">
        <f t="shared" si="52"/>
        <v>2013Castello RomitorioBrunello di Montalcino</v>
      </c>
      <c r="B1020" s="37">
        <v>2013</v>
      </c>
      <c r="C1020" s="37" t="s">
        <v>689</v>
      </c>
      <c r="D1020" s="37" t="s">
        <v>19</v>
      </c>
      <c r="E1020" s="67" t="s">
        <v>1250</v>
      </c>
      <c r="F1020" s="37" t="s">
        <v>728</v>
      </c>
      <c r="G1020" s="37" t="s">
        <v>790</v>
      </c>
      <c r="H1020" s="37" t="s">
        <v>19</v>
      </c>
      <c r="I1020" s="107">
        <v>1</v>
      </c>
      <c r="J1020" s="37">
        <v>750</v>
      </c>
      <c r="K1020" s="107" t="s">
        <v>716</v>
      </c>
      <c r="L1020" s="10">
        <f>COUNTIF(Drank!A:A,Table1[[#This Row],[ID]])</f>
        <v>1</v>
      </c>
      <c r="M1020" s="37" t="s">
        <v>202</v>
      </c>
      <c r="N1020" s="37" t="s">
        <v>207</v>
      </c>
      <c r="O1020" s="37">
        <v>1</v>
      </c>
      <c r="P1020" s="10">
        <v>2020</v>
      </c>
      <c r="Q1020" s="37">
        <v>2030</v>
      </c>
      <c r="R1020" s="10">
        <f>IF(IFERROR(VLOOKUP(A1020,Drank!A:S,15,FALSE),"")=0,"",IFERROR(VLOOKUP(A1020,Drank!A:S,15,FALSE),""))</f>
        <v>2026</v>
      </c>
      <c r="S1020" s="10">
        <f>IF(IFERROR(VLOOKUP(A1020,Drank!A:S,16,FALSE),"")=0,"",IFERROR(VLOOKUP(A1020,Drank!A:S,16,FALSE),""))</f>
        <v>2032</v>
      </c>
      <c r="T1020" s="10"/>
      <c r="U1020" s="37" t="s">
        <v>74</v>
      </c>
      <c r="V1020" s="18">
        <f>IF(IFERROR(VLOOKUP(A1020,Drank!A:T,19,FALSE),"")=0,"",IFERROR(VLOOKUP(A1020,Drank!A:T,19,FALSE),""))</f>
        <v>92</v>
      </c>
      <c r="W1020" s="1">
        <f>IF(IFERROR(VLOOKUP(A1020,Drank!A:T,20,FALSE),"")=0,"",IFERROR(VLOOKUP(A1020,Drank!A:T,20,FALSE),""))</f>
        <v>43925</v>
      </c>
      <c r="X1020" s="10">
        <f>SUMIF(A:A,A1020,I:I)</f>
        <v>2</v>
      </c>
      <c r="Y1020" s="10">
        <f>IF(Table1[[#This Row],[Drank]]&gt;0,VLOOKUP(Table1[[#This Row],[ID]],Drank!A:P,16,FALSE),IF(Table1[[#This Row],[WALDD]]&gt;0,VLOOKUP(Table1[[#This Row],[ID]],Wine1!A:Q,17,FALSE),Table1[[#This Row],[EP]]))</f>
        <v>2032</v>
      </c>
      <c r="Z1020" s="18">
        <f>IF(Table1[[#This Row],[My Rating]]="",IF(Table1[[#This Row],[WA Rating Clean]]="","",Table1[[#This Row],[WA Rating Clean]]),Table1[[#This Row],[My Rating]])</f>
        <v>92</v>
      </c>
      <c r="AA1020" s="37">
        <v>2030</v>
      </c>
      <c r="AB1020" s="4">
        <v>42.99</v>
      </c>
      <c r="AC1020" s="2">
        <f t="shared" si="53"/>
        <v>42.99</v>
      </c>
      <c r="AD1020" s="8">
        <v>2</v>
      </c>
      <c r="AE1020" s="10">
        <f>IF(Table1[[#This Row],[P/750]]&lt;20,1,IF(Table1[[#This Row],[P/750]]&lt;50,2,3))</f>
        <v>2</v>
      </c>
      <c r="AF1020" s="10">
        <f>IF(Table1[[#This Row],[P/750]]&lt;Expenses!$C$30,1,IF(Table1[[#This Row],[P/750]]&lt;Expenses!$C$31,2,IF(Table1[[#This Row],[P/750]]&lt;Expenses!$C$32,3,4)))</f>
        <v>3</v>
      </c>
      <c r="AH1020" s="37" t="s">
        <v>384</v>
      </c>
      <c r="AI1020" s="11">
        <f>Table1[[#This Row],[Price]]/Table1[[#This Row],[Size (ml)]]*750</f>
        <v>42.99</v>
      </c>
      <c r="AJ1020" s="37">
        <v>93</v>
      </c>
      <c r="AK1020" s="37">
        <f>COUNTIF(UniqueID!A:A,Table1[[#This Row],[ID]])</f>
        <v>1</v>
      </c>
      <c r="AL1020" s="37" t="str">
        <f>VLOOKUP(Table1[[#This Row],[Cellar Location]],Location!A:F,6,FALSE)</f>
        <v>S</v>
      </c>
      <c r="AN1020" s="1">
        <v>43814</v>
      </c>
      <c r="AO1020" s="37" t="str">
        <f>TEXT(Table1[[#This Row],[Purchased]],"mmmm")</f>
        <v>December</v>
      </c>
      <c r="AP1020" s="10" t="str">
        <f>TEXT(Table1[[#This Row],[Purchased]],"yyyy")</f>
        <v>2019</v>
      </c>
      <c r="AQ1020" s="10"/>
    </row>
    <row r="1021" spans="1:43" s="37" customFormat="1" x14ac:dyDescent="0.25">
      <c r="A1021" s="37" t="str">
        <f t="shared" si="52"/>
        <v>2015CaymusCabernet Sauvignon</v>
      </c>
      <c r="B1021" s="37">
        <v>2015</v>
      </c>
      <c r="C1021" s="37" t="s">
        <v>119</v>
      </c>
      <c r="D1021" s="37" t="s">
        <v>32</v>
      </c>
      <c r="E1021" s="64" t="s">
        <v>32</v>
      </c>
      <c r="F1021" s="37" t="s">
        <v>727</v>
      </c>
      <c r="G1021" s="37" t="s">
        <v>806</v>
      </c>
      <c r="H1021" s="37" t="s">
        <v>832</v>
      </c>
      <c r="I1021" s="37">
        <v>1</v>
      </c>
      <c r="J1021" s="37">
        <v>750</v>
      </c>
      <c r="K1021" s="8" t="s">
        <v>8</v>
      </c>
      <c r="L1021" s="37">
        <f>COUNTIF(Drank!A:A,Table1[[#This Row],[ID]])</f>
        <v>0</v>
      </c>
      <c r="M1021" s="37" t="s">
        <v>202</v>
      </c>
      <c r="N1021" s="37" t="s">
        <v>207</v>
      </c>
      <c r="O1021" s="37">
        <v>1</v>
      </c>
      <c r="P1021" s="37">
        <v>2017</v>
      </c>
      <c r="Q1021" s="37">
        <v>2032</v>
      </c>
      <c r="R1021" s="37" t="str">
        <f>IF(IFERROR(VLOOKUP(A1021,Drank!A:S,15,FALSE),"")=0,"",IFERROR(VLOOKUP(A1021,Drank!A:S,15,FALSE),""))</f>
        <v/>
      </c>
      <c r="S1021" s="37" t="str">
        <f>IF(IFERROR(VLOOKUP(A1021,Drank!A:S,16,FALSE),"")=0,"",IFERROR(VLOOKUP(A1021,Drank!A:S,16,FALSE),""))</f>
        <v/>
      </c>
      <c r="U1021" s="37" t="s">
        <v>17</v>
      </c>
      <c r="V1021" s="18" t="str">
        <f>IF(IFERROR(VLOOKUP(A1021,Drank!A:T,19,FALSE),"")=0,"",IFERROR(VLOOKUP(A1021,Drank!A:T,19,FALSE),""))</f>
        <v/>
      </c>
      <c r="W1021" s="1" t="str">
        <f>IF(IFERROR(VLOOKUP(A1021,Drank!A:T,20,FALSE),"")=0,"",IFERROR(VLOOKUP(A1021,Drank!A:T,20,FALSE),""))</f>
        <v/>
      </c>
      <c r="X1021" s="37">
        <f>SUMIF(A:A,A1021,I:I)</f>
        <v>1</v>
      </c>
      <c r="Y1021" s="37">
        <f>IF(Table1[[#This Row],[Drank]]&gt;0,VLOOKUP(Table1[[#This Row],[ID]],Drank!A:P,16,FALSE),IF(Table1[[#This Row],[WALDD]]&gt;0,VLOOKUP(Table1[[#This Row],[ID]],Wine1!A:Q,17,FALSE),Table1[[#This Row],[EP]]))</f>
        <v>2032</v>
      </c>
      <c r="Z1021" s="18">
        <f>IF(Table1[[#This Row],[My Rating]]="",IF(Table1[[#This Row],[WA Rating Clean]]="","",Table1[[#This Row],[WA Rating Clean]]),Table1[[#This Row],[My Rating]])</f>
        <v>94</v>
      </c>
      <c r="AA1021" s="37">
        <v>2030</v>
      </c>
      <c r="AB1021" s="3">
        <v>76</v>
      </c>
      <c r="AC1021" s="2">
        <f t="shared" si="53"/>
        <v>76</v>
      </c>
      <c r="AD1021" s="8">
        <v>0</v>
      </c>
      <c r="AE1021" s="37">
        <f>IF(Table1[[#This Row],[P/750]]&lt;20,1,IF(Table1[[#This Row],[P/750]]&lt;50,2,3))</f>
        <v>3</v>
      </c>
      <c r="AF1021" s="37">
        <f>IF(Table1[[#This Row],[P/750]]&lt;Expenses!$C$30,1,IF(Table1[[#This Row],[P/750]]&lt;Expenses!$C$31,2,IF(Table1[[#This Row],[P/750]]&lt;Expenses!$C$32,3,4)))</f>
        <v>4</v>
      </c>
      <c r="AH1021" s="37" t="s">
        <v>1131</v>
      </c>
      <c r="AI1021" s="11">
        <f>Table1[[#This Row],[Price]]/Table1[[#This Row],[Size (ml)]]*750</f>
        <v>76</v>
      </c>
      <c r="AJ1021" s="37">
        <v>94</v>
      </c>
      <c r="AK1021" s="37">
        <f>COUNTIF(UniqueID!A:A,Table1[[#This Row],[ID]])</f>
        <v>1</v>
      </c>
      <c r="AL1021" s="37" t="str">
        <f>VLOOKUP(Table1[[#This Row],[Cellar Location]],Location!A:F,6,FALSE)</f>
        <v>K</v>
      </c>
      <c r="AO1021" s="37" t="str">
        <f>TEXT(Table1[[#This Row],[Purchased]],"mmmm")</f>
        <v>January</v>
      </c>
      <c r="AP1021" s="10" t="str">
        <f>TEXT(Table1[[#This Row],[Purchased]],"yyyy")</f>
        <v>1900</v>
      </c>
      <c r="AQ1021" s="10"/>
    </row>
    <row r="1022" spans="1:43" s="37" customFormat="1" x14ac:dyDescent="0.25">
      <c r="A1022" s="37" t="str">
        <f t="shared" si="52"/>
        <v>2016Foley JohnsonCabernet Sauvignon Estate</v>
      </c>
      <c r="B1022" s="37">
        <v>2016</v>
      </c>
      <c r="C1022" s="37" t="s">
        <v>194</v>
      </c>
      <c r="D1022" s="37" t="s">
        <v>195</v>
      </c>
      <c r="E1022" s="64" t="s">
        <v>32</v>
      </c>
      <c r="F1022" s="37" t="s">
        <v>727</v>
      </c>
      <c r="G1022" s="37" t="s">
        <v>806</v>
      </c>
      <c r="H1022" s="37" t="s">
        <v>832</v>
      </c>
      <c r="I1022" s="37">
        <v>1</v>
      </c>
      <c r="J1022" s="37">
        <v>750</v>
      </c>
      <c r="K1022" s="8" t="s">
        <v>8</v>
      </c>
      <c r="L1022" s="37">
        <f>COUNTIF(Drank!A:A,Table1[[#This Row],[ID]])</f>
        <v>1</v>
      </c>
      <c r="M1022" s="37" t="s">
        <v>202</v>
      </c>
      <c r="N1022" s="37" t="s">
        <v>207</v>
      </c>
      <c r="O1022" s="37">
        <v>1</v>
      </c>
      <c r="P1022" s="37">
        <v>2019</v>
      </c>
      <c r="Q1022" s="37">
        <v>2032</v>
      </c>
      <c r="R1022" s="37">
        <f>IF(IFERROR(VLOOKUP(A1022,Drank!A:S,15,FALSE),"")=0,"",IFERROR(VLOOKUP(A1022,Drank!A:S,15,FALSE),""))</f>
        <v>2022</v>
      </c>
      <c r="S1022" s="37">
        <f>IF(IFERROR(VLOOKUP(A1022,Drank!A:S,16,FALSE),"")=0,"",IFERROR(VLOOKUP(A1022,Drank!A:S,16,FALSE),""))</f>
        <v>2032</v>
      </c>
      <c r="U1022" s="37">
        <v>92</v>
      </c>
      <c r="V1022" s="18">
        <f>IF(IFERROR(VLOOKUP(A1022,Drank!A:T,19,FALSE),"")=0,"",IFERROR(VLOOKUP(A1022,Drank!A:T,19,FALSE),""))</f>
        <v>90</v>
      </c>
      <c r="W1022" s="1">
        <f>IF(IFERROR(VLOOKUP(A1022,Drank!A:T,20,FALSE),"")=0,"",IFERROR(VLOOKUP(A1022,Drank!A:T,20,FALSE),""))</f>
        <v>43527</v>
      </c>
      <c r="X1022" s="37">
        <f>SUMIF(A:A,A1022,I:I)</f>
        <v>3</v>
      </c>
      <c r="Y1022" s="37">
        <f>IF(Table1[[#This Row],[Drank]]&gt;0,VLOOKUP(Table1[[#This Row],[ID]],Drank!A:P,16,FALSE),IF(Table1[[#This Row],[WALDD]]&gt;0,VLOOKUP(Table1[[#This Row],[ID]],Wine1!A:Q,17,FALSE),Table1[[#This Row],[EP]]))</f>
        <v>2032</v>
      </c>
      <c r="Z1022" s="18">
        <f>IF(Table1[[#This Row],[My Rating]]="",IF(Table1[[#This Row],[WA Rating Clean]]="","",Table1[[#This Row],[WA Rating Clean]]),Table1[[#This Row],[My Rating]])</f>
        <v>90</v>
      </c>
      <c r="AA1022" s="37">
        <v>2030</v>
      </c>
      <c r="AB1022" s="4">
        <v>30.3</v>
      </c>
      <c r="AC1022" s="2">
        <f t="shared" si="53"/>
        <v>30.3</v>
      </c>
      <c r="AD1022" s="8">
        <v>0</v>
      </c>
      <c r="AE1022" s="37">
        <f>IF(Table1[[#This Row],[P/750]]&lt;20,1,IF(Table1[[#This Row],[P/750]]&lt;50,2,3))</f>
        <v>2</v>
      </c>
      <c r="AF1022" s="37">
        <f>IF(Table1[[#This Row],[P/750]]&lt;Expenses!$C$30,1,IF(Table1[[#This Row],[P/750]]&lt;Expenses!$C$31,2,IF(Table1[[#This Row],[P/750]]&lt;Expenses!$C$32,3,4)))</f>
        <v>3</v>
      </c>
      <c r="AH1022" s="37" t="s">
        <v>385</v>
      </c>
      <c r="AI1022" s="11">
        <f>Table1[[#This Row],[Price]]/Table1[[#This Row],[Size (ml)]]*750</f>
        <v>30.299999999999997</v>
      </c>
      <c r="AJ1022" s="37">
        <v>92</v>
      </c>
      <c r="AK1022" s="37">
        <f>COUNTIF(UniqueID!A:A,Table1[[#This Row],[ID]])</f>
        <v>1</v>
      </c>
      <c r="AL1022" s="37" t="str">
        <f>VLOOKUP(Table1[[#This Row],[Cellar Location]],Location!A:F,6,FALSE)</f>
        <v>K</v>
      </c>
      <c r="AO1022" s="37" t="str">
        <f>TEXT(Table1[[#This Row],[Purchased]],"mmmm")</f>
        <v>January</v>
      </c>
      <c r="AP1022" s="10" t="str">
        <f>TEXT(Table1[[#This Row],[Purchased]],"yyyy")</f>
        <v>1900</v>
      </c>
      <c r="AQ1022" s="10"/>
    </row>
    <row r="1023" spans="1:43" s="37" customFormat="1" x14ac:dyDescent="0.25">
      <c r="A1023" s="37" t="str">
        <f t="shared" si="52"/>
        <v>2013Giovanni ManzoneBarolo Gramolere</v>
      </c>
      <c r="B1023" s="37">
        <v>2013</v>
      </c>
      <c r="C1023" s="37" t="s">
        <v>294</v>
      </c>
      <c r="D1023" s="37" t="s">
        <v>305</v>
      </c>
      <c r="E1023" s="67" t="s">
        <v>1206</v>
      </c>
      <c r="F1023" s="37" t="s">
        <v>728</v>
      </c>
      <c r="G1023" s="37" t="s">
        <v>778</v>
      </c>
      <c r="H1023" s="37" t="s">
        <v>781</v>
      </c>
      <c r="I1023" s="107">
        <v>1</v>
      </c>
      <c r="J1023" s="37">
        <v>750</v>
      </c>
      <c r="K1023" s="107" t="s">
        <v>594</v>
      </c>
      <c r="L1023" s="37">
        <f>COUNTIF(Drank!A:A,Table1[[#This Row],[ID]])</f>
        <v>1</v>
      </c>
      <c r="M1023" s="37" t="s">
        <v>202</v>
      </c>
      <c r="N1023" s="37" t="s">
        <v>207</v>
      </c>
      <c r="O1023" s="37">
        <v>1</v>
      </c>
      <c r="P1023" s="37">
        <v>2018</v>
      </c>
      <c r="Q1023" s="37">
        <v>2030</v>
      </c>
      <c r="R1023" s="10">
        <f>IF(IFERROR(VLOOKUP(A1023,Drank!A:S,15,FALSE),"")=0,"",IFERROR(VLOOKUP(A1023,Drank!A:S,15,FALSE),""))</f>
        <v>2024</v>
      </c>
      <c r="S1023" s="10">
        <f>IF(IFERROR(VLOOKUP(A1023,Drank!A:S,16,FALSE),"")=0,"",IFERROR(VLOOKUP(A1023,Drank!A:S,16,FALSE),""))</f>
        <v>2032</v>
      </c>
      <c r="T1023" s="10"/>
      <c r="U1023" s="37">
        <v>94</v>
      </c>
      <c r="V1023" s="18">
        <f>IF(IFERROR(VLOOKUP(A1023,Drank!A:T,19,FALSE),"")=0,"",IFERROR(VLOOKUP(A1023,Drank!A:T,19,FALSE),""))</f>
        <v>94</v>
      </c>
      <c r="W1023" s="1">
        <f>IF(IFERROR(VLOOKUP(A1023,Drank!A:T,20,FALSE),"")=0,"",IFERROR(VLOOKUP(A1023,Drank!A:T,20,FALSE),""))</f>
        <v>43597</v>
      </c>
      <c r="X1023" s="10">
        <f>SUMIF(A:A,A1023,I:I)</f>
        <v>3</v>
      </c>
      <c r="Y1023" s="37">
        <f>IF(Table1[[#This Row],[Drank]]&gt;0,VLOOKUP(Table1[[#This Row],[ID]],Drank!A:P,16,FALSE),IF(Table1[[#This Row],[WALDD]]&gt;0,VLOOKUP(Table1[[#This Row],[ID]],Wine1!A:Q,17,FALSE),Table1[[#This Row],[EP]]))</f>
        <v>2032</v>
      </c>
      <c r="Z1023" s="18">
        <f>IF(Table1[[#This Row],[My Rating]]="",IF(Table1[[#This Row],[WA Rating Clean]]="","",Table1[[#This Row],[WA Rating Clean]]),Table1[[#This Row],[My Rating]])</f>
        <v>94</v>
      </c>
      <c r="AA1023" s="8">
        <v>2030</v>
      </c>
      <c r="AB1023" s="4">
        <v>45</v>
      </c>
      <c r="AC1023" s="2">
        <f t="shared" si="53"/>
        <v>45</v>
      </c>
      <c r="AD1023" s="8">
        <v>2</v>
      </c>
      <c r="AE1023" s="37">
        <f>IF(Table1[[#This Row],[P/750]]&lt;20,1,IF(Table1[[#This Row],[P/750]]&lt;50,2,3))</f>
        <v>2</v>
      </c>
      <c r="AF1023" s="37">
        <f>IF(Table1[[#This Row],[P/750]]&lt;Expenses!$C$30,1,IF(Table1[[#This Row],[P/750]]&lt;Expenses!$C$31,2,IF(Table1[[#This Row],[P/750]]&lt;Expenses!$C$32,3,4)))</f>
        <v>3</v>
      </c>
      <c r="AH1023" s="37" t="s">
        <v>385</v>
      </c>
      <c r="AI1023" s="11">
        <f>Table1[[#This Row],[Price]]/Table1[[#This Row],[Size (ml)]]*750</f>
        <v>45</v>
      </c>
      <c r="AJ1023" s="37">
        <v>94</v>
      </c>
      <c r="AK1023" s="37">
        <f>COUNTIF(UniqueID!A:A,Table1[[#This Row],[ID]])</f>
        <v>1</v>
      </c>
      <c r="AL1023" s="37" t="str">
        <f>VLOOKUP(Table1[[#This Row],[Cellar Location]],Location!A:F,6,FALSE)</f>
        <v>S</v>
      </c>
      <c r="AO1023" s="37" t="str">
        <f>TEXT(Table1[[#This Row],[Purchased]],"mmmm")</f>
        <v>January</v>
      </c>
      <c r="AP1023" s="10" t="str">
        <f>TEXT(Table1[[#This Row],[Purchased]],"yyyy")</f>
        <v>1900</v>
      </c>
      <c r="AQ1023" s="10"/>
    </row>
    <row r="1024" spans="1:43" s="37" customFormat="1" x14ac:dyDescent="0.25">
      <c r="A1024" s="37" t="str">
        <f t="shared" si="52"/>
        <v>2013Giovanni ManzoneBarolo Bricat</v>
      </c>
      <c r="B1024" s="37">
        <v>2013</v>
      </c>
      <c r="C1024" s="37" t="s">
        <v>294</v>
      </c>
      <c r="D1024" s="37" t="s">
        <v>295</v>
      </c>
      <c r="E1024" s="67" t="s">
        <v>1206</v>
      </c>
      <c r="F1024" s="37" t="s">
        <v>728</v>
      </c>
      <c r="G1024" s="37" t="s">
        <v>778</v>
      </c>
      <c r="H1024" s="9" t="s">
        <v>268</v>
      </c>
      <c r="I1024" s="107">
        <v>1</v>
      </c>
      <c r="J1024" s="37">
        <v>750</v>
      </c>
      <c r="K1024" s="107" t="s">
        <v>594</v>
      </c>
      <c r="L1024" s="37">
        <f>COUNTIF(Drank!A:A,Table1[[#This Row],[ID]])</f>
        <v>1</v>
      </c>
      <c r="M1024" s="37" t="s">
        <v>202</v>
      </c>
      <c r="N1024" s="37" t="s">
        <v>207</v>
      </c>
      <c r="O1024" s="37">
        <v>1</v>
      </c>
      <c r="P1024" s="37">
        <v>2018</v>
      </c>
      <c r="Q1024" s="37">
        <v>2032</v>
      </c>
      <c r="R1024" s="10">
        <f>IF(IFERROR(VLOOKUP(A1024,Drank!A:S,15,FALSE),"")=0,"",IFERROR(VLOOKUP(A1024,Drank!A:S,15,FALSE),""))</f>
        <v>2024</v>
      </c>
      <c r="S1024" s="10">
        <f>IF(IFERROR(VLOOKUP(A1024,Drank!A:S,16,FALSE),"")=0,"",IFERROR(VLOOKUP(A1024,Drank!A:S,16,FALSE),""))</f>
        <v>2032</v>
      </c>
      <c r="T1024" s="10"/>
      <c r="U1024" s="37" t="s">
        <v>17</v>
      </c>
      <c r="V1024" s="18">
        <f>IF(IFERROR(VLOOKUP(A1024,Drank!A:T,19,FALSE),"")=0,"",IFERROR(VLOOKUP(A1024,Drank!A:T,19,FALSE),""))</f>
        <v>91</v>
      </c>
      <c r="W1024" s="1">
        <f>IF(IFERROR(VLOOKUP(A1024,Drank!A:T,20,FALSE),"")=0,"",IFERROR(VLOOKUP(A1024,Drank!A:T,20,FALSE),""))</f>
        <v>43583</v>
      </c>
      <c r="X1024" s="10">
        <f>SUMIF(A:A,A1024,I:I)</f>
        <v>3</v>
      </c>
      <c r="Y1024" s="37">
        <f>IF(Table1[[#This Row],[Drank]]&gt;0,VLOOKUP(Table1[[#This Row],[ID]],Drank!A:P,16,FALSE),IF(Table1[[#This Row],[WALDD]]&gt;0,VLOOKUP(Table1[[#This Row],[ID]],Wine1!A:Q,17,FALSE),Table1[[#This Row],[EP]]))</f>
        <v>2032</v>
      </c>
      <c r="Z1024" s="18">
        <f>IF(Table1[[#This Row],[My Rating]]="",IF(Table1[[#This Row],[WA Rating Clean]]="","",Table1[[#This Row],[WA Rating Clean]]),Table1[[#This Row],[My Rating]])</f>
        <v>91</v>
      </c>
      <c r="AA1024" s="8">
        <v>2030</v>
      </c>
      <c r="AB1024" s="4">
        <v>45</v>
      </c>
      <c r="AC1024" s="2">
        <f t="shared" si="53"/>
        <v>45</v>
      </c>
      <c r="AD1024" s="8">
        <v>2</v>
      </c>
      <c r="AE1024" s="37">
        <f>IF(Table1[[#This Row],[P/750]]&lt;20,1,IF(Table1[[#This Row],[P/750]]&lt;50,2,3))</f>
        <v>2</v>
      </c>
      <c r="AF1024" s="37">
        <f>IF(Table1[[#This Row],[P/750]]&lt;Expenses!$C$30,1,IF(Table1[[#This Row],[P/750]]&lt;Expenses!$C$31,2,IF(Table1[[#This Row],[P/750]]&lt;Expenses!$C$32,3,4)))</f>
        <v>3</v>
      </c>
      <c r="AH1024" s="37" t="s">
        <v>385</v>
      </c>
      <c r="AI1024" s="11">
        <f>Table1[[#This Row],[Price]]/Table1[[#This Row],[Size (ml)]]*750</f>
        <v>45</v>
      </c>
      <c r="AJ1024" s="37">
        <v>94</v>
      </c>
      <c r="AK1024" s="37">
        <f>COUNTIF(UniqueID!A:A,Table1[[#This Row],[ID]])</f>
        <v>1</v>
      </c>
      <c r="AL1024" s="37" t="str">
        <f>VLOOKUP(Table1[[#This Row],[Cellar Location]],Location!A:F,6,FALSE)</f>
        <v>S</v>
      </c>
      <c r="AO1024" s="37" t="str">
        <f>TEXT(Table1[[#This Row],[Purchased]],"mmmm")</f>
        <v>January</v>
      </c>
      <c r="AP1024" s="10" t="str">
        <f>TEXT(Table1[[#This Row],[Purchased]],"yyyy")</f>
        <v>1900</v>
      </c>
      <c r="AQ1024" s="10"/>
    </row>
    <row r="1025" spans="1:43" s="37" customFormat="1" x14ac:dyDescent="0.25">
      <c r="A1025" s="37" t="str">
        <f t="shared" si="52"/>
        <v>2015Produttori del BarbarescoBarbaresco</v>
      </c>
      <c r="B1025" s="37">
        <v>2015</v>
      </c>
      <c r="C1025" s="37" t="s">
        <v>248</v>
      </c>
      <c r="D1025" s="37" t="s">
        <v>249</v>
      </c>
      <c r="E1025" s="67" t="s">
        <v>1206</v>
      </c>
      <c r="F1025" s="37" t="s">
        <v>728</v>
      </c>
      <c r="G1025" s="37" t="s">
        <v>778</v>
      </c>
      <c r="H1025" s="37" t="s">
        <v>249</v>
      </c>
      <c r="I1025" s="107">
        <v>1</v>
      </c>
      <c r="J1025" s="37">
        <v>750</v>
      </c>
      <c r="K1025" s="107" t="s">
        <v>648</v>
      </c>
      <c r="L1025" s="37">
        <f>COUNTIF(Drank!A:A,Table1[[#This Row],[ID]])</f>
        <v>2</v>
      </c>
      <c r="M1025" s="37" t="s">
        <v>202</v>
      </c>
      <c r="N1025" s="37" t="s">
        <v>207</v>
      </c>
      <c r="O1025" s="37">
        <v>1</v>
      </c>
      <c r="P1025" s="37">
        <v>2020</v>
      </c>
      <c r="Q1025" s="37">
        <v>2038</v>
      </c>
      <c r="R1025" s="10">
        <f>IF(IFERROR(VLOOKUP(A1025,Drank!A:S,15,FALSE),"")=0,"",IFERROR(VLOOKUP(A1025,Drank!A:S,15,FALSE),""))</f>
        <v>2024</v>
      </c>
      <c r="S1025" s="10">
        <f>IF(IFERROR(VLOOKUP(A1025,Drank!A:S,16,FALSE),"")=0,"",IFERROR(VLOOKUP(A1025,Drank!A:S,16,FALSE),""))</f>
        <v>2032</v>
      </c>
      <c r="T1025" s="10"/>
      <c r="U1025" s="37">
        <v>93</v>
      </c>
      <c r="V1025" s="18">
        <f>IF(IFERROR(VLOOKUP(A1025,Drank!A:T,19,FALSE),"")=0,"",IFERROR(VLOOKUP(A1025,Drank!A:T,19,FALSE),""))</f>
        <v>93.5</v>
      </c>
      <c r="W1025" s="1">
        <f>IF(IFERROR(VLOOKUP(A1025,Drank!A:T,20,FALSE),"")=0,"",IFERROR(VLOOKUP(A1025,Drank!A:T,20,FALSE),""))</f>
        <v>43757</v>
      </c>
      <c r="X1025" s="10">
        <f>SUMIF(A:A,A1025,I:I)</f>
        <v>5</v>
      </c>
      <c r="Y1025" s="37">
        <f>IF(Table1[[#This Row],[Drank]]&gt;0,VLOOKUP(Table1[[#This Row],[ID]],Drank!A:P,16,FALSE),IF(Table1[[#This Row],[WALDD]]&gt;0,VLOOKUP(Table1[[#This Row],[ID]],Wine1!A:Q,17,FALSE),Table1[[#This Row],[EP]]))</f>
        <v>2032</v>
      </c>
      <c r="Z1025" s="18">
        <f>IF(Table1[[#This Row],[My Rating]]="",IF(Table1[[#This Row],[WA Rating Clean]]="","",Table1[[#This Row],[WA Rating Clean]]),Table1[[#This Row],[My Rating]])</f>
        <v>93.5</v>
      </c>
      <c r="AA1025" s="6">
        <v>2030</v>
      </c>
      <c r="AB1025" s="4">
        <v>40.49</v>
      </c>
      <c r="AC1025" s="2">
        <f t="shared" si="53"/>
        <v>40.49</v>
      </c>
      <c r="AD1025" s="8">
        <v>2</v>
      </c>
      <c r="AE1025" s="37">
        <f>IF(Table1[[#This Row],[P/750]]&lt;20,1,IF(Table1[[#This Row],[P/750]]&lt;50,2,3))</f>
        <v>2</v>
      </c>
      <c r="AF1025" s="37">
        <f>IF(Table1[[#This Row],[P/750]]&lt;Expenses!$C$30,1,IF(Table1[[#This Row],[P/750]]&lt;Expenses!$C$31,2,IF(Table1[[#This Row],[P/750]]&lt;Expenses!$C$32,3,4)))</f>
        <v>3</v>
      </c>
      <c r="AH1025" s="37" t="s">
        <v>1128</v>
      </c>
      <c r="AI1025" s="11">
        <f>Table1[[#This Row],[Price]]/Table1[[#This Row],[Size (ml)]]*750</f>
        <v>40.49</v>
      </c>
      <c r="AJ1025" s="37">
        <v>93</v>
      </c>
      <c r="AK1025" s="37">
        <f>COUNTIF(UniqueID!A:A,Table1[[#This Row],[ID]])</f>
        <v>1</v>
      </c>
      <c r="AL1025" s="37" t="str">
        <f>VLOOKUP(Table1[[#This Row],[Cellar Location]],Location!A:F,6,FALSE)</f>
        <v>S</v>
      </c>
      <c r="AO1025" s="37" t="str">
        <f>TEXT(Table1[[#This Row],[Purchased]],"mmmm")</f>
        <v>January</v>
      </c>
      <c r="AP1025" s="10" t="str">
        <f>TEXT(Table1[[#This Row],[Purchased]],"yyyy")</f>
        <v>1900</v>
      </c>
      <c r="AQ1025" s="10"/>
    </row>
    <row r="1026" spans="1:43" s="37" customFormat="1" x14ac:dyDescent="0.25">
      <c r="A1026" s="37" t="str">
        <f t="shared" si="52"/>
        <v>2014Casanova di NeriBrunello di Montalcino</v>
      </c>
      <c r="B1026" s="37">
        <v>2014</v>
      </c>
      <c r="C1026" s="37" t="s">
        <v>18</v>
      </c>
      <c r="D1026" s="37" t="s">
        <v>19</v>
      </c>
      <c r="E1026" s="64" t="s">
        <v>280</v>
      </c>
      <c r="F1026" s="37" t="s">
        <v>728</v>
      </c>
      <c r="G1026" s="37" t="s">
        <v>790</v>
      </c>
      <c r="H1026" s="37" t="s">
        <v>19</v>
      </c>
      <c r="I1026" s="107">
        <v>1</v>
      </c>
      <c r="J1026" s="37">
        <v>750</v>
      </c>
      <c r="K1026" s="107" t="s">
        <v>1313</v>
      </c>
      <c r="L1026" s="10">
        <f>COUNTIF(Drank!A:A,Table1[[#This Row],[ID]])</f>
        <v>0</v>
      </c>
      <c r="M1026" s="37" t="s">
        <v>202</v>
      </c>
      <c r="N1026" s="37" t="s">
        <v>207</v>
      </c>
      <c r="O1026" s="37">
        <v>1</v>
      </c>
      <c r="P1026" s="10">
        <v>2020</v>
      </c>
      <c r="Q1026" s="37">
        <v>2033</v>
      </c>
      <c r="R1026" s="10" t="str">
        <f>IF(IFERROR(VLOOKUP(A1026,Drank!A:S,15,FALSE),"")=0,"",IFERROR(VLOOKUP(A1026,Drank!A:S,15,FALSE),""))</f>
        <v/>
      </c>
      <c r="S1026" s="10" t="str">
        <f>IF(IFERROR(VLOOKUP(A1026,Drank!A:S,16,FALSE),"")=0,"",IFERROR(VLOOKUP(A1026,Drank!A:S,16,FALSE),""))</f>
        <v/>
      </c>
      <c r="T1026" s="10"/>
      <c r="U1026" s="37">
        <v>92</v>
      </c>
      <c r="V1026" s="18" t="str">
        <f>IF(IFERROR(VLOOKUP(A1026,Drank!A:T,19,FALSE),"")=0,"",IFERROR(VLOOKUP(A1026,Drank!A:T,19,FALSE),""))</f>
        <v/>
      </c>
      <c r="W1026" s="1" t="str">
        <f>IF(IFERROR(VLOOKUP(A1026,Drank!A:T,20,FALSE),"")=0,"",IFERROR(VLOOKUP(A1026,Drank!A:T,20,FALSE),""))</f>
        <v/>
      </c>
      <c r="X1026" s="10">
        <f>SUMIF(A:A,A1026,I:I)</f>
        <v>4</v>
      </c>
      <c r="Y1026" s="10">
        <f>IF(Table1[[#This Row],[Drank]]&gt;0,VLOOKUP(Table1[[#This Row],[ID]],Drank!A:P,16,FALSE),IF(Table1[[#This Row],[WALDD]]&gt;0,VLOOKUP(Table1[[#This Row],[ID]],Wine1!A:Q,17,FALSE),Table1[[#This Row],[EP]]))</f>
        <v>2033</v>
      </c>
      <c r="Z1026" s="18">
        <f>IF(Table1[[#This Row],[My Rating]]="",IF(Table1[[#This Row],[WA Rating Clean]]="","",Table1[[#This Row],[WA Rating Clean]]),Table1[[#This Row],[My Rating]])</f>
        <v>92</v>
      </c>
      <c r="AA1026" s="37">
        <v>2030</v>
      </c>
      <c r="AB1026" s="4">
        <v>53.99</v>
      </c>
      <c r="AC1026" s="2">
        <f t="shared" si="53"/>
        <v>53.99</v>
      </c>
      <c r="AD1026" s="8">
        <v>2</v>
      </c>
      <c r="AE1026" s="10">
        <f>IF(Table1[[#This Row],[P/750]]&lt;20,1,IF(Table1[[#This Row],[P/750]]&lt;50,2,3))</f>
        <v>3</v>
      </c>
      <c r="AF1026" s="10">
        <f>IF(Table1[[#This Row],[P/750]]&lt;Expenses!$C$30,1,IF(Table1[[#This Row],[P/750]]&lt;Expenses!$C$31,2,IF(Table1[[#This Row],[P/750]]&lt;Expenses!$C$32,3,4)))</f>
        <v>3</v>
      </c>
      <c r="AH1026" s="37" t="s">
        <v>1128</v>
      </c>
      <c r="AI1026" s="11">
        <f>Table1[[#This Row],[Price]]/Table1[[#This Row],[Size (ml)]]*750</f>
        <v>53.99</v>
      </c>
      <c r="AJ1026" s="37">
        <v>92</v>
      </c>
      <c r="AK1026" s="37">
        <f>COUNTIF(UniqueID!A:A,Table1[[#This Row],[ID]])</f>
        <v>1</v>
      </c>
      <c r="AL1026" s="37" t="str">
        <f>VLOOKUP(Table1[[#This Row],[Cellar Location]],Location!A:F,6,FALSE)</f>
        <v>S</v>
      </c>
      <c r="AN1026" s="1">
        <v>43879</v>
      </c>
      <c r="AO1026" s="37" t="str">
        <f>TEXT(Table1[[#This Row],[Purchased]],"mmmm")</f>
        <v>February</v>
      </c>
      <c r="AP1026" s="10" t="str">
        <f>TEXT(Table1[[#This Row],[Purchased]],"yyyy")</f>
        <v>2020</v>
      </c>
      <c r="AQ1026" s="10"/>
    </row>
    <row r="1027" spans="1:43" s="37" customFormat="1" x14ac:dyDescent="0.25">
      <c r="A1027" s="37" t="str">
        <f t="shared" si="52"/>
        <v>2015Alter Ego de PalmerAlter Ego de Palmer</v>
      </c>
      <c r="B1027" s="37">
        <v>2015</v>
      </c>
      <c r="C1027" s="37" t="s">
        <v>118</v>
      </c>
      <c r="D1027" s="37" t="s">
        <v>118</v>
      </c>
      <c r="E1027" s="64" t="s">
        <v>274</v>
      </c>
      <c r="F1027" s="37" t="s">
        <v>742</v>
      </c>
      <c r="G1027" s="37" t="s">
        <v>748</v>
      </c>
      <c r="H1027" s="37" t="s">
        <v>750</v>
      </c>
      <c r="I1027" s="37">
        <v>1</v>
      </c>
      <c r="J1027" s="37">
        <v>750</v>
      </c>
      <c r="K1027" s="8" t="s">
        <v>8</v>
      </c>
      <c r="L1027" s="37">
        <f>COUNTIF(Drank!A:A,Table1[[#This Row],[ID]])</f>
        <v>0</v>
      </c>
      <c r="M1027" s="37" t="s">
        <v>202</v>
      </c>
      <c r="N1027" s="37" t="s">
        <v>207</v>
      </c>
      <c r="O1027" s="37">
        <v>1</v>
      </c>
      <c r="P1027" s="37">
        <v>2020</v>
      </c>
      <c r="Q1027" s="37">
        <v>2034</v>
      </c>
      <c r="R1027" s="37" t="str">
        <f>IF(IFERROR(VLOOKUP(A1027,Drank!A:S,15,FALSE),"")=0,"",IFERROR(VLOOKUP(A1027,Drank!A:S,15,FALSE),""))</f>
        <v/>
      </c>
      <c r="S1027" s="37" t="str">
        <f>IF(IFERROR(VLOOKUP(A1027,Drank!A:S,16,FALSE),"")=0,"",IFERROR(VLOOKUP(A1027,Drank!A:S,16,FALSE),""))</f>
        <v/>
      </c>
      <c r="U1027" s="37">
        <v>91</v>
      </c>
      <c r="V1027" s="18" t="str">
        <f>IF(IFERROR(VLOOKUP(A1027,Drank!A:T,19,FALSE),"")=0,"",IFERROR(VLOOKUP(A1027,Drank!A:T,19,FALSE),""))</f>
        <v/>
      </c>
      <c r="W1027" s="1" t="str">
        <f>IF(IFERROR(VLOOKUP(A1027,Drank!A:T,20,FALSE),"")=0,"",IFERROR(VLOOKUP(A1027,Drank!A:T,20,FALSE),""))</f>
        <v/>
      </c>
      <c r="X1027" s="37">
        <f>SUMIF(A:A,A1027,I:I)</f>
        <v>2</v>
      </c>
      <c r="Y1027" s="37">
        <f>IF(Table1[[#This Row],[Drank]]&gt;0,VLOOKUP(Table1[[#This Row],[ID]],Drank!A:P,16,FALSE),IF(Table1[[#This Row],[WALDD]]&gt;0,VLOOKUP(Table1[[#This Row],[ID]],Wine1!A:Q,17,FALSE),Table1[[#This Row],[EP]]))</f>
        <v>2034</v>
      </c>
      <c r="Z1027" s="18">
        <f>IF(Table1[[#This Row],[My Rating]]="",IF(Table1[[#This Row],[WA Rating Clean]]="","",Table1[[#This Row],[WA Rating Clean]]),Table1[[#This Row],[My Rating]])</f>
        <v>91</v>
      </c>
      <c r="AA1027" s="37">
        <v>2030</v>
      </c>
      <c r="AB1027" s="3">
        <v>80</v>
      </c>
      <c r="AC1027" s="2">
        <f t="shared" si="53"/>
        <v>80</v>
      </c>
      <c r="AD1027" s="8">
        <v>0</v>
      </c>
      <c r="AE1027" s="37">
        <f>IF(Table1[[#This Row],[P/750]]&lt;20,1,IF(Table1[[#This Row],[P/750]]&lt;50,2,3))</f>
        <v>3</v>
      </c>
      <c r="AF1027" s="37">
        <f>IF(Table1[[#This Row],[P/750]]&lt;Expenses!$C$30,1,IF(Table1[[#This Row],[P/750]]&lt;Expenses!$C$31,2,IF(Table1[[#This Row],[P/750]]&lt;Expenses!$C$32,3,4)))</f>
        <v>4</v>
      </c>
      <c r="AH1027" s="37" t="s">
        <v>1131</v>
      </c>
      <c r="AI1027" s="11">
        <f>Table1[[#This Row],[Price]]/Table1[[#This Row],[Size (ml)]]*750</f>
        <v>80</v>
      </c>
      <c r="AJ1027" s="37">
        <v>91</v>
      </c>
      <c r="AK1027" s="37">
        <f>COUNTIF(UniqueID!A:A,Table1[[#This Row],[ID]])</f>
        <v>1</v>
      </c>
      <c r="AL1027" s="37" t="str">
        <f>VLOOKUP(Table1[[#This Row],[Cellar Location]],Location!A:F,6,FALSE)</f>
        <v>K</v>
      </c>
      <c r="AO1027" s="37" t="str">
        <f>TEXT(Table1[[#This Row],[Purchased]],"mmmm")</f>
        <v>January</v>
      </c>
      <c r="AP1027" s="10" t="str">
        <f>TEXT(Table1[[#This Row],[Purchased]],"yyyy")</f>
        <v>1900</v>
      </c>
      <c r="AQ1027" s="10"/>
    </row>
    <row r="1028" spans="1:43" s="37" customFormat="1" x14ac:dyDescent="0.25">
      <c r="A1028" s="37" t="str">
        <f t="shared" si="52"/>
        <v>2016Produttori del BarbarescoBarbaresco</v>
      </c>
      <c r="B1028" s="37">
        <v>2016</v>
      </c>
      <c r="C1028" s="37" t="s">
        <v>248</v>
      </c>
      <c r="D1028" s="37" t="s">
        <v>249</v>
      </c>
      <c r="E1028" s="67" t="s">
        <v>1206</v>
      </c>
      <c r="F1028" s="37" t="s">
        <v>728</v>
      </c>
      <c r="G1028" s="37" t="s">
        <v>778</v>
      </c>
      <c r="H1028" s="37" t="s">
        <v>249</v>
      </c>
      <c r="I1028" s="37">
        <v>1</v>
      </c>
      <c r="J1028" s="107">
        <v>750</v>
      </c>
      <c r="K1028" s="8" t="s">
        <v>1850</v>
      </c>
      <c r="L1028" s="10">
        <f>COUNTIF(Drank!A:A,Table1[[#This Row],[ID]])</f>
        <v>2</v>
      </c>
      <c r="M1028" s="37" t="s">
        <v>202</v>
      </c>
      <c r="N1028" s="37" t="s">
        <v>207</v>
      </c>
      <c r="O1028" s="37">
        <v>1</v>
      </c>
      <c r="P1028" s="37">
        <v>2022</v>
      </c>
      <c r="Q1028" s="37">
        <v>2040</v>
      </c>
      <c r="R1028" s="10">
        <f>IF(IFERROR(VLOOKUP(A1028,Drank!A:S,15,FALSE),"")=0,"",IFERROR(VLOOKUP(A1028,Drank!A:S,15,FALSE),""))</f>
        <v>2021</v>
      </c>
      <c r="S1028" s="10">
        <f>IF(IFERROR(VLOOKUP(A1028,Drank!A:S,16,FALSE),"")=0,"",IFERROR(VLOOKUP(A1028,Drank!A:S,16,FALSE),""))</f>
        <v>2032</v>
      </c>
      <c r="T1028" s="10"/>
      <c r="U1028" s="37">
        <v>95</v>
      </c>
      <c r="V1028" s="18">
        <f>IF(IFERROR(VLOOKUP(A1028,Drank!A:T,19,FALSE),"")=0,"",IFERROR(VLOOKUP(A1028,Drank!A:T,19,FALSE),""))</f>
        <v>95.5</v>
      </c>
      <c r="W1028" s="1">
        <f>IF(IFERROR(VLOOKUP(A1028,Drank!A:T,20,FALSE),"")=0,"",IFERROR(VLOOKUP(A1028,Drank!A:T,20,FALSE),""))</f>
        <v>44079</v>
      </c>
      <c r="X1028" s="10">
        <f>SUMIF(A:A,A1028,I:I)</f>
        <v>41</v>
      </c>
      <c r="Y1028" s="10">
        <f>IF(Table1[[#This Row],[Drank]]&gt;0,VLOOKUP(Table1[[#This Row],[ID]],Drank!A:P,16,FALSE),IF(Table1[[#This Row],[WALDD]]&gt;0,VLOOKUP(Table1[[#This Row],[ID]],Wine1!A:Q,17,FALSE),Table1[[#This Row],[EP]]))</f>
        <v>2032</v>
      </c>
      <c r="Z1028" s="18">
        <f>IF(Table1[[#This Row],[My Rating]]="",IF(Table1[[#This Row],[WA Rating Clean]]="","",Table1[[#This Row],[WA Rating Clean]]),Table1[[#This Row],[My Rating]])</f>
        <v>95.5</v>
      </c>
      <c r="AA1028" s="37">
        <v>2030</v>
      </c>
      <c r="AB1028" s="129">
        <v>42.36</v>
      </c>
      <c r="AC1028" s="2">
        <f t="shared" si="53"/>
        <v>42.36</v>
      </c>
      <c r="AD1028" s="8">
        <v>1</v>
      </c>
      <c r="AE1028" s="10">
        <f>IF(Table1[[#This Row],[P/750]]&lt;20,1,IF(Table1[[#This Row],[P/750]]&lt;50,2,3))</f>
        <v>2</v>
      </c>
      <c r="AF1028" s="10">
        <f>IF(Table1[[#This Row],[P/750]]&lt;Expenses!$C$30,1,IF(Table1[[#This Row],[P/750]]&lt;Expenses!$C$31,2,IF(Table1[[#This Row],[P/750]]&lt;Expenses!$C$32,3,4)))</f>
        <v>3</v>
      </c>
      <c r="AH1028" s="37" t="s">
        <v>1128</v>
      </c>
      <c r="AI1028" s="11">
        <f>Table1[[#This Row],[Price]]/Table1[[#This Row],[Size (ml)]]*750</f>
        <v>42.36</v>
      </c>
      <c r="AJ1028" s="37">
        <v>95</v>
      </c>
      <c r="AK1028" s="10">
        <f>COUNTIF(UniqueID!A:A,Table1[[#This Row],[ID]])</f>
        <v>1</v>
      </c>
      <c r="AL1028" s="10" t="str">
        <f>VLOOKUP(Table1[[#This Row],[Cellar Location]],Location!A:F,6,FALSE)</f>
        <v>S</v>
      </c>
      <c r="AN1028" s="1">
        <v>44070</v>
      </c>
      <c r="AO1028" s="10" t="str">
        <f>TEXT(Table1[[#This Row],[Purchased]],"mmmm")</f>
        <v>August</v>
      </c>
      <c r="AP1028" s="10" t="str">
        <f>TEXT(Table1[[#This Row],[Purchased]],"yyyy")</f>
        <v>2020</v>
      </c>
      <c r="AQ1028" s="1"/>
    </row>
    <row r="1029" spans="1:43" s="37" customFormat="1" x14ac:dyDescent="0.25">
      <c r="A1029" s="37" t="str">
        <f t="shared" si="52"/>
        <v>2016Produttori del BarbarescoBarbaresco</v>
      </c>
      <c r="B1029" s="37">
        <v>2016</v>
      </c>
      <c r="C1029" s="37" t="s">
        <v>248</v>
      </c>
      <c r="D1029" s="37" t="s">
        <v>249</v>
      </c>
      <c r="E1029" s="67" t="s">
        <v>1206</v>
      </c>
      <c r="F1029" s="37" t="s">
        <v>728</v>
      </c>
      <c r="G1029" s="37" t="s">
        <v>778</v>
      </c>
      <c r="H1029" s="37" t="s">
        <v>249</v>
      </c>
      <c r="I1029" s="37">
        <v>1</v>
      </c>
      <c r="J1029" s="107">
        <v>750</v>
      </c>
      <c r="K1029" s="8" t="s">
        <v>1850</v>
      </c>
      <c r="L1029" s="10">
        <f>COUNTIF(Drank!A:A,Table1[[#This Row],[ID]])</f>
        <v>2</v>
      </c>
      <c r="M1029" s="37" t="s">
        <v>202</v>
      </c>
      <c r="N1029" s="37" t="s">
        <v>207</v>
      </c>
      <c r="O1029" s="37">
        <v>1</v>
      </c>
      <c r="P1029" s="37">
        <v>2022</v>
      </c>
      <c r="Q1029" s="37">
        <v>2040</v>
      </c>
      <c r="R1029" s="10">
        <f>IF(IFERROR(VLOOKUP(A1029,Drank!A:S,15,FALSE),"")=0,"",IFERROR(VLOOKUP(A1029,Drank!A:S,15,FALSE),""))</f>
        <v>2021</v>
      </c>
      <c r="S1029" s="10">
        <f>IF(IFERROR(VLOOKUP(A1029,Drank!A:S,16,FALSE),"")=0,"",IFERROR(VLOOKUP(A1029,Drank!A:S,16,FALSE),""))</f>
        <v>2032</v>
      </c>
      <c r="T1029" s="10"/>
      <c r="U1029" s="37">
        <v>95</v>
      </c>
      <c r="V1029" s="18">
        <f>IF(IFERROR(VLOOKUP(A1029,Drank!A:T,19,FALSE),"")=0,"",IFERROR(VLOOKUP(A1029,Drank!A:T,19,FALSE),""))</f>
        <v>95.5</v>
      </c>
      <c r="W1029" s="1">
        <f>IF(IFERROR(VLOOKUP(A1029,Drank!A:T,20,FALSE),"")=0,"",IFERROR(VLOOKUP(A1029,Drank!A:T,20,FALSE),""))</f>
        <v>44079</v>
      </c>
      <c r="X1029" s="10">
        <f>SUMIF(A:A,A1029,I:I)</f>
        <v>41</v>
      </c>
      <c r="Y1029" s="10">
        <f>IF(Table1[[#This Row],[Drank]]&gt;0,VLOOKUP(Table1[[#This Row],[ID]],Drank!A:P,16,FALSE),IF(Table1[[#This Row],[WALDD]]&gt;0,VLOOKUP(Table1[[#This Row],[ID]],Wine1!A:Q,17,FALSE),Table1[[#This Row],[EP]]))</f>
        <v>2032</v>
      </c>
      <c r="Z1029" s="18">
        <f>IF(Table1[[#This Row],[My Rating]]="",IF(Table1[[#This Row],[WA Rating Clean]]="","",Table1[[#This Row],[WA Rating Clean]]),Table1[[#This Row],[My Rating]])</f>
        <v>95.5</v>
      </c>
      <c r="AA1029" s="37">
        <v>2030</v>
      </c>
      <c r="AB1029" s="129">
        <v>42.36</v>
      </c>
      <c r="AC1029" s="2">
        <f t="shared" si="53"/>
        <v>42.36</v>
      </c>
      <c r="AD1029" s="8">
        <v>1</v>
      </c>
      <c r="AE1029" s="10">
        <f>IF(Table1[[#This Row],[P/750]]&lt;20,1,IF(Table1[[#This Row],[P/750]]&lt;50,2,3))</f>
        <v>2</v>
      </c>
      <c r="AF1029" s="10">
        <f>IF(Table1[[#This Row],[P/750]]&lt;Expenses!$C$30,1,IF(Table1[[#This Row],[P/750]]&lt;Expenses!$C$31,2,IF(Table1[[#This Row],[P/750]]&lt;Expenses!$C$32,3,4)))</f>
        <v>3</v>
      </c>
      <c r="AH1029" s="37" t="s">
        <v>1128</v>
      </c>
      <c r="AI1029" s="11">
        <f>Table1[[#This Row],[Price]]/Table1[[#This Row],[Size (ml)]]*750</f>
        <v>42.36</v>
      </c>
      <c r="AJ1029" s="37">
        <v>95</v>
      </c>
      <c r="AK1029" s="10">
        <f>COUNTIF(UniqueID!A:A,Table1[[#This Row],[ID]])</f>
        <v>1</v>
      </c>
      <c r="AL1029" s="10" t="str">
        <f>VLOOKUP(Table1[[#This Row],[Cellar Location]],Location!A:F,6,FALSE)</f>
        <v>S</v>
      </c>
      <c r="AN1029" s="1">
        <v>44070</v>
      </c>
      <c r="AO1029" s="10" t="str">
        <f>TEXT(Table1[[#This Row],[Purchased]],"mmmm")</f>
        <v>August</v>
      </c>
      <c r="AP1029" s="10" t="str">
        <f>TEXT(Table1[[#This Row],[Purchased]],"yyyy")</f>
        <v>2020</v>
      </c>
      <c r="AQ1029" s="1"/>
    </row>
    <row r="1030" spans="1:43" s="37" customFormat="1" x14ac:dyDescent="0.25">
      <c r="A1030" s="37" t="str">
        <f t="shared" si="52"/>
        <v>2015Ciacci Piccolomini d AragonaBrunello di Montalcino</v>
      </c>
      <c r="B1030" s="37">
        <v>2015</v>
      </c>
      <c r="C1030" s="37" t="s">
        <v>1123</v>
      </c>
      <c r="D1030" s="37" t="s">
        <v>19</v>
      </c>
      <c r="E1030" s="9" t="s">
        <v>1250</v>
      </c>
      <c r="F1030" s="37" t="s">
        <v>728</v>
      </c>
      <c r="G1030" s="37" t="s">
        <v>790</v>
      </c>
      <c r="H1030" s="37" t="s">
        <v>19</v>
      </c>
      <c r="I1030" s="37">
        <v>1</v>
      </c>
      <c r="J1030" s="38">
        <v>750</v>
      </c>
      <c r="K1030" s="38" t="s">
        <v>415</v>
      </c>
      <c r="L1030" s="10">
        <f>COUNTIF(Drank!A:A,Table1[[#This Row],[ID]])</f>
        <v>0</v>
      </c>
      <c r="M1030" s="37" t="s">
        <v>202</v>
      </c>
      <c r="N1030" s="37" t="s">
        <v>207</v>
      </c>
      <c r="O1030" s="37">
        <v>1</v>
      </c>
      <c r="P1030" s="10">
        <v>2021</v>
      </c>
      <c r="Q1030" s="37">
        <v>2035</v>
      </c>
      <c r="R1030" s="10" t="str">
        <f>IF(IFERROR(VLOOKUP(A1030,Drank!A:S,15,FALSE),"")=0,"",IFERROR(VLOOKUP(A1030,Drank!A:S,15,FALSE),""))</f>
        <v/>
      </c>
      <c r="S1030" s="10" t="str">
        <f>IF(IFERROR(VLOOKUP(A1030,Drank!A:S,16,FALSE),"")=0,"",IFERROR(VLOOKUP(A1030,Drank!A:S,16,FALSE),""))</f>
        <v/>
      </c>
      <c r="T1030" s="10"/>
      <c r="U1030" s="37">
        <v>95</v>
      </c>
      <c r="V1030" s="18" t="str">
        <f>IF(IFERROR(VLOOKUP(A1030,Drank!A:T,19,FALSE),"")=0,"",IFERROR(VLOOKUP(A1030,Drank!A:T,19,FALSE),""))</f>
        <v/>
      </c>
      <c r="W1030" s="1" t="str">
        <f>IF(IFERROR(VLOOKUP(A1030,Drank!A:T,20,FALSE),"")=0,"",IFERROR(VLOOKUP(A1030,Drank!A:T,20,FALSE),""))</f>
        <v/>
      </c>
      <c r="X1030" s="10">
        <f>SUMIF(A:A,A1030,I:I)</f>
        <v>2</v>
      </c>
      <c r="Y1030" s="10">
        <f>IF(Table1[[#This Row],[Drank]]&gt;0,VLOOKUP(Table1[[#This Row],[ID]],Drank!A:P,16,FALSE),IF(Table1[[#This Row],[WALDD]]&gt;0,VLOOKUP(Table1[[#This Row],[ID]],Wine1!A:Q,17,FALSE),Table1[[#This Row],[EP]]))</f>
        <v>2035</v>
      </c>
      <c r="Z1030" s="18">
        <f>IF(Table1[[#This Row],[My Rating]]="",IF(Table1[[#This Row],[WA Rating Clean]]="","",Table1[[#This Row],[WA Rating Clean]]),Table1[[#This Row],[My Rating]])</f>
        <v>95</v>
      </c>
      <c r="AA1030" s="37">
        <v>2030</v>
      </c>
      <c r="AB1030" s="4">
        <v>54.49</v>
      </c>
      <c r="AC1030" s="2">
        <f t="shared" si="53"/>
        <v>54.49</v>
      </c>
      <c r="AD1030" s="8">
        <v>1</v>
      </c>
      <c r="AE1030" s="10">
        <f>IF(Table1[[#This Row],[P/750]]&lt;20,1,IF(Table1[[#This Row],[P/750]]&lt;50,2,3))</f>
        <v>3</v>
      </c>
      <c r="AF1030" s="10">
        <f>IF(Table1[[#This Row],[P/750]]&lt;Expenses!$C$30,1,IF(Table1[[#This Row],[P/750]]&lt;Expenses!$C$31,2,IF(Table1[[#This Row],[P/750]]&lt;Expenses!$C$32,3,4)))</f>
        <v>3</v>
      </c>
      <c r="AH1030" s="37" t="s">
        <v>415</v>
      </c>
      <c r="AI1030" s="11">
        <f>Table1[[#This Row],[Price]]/Table1[[#This Row],[Size (ml)]]*750</f>
        <v>54.49</v>
      </c>
      <c r="AJ1030" s="37">
        <v>95</v>
      </c>
      <c r="AK1030" s="10">
        <f>COUNTIF(UniqueID!A:A,Table1[[#This Row],[ID]])</f>
        <v>0</v>
      </c>
      <c r="AL1030" s="10" t="str">
        <f>VLOOKUP(Table1[[#This Row],[Cellar Location]],Location!A:F,6,FALSE)</f>
        <v>W</v>
      </c>
      <c r="AN1030" s="1">
        <v>44015</v>
      </c>
      <c r="AO1030" s="10" t="str">
        <f>TEXT(Table1[[#This Row],[Purchased]],"mmmm")</f>
        <v>July</v>
      </c>
      <c r="AP1030" s="10" t="str">
        <f>TEXT(Table1[[#This Row],[Purchased]],"yyyy")</f>
        <v>2020</v>
      </c>
      <c r="AQ1030" s="1">
        <v>44114</v>
      </c>
    </row>
    <row r="1031" spans="1:43" s="37" customFormat="1" x14ac:dyDescent="0.25">
      <c r="A1031" s="37" t="str">
        <f t="shared" si="52"/>
        <v>2010La Rioja AltaViña Ardanza Selección Especial</v>
      </c>
      <c r="B1031" s="8">
        <v>2010</v>
      </c>
      <c r="C1031" s="37" t="s">
        <v>221</v>
      </c>
      <c r="D1031" s="37" t="s">
        <v>1274</v>
      </c>
      <c r="E1031" s="67" t="s">
        <v>1467</v>
      </c>
      <c r="F1031" s="37" t="s">
        <v>729</v>
      </c>
      <c r="G1031" s="37" t="s">
        <v>823</v>
      </c>
      <c r="I1031" s="107">
        <v>1</v>
      </c>
      <c r="J1031" s="37">
        <v>750</v>
      </c>
      <c r="K1031" s="107" t="s">
        <v>927</v>
      </c>
      <c r="L1031" s="10">
        <f>COUNTIF(Drank!A:A,Table1[[#This Row],[ID]])</f>
        <v>1</v>
      </c>
      <c r="M1031" s="37" t="s">
        <v>202</v>
      </c>
      <c r="N1031" s="37" t="s">
        <v>207</v>
      </c>
      <c r="O1031" s="37">
        <v>1</v>
      </c>
      <c r="P1031" s="10">
        <v>2019</v>
      </c>
      <c r="Q1031" s="37">
        <v>2035</v>
      </c>
      <c r="R1031" s="10">
        <f>IF(IFERROR(VLOOKUP(A1031,Drank!A:S,15,FALSE),"")=0,"",IFERROR(VLOOKUP(A1031,Drank!A:S,15,FALSE),""))</f>
        <v>2024</v>
      </c>
      <c r="S1031" s="10">
        <f>IF(IFERROR(VLOOKUP(A1031,Drank!A:S,16,FALSE),"")=0,"",IFERROR(VLOOKUP(A1031,Drank!A:S,16,FALSE),""))</f>
        <v>2035</v>
      </c>
      <c r="T1031" s="10"/>
      <c r="U1031" s="37">
        <v>95</v>
      </c>
      <c r="V1031" s="18">
        <f>IF(IFERROR(VLOOKUP(A1031,Drank!A:T,19,FALSE),"")=0,"",IFERROR(VLOOKUP(A1031,Drank!A:T,19,FALSE),""))</f>
        <v>91</v>
      </c>
      <c r="W1031" s="1">
        <f>IF(IFERROR(VLOOKUP(A1031,Drank!A:T,20,FALSE),"")=0,"",IFERROR(VLOOKUP(A1031,Drank!A:T,20,FALSE),""))</f>
        <v>43855</v>
      </c>
      <c r="X1031" s="10">
        <f>SUMIF(A:A,A1031,I:I)</f>
        <v>3</v>
      </c>
      <c r="Y1031" s="10">
        <f>IF(Table1[[#This Row],[Drank]]&gt;0,VLOOKUP(Table1[[#This Row],[ID]],Drank!A:P,16,FALSE),IF(Table1[[#This Row],[WALDD]]&gt;0,VLOOKUP(Table1[[#This Row],[ID]],Wine1!A:Q,17,FALSE),Table1[[#This Row],[EP]]))</f>
        <v>2035</v>
      </c>
      <c r="Z1031" s="18">
        <f>IF(Table1[[#This Row],[My Rating]]="",IF(Table1[[#This Row],[WA Rating Clean]]="","",Table1[[#This Row],[WA Rating Clean]]),Table1[[#This Row],[My Rating]])</f>
        <v>91</v>
      </c>
      <c r="AA1031" s="37">
        <v>2030</v>
      </c>
      <c r="AB1031" s="4">
        <v>32.99</v>
      </c>
      <c r="AC1031" s="2">
        <f t="shared" si="53"/>
        <v>32.99</v>
      </c>
      <c r="AD1031" s="8">
        <v>2</v>
      </c>
      <c r="AE1031" s="10">
        <f>IF(Table1[[#This Row],[P/750]]&lt;20,1,IF(Table1[[#This Row],[P/750]]&lt;50,2,3))</f>
        <v>2</v>
      </c>
      <c r="AF1031" s="10">
        <f>IF(Table1[[#This Row],[P/750]]&lt;Expenses!$C$30,1,IF(Table1[[#This Row],[P/750]]&lt;Expenses!$C$31,2,IF(Table1[[#This Row],[P/750]]&lt;Expenses!$C$32,3,4)))</f>
        <v>3</v>
      </c>
      <c r="AH1031" s="37" t="s">
        <v>1139</v>
      </c>
      <c r="AI1031" s="11">
        <f>Table1[[#This Row],[Price]]/Table1[[#This Row],[Size (ml)]]*750</f>
        <v>32.99</v>
      </c>
      <c r="AJ1031" s="37">
        <v>95</v>
      </c>
      <c r="AK1031" s="10">
        <f>COUNTIF(UniqueID!A:A,Table1[[#This Row],[ID]])</f>
        <v>1</v>
      </c>
      <c r="AL1031" s="37" t="str">
        <f>VLOOKUP(Table1[[#This Row],[Cellar Location]],Location!A:F,6,FALSE)</f>
        <v>S</v>
      </c>
      <c r="AO1031" s="37" t="str">
        <f>TEXT(Table1[[#This Row],[Purchased]],"mmmm")</f>
        <v>January</v>
      </c>
      <c r="AP1031" s="10" t="str">
        <f>TEXT(Table1[[#This Row],[Purchased]],"yyyy")</f>
        <v>1900</v>
      </c>
      <c r="AQ1031" s="10"/>
    </row>
    <row r="1032" spans="1:43" s="37" customFormat="1" x14ac:dyDescent="0.25">
      <c r="A1032" s="37" t="str">
        <f t="shared" si="52"/>
        <v>2015OdderoBarolo</v>
      </c>
      <c r="B1032" s="37">
        <v>2015</v>
      </c>
      <c r="C1032" s="37" t="s">
        <v>1173</v>
      </c>
      <c r="D1032" s="37" t="s">
        <v>268</v>
      </c>
      <c r="E1032" s="37" t="s">
        <v>1206</v>
      </c>
      <c r="F1032" s="37" t="s">
        <v>728</v>
      </c>
      <c r="G1032" s="37" t="s">
        <v>778</v>
      </c>
      <c r="H1032" s="37" t="s">
        <v>268</v>
      </c>
      <c r="I1032" s="107">
        <v>1</v>
      </c>
      <c r="J1032" s="37">
        <v>375</v>
      </c>
      <c r="K1032" s="107" t="s">
        <v>1234</v>
      </c>
      <c r="L1032" s="10">
        <f>COUNTIF(Drank!A:A,Table1[[#This Row],[ID]])</f>
        <v>2</v>
      </c>
      <c r="M1032" s="37" t="s">
        <v>202</v>
      </c>
      <c r="N1032" s="37" t="s">
        <v>207</v>
      </c>
      <c r="O1032" s="37">
        <v>1</v>
      </c>
      <c r="P1032" s="37">
        <v>2020</v>
      </c>
      <c r="Q1032" s="37">
        <v>2035</v>
      </c>
      <c r="R1032" s="10">
        <f>IF(IFERROR(VLOOKUP(A1032,Drank!A:S,15,FALSE),"")=0,"",IFERROR(VLOOKUP(A1032,Drank!A:S,15,FALSE),""))</f>
        <v>2022</v>
      </c>
      <c r="S1032" s="10">
        <f>IF(IFERROR(VLOOKUP(A1032,Drank!A:S,16,FALSE),"")=0,"",IFERROR(VLOOKUP(A1032,Drank!A:S,16,FALSE),""))</f>
        <v>2035</v>
      </c>
      <c r="T1032" s="10"/>
      <c r="U1032" s="37" t="s">
        <v>74</v>
      </c>
      <c r="V1032" s="18">
        <f>IF(IFERROR(VLOOKUP(A1032,Drank!A:T,19,FALSE),"")=0,"",IFERROR(VLOOKUP(A1032,Drank!A:T,19,FALSE),""))</f>
        <v>93</v>
      </c>
      <c r="W1032" s="1">
        <f>IF(IFERROR(VLOOKUP(A1032,Drank!A:T,20,FALSE),"")=0,"",IFERROR(VLOOKUP(A1032,Drank!A:T,20,FALSE),""))</f>
        <v>43905</v>
      </c>
      <c r="X1032" s="10">
        <f>SUMIF(A:A,A1032,I:I)</f>
        <v>22</v>
      </c>
      <c r="Y1032" s="10">
        <f>IF(Table1[[#This Row],[Drank]]&gt;0,VLOOKUP(Table1[[#This Row],[ID]],Drank!A:P,16,FALSE),IF(Table1[[#This Row],[WALDD]]&gt;0,VLOOKUP(Table1[[#This Row],[ID]],Wine1!A:Q,17,FALSE),Table1[[#This Row],[EP]]))</f>
        <v>2035</v>
      </c>
      <c r="Z1032" s="18">
        <f>IF(Table1[[#This Row],[My Rating]]="",IF(Table1[[#This Row],[WA Rating Clean]]="","",Table1[[#This Row],[WA Rating Clean]]),Table1[[#This Row],[My Rating]])</f>
        <v>93</v>
      </c>
      <c r="AA1032" s="8">
        <v>2030</v>
      </c>
      <c r="AB1032" s="4">
        <v>26.48</v>
      </c>
      <c r="AC1032" s="2">
        <f t="shared" si="53"/>
        <v>26.48</v>
      </c>
      <c r="AD1032" s="8">
        <v>2</v>
      </c>
      <c r="AE1032" s="10">
        <f>IF(Table1[[#This Row],[P/750]]&lt;20,1,IF(Table1[[#This Row],[P/750]]&lt;50,2,3))</f>
        <v>3</v>
      </c>
      <c r="AF1032" s="10">
        <f>IF(Table1[[#This Row],[P/750]]&lt;Expenses!$C$30,1,IF(Table1[[#This Row],[P/750]]&lt;Expenses!$C$31,2,IF(Table1[[#This Row],[P/750]]&lt;Expenses!$C$32,3,4)))</f>
        <v>3</v>
      </c>
      <c r="AH1032" s="37" t="s">
        <v>1175</v>
      </c>
      <c r="AI1032" s="11">
        <f>Table1[[#This Row],[Price]]/Table1[[#This Row],[Size (ml)]]*750</f>
        <v>52.96</v>
      </c>
      <c r="AJ1032" s="37">
        <v>93</v>
      </c>
      <c r="AK1032" s="10">
        <f>COUNTIF(UniqueID!A:A,Table1[[#This Row],[ID]])</f>
        <v>1</v>
      </c>
      <c r="AL1032" s="10" t="str">
        <f>VLOOKUP(Table1[[#This Row],[Cellar Location]],Location!A:F,6,FALSE)</f>
        <v>S</v>
      </c>
      <c r="AN1032" s="1">
        <v>43858</v>
      </c>
      <c r="AO1032" s="37" t="str">
        <f>TEXT(Table1[[#This Row],[Purchased]],"mmmm")</f>
        <v>January</v>
      </c>
      <c r="AP1032" s="10" t="str">
        <f>TEXT(Table1[[#This Row],[Purchased]],"yyyy")</f>
        <v>2020</v>
      </c>
      <c r="AQ1032" s="10"/>
    </row>
    <row r="1033" spans="1:43" s="37" customFormat="1" x14ac:dyDescent="0.25">
      <c r="A1033" s="37" t="str">
        <f t="shared" si="52"/>
        <v>2015OdderoBarolo</v>
      </c>
      <c r="B1033" s="37">
        <v>2015</v>
      </c>
      <c r="C1033" s="37" t="s">
        <v>1173</v>
      </c>
      <c r="D1033" s="37" t="s">
        <v>268</v>
      </c>
      <c r="E1033" s="37" t="s">
        <v>1206</v>
      </c>
      <c r="F1033" s="37" t="s">
        <v>728</v>
      </c>
      <c r="G1033" s="37" t="s">
        <v>778</v>
      </c>
      <c r="H1033" s="37" t="s">
        <v>268</v>
      </c>
      <c r="I1033" s="107">
        <v>1</v>
      </c>
      <c r="J1033" s="37">
        <v>750</v>
      </c>
      <c r="K1033" s="107" t="s">
        <v>1235</v>
      </c>
      <c r="L1033" s="10">
        <f>COUNTIF(Drank!A:A,Table1[[#This Row],[ID]])</f>
        <v>2</v>
      </c>
      <c r="M1033" s="37" t="s">
        <v>202</v>
      </c>
      <c r="N1033" s="37" t="s">
        <v>207</v>
      </c>
      <c r="O1033" s="37">
        <v>1</v>
      </c>
      <c r="P1033" s="37">
        <v>2020</v>
      </c>
      <c r="Q1033" s="37">
        <v>2035</v>
      </c>
      <c r="R1033" s="10">
        <f>IF(IFERROR(VLOOKUP(A1033,Drank!A:S,15,FALSE),"")=0,"",IFERROR(VLOOKUP(A1033,Drank!A:S,15,FALSE),""))</f>
        <v>2022</v>
      </c>
      <c r="S1033" s="10">
        <f>IF(IFERROR(VLOOKUP(A1033,Drank!A:S,16,FALSE),"")=0,"",IFERROR(VLOOKUP(A1033,Drank!A:S,16,FALSE),""))</f>
        <v>2035</v>
      </c>
      <c r="T1033" s="10"/>
      <c r="U1033" s="37" t="s">
        <v>74</v>
      </c>
      <c r="V1033" s="18">
        <f>IF(IFERROR(VLOOKUP(A1033,Drank!A:T,19,FALSE),"")=0,"",IFERROR(VLOOKUP(A1033,Drank!A:T,19,FALSE),""))</f>
        <v>93</v>
      </c>
      <c r="W1033" s="1">
        <f>IF(IFERROR(VLOOKUP(A1033,Drank!A:T,20,FALSE),"")=0,"",IFERROR(VLOOKUP(A1033,Drank!A:T,20,FALSE),""))</f>
        <v>43905</v>
      </c>
      <c r="X1033" s="10">
        <f>SUMIF(A:A,A1033,I:I)</f>
        <v>22</v>
      </c>
      <c r="Y1033" s="10">
        <f>IF(Table1[[#This Row],[Drank]]&gt;0,VLOOKUP(Table1[[#This Row],[ID]],Drank!A:P,16,FALSE),IF(Table1[[#This Row],[WALDD]]&gt;0,VLOOKUP(Table1[[#This Row],[ID]],Wine1!A:Q,17,FALSE),Table1[[#This Row],[EP]]))</f>
        <v>2035</v>
      </c>
      <c r="Z1033" s="18">
        <f>IF(Table1[[#This Row],[My Rating]]="",IF(Table1[[#This Row],[WA Rating Clean]]="","",Table1[[#This Row],[WA Rating Clean]]),Table1[[#This Row],[My Rating]])</f>
        <v>93</v>
      </c>
      <c r="AA1033" s="8">
        <v>2030</v>
      </c>
      <c r="AB1033" s="4">
        <v>40.229999999999997</v>
      </c>
      <c r="AC1033" s="2">
        <f t="shared" si="53"/>
        <v>40.229999999999997</v>
      </c>
      <c r="AD1033" s="8">
        <v>2</v>
      </c>
      <c r="AE1033" s="10">
        <f>IF(Table1[[#This Row],[P/750]]&lt;20,1,IF(Table1[[#This Row],[P/750]]&lt;50,2,3))</f>
        <v>2</v>
      </c>
      <c r="AF1033" s="10">
        <f>IF(Table1[[#This Row],[P/750]]&lt;Expenses!$C$30,1,IF(Table1[[#This Row],[P/750]]&lt;Expenses!$C$31,2,IF(Table1[[#This Row],[P/750]]&lt;Expenses!$C$32,3,4)))</f>
        <v>3</v>
      </c>
      <c r="AH1033" s="37" t="s">
        <v>1174</v>
      </c>
      <c r="AI1033" s="11">
        <f>Table1[[#This Row],[Price]]/Table1[[#This Row],[Size (ml)]]*750</f>
        <v>40.229999999999997</v>
      </c>
      <c r="AJ1033" s="37">
        <v>93</v>
      </c>
      <c r="AK1033" s="10">
        <f>COUNTIF(UniqueID!A:A,Table1[[#This Row],[ID]])</f>
        <v>1</v>
      </c>
      <c r="AL1033" s="10" t="str">
        <f>VLOOKUP(Table1[[#This Row],[Cellar Location]],Location!A:F,6,FALSE)</f>
        <v>S</v>
      </c>
      <c r="AN1033" s="1">
        <v>43858</v>
      </c>
      <c r="AO1033" s="37" t="str">
        <f>TEXT(Table1[[#This Row],[Purchased]],"mmmm")</f>
        <v>January</v>
      </c>
      <c r="AP1033" s="10" t="str">
        <f>TEXT(Table1[[#This Row],[Purchased]],"yyyy")</f>
        <v>2020</v>
      </c>
      <c r="AQ1033" s="10"/>
    </row>
    <row r="1034" spans="1:43" s="37" customFormat="1" x14ac:dyDescent="0.25">
      <c r="A1034" s="37" t="str">
        <f t="shared" si="52"/>
        <v>2016Xavier VignonChateauneuf du Pape Cuvee Anonyme</v>
      </c>
      <c r="B1034" s="37">
        <v>2016</v>
      </c>
      <c r="C1034" s="37" t="s">
        <v>405</v>
      </c>
      <c r="D1034" s="37" t="s">
        <v>454</v>
      </c>
      <c r="E1034" s="69" t="s">
        <v>1267</v>
      </c>
      <c r="F1034" s="37" t="s">
        <v>742</v>
      </c>
      <c r="G1034" s="37" t="s">
        <v>759</v>
      </c>
      <c r="H1034" s="9" t="s">
        <v>762</v>
      </c>
      <c r="I1034" s="107">
        <v>1</v>
      </c>
      <c r="J1034" s="37">
        <v>750</v>
      </c>
      <c r="K1034" s="107" t="s">
        <v>641</v>
      </c>
      <c r="L1034" s="10">
        <f>COUNTIF(Drank!A:A,Table1[[#This Row],[ID]])</f>
        <v>0</v>
      </c>
      <c r="M1034" s="37" t="s">
        <v>202</v>
      </c>
      <c r="N1034" s="37" t="s">
        <v>207</v>
      </c>
      <c r="O1034" s="37">
        <v>1</v>
      </c>
      <c r="P1034" s="10">
        <v>2020</v>
      </c>
      <c r="Q1034" s="37">
        <v>2035</v>
      </c>
      <c r="R1034" s="10" t="str">
        <f>IF(IFERROR(VLOOKUP(A1034,Drank!A:S,15,FALSE),"")=0,"",IFERROR(VLOOKUP(A1034,Drank!A:S,15,FALSE),""))</f>
        <v/>
      </c>
      <c r="S1034" s="10" t="str">
        <f>IF(IFERROR(VLOOKUP(A1034,Drank!A:S,16,FALSE),"")=0,"",IFERROR(VLOOKUP(A1034,Drank!A:S,16,FALSE),""))</f>
        <v/>
      </c>
      <c r="T1034" s="10"/>
      <c r="U1034" s="37">
        <v>95</v>
      </c>
      <c r="V1034" s="18" t="str">
        <f>IF(IFERROR(VLOOKUP(A1034,Drank!A:T,19,FALSE),"")=0,"",IFERROR(VLOOKUP(A1034,Drank!A:T,19,FALSE),""))</f>
        <v/>
      </c>
      <c r="W1034" s="1" t="str">
        <f>IF(IFERROR(VLOOKUP(A1034,Drank!A:T,20,FALSE),"")=0,"",IFERROR(VLOOKUP(A1034,Drank!A:T,20,FALSE),""))</f>
        <v/>
      </c>
      <c r="X1034" s="10">
        <f>SUMIF(A:A,A1034,I:I)</f>
        <v>4</v>
      </c>
      <c r="Y1034" s="10">
        <f>IF(Table1[[#This Row],[Drank]]&gt;0,VLOOKUP(Table1[[#This Row],[ID]],Drank!A:P,16,FALSE),IF(Table1[[#This Row],[WALDD]]&gt;0,VLOOKUP(Table1[[#This Row],[ID]],Wine1!A:Q,17,FALSE),Table1[[#This Row],[EP]]))</f>
        <v>2035</v>
      </c>
      <c r="Z1034" s="18">
        <f>IF(Table1[[#This Row],[My Rating]]="",IF(Table1[[#This Row],[WA Rating Clean]]="","",Table1[[#This Row],[WA Rating Clean]]),Table1[[#This Row],[My Rating]])</f>
        <v>95</v>
      </c>
      <c r="AA1034" s="37">
        <v>2030</v>
      </c>
      <c r="AB1034" s="4">
        <v>39.99</v>
      </c>
      <c r="AC1034" s="2">
        <f t="shared" si="53"/>
        <v>39.99</v>
      </c>
      <c r="AD1034" s="8">
        <v>2</v>
      </c>
      <c r="AE1034" s="10">
        <f>IF(Table1[[#This Row],[P/750]]&lt;20,1,IF(Table1[[#This Row],[P/750]]&lt;50,2,3))</f>
        <v>2</v>
      </c>
      <c r="AF1034" s="10">
        <f>IF(Table1[[#This Row],[P/750]]&lt;Expenses!$C$30,1,IF(Table1[[#This Row],[P/750]]&lt;Expenses!$C$31,2,IF(Table1[[#This Row],[P/750]]&lt;Expenses!$C$32,3,4)))</f>
        <v>3</v>
      </c>
      <c r="AH1034" s="37" t="s">
        <v>385</v>
      </c>
      <c r="AI1034" s="11">
        <f>Table1[[#This Row],[Price]]/Table1[[#This Row],[Size (ml)]]*750</f>
        <v>39.99</v>
      </c>
      <c r="AJ1034" s="37">
        <v>95</v>
      </c>
      <c r="AK1034" s="37">
        <f>COUNTIF(UniqueID!A:A,Table1[[#This Row],[ID]])</f>
        <v>1</v>
      </c>
      <c r="AL1034" s="37" t="str">
        <f>VLOOKUP(Table1[[#This Row],[Cellar Location]],Location!A:F,6,FALSE)</f>
        <v>S</v>
      </c>
      <c r="AO1034" s="37" t="str">
        <f>TEXT(Table1[[#This Row],[Purchased]],"mmmm")</f>
        <v>January</v>
      </c>
      <c r="AP1034" s="10" t="str">
        <f>TEXT(Table1[[#This Row],[Purchased]],"yyyy")</f>
        <v>1900</v>
      </c>
      <c r="AQ1034" s="10"/>
    </row>
    <row r="1035" spans="1:43" s="37" customFormat="1" x14ac:dyDescent="0.25">
      <c r="A1035" s="37" t="str">
        <f t="shared" si="52"/>
        <v>2015Doisy-VedrinesDoisy-Vedrines</v>
      </c>
      <c r="B1035" s="37">
        <v>2015</v>
      </c>
      <c r="C1035" s="37" t="s">
        <v>843</v>
      </c>
      <c r="D1035" s="37" t="s">
        <v>843</v>
      </c>
      <c r="E1035" s="69" t="s">
        <v>1261</v>
      </c>
      <c r="F1035" s="37" t="s">
        <v>742</v>
      </c>
      <c r="G1035" s="37" t="s">
        <v>748</v>
      </c>
      <c r="H1035" s="37" t="s">
        <v>753</v>
      </c>
      <c r="I1035" s="37">
        <v>1</v>
      </c>
      <c r="J1035" s="37">
        <v>375</v>
      </c>
      <c r="K1035" s="8" t="s">
        <v>658</v>
      </c>
      <c r="L1035" s="10">
        <f>COUNTIF(Drank!A:A,Table1[[#This Row],[ID]])</f>
        <v>0</v>
      </c>
      <c r="M1035" s="37" t="s">
        <v>201</v>
      </c>
      <c r="N1035" s="37" t="s">
        <v>206</v>
      </c>
      <c r="O1035" s="37">
        <v>1</v>
      </c>
      <c r="P1035" s="10">
        <v>2019</v>
      </c>
      <c r="Q1035" s="37">
        <v>2040</v>
      </c>
      <c r="R1035" s="10" t="str">
        <f>IF(IFERROR(VLOOKUP(A1035,Drank!A:S,15,FALSE),"")=0,"",IFERROR(VLOOKUP(A1035,Drank!A:S,15,FALSE),""))</f>
        <v/>
      </c>
      <c r="S1035" s="10" t="str">
        <f>IF(IFERROR(VLOOKUP(A1035,Drank!A:S,16,FALSE),"")=0,"",IFERROR(VLOOKUP(A1035,Drank!A:S,16,FALSE),""))</f>
        <v/>
      </c>
      <c r="T1035" s="10"/>
      <c r="U1035" s="37" t="s">
        <v>853</v>
      </c>
      <c r="V1035" s="18" t="str">
        <f>IF(IFERROR(VLOOKUP(A1035,Drank!A:T,19,FALSE),"")=0,"",IFERROR(VLOOKUP(A1035,Drank!A:T,19,FALSE),""))</f>
        <v/>
      </c>
      <c r="W1035" s="1" t="str">
        <f>IF(IFERROR(VLOOKUP(A1035,Drank!A:T,20,FALSE),"")=0,"",IFERROR(VLOOKUP(A1035,Drank!A:T,20,FALSE),""))</f>
        <v/>
      </c>
      <c r="X1035" s="10">
        <f>SUMIF(A:A,A1035,I:I)</f>
        <v>4</v>
      </c>
      <c r="Y1035" s="10">
        <f>IF(Table1[[#This Row],[Drank]]&gt;0,VLOOKUP(Table1[[#This Row],[ID]],Drank!A:P,16,FALSE),IF(Table1[[#This Row],[WALDD]]&gt;0,VLOOKUP(Table1[[#This Row],[ID]],Wine1!A:Q,17,FALSE),Table1[[#This Row],[EP]]))</f>
        <v>2040</v>
      </c>
      <c r="Z1035" s="18">
        <f>IF(Table1[[#This Row],[My Rating]]="",IF(Table1[[#This Row],[WA Rating Clean]]="","",Table1[[#This Row],[WA Rating Clean]]),Table1[[#This Row],[My Rating]])</f>
        <v>94</v>
      </c>
      <c r="AA1035" s="37">
        <v>2030</v>
      </c>
      <c r="AB1035" s="4">
        <v>22.99</v>
      </c>
      <c r="AC1035" s="2">
        <f t="shared" si="53"/>
        <v>22.99</v>
      </c>
      <c r="AD1035" s="8">
        <v>0</v>
      </c>
      <c r="AE1035" s="10">
        <f>IF(Table1[[#This Row],[P/750]]&lt;20,1,IF(Table1[[#This Row],[P/750]]&lt;50,2,3))</f>
        <v>2</v>
      </c>
      <c r="AF1035" s="10">
        <f>IF(Table1[[#This Row],[P/750]]&lt;Expenses!$C$30,1,IF(Table1[[#This Row],[P/750]]&lt;Expenses!$C$31,2,IF(Table1[[#This Row],[P/750]]&lt;Expenses!$C$32,3,4)))</f>
        <v>3</v>
      </c>
      <c r="AH1035" s="37" t="s">
        <v>1139</v>
      </c>
      <c r="AI1035" s="11">
        <f>Table1[[#This Row],[Price]]/Table1[[#This Row],[Size (ml)]]*750</f>
        <v>45.98</v>
      </c>
      <c r="AJ1035" s="37">
        <v>94</v>
      </c>
      <c r="AK1035" s="10">
        <f>COUNTIF(UniqueID!A:A,Table1[[#This Row],[ID]])</f>
        <v>1</v>
      </c>
      <c r="AL1035" s="37" t="str">
        <f>VLOOKUP(Table1[[#This Row],[Cellar Location]],Location!A:F,6,FALSE)</f>
        <v>C</v>
      </c>
      <c r="AO1035" s="37" t="str">
        <f>TEXT(Table1[[#This Row],[Purchased]],"mmmm")</f>
        <v>January</v>
      </c>
      <c r="AP1035" s="10" t="str">
        <f>TEXT(Table1[[#This Row],[Purchased]],"yyyy")</f>
        <v>1900</v>
      </c>
      <c r="AQ1035" s="10"/>
    </row>
    <row r="1036" spans="1:43" s="37" customFormat="1" x14ac:dyDescent="0.25">
      <c r="A1036" s="37" t="str">
        <f t="shared" si="52"/>
        <v>2015Domenico ClericoBarolo</v>
      </c>
      <c r="B1036" s="37">
        <v>2015</v>
      </c>
      <c r="C1036" s="37" t="s">
        <v>844</v>
      </c>
      <c r="D1036" s="37" t="s">
        <v>268</v>
      </c>
      <c r="E1036" s="67" t="s">
        <v>1206</v>
      </c>
      <c r="F1036" s="37" t="s">
        <v>728</v>
      </c>
      <c r="G1036" s="37" t="s">
        <v>778</v>
      </c>
      <c r="H1036" s="37" t="s">
        <v>268</v>
      </c>
      <c r="I1036" s="107">
        <v>1</v>
      </c>
      <c r="J1036" s="37">
        <v>750</v>
      </c>
      <c r="K1036" s="107" t="s">
        <v>928</v>
      </c>
      <c r="L1036" s="10">
        <f>COUNTIF(Drank!A:A,Table1[[#This Row],[ID]])</f>
        <v>0</v>
      </c>
      <c r="M1036" s="37" t="s">
        <v>202</v>
      </c>
      <c r="N1036" s="37" t="s">
        <v>207</v>
      </c>
      <c r="O1036" s="37">
        <v>1</v>
      </c>
      <c r="P1036" s="10">
        <v>2022</v>
      </c>
      <c r="Q1036" s="37">
        <v>2040</v>
      </c>
      <c r="R1036" s="10" t="str">
        <f>IF(IFERROR(VLOOKUP(A1036,Drank!A:S,15,FALSE),"")=0,"",IFERROR(VLOOKUP(A1036,Drank!A:S,15,FALSE),""))</f>
        <v/>
      </c>
      <c r="S1036" s="10" t="str">
        <f>IF(IFERROR(VLOOKUP(A1036,Drank!A:S,16,FALSE),"")=0,"",IFERROR(VLOOKUP(A1036,Drank!A:S,16,FALSE),""))</f>
        <v/>
      </c>
      <c r="T1036" s="10"/>
      <c r="U1036" s="37">
        <v>94</v>
      </c>
      <c r="V1036" s="18" t="str">
        <f>IF(IFERROR(VLOOKUP(A1036,Drank!A:T,19,FALSE),"")=0,"",IFERROR(VLOOKUP(A1036,Drank!A:T,19,FALSE),""))</f>
        <v/>
      </c>
      <c r="W1036" s="1" t="str">
        <f>IF(IFERROR(VLOOKUP(A1036,Drank!A:T,20,FALSE),"")=0,"",IFERROR(VLOOKUP(A1036,Drank!A:T,20,FALSE),""))</f>
        <v/>
      </c>
      <c r="X1036" s="10">
        <f>SUMIF(A:A,A1036,I:I)</f>
        <v>1</v>
      </c>
      <c r="Y1036" s="10">
        <f>IF(Table1[[#This Row],[Drank]]&gt;0,VLOOKUP(Table1[[#This Row],[ID]],Drank!A:P,16,FALSE),IF(Table1[[#This Row],[WALDD]]&gt;0,VLOOKUP(Table1[[#This Row],[ID]],Wine1!A:Q,17,FALSE),Table1[[#This Row],[EP]]))</f>
        <v>2040</v>
      </c>
      <c r="Z1036" s="18">
        <f>IF(Table1[[#This Row],[My Rating]]="",IF(Table1[[#This Row],[WA Rating Clean]]="","",Table1[[#This Row],[WA Rating Clean]]),Table1[[#This Row],[My Rating]])</f>
        <v>94</v>
      </c>
      <c r="AA1036" s="37">
        <v>2030</v>
      </c>
      <c r="AB1036" s="4">
        <v>52.99</v>
      </c>
      <c r="AC1036" s="2">
        <f t="shared" si="53"/>
        <v>52.99</v>
      </c>
      <c r="AD1036" s="8">
        <v>2</v>
      </c>
      <c r="AE1036" s="10">
        <f>IF(Table1[[#This Row],[P/750]]&lt;20,1,IF(Table1[[#This Row],[P/750]]&lt;50,2,3))</f>
        <v>3</v>
      </c>
      <c r="AF1036" s="10">
        <f>IF(Table1[[#This Row],[P/750]]&lt;Expenses!$C$30,1,IF(Table1[[#This Row],[P/750]]&lt;Expenses!$C$31,2,IF(Table1[[#This Row],[P/750]]&lt;Expenses!$C$32,3,4)))</f>
        <v>3</v>
      </c>
      <c r="AH1036" s="37" t="s">
        <v>1139</v>
      </c>
      <c r="AI1036" s="11">
        <f>Table1[[#This Row],[Price]]/Table1[[#This Row],[Size (ml)]]*750</f>
        <v>52.99</v>
      </c>
      <c r="AJ1036" s="37">
        <v>94</v>
      </c>
      <c r="AK1036" s="10">
        <f>COUNTIF(UniqueID!A:A,Table1[[#This Row],[ID]])</f>
        <v>1</v>
      </c>
      <c r="AL1036" s="37" t="str">
        <f>VLOOKUP(Table1[[#This Row],[Cellar Location]],Location!A:F,6,FALSE)</f>
        <v>S</v>
      </c>
      <c r="AO1036" s="37" t="str">
        <f>TEXT(Table1[[#This Row],[Purchased]],"mmmm")</f>
        <v>January</v>
      </c>
      <c r="AP1036" s="10" t="str">
        <f>TEXT(Table1[[#This Row],[Purchased]],"yyyy")</f>
        <v>1900</v>
      </c>
      <c r="AQ1036" s="10"/>
    </row>
    <row r="1037" spans="1:43" s="37" customFormat="1" x14ac:dyDescent="0.25">
      <c r="A1037" s="37" t="str">
        <f t="shared" si="52"/>
        <v>2016Clos du RoyClos du Roy</v>
      </c>
      <c r="B1037" s="37">
        <v>2016</v>
      </c>
      <c r="C1037" s="37" t="s">
        <v>854</v>
      </c>
      <c r="D1037" s="37" t="s">
        <v>854</v>
      </c>
      <c r="E1037" s="37" t="s">
        <v>1198</v>
      </c>
      <c r="F1037" s="37" t="s">
        <v>742</v>
      </c>
      <c r="G1037" s="37" t="s">
        <v>748</v>
      </c>
      <c r="H1037" s="37" t="s">
        <v>856</v>
      </c>
      <c r="I1037" s="107">
        <v>1</v>
      </c>
      <c r="J1037" s="37">
        <v>750</v>
      </c>
      <c r="K1037" s="107" t="s">
        <v>1145</v>
      </c>
      <c r="L1037" s="10">
        <f>COUNTIF(Drank!A:A,Table1[[#This Row],[ID]])</f>
        <v>1</v>
      </c>
      <c r="M1037" s="37" t="s">
        <v>202</v>
      </c>
      <c r="N1037" s="37" t="s">
        <v>207</v>
      </c>
      <c r="O1037" s="37">
        <v>1</v>
      </c>
      <c r="P1037" s="10">
        <v>2021</v>
      </c>
      <c r="Q1037" s="37">
        <v>2038</v>
      </c>
      <c r="R1037" s="10" t="str">
        <f>IF(IFERROR(VLOOKUP(A1037,Drank!A:S,15,FALSE),"")=0,"",IFERROR(VLOOKUP(A1037,Drank!A:S,15,FALSE),""))</f>
        <v/>
      </c>
      <c r="S1037" s="10">
        <f>IF(IFERROR(VLOOKUP(A1037,Drank!A:S,16,FALSE),"")=0,"",IFERROR(VLOOKUP(A1037,Drank!A:S,16,FALSE),""))</f>
        <v>2045</v>
      </c>
      <c r="T1037" s="10"/>
      <c r="U1037" s="37" t="s">
        <v>855</v>
      </c>
      <c r="V1037" s="18">
        <f>IF(IFERROR(VLOOKUP(A1037,Drank!A:T,19,FALSE),"")=0,"",IFERROR(VLOOKUP(A1037,Drank!A:T,19,FALSE),""))</f>
        <v>91</v>
      </c>
      <c r="W1037" s="1">
        <f>IF(IFERROR(VLOOKUP(A1037,Drank!A:T,20,FALSE),"")=0,"",IFERROR(VLOOKUP(A1037,Drank!A:T,20,FALSE),""))</f>
        <v>43830</v>
      </c>
      <c r="X1037" s="10">
        <f>SUMIF(A:A,A1037,I:I)</f>
        <v>15</v>
      </c>
      <c r="Y1037" s="10">
        <f>IF(Table1[[#This Row],[Drank]]&gt;0,VLOOKUP(Table1[[#This Row],[ID]],Drank!A:P,16,FALSE),IF(Table1[[#This Row],[WALDD]]&gt;0,VLOOKUP(Table1[[#This Row],[ID]],Wine1!A:Q,17,FALSE),Table1[[#This Row],[EP]]))</f>
        <v>2045</v>
      </c>
      <c r="Z1037" s="18">
        <f>IF(Table1[[#This Row],[My Rating]]="",IF(Table1[[#This Row],[WA Rating Clean]]="","",Table1[[#This Row],[WA Rating Clean]]),Table1[[#This Row],[My Rating]])</f>
        <v>91</v>
      </c>
      <c r="AA1037" s="37">
        <v>2030</v>
      </c>
      <c r="AB1037" s="4">
        <v>17.91</v>
      </c>
      <c r="AC1037" s="2">
        <f t="shared" si="53"/>
        <v>17.91</v>
      </c>
      <c r="AD1037" s="8">
        <v>2</v>
      </c>
      <c r="AE1037" s="10">
        <f>IF(Table1[[#This Row],[P/750]]&lt;20,1,IF(Table1[[#This Row],[P/750]]&lt;50,2,3))</f>
        <v>1</v>
      </c>
      <c r="AF1037" s="10">
        <f>IF(Table1[[#This Row],[P/750]]&lt;Expenses!$C$30,1,IF(Table1[[#This Row],[P/750]]&lt;Expenses!$C$31,2,IF(Table1[[#This Row],[P/750]]&lt;Expenses!$C$32,3,4)))</f>
        <v>2</v>
      </c>
      <c r="AH1037" s="37" t="s">
        <v>1128</v>
      </c>
      <c r="AI1037" s="11">
        <f>Table1[[#This Row],[Price]]/Table1[[#This Row],[Size (ml)]]*750</f>
        <v>17.91</v>
      </c>
      <c r="AJ1037" s="37">
        <v>92</v>
      </c>
      <c r="AK1037" s="10">
        <f>COUNTIF(UniqueID!A:A,Table1[[#This Row],[ID]])</f>
        <v>1</v>
      </c>
      <c r="AL1037" s="37" t="str">
        <f>VLOOKUP(Table1[[#This Row],[Cellar Location]],Location!A:F,6,FALSE)</f>
        <v>S</v>
      </c>
      <c r="AN1037" s="1">
        <v>43830</v>
      </c>
      <c r="AO1037" s="37" t="str">
        <f>TEXT(Table1[[#This Row],[Purchased]],"mmmm")</f>
        <v>December</v>
      </c>
      <c r="AP1037" s="10" t="str">
        <f>TEXT(Table1[[#This Row],[Purchased]],"yyyy")</f>
        <v>2019</v>
      </c>
      <c r="AQ1037" s="10"/>
    </row>
    <row r="1038" spans="1:43" s="37" customFormat="1" x14ac:dyDescent="0.25">
      <c r="A1038" s="37" t="str">
        <f t="shared" si="52"/>
        <v>2014Anderson's Conn ValleyCabernet Sauvignon Reserve</v>
      </c>
      <c r="B1038" s="37">
        <v>2014</v>
      </c>
      <c r="C1038" s="37" t="s">
        <v>252</v>
      </c>
      <c r="D1038" s="37" t="s">
        <v>430</v>
      </c>
      <c r="E1038" s="69" t="s">
        <v>1259</v>
      </c>
      <c r="F1038" s="37" t="s">
        <v>727</v>
      </c>
      <c r="G1038" s="37" t="s">
        <v>806</v>
      </c>
      <c r="H1038" s="37" t="s">
        <v>832</v>
      </c>
      <c r="I1038" s="107">
        <v>1</v>
      </c>
      <c r="J1038" s="37">
        <v>750</v>
      </c>
      <c r="K1038" s="107" t="s">
        <v>641</v>
      </c>
      <c r="L1038" s="37">
        <f>COUNTIF(Drank!A:A,Table1[[#This Row],[ID]])</f>
        <v>0</v>
      </c>
      <c r="M1038" s="37" t="s">
        <v>202</v>
      </c>
      <c r="N1038" s="37" t="s">
        <v>207</v>
      </c>
      <c r="O1038" s="37">
        <v>1</v>
      </c>
      <c r="P1038" s="37">
        <v>2016</v>
      </c>
      <c r="Q1038" s="37">
        <v>2046</v>
      </c>
      <c r="R1038" s="10" t="str">
        <f>IF(IFERROR(VLOOKUP(A1038,Drank!A:S,15,FALSE),"")=0,"",IFERROR(VLOOKUP(A1038,Drank!A:S,15,FALSE),""))</f>
        <v/>
      </c>
      <c r="S1038" s="10" t="str">
        <f>IF(IFERROR(VLOOKUP(A1038,Drank!A:S,16,FALSE),"")=0,"",IFERROR(VLOOKUP(A1038,Drank!A:S,16,FALSE),""))</f>
        <v/>
      </c>
      <c r="T1038" s="10"/>
      <c r="U1038" s="37">
        <v>95</v>
      </c>
      <c r="V1038" s="18" t="str">
        <f>IF(IFERROR(VLOOKUP(A1038,Drank!A:T,19,FALSE),"")=0,"",IFERROR(VLOOKUP(A1038,Drank!A:T,19,FALSE),""))</f>
        <v/>
      </c>
      <c r="W1038" s="1" t="str">
        <f>IF(IFERROR(VLOOKUP(A1038,Drank!A:T,20,FALSE),"")=0,"",IFERROR(VLOOKUP(A1038,Drank!A:T,20,FALSE),""))</f>
        <v/>
      </c>
      <c r="X1038" s="10">
        <f>SUMIF(A:A,A1038,I:I)</f>
        <v>4</v>
      </c>
      <c r="Y1038" s="37">
        <f>IF(Table1[[#This Row],[Drank]]&gt;0,VLOOKUP(Table1[[#This Row],[ID]],Drank!A:P,16,FALSE),IF(Table1[[#This Row],[WALDD]]&gt;0,VLOOKUP(Table1[[#This Row],[ID]],Wine1!A:Q,17,FALSE),Table1[[#This Row],[EP]]))</f>
        <v>2046</v>
      </c>
      <c r="Z1038" s="18">
        <f>IF(Table1[[#This Row],[My Rating]]="",IF(Table1[[#This Row],[WA Rating Clean]]="","",Table1[[#This Row],[WA Rating Clean]]),Table1[[#This Row],[My Rating]])</f>
        <v>95</v>
      </c>
      <c r="AA1038" s="37">
        <v>2030</v>
      </c>
      <c r="AB1038" s="4">
        <v>60</v>
      </c>
      <c r="AC1038" s="2">
        <f t="shared" si="53"/>
        <v>60</v>
      </c>
      <c r="AD1038" s="8">
        <v>2</v>
      </c>
      <c r="AE1038" s="37">
        <f>IF(Table1[[#This Row],[P/750]]&lt;20,1,IF(Table1[[#This Row],[P/750]]&lt;50,2,3))</f>
        <v>3</v>
      </c>
      <c r="AF1038" s="37">
        <f>IF(Table1[[#This Row],[P/750]]&lt;Expenses!$C$30,1,IF(Table1[[#This Row],[P/750]]&lt;Expenses!$C$31,2,IF(Table1[[#This Row],[P/750]]&lt;Expenses!$C$32,3,4)))</f>
        <v>3</v>
      </c>
      <c r="AH1038" s="37" t="s">
        <v>384</v>
      </c>
      <c r="AI1038" s="11">
        <f>Table1[[#This Row],[Price]]/Table1[[#This Row],[Size (ml)]]*750</f>
        <v>60</v>
      </c>
      <c r="AJ1038" s="37">
        <v>95</v>
      </c>
      <c r="AK1038" s="37">
        <f>COUNTIF(UniqueID!A:A,Table1[[#This Row],[ID]])</f>
        <v>1</v>
      </c>
      <c r="AL1038" s="37" t="str">
        <f>VLOOKUP(Table1[[#This Row],[Cellar Location]],Location!A:F,6,FALSE)</f>
        <v>S</v>
      </c>
      <c r="AO1038" s="37" t="str">
        <f>TEXT(Table1[[#This Row],[Purchased]],"mmmm")</f>
        <v>January</v>
      </c>
      <c r="AP1038" s="10" t="str">
        <f>TEXT(Table1[[#This Row],[Purchased]],"yyyy")</f>
        <v>1900</v>
      </c>
      <c r="AQ1038" s="10"/>
    </row>
    <row r="1039" spans="1:43" s="37" customFormat="1" x14ac:dyDescent="0.25">
      <c r="A1039" s="37" t="str">
        <f t="shared" si="52"/>
        <v>2015Chateau GuiraudChateau Guiraud</v>
      </c>
      <c r="B1039" s="37">
        <v>2015</v>
      </c>
      <c r="C1039" s="37" t="s">
        <v>1210</v>
      </c>
      <c r="D1039" s="37" t="s">
        <v>1210</v>
      </c>
      <c r="E1039" s="67" t="s">
        <v>1272</v>
      </c>
      <c r="F1039" s="37" t="s">
        <v>742</v>
      </c>
      <c r="G1039" s="37" t="s">
        <v>748</v>
      </c>
      <c r="H1039" s="37" t="s">
        <v>260</v>
      </c>
      <c r="I1039" s="107">
        <v>1</v>
      </c>
      <c r="J1039" s="37">
        <v>750</v>
      </c>
      <c r="K1039" s="107" t="s">
        <v>648</v>
      </c>
      <c r="L1039" s="37">
        <f>COUNTIF(Drank!A:A,Table1[[#This Row],[ID]])</f>
        <v>0</v>
      </c>
      <c r="M1039" s="37" t="s">
        <v>201</v>
      </c>
      <c r="N1039" s="37" t="s">
        <v>206</v>
      </c>
      <c r="O1039" s="37">
        <v>1</v>
      </c>
      <c r="P1039" s="37">
        <v>2022</v>
      </c>
      <c r="Q1039" s="37">
        <v>2046</v>
      </c>
      <c r="R1039" s="37" t="str">
        <f>IF(IFERROR(VLOOKUP(A1039,Drank!A:S,15,FALSE),"")=0,"",IFERROR(VLOOKUP(A1039,Drank!A:S,15,FALSE),""))</f>
        <v/>
      </c>
      <c r="S1039" s="37" t="str">
        <f>IF(IFERROR(VLOOKUP(A1039,Drank!A:S,16,FALSE),"")=0,"",IFERROR(VLOOKUP(A1039,Drank!A:S,16,FALSE),""))</f>
        <v/>
      </c>
      <c r="U1039" s="37" t="s">
        <v>17</v>
      </c>
      <c r="V1039" s="18" t="str">
        <f>IF(IFERROR(VLOOKUP(A1039,Drank!A:T,19,FALSE),"")=0,"",IFERROR(VLOOKUP(A1039,Drank!A:T,19,FALSE),""))</f>
        <v/>
      </c>
      <c r="W1039" s="1" t="str">
        <f>IF(IFERROR(VLOOKUP(A1039,Drank!A:T,20,FALSE),"")=0,"",IFERROR(VLOOKUP(A1039,Drank!A:T,20,FALSE),""))</f>
        <v/>
      </c>
      <c r="X1039" s="37">
        <f>SUMIF(A:A,A1039,I:I)</f>
        <v>3</v>
      </c>
      <c r="Y1039" s="37">
        <f>IF(Table1[[#This Row],[Drank]]&gt;0,VLOOKUP(Table1[[#This Row],[ID]],Drank!A:P,16,FALSE),IF(Table1[[#This Row],[WALDD]]&gt;0,VLOOKUP(Table1[[#This Row],[ID]],Wine1!A:Q,17,FALSE),Table1[[#This Row],[EP]]))</f>
        <v>2046</v>
      </c>
      <c r="Z1039" s="18">
        <f>IF(Table1[[#This Row],[My Rating]]="",IF(Table1[[#This Row],[WA Rating Clean]]="","",Table1[[#This Row],[WA Rating Clean]]),Table1[[#This Row],[My Rating]])</f>
        <v>94</v>
      </c>
      <c r="AA1039" s="6">
        <v>2030</v>
      </c>
      <c r="AB1039" s="3">
        <v>49.99</v>
      </c>
      <c r="AC1039" s="2">
        <f t="shared" si="53"/>
        <v>49.99</v>
      </c>
      <c r="AD1039" s="8">
        <v>2</v>
      </c>
      <c r="AE1039" s="37">
        <f>IF(Table1[[#This Row],[P/750]]&lt;20,1,IF(Table1[[#This Row],[P/750]]&lt;50,2,3))</f>
        <v>2</v>
      </c>
      <c r="AF1039" s="37">
        <f>IF(Table1[[#This Row],[P/750]]&lt;Expenses!$C$30,1,IF(Table1[[#This Row],[P/750]]&lt;Expenses!$C$31,2,IF(Table1[[#This Row],[P/750]]&lt;Expenses!$C$32,3,4)))</f>
        <v>3</v>
      </c>
      <c r="AH1039" s="37" t="s">
        <v>1139</v>
      </c>
      <c r="AI1039" s="11">
        <f>Table1[[#This Row],[Price]]/Table1[[#This Row],[Size (ml)]]*750</f>
        <v>49.990000000000009</v>
      </c>
      <c r="AJ1039" s="37">
        <v>94</v>
      </c>
      <c r="AK1039" s="37">
        <f>COUNTIF(UniqueID!A:A,Table1[[#This Row],[ID]])</f>
        <v>1</v>
      </c>
      <c r="AL1039" s="37" t="str">
        <f>VLOOKUP(Table1[[#This Row],[Cellar Location]],Location!A:F,6,FALSE)</f>
        <v>S</v>
      </c>
      <c r="AO1039" s="37" t="str">
        <f>TEXT(Table1[[#This Row],[Purchased]],"mmmm")</f>
        <v>January</v>
      </c>
      <c r="AP1039" s="10" t="str">
        <f>TEXT(Table1[[#This Row],[Purchased]],"yyyy")</f>
        <v>1900</v>
      </c>
      <c r="AQ1039" s="10"/>
    </row>
    <row r="1040" spans="1:43" s="37" customFormat="1" x14ac:dyDescent="0.25">
      <c r="A1040" s="37" t="str">
        <f t="shared" si="52"/>
        <v>2016Tenuta San GuidoSassicaia</v>
      </c>
      <c r="B1040" s="37">
        <v>2016</v>
      </c>
      <c r="C1040" s="37" t="s">
        <v>91</v>
      </c>
      <c r="D1040" s="37" t="s">
        <v>304</v>
      </c>
      <c r="E1040" s="67" t="s">
        <v>1251</v>
      </c>
      <c r="F1040" s="37" t="s">
        <v>728</v>
      </c>
      <c r="G1040" s="37" t="s">
        <v>790</v>
      </c>
      <c r="H1040" s="37" t="s">
        <v>791</v>
      </c>
      <c r="I1040" s="37">
        <v>1</v>
      </c>
      <c r="J1040" s="37">
        <v>750</v>
      </c>
      <c r="K1040" s="8" t="s">
        <v>11</v>
      </c>
      <c r="L1040" s="37">
        <f>COUNTIF(Drank!A:A,Table1[[#This Row],[ID]])</f>
        <v>0</v>
      </c>
      <c r="M1040" s="37" t="s">
        <v>202</v>
      </c>
      <c r="N1040" s="37" t="s">
        <v>207</v>
      </c>
      <c r="O1040" s="37">
        <v>1</v>
      </c>
      <c r="P1040" s="37">
        <v>2021</v>
      </c>
      <c r="Q1040" s="37">
        <v>2050</v>
      </c>
      <c r="R1040" s="10" t="str">
        <f>IF(IFERROR(VLOOKUP(A1040,Drank!A:S,15,FALSE),"")=0,"",IFERROR(VLOOKUP(A1040,Drank!A:S,15,FALSE),""))</f>
        <v/>
      </c>
      <c r="S1040" s="10" t="str">
        <f>IF(IFERROR(VLOOKUP(A1040,Drank!A:S,16,FALSE),"")=0,"",IFERROR(VLOOKUP(A1040,Drank!A:S,16,FALSE),""))</f>
        <v/>
      </c>
      <c r="T1040" s="10"/>
      <c r="U1040" s="37">
        <v>100</v>
      </c>
      <c r="V1040" s="18" t="str">
        <f>IF(IFERROR(VLOOKUP(A1040,Drank!A:T,19,FALSE),"")=0,"",IFERROR(VLOOKUP(A1040,Drank!A:T,19,FALSE),""))</f>
        <v/>
      </c>
      <c r="W1040" s="1" t="str">
        <f>IF(IFERROR(VLOOKUP(A1040,Drank!A:T,20,FALSE),"")=0,"",IFERROR(VLOOKUP(A1040,Drank!A:T,20,FALSE),""))</f>
        <v/>
      </c>
      <c r="X1040" s="10">
        <f>SUMIF(A:A,A1040,I:I)</f>
        <v>6</v>
      </c>
      <c r="Y1040" s="37">
        <f>IF(Table1[[#This Row],[Drank]]&gt;0,VLOOKUP(Table1[[#This Row],[ID]],Drank!A:P,16,FALSE),IF(Table1[[#This Row],[WALDD]]&gt;0,VLOOKUP(Table1[[#This Row],[ID]],Wine1!A:Q,17,FALSE),Table1[[#This Row],[EP]]))</f>
        <v>2050</v>
      </c>
      <c r="Z1040" s="18">
        <f>IF(Table1[[#This Row],[My Rating]]="",IF(Table1[[#This Row],[WA Rating Clean]]="","",Table1[[#This Row],[WA Rating Clean]]),Table1[[#This Row],[My Rating]])</f>
        <v>100</v>
      </c>
      <c r="AA1040" s="37">
        <v>2030</v>
      </c>
      <c r="AB1040" s="4">
        <v>225.32</v>
      </c>
      <c r="AC1040" s="2">
        <f t="shared" si="53"/>
        <v>225.32</v>
      </c>
      <c r="AD1040" s="8">
        <v>0</v>
      </c>
      <c r="AE1040" s="37">
        <f>IF(Table1[[#This Row],[P/750]]&lt;20,1,IF(Table1[[#This Row],[P/750]]&lt;50,2,3))</f>
        <v>3</v>
      </c>
      <c r="AF1040" s="37">
        <f>IF(Table1[[#This Row],[P/750]]&lt;Expenses!$C$30,1,IF(Table1[[#This Row],[P/750]]&lt;Expenses!$C$31,2,IF(Table1[[#This Row],[P/750]]&lt;Expenses!$C$32,3,4)))</f>
        <v>4</v>
      </c>
      <c r="AH1040" s="37" t="s">
        <v>1128</v>
      </c>
      <c r="AI1040" s="11">
        <f>Table1[[#This Row],[Price]]/Table1[[#This Row],[Size (ml)]]*750</f>
        <v>225.32</v>
      </c>
      <c r="AJ1040" s="37">
        <v>100</v>
      </c>
      <c r="AK1040" s="37">
        <f>COUNTIF(UniqueID!A:A,Table1[[#This Row],[ID]])</f>
        <v>1</v>
      </c>
      <c r="AL1040" s="37" t="str">
        <f>VLOOKUP(Table1[[#This Row],[Cellar Location]],Location!A:F,6,FALSE)</f>
        <v>K</v>
      </c>
      <c r="AO1040" s="37" t="str">
        <f>TEXT(Table1[[#This Row],[Purchased]],"mmmm")</f>
        <v>January</v>
      </c>
      <c r="AP1040" s="10" t="str">
        <f>TEXT(Table1[[#This Row],[Purchased]],"yyyy")</f>
        <v>1900</v>
      </c>
      <c r="AQ1040" s="10"/>
    </row>
    <row r="1041" spans="1:43" s="37" customFormat="1" x14ac:dyDescent="0.25">
      <c r="A1041" s="37" t="str">
        <f t="shared" si="52"/>
        <v>2016Lafaurie-PeyragueyLafaurie-Peyraguey</v>
      </c>
      <c r="B1041" s="37">
        <v>2016</v>
      </c>
      <c r="C1041" s="37" t="s">
        <v>125</v>
      </c>
      <c r="D1041" s="37" t="s">
        <v>125</v>
      </c>
      <c r="E1041" s="67" t="s">
        <v>1205</v>
      </c>
      <c r="F1041" s="37" t="s">
        <v>742</v>
      </c>
      <c r="G1041" s="37" t="s">
        <v>748</v>
      </c>
      <c r="H1041" s="37" t="s">
        <v>260</v>
      </c>
      <c r="I1041" s="107">
        <v>1</v>
      </c>
      <c r="J1041" s="37">
        <v>375</v>
      </c>
      <c r="K1041" s="107" t="s">
        <v>629</v>
      </c>
      <c r="L1041" s="37">
        <f>COUNTIF(Drank!A:A,Table1[[#This Row],[ID]])</f>
        <v>0</v>
      </c>
      <c r="M1041" s="37" t="s">
        <v>201</v>
      </c>
      <c r="N1041" s="37" t="s">
        <v>206</v>
      </c>
      <c r="O1041" s="37">
        <v>1</v>
      </c>
      <c r="P1041" s="10">
        <v>2021</v>
      </c>
      <c r="Q1041" s="37">
        <v>2060</v>
      </c>
      <c r="R1041" s="10" t="str">
        <f>IF(IFERROR(VLOOKUP(A1041,Drank!A:S,15,FALSE),"")=0,"",IFERROR(VLOOKUP(A1041,Drank!A:S,15,FALSE),""))</f>
        <v/>
      </c>
      <c r="S1041" s="10" t="str">
        <f>IF(IFERROR(VLOOKUP(A1041,Drank!A:S,16,FALSE),"")=0,"",IFERROR(VLOOKUP(A1041,Drank!A:S,16,FALSE),""))</f>
        <v/>
      </c>
      <c r="T1041" s="10"/>
      <c r="U1041" s="37" t="s">
        <v>441</v>
      </c>
      <c r="V1041" s="18" t="str">
        <f>IF(IFERROR(VLOOKUP(A1041,Drank!A:T,19,FALSE),"")=0,"",IFERROR(VLOOKUP(A1041,Drank!A:T,19,FALSE),""))</f>
        <v/>
      </c>
      <c r="W1041" s="1" t="str">
        <f>IF(IFERROR(VLOOKUP(A1041,Drank!A:T,20,FALSE),"")=0,"",IFERROR(VLOOKUP(A1041,Drank!A:T,20,FALSE),""))</f>
        <v/>
      </c>
      <c r="X1041" s="10">
        <f>SUMIF(A:A,A1041,I:I)</f>
        <v>12</v>
      </c>
      <c r="Y1041" s="10">
        <f>IF(Table1[[#This Row],[Drank]]&gt;0,VLOOKUP(Table1[[#This Row],[ID]],Drank!A:P,16,FALSE),IF(Table1[[#This Row],[WALDD]]&gt;0,VLOOKUP(Table1[[#This Row],[ID]],Wine1!A:Q,17,FALSE),Table1[[#This Row],[EP]]))</f>
        <v>2060</v>
      </c>
      <c r="Z1041" s="18">
        <f>IF(Table1[[#This Row],[My Rating]]="",IF(Table1[[#This Row],[WA Rating Clean]]="","",Table1[[#This Row],[WA Rating Clean]]),Table1[[#This Row],[My Rating]])</f>
        <v>95</v>
      </c>
      <c r="AA1041" s="37">
        <v>2030</v>
      </c>
      <c r="AB1041" s="4">
        <v>16</v>
      </c>
      <c r="AC1041" s="2">
        <f t="shared" si="53"/>
        <v>16</v>
      </c>
      <c r="AD1041" s="8">
        <v>2</v>
      </c>
      <c r="AE1041" s="37">
        <f>IF(Table1[[#This Row],[P/750]]&lt;20,1,IF(Table1[[#This Row],[P/750]]&lt;50,2,3))</f>
        <v>2</v>
      </c>
      <c r="AF1041" s="37">
        <f>IF(Table1[[#This Row],[P/750]]&lt;Expenses!$C$30,1,IF(Table1[[#This Row],[P/750]]&lt;Expenses!$C$31,2,IF(Table1[[#This Row],[P/750]]&lt;Expenses!$C$32,3,4)))</f>
        <v>3</v>
      </c>
      <c r="AH1041" s="37" t="s">
        <v>385</v>
      </c>
      <c r="AI1041" s="11">
        <f>Table1[[#This Row],[Price]]/Table1[[#This Row],[Size (ml)]]*750</f>
        <v>32</v>
      </c>
      <c r="AJ1041" s="37">
        <v>95</v>
      </c>
      <c r="AK1041" s="37">
        <f>COUNTIF(UniqueID!A:A,Table1[[#This Row],[ID]])</f>
        <v>1</v>
      </c>
      <c r="AL1041" s="37" t="str">
        <f>VLOOKUP(Table1[[#This Row],[Cellar Location]],Location!A:F,6,FALSE)</f>
        <v>S</v>
      </c>
      <c r="AO1041" s="37" t="str">
        <f>TEXT(Table1[[#This Row],[Purchased]],"mmmm")</f>
        <v>January</v>
      </c>
      <c r="AP1041" s="10" t="str">
        <f>TEXT(Table1[[#This Row],[Purchased]],"yyyy")</f>
        <v>1900</v>
      </c>
      <c r="AQ1041" s="10"/>
    </row>
    <row r="1042" spans="1:43" s="37" customFormat="1" x14ac:dyDescent="0.25">
      <c r="A1042" s="37" t="str">
        <f t="shared" si="52"/>
        <v>2017RieussecRieussec</v>
      </c>
      <c r="B1042" s="37">
        <v>2017</v>
      </c>
      <c r="C1042" s="37" t="s">
        <v>848</v>
      </c>
      <c r="D1042" s="37" t="s">
        <v>848</v>
      </c>
      <c r="E1042" s="64" t="s">
        <v>260</v>
      </c>
      <c r="F1042" s="37" t="s">
        <v>742</v>
      </c>
      <c r="G1042" s="37" t="s">
        <v>748</v>
      </c>
      <c r="H1042" s="37" t="s">
        <v>260</v>
      </c>
      <c r="I1042" s="37">
        <v>1</v>
      </c>
      <c r="J1042" s="38">
        <v>750</v>
      </c>
      <c r="K1042" s="38" t="s">
        <v>371</v>
      </c>
      <c r="L1042" s="10">
        <f>COUNTIF(Drank!A:A,Table1[[#This Row],[ID]])</f>
        <v>0</v>
      </c>
      <c r="M1042" s="37" t="s">
        <v>201</v>
      </c>
      <c r="N1042" s="37" t="s">
        <v>206</v>
      </c>
      <c r="O1042" s="37">
        <v>1</v>
      </c>
      <c r="P1042" s="10"/>
      <c r="R1042" s="10" t="str">
        <f>IF(IFERROR(VLOOKUP(A1042,Drank!A:S,15,FALSE),"")=0,"",IFERROR(VLOOKUP(A1042,Drank!A:S,15,FALSE),""))</f>
        <v/>
      </c>
      <c r="S1042" s="10" t="str">
        <f>IF(IFERROR(VLOOKUP(A1042,Drank!A:S,16,FALSE),"")=0,"",IFERROR(VLOOKUP(A1042,Drank!A:S,16,FALSE),""))</f>
        <v/>
      </c>
      <c r="T1042" s="10">
        <v>2060</v>
      </c>
      <c r="U1042" s="37" t="s">
        <v>851</v>
      </c>
      <c r="V1042" s="18" t="str">
        <f>IF(IFERROR(VLOOKUP(A1042,Drank!A:T,19,FALSE),"")=0,"",IFERROR(VLOOKUP(A1042,Drank!A:T,19,FALSE),""))</f>
        <v/>
      </c>
      <c r="W1042" s="1" t="str">
        <f>IF(IFERROR(VLOOKUP(A1042,Drank!A:T,20,FALSE),"")=0,"",IFERROR(VLOOKUP(A1042,Drank!A:T,20,FALSE),""))</f>
        <v/>
      </c>
      <c r="X1042" s="10">
        <f>SUMIF(A:A,A1042,I:I)</f>
        <v>3</v>
      </c>
      <c r="Y1042" s="10">
        <f>IF(Table1[[#This Row],[Drank]]&gt;0,VLOOKUP(Table1[[#This Row],[ID]],Drank!A:P,16,FALSE),IF(Table1[[#This Row],[WALDD]]&gt;0,VLOOKUP(Table1[[#This Row],[ID]],Wine1!A:Q,17,FALSE),Table1[[#This Row],[EP]]))</f>
        <v>2060</v>
      </c>
      <c r="Z1042" s="18">
        <f>IF(Table1[[#This Row],[My Rating]]="",IF(Table1[[#This Row],[WA Rating Clean]]="","",Table1[[#This Row],[WA Rating Clean]]),Table1[[#This Row],[My Rating]])</f>
        <v>97</v>
      </c>
      <c r="AA1042" s="37">
        <v>2030</v>
      </c>
      <c r="AB1042" s="4">
        <v>59.97</v>
      </c>
      <c r="AC1042" s="2">
        <f t="shared" si="53"/>
        <v>59.97</v>
      </c>
      <c r="AD1042" s="8">
        <v>1</v>
      </c>
      <c r="AE1042" s="10">
        <f>IF(Table1[[#This Row],[P/750]]&lt;20,1,IF(Table1[[#This Row],[P/750]]&lt;50,2,3))</f>
        <v>3</v>
      </c>
      <c r="AF1042" s="10">
        <f>IF(Table1[[#This Row],[P/750]]&lt;Expenses!$C$30,1,IF(Table1[[#This Row],[P/750]]&lt;Expenses!$C$31,2,IF(Table1[[#This Row],[P/750]]&lt;Expenses!$C$32,3,4)))</f>
        <v>3</v>
      </c>
      <c r="AH1042" s="37" t="s">
        <v>371</v>
      </c>
      <c r="AI1042" s="11">
        <f>Table1[[#This Row],[Price]]/Table1[[#This Row],[Size (ml)]]*750</f>
        <v>59.970000000000006</v>
      </c>
      <c r="AJ1042" s="37">
        <v>97</v>
      </c>
      <c r="AK1042" s="10">
        <f>COUNTIF(UniqueID!A:A,Table1[[#This Row],[ID]])</f>
        <v>1</v>
      </c>
      <c r="AL1042" s="37" t="str">
        <f>VLOOKUP(Table1[[#This Row],[Cellar Location]],Location!A:F,6,FALSE)</f>
        <v>W</v>
      </c>
      <c r="AO1042" s="37" t="str">
        <f>TEXT(Table1[[#This Row],[Purchased]],"mmmm")</f>
        <v>January</v>
      </c>
      <c r="AP1042" s="10" t="str">
        <f>TEXT(Table1[[#This Row],[Purchased]],"yyyy")</f>
        <v>1900</v>
      </c>
      <c r="AQ1042" s="1">
        <v>44135</v>
      </c>
    </row>
    <row r="1043" spans="1:43" s="37" customFormat="1" x14ac:dyDescent="0.25">
      <c r="A1043" s="37" t="str">
        <f t="shared" si="52"/>
        <v>2016Doisy-VedrinesPetit-Vedrines</v>
      </c>
      <c r="B1043" s="37">
        <v>2016</v>
      </c>
      <c r="C1043" s="37" t="s">
        <v>843</v>
      </c>
      <c r="D1043" s="37" t="s">
        <v>1686</v>
      </c>
      <c r="E1043" s="69" t="s">
        <v>1688</v>
      </c>
      <c r="F1043" s="37" t="s">
        <v>742</v>
      </c>
      <c r="G1043" s="37" t="s">
        <v>748</v>
      </c>
      <c r="H1043" s="37" t="s">
        <v>260</v>
      </c>
      <c r="I1043" s="8">
        <v>1</v>
      </c>
      <c r="J1043" s="38">
        <v>375</v>
      </c>
      <c r="K1043" s="38" t="s">
        <v>1687</v>
      </c>
      <c r="L1043" s="10">
        <f>COUNTIF(Drank!A:A,Table1[[#This Row],[ID]])</f>
        <v>0</v>
      </c>
      <c r="M1043" s="37" t="s">
        <v>201</v>
      </c>
      <c r="N1043" s="37" t="s">
        <v>206</v>
      </c>
      <c r="O1043" s="37">
        <v>0</v>
      </c>
      <c r="R1043" s="10" t="str">
        <f>IF(IFERROR(VLOOKUP(A1043,Drank!A:S,15,FALSE),"")=0,"",IFERROR(VLOOKUP(A1043,Drank!A:S,15,FALSE),""))</f>
        <v/>
      </c>
      <c r="S1043" s="10" t="str">
        <f>IF(IFERROR(VLOOKUP(A1043,Drank!A:S,16,FALSE),"")=0,"",IFERROR(VLOOKUP(A1043,Drank!A:S,16,FALSE),""))</f>
        <v/>
      </c>
      <c r="T1043" s="10"/>
      <c r="V1043" s="18" t="str">
        <f>IF(IFERROR(VLOOKUP(A1043,Drank!A:T,19,FALSE),"")=0,"",IFERROR(VLOOKUP(A1043,Drank!A:T,19,FALSE),""))</f>
        <v/>
      </c>
      <c r="W1043" s="1" t="str">
        <f>IF(IFERROR(VLOOKUP(A1043,Drank!A:T,20,FALSE),"")=0,"",IFERROR(VLOOKUP(A1043,Drank!A:T,20,FALSE),""))</f>
        <v/>
      </c>
      <c r="X1043" s="10">
        <f>SUMIF(A:A,A1043,I:I)</f>
        <v>24</v>
      </c>
      <c r="Y1043" s="10">
        <f>IF(Table1[[#This Row],[Drank]]&gt;0,VLOOKUP(Table1[[#This Row],[ID]],Drank!A:P,16,FALSE),IF(Table1[[#This Row],[WALDD]]&gt;0,VLOOKUP(Table1[[#This Row],[ID]],Wine1!A:Q,17,FALSE),Table1[[#This Row],[EP]]))</f>
        <v>0</v>
      </c>
      <c r="Z1043" s="18" t="str">
        <f>IF(Table1[[#This Row],[My Rating]]="",IF(Table1[[#This Row],[WA Rating Clean]]="","",Table1[[#This Row],[WA Rating Clean]]),Table1[[#This Row],[My Rating]])</f>
        <v/>
      </c>
      <c r="AA1043" s="8">
        <v>2031</v>
      </c>
      <c r="AB1043" s="4">
        <v>16.399999999999999</v>
      </c>
      <c r="AC1043" s="2">
        <f t="shared" si="53"/>
        <v>16.399999999999999</v>
      </c>
      <c r="AD1043" s="8">
        <v>1</v>
      </c>
      <c r="AE1043" s="10">
        <f>IF(Table1[[#This Row],[P/750]]&lt;20,1,IF(Table1[[#This Row],[P/750]]&lt;50,2,3))</f>
        <v>2</v>
      </c>
      <c r="AF1043" s="10">
        <f>IF(Table1[[#This Row],[P/750]]&lt;Expenses!$C$30,1,IF(Table1[[#This Row],[P/750]]&lt;Expenses!$C$31,2,IF(Table1[[#This Row],[P/750]]&lt;Expenses!$C$32,3,4)))</f>
        <v>3</v>
      </c>
      <c r="AH1043" s="37" t="s">
        <v>1189</v>
      </c>
      <c r="AI1043" s="11">
        <f>Table1[[#This Row],[Price]]/Table1[[#This Row],[Size (ml)]]*750</f>
        <v>32.799999999999997</v>
      </c>
      <c r="AK1043" s="10">
        <f>COUNTIF(UniqueID!A:A,Table1[[#This Row],[ID]])</f>
        <v>0</v>
      </c>
      <c r="AL1043" s="10" t="str">
        <f>VLOOKUP(Table1[[#This Row],[Cellar Location]],Location!A:F,6,FALSE)</f>
        <v>W</v>
      </c>
      <c r="AN1043" s="1">
        <v>44061</v>
      </c>
      <c r="AO1043" s="10" t="str">
        <f>TEXT(Table1[[#This Row],[Purchased]],"mmmm")</f>
        <v>August</v>
      </c>
      <c r="AP1043" s="10" t="str">
        <f>TEXT(Table1[[#This Row],[Purchased]],"yyyy")</f>
        <v>2020</v>
      </c>
      <c r="AQ1043" s="1">
        <v>44137</v>
      </c>
    </row>
    <row r="1044" spans="1:43" s="37" customFormat="1" x14ac:dyDescent="0.25">
      <c r="A1044" s="37" t="str">
        <f t="shared" si="52"/>
        <v>2017SichelSichel</v>
      </c>
      <c r="B1044" s="8">
        <v>2017</v>
      </c>
      <c r="C1044" s="37" t="s">
        <v>409</v>
      </c>
      <c r="D1044" s="37" t="s">
        <v>409</v>
      </c>
      <c r="E1044" s="37" t="s">
        <v>1200</v>
      </c>
      <c r="F1044" s="37" t="s">
        <v>742</v>
      </c>
      <c r="G1044" s="37" t="s">
        <v>748</v>
      </c>
      <c r="H1044" s="37" t="s">
        <v>260</v>
      </c>
      <c r="I1044" s="107">
        <v>1</v>
      </c>
      <c r="J1044" s="37">
        <v>375</v>
      </c>
      <c r="K1044" s="107" t="s">
        <v>1504</v>
      </c>
      <c r="L1044" s="37">
        <f>COUNTIF(Drank!A:A,Table1[[#This Row],[ID]])</f>
        <v>10</v>
      </c>
      <c r="M1044" s="37" t="s">
        <v>201</v>
      </c>
      <c r="N1044" s="37" t="s">
        <v>206</v>
      </c>
      <c r="O1044" s="37">
        <v>1</v>
      </c>
      <c r="R1044" s="10">
        <f>IF(IFERROR(VLOOKUP(A1044,Drank!A:S,15,FALSE),"")=0,"",IFERROR(VLOOKUP(A1044,Drank!A:S,15,FALSE),""))</f>
        <v>2020</v>
      </c>
      <c r="S1044" s="10">
        <f>IF(IFERROR(VLOOKUP(A1044,Drank!A:S,16,FALSE),"")=0,"",IFERROR(VLOOKUP(A1044,Drank!A:S,16,FALSE),""))</f>
        <v>2025</v>
      </c>
      <c r="T1044" s="10"/>
      <c r="V1044" s="18">
        <f>IF(IFERROR(VLOOKUP(A1044,Drank!A:T,19,FALSE),"")=0,"",IFERROR(VLOOKUP(A1044,Drank!A:T,19,FALSE),""))</f>
        <v>89.7</v>
      </c>
      <c r="W1044" s="1">
        <f>IF(IFERROR(VLOOKUP(A1044,Drank!A:T,20,FALSE),"")=0,"",IFERROR(VLOOKUP(A1044,Drank!A:T,20,FALSE),""))</f>
        <v>44002</v>
      </c>
      <c r="X1044" s="10">
        <f>SUMIF(A:A,A1044,I:I)</f>
        <v>20</v>
      </c>
      <c r="Y1044" s="37">
        <f>IF(Table1[[#This Row],[Drank]]&gt;0,VLOOKUP(Table1[[#This Row],[ID]],Drank!A:P,16,FALSE),IF(Table1[[#This Row],[WALDD]]&gt;0,VLOOKUP(Table1[[#This Row],[ID]],Wine1!A:Q,17,FALSE),Table1[[#This Row],[EP]]))</f>
        <v>2025</v>
      </c>
      <c r="Z1044" s="18">
        <f>IF(Table1[[#This Row],[My Rating]]="",IF(Table1[[#This Row],[WA Rating Clean]]="","",Table1[[#This Row],[WA Rating Clean]]),Table1[[#This Row],[My Rating]])</f>
        <v>89.7</v>
      </c>
      <c r="AA1044" s="37">
        <v>2031</v>
      </c>
      <c r="AB1044" s="4">
        <v>12</v>
      </c>
      <c r="AC1044" s="2">
        <f t="shared" si="53"/>
        <v>12</v>
      </c>
      <c r="AD1044" s="8">
        <v>2</v>
      </c>
      <c r="AE1044" s="37">
        <f>IF(Table1[[#This Row],[P/750]]&lt;20,1,IF(Table1[[#This Row],[P/750]]&lt;50,2,3))</f>
        <v>2</v>
      </c>
      <c r="AF1044" s="37">
        <f>IF(Table1[[#This Row],[P/750]]&lt;Expenses!$C$30,1,IF(Table1[[#This Row],[P/750]]&lt;Expenses!$C$31,2,IF(Table1[[#This Row],[P/750]]&lt;Expenses!$C$32,3,4)))</f>
        <v>2</v>
      </c>
      <c r="AH1044" s="37" t="s">
        <v>385</v>
      </c>
      <c r="AI1044" s="11">
        <f>Table1[[#This Row],[Price]]/Table1[[#This Row],[Size (ml)]]*750</f>
        <v>24</v>
      </c>
      <c r="AK1044" s="37">
        <f>COUNTIF(UniqueID!A:A,Table1[[#This Row],[ID]])</f>
        <v>1</v>
      </c>
      <c r="AL1044" s="37" t="str">
        <f>VLOOKUP(Table1[[#This Row],[Cellar Location]],Location!A:F,6,FALSE)</f>
        <v>S</v>
      </c>
      <c r="AN1044" s="1">
        <v>43845</v>
      </c>
      <c r="AO1044" s="37" t="str">
        <f>TEXT(Table1[[#This Row],[Purchased]],"mmmm")</f>
        <v>January</v>
      </c>
      <c r="AP1044" s="10" t="str">
        <f>TEXT(Table1[[#This Row],[Purchased]],"yyyy")</f>
        <v>2020</v>
      </c>
      <c r="AQ1044" s="10"/>
    </row>
    <row r="1045" spans="1:43" s="37" customFormat="1" x14ac:dyDescent="0.25">
      <c r="A1045" s="37" t="str">
        <f t="shared" si="52"/>
        <v>2008Tua RitaGiusto di Notri</v>
      </c>
      <c r="B1045" s="37">
        <v>2008</v>
      </c>
      <c r="C1045" s="37" t="s">
        <v>859</v>
      </c>
      <c r="D1045" s="37" t="s">
        <v>860</v>
      </c>
      <c r="E1045" s="67" t="s">
        <v>1563</v>
      </c>
      <c r="F1045" s="37" t="s">
        <v>728</v>
      </c>
      <c r="G1045" s="37" t="s">
        <v>790</v>
      </c>
      <c r="H1045" s="37" t="s">
        <v>796</v>
      </c>
      <c r="I1045" s="8">
        <v>1</v>
      </c>
      <c r="J1045" s="38">
        <v>750</v>
      </c>
      <c r="K1045" s="38" t="s">
        <v>1564</v>
      </c>
      <c r="L1045" s="10">
        <f>COUNTIF(Drank!A:A,Table1[[#This Row],[ID]])</f>
        <v>0</v>
      </c>
      <c r="M1045" s="37" t="s">
        <v>202</v>
      </c>
      <c r="N1045" s="37" t="s">
        <v>207</v>
      </c>
      <c r="O1045" s="37">
        <v>1</v>
      </c>
      <c r="P1045" s="10">
        <v>2016</v>
      </c>
      <c r="Q1045" s="37">
        <v>2028</v>
      </c>
      <c r="R1045" s="10" t="str">
        <f>IF(IFERROR(VLOOKUP(A1045,Drank!A:S,15,FALSE),"")=0,"",IFERROR(VLOOKUP(A1045,Drank!A:S,15,FALSE),""))</f>
        <v/>
      </c>
      <c r="S1045" s="10" t="str">
        <f>IF(IFERROR(VLOOKUP(A1045,Drank!A:S,16,FALSE),"")=0,"",IFERROR(VLOOKUP(A1045,Drank!A:S,16,FALSE),""))</f>
        <v/>
      </c>
      <c r="T1045" s="10"/>
      <c r="U1045" s="37">
        <v>94</v>
      </c>
      <c r="V1045" s="18" t="str">
        <f>IF(IFERROR(VLOOKUP(A1045,Drank!A:T,19,FALSE),"")=0,"",IFERROR(VLOOKUP(A1045,Drank!A:T,19,FALSE),""))</f>
        <v/>
      </c>
      <c r="W1045" s="1" t="str">
        <f>IF(IFERROR(VLOOKUP(A1045,Drank!A:T,20,FALSE),"")=0,"",IFERROR(VLOOKUP(A1045,Drank!A:T,20,FALSE),""))</f>
        <v/>
      </c>
      <c r="X1045" s="10">
        <f>SUMIF(A:A,A1045,I:I)</f>
        <v>12</v>
      </c>
      <c r="Y1045" s="10">
        <f>IF(Table1[[#This Row],[Drank]]&gt;0,VLOOKUP(Table1[[#This Row],[ID]],Drank!A:P,16,FALSE),IF(Table1[[#This Row],[WALDD]]&gt;0,VLOOKUP(Table1[[#This Row],[ID]],Wine1!A:Q,17,FALSE),Table1[[#This Row],[EP]]))</f>
        <v>2028</v>
      </c>
      <c r="Z1045" s="18">
        <f>IF(Table1[[#This Row],[My Rating]]="",IF(Table1[[#This Row],[WA Rating Clean]]="","",Table1[[#This Row],[WA Rating Clean]]),Table1[[#This Row],[My Rating]])</f>
        <v>94</v>
      </c>
      <c r="AA1045" s="37">
        <v>2031</v>
      </c>
      <c r="AB1045" s="4">
        <v>54.41</v>
      </c>
      <c r="AC1045" s="2">
        <f t="shared" si="53"/>
        <v>54.41</v>
      </c>
      <c r="AD1045" s="8">
        <v>1</v>
      </c>
      <c r="AE1045" s="10">
        <f>IF(Table1[[#This Row],[P/750]]&lt;20,1,IF(Table1[[#This Row],[P/750]]&lt;50,2,3))</f>
        <v>3</v>
      </c>
      <c r="AF1045" s="10">
        <f>IF(Table1[[#This Row],[P/750]]&lt;Expenses!$C$30,1,IF(Table1[[#This Row],[P/750]]&lt;Expenses!$C$31,2,IF(Table1[[#This Row],[P/750]]&lt;Expenses!$C$32,3,4)))</f>
        <v>3</v>
      </c>
      <c r="AH1045" s="37" t="s">
        <v>1564</v>
      </c>
      <c r="AI1045" s="11">
        <f>Table1[[#This Row],[Price]]/Table1[[#This Row],[Size (ml)]]*750</f>
        <v>54.41</v>
      </c>
      <c r="AJ1045" s="37">
        <v>94</v>
      </c>
      <c r="AK1045" s="10">
        <f>COUNTIF(UniqueID!A:A,Table1[[#This Row],[ID]])</f>
        <v>0</v>
      </c>
      <c r="AL1045" s="10" t="str">
        <f>VLOOKUP(Table1[[#This Row],[Cellar Location]],Location!A:F,6,FALSE)</f>
        <v>W</v>
      </c>
      <c r="AN1045" s="1">
        <v>44045</v>
      </c>
      <c r="AO1045" s="10" t="str">
        <f>TEXT(Table1[[#This Row],[Purchased]],"mmmm")</f>
        <v>August</v>
      </c>
      <c r="AP1045" s="10" t="str">
        <f>TEXT(Table1[[#This Row],[Purchased]],"yyyy")</f>
        <v>2020</v>
      </c>
      <c r="AQ1045" s="1">
        <v>44094</v>
      </c>
    </row>
    <row r="1046" spans="1:43" s="37" customFormat="1" x14ac:dyDescent="0.25">
      <c r="A1046" s="37" t="str">
        <f t="shared" si="52"/>
        <v>2015Poggio LucinaBrunello di Montalcino</v>
      </c>
      <c r="B1046" s="37">
        <v>2015</v>
      </c>
      <c r="C1046" s="37" t="s">
        <v>1546</v>
      </c>
      <c r="D1046" s="37" t="s">
        <v>19</v>
      </c>
      <c r="E1046" s="67" t="s">
        <v>1250</v>
      </c>
      <c r="F1046" s="37" t="s">
        <v>728</v>
      </c>
      <c r="G1046" s="37" t="s">
        <v>790</v>
      </c>
      <c r="H1046" s="37" t="s">
        <v>19</v>
      </c>
      <c r="I1046" s="8">
        <v>1</v>
      </c>
      <c r="J1046" s="38">
        <v>750</v>
      </c>
      <c r="K1046" s="131" t="s">
        <v>384</v>
      </c>
      <c r="L1046" s="10">
        <f>COUNTIF(Drank!A:A,Table1[[#This Row],[ID]])</f>
        <v>0</v>
      </c>
      <c r="M1046" s="37" t="s">
        <v>202</v>
      </c>
      <c r="N1046" s="37" t="s">
        <v>207</v>
      </c>
      <c r="O1046" s="37">
        <v>0</v>
      </c>
      <c r="P1046" s="10"/>
      <c r="R1046" s="10" t="str">
        <f>IF(IFERROR(VLOOKUP(A1046,Drank!A:S,15,FALSE),"")=0,"",IFERROR(VLOOKUP(A1046,Drank!A:S,15,FALSE),""))</f>
        <v/>
      </c>
      <c r="S1046" s="10" t="str">
        <f>IF(IFERROR(VLOOKUP(A1046,Drank!A:S,16,FALSE),"")=0,"",IFERROR(VLOOKUP(A1046,Drank!A:S,16,FALSE),""))</f>
        <v/>
      </c>
      <c r="T1046" s="10">
        <v>2028</v>
      </c>
      <c r="V1046" s="18" t="str">
        <f>IF(IFERROR(VLOOKUP(A1046,Drank!A:T,19,FALSE),"")=0,"",IFERROR(VLOOKUP(A1046,Drank!A:T,19,FALSE),""))</f>
        <v/>
      </c>
      <c r="W1046" s="1" t="str">
        <f>IF(IFERROR(VLOOKUP(A1046,Drank!A:T,20,FALSE),"")=0,"",IFERROR(VLOOKUP(A1046,Drank!A:T,20,FALSE),""))</f>
        <v/>
      </c>
      <c r="X1046" s="10">
        <f>SUMIF(A:A,A1046,I:I)</f>
        <v>3</v>
      </c>
      <c r="Y1046" s="10">
        <f>IF(Table1[[#This Row],[Drank]]&gt;0,VLOOKUP(Table1[[#This Row],[ID]],Drank!A:P,16,FALSE),IF(Table1[[#This Row],[WALDD]]&gt;0,VLOOKUP(Table1[[#This Row],[ID]],Wine1!A:Q,17,FALSE),Table1[[#This Row],[EP]]))</f>
        <v>2028</v>
      </c>
      <c r="Z1046" s="18" t="str">
        <f>IF(Table1[[#This Row],[My Rating]]="",IF(Table1[[#This Row],[WA Rating Clean]]="","",Table1[[#This Row],[WA Rating Clean]]),Table1[[#This Row],[My Rating]])</f>
        <v/>
      </c>
      <c r="AA1046" s="37">
        <v>2031</v>
      </c>
      <c r="AB1046" s="4">
        <v>30.4</v>
      </c>
      <c r="AC1046" s="2">
        <f t="shared" si="53"/>
        <v>30.4</v>
      </c>
      <c r="AD1046" s="8">
        <v>1</v>
      </c>
      <c r="AE1046" s="10">
        <f>IF(Table1[[#This Row],[P/750]]&lt;20,1,IF(Table1[[#This Row],[P/750]]&lt;50,2,3))</f>
        <v>2</v>
      </c>
      <c r="AF1046" s="10">
        <f>IF(Table1[[#This Row],[P/750]]&lt;Expenses!$C$30,1,IF(Table1[[#This Row],[P/750]]&lt;Expenses!$C$31,2,IF(Table1[[#This Row],[P/750]]&lt;Expenses!$C$32,3,4)))</f>
        <v>3</v>
      </c>
      <c r="AH1046" s="37" t="s">
        <v>384</v>
      </c>
      <c r="AI1046" s="11">
        <f>Table1[[#This Row],[Price]]/Table1[[#This Row],[Size (ml)]]*750</f>
        <v>30.4</v>
      </c>
      <c r="AK1046" s="10">
        <f>COUNTIF(UniqueID!A:A,Table1[[#This Row],[ID]])</f>
        <v>0</v>
      </c>
      <c r="AL1046" s="10" t="str">
        <f>VLOOKUP(Table1[[#This Row],[Cellar Location]],Location!A:F,6,FALSE)</f>
        <v>W</v>
      </c>
      <c r="AN1046" s="1">
        <v>44042</v>
      </c>
      <c r="AO1046" s="10" t="str">
        <f>TEXT(Table1[[#This Row],[Purchased]],"mmmm")</f>
        <v>July</v>
      </c>
      <c r="AP1046" s="10" t="str">
        <f>TEXT(Table1[[#This Row],[Purchased]],"yyyy")</f>
        <v>2020</v>
      </c>
      <c r="AQ1046" s="1">
        <v>44138</v>
      </c>
    </row>
    <row r="1047" spans="1:43" s="37" customFormat="1" x14ac:dyDescent="0.25">
      <c r="A1047" s="37" t="str">
        <f t="shared" si="52"/>
        <v>2013BrancaiaIlatraia</v>
      </c>
      <c r="B1047" s="37">
        <v>2013</v>
      </c>
      <c r="C1047" s="37" t="s">
        <v>140</v>
      </c>
      <c r="D1047" s="37" t="s">
        <v>372</v>
      </c>
      <c r="E1047" s="67" t="s">
        <v>1637</v>
      </c>
      <c r="F1047" s="37" t="s">
        <v>728</v>
      </c>
      <c r="G1047" s="37" t="s">
        <v>790</v>
      </c>
      <c r="H1047" s="37" t="s">
        <v>794</v>
      </c>
      <c r="I1047" s="8">
        <v>1</v>
      </c>
      <c r="J1047" s="107">
        <v>750</v>
      </c>
      <c r="K1047" s="8" t="s">
        <v>1852</v>
      </c>
      <c r="L1047" s="37">
        <f>COUNTIF(Drank!A:A,Table1[[#This Row],[ID]])</f>
        <v>1</v>
      </c>
      <c r="M1047" s="37" t="s">
        <v>202</v>
      </c>
      <c r="N1047" s="37" t="s">
        <v>207</v>
      </c>
      <c r="O1047" s="37">
        <v>1</v>
      </c>
      <c r="P1047" s="37">
        <v>2017</v>
      </c>
      <c r="Q1047" s="37">
        <v>2030</v>
      </c>
      <c r="R1047" s="10">
        <f>IF(IFERROR(VLOOKUP(A1047,Drank!A:S,15,FALSE),"")=0,"",IFERROR(VLOOKUP(A1047,Drank!A:S,15,FALSE),""))</f>
        <v>2027</v>
      </c>
      <c r="S1047" s="10">
        <f>IF(IFERROR(VLOOKUP(A1047,Drank!A:S,16,FALSE),"")=0,"",IFERROR(VLOOKUP(A1047,Drank!A:S,16,FALSE),""))</f>
        <v>2030</v>
      </c>
      <c r="T1047" s="10"/>
      <c r="U1047" s="37">
        <v>97</v>
      </c>
      <c r="V1047" s="18">
        <f>IF(IFERROR(VLOOKUP(A1047,Drank!A:T,19,FALSE),"")=0,"",IFERROR(VLOOKUP(A1047,Drank!A:T,19,FALSE),""))</f>
        <v>92</v>
      </c>
      <c r="W1047" s="1">
        <f>IF(IFERROR(VLOOKUP(A1047,Drank!A:T,20,FALSE),"")=0,"",IFERROR(VLOOKUP(A1047,Drank!A:T,20,FALSE),""))</f>
        <v>44067</v>
      </c>
      <c r="X1047" s="10">
        <f>SUMIF(A:A,A1047,I:I)</f>
        <v>8</v>
      </c>
      <c r="Y1047" s="37">
        <f>IF(Table1[[#This Row],[Drank]]&gt;0,VLOOKUP(Table1[[#This Row],[ID]],Drank!A:P,16,FALSE),IF(Table1[[#This Row],[WALDD]]&gt;0,VLOOKUP(Table1[[#This Row],[ID]],Wine1!A:Q,17,FALSE),Table1[[#This Row],[EP]]))</f>
        <v>2030</v>
      </c>
      <c r="Z1047" s="18">
        <f>IF(Table1[[#This Row],[My Rating]]="",IF(Table1[[#This Row],[WA Rating Clean]]="","",Table1[[#This Row],[WA Rating Clean]]),Table1[[#This Row],[My Rating]])</f>
        <v>92</v>
      </c>
      <c r="AA1047" s="8">
        <v>2031</v>
      </c>
      <c r="AB1047" s="129">
        <v>50.69</v>
      </c>
      <c r="AC1047" s="2">
        <f t="shared" si="53"/>
        <v>50.69</v>
      </c>
      <c r="AD1047" s="8">
        <v>2</v>
      </c>
      <c r="AE1047" s="37">
        <f>IF(Table1[[#This Row],[P/750]]&lt;20,1,IF(Table1[[#This Row],[P/750]]&lt;50,2,3))</f>
        <v>3</v>
      </c>
      <c r="AF1047" s="37">
        <f>IF(Table1[[#This Row],[P/750]]&lt;Expenses!$C$30,1,IF(Table1[[#This Row],[P/750]]&lt;Expenses!$C$31,2,IF(Table1[[#This Row],[P/750]]&lt;Expenses!$C$32,3,4)))</f>
        <v>3</v>
      </c>
      <c r="AH1047" s="37" t="s">
        <v>1128</v>
      </c>
      <c r="AI1047" s="11">
        <f>Table1[[#This Row],[Price]]/Table1[[#This Row],[Size (ml)]]*750</f>
        <v>50.690000000000005</v>
      </c>
      <c r="AJ1047" s="37">
        <v>97</v>
      </c>
      <c r="AK1047" s="37">
        <f>COUNTIF(UniqueID!A:A,Table1[[#This Row],[ID]])</f>
        <v>1</v>
      </c>
      <c r="AL1047" s="37" t="str">
        <f>VLOOKUP(Table1[[#This Row],[Cellar Location]],Location!A:F,6,FALSE)</f>
        <v>S</v>
      </c>
      <c r="AN1047" s="1">
        <v>44070</v>
      </c>
      <c r="AO1047" s="37" t="str">
        <f>TEXT(Table1[[#This Row],[Purchased]],"mmmm")</f>
        <v>August</v>
      </c>
      <c r="AP1047" s="10" t="str">
        <f>TEXT(Table1[[#This Row],[Purchased]],"yyyy")</f>
        <v>2020</v>
      </c>
      <c r="AQ1047" s="10"/>
    </row>
    <row r="1048" spans="1:43" s="37" customFormat="1" x14ac:dyDescent="0.25">
      <c r="A1048" s="37" t="str">
        <f t="shared" si="52"/>
        <v>2017Altos Las HormigasMalbec Appellation Gualtallary</v>
      </c>
      <c r="B1048" s="37">
        <v>2017</v>
      </c>
      <c r="C1048" s="37" t="s">
        <v>232</v>
      </c>
      <c r="D1048" s="9" t="s">
        <v>233</v>
      </c>
      <c r="E1048" s="67" t="s">
        <v>1207</v>
      </c>
      <c r="F1048" s="37" t="s">
        <v>731</v>
      </c>
      <c r="G1048" s="37" t="s">
        <v>732</v>
      </c>
      <c r="H1048" s="37" t="s">
        <v>1190</v>
      </c>
      <c r="I1048" s="8">
        <v>1</v>
      </c>
      <c r="J1048" s="107">
        <v>750</v>
      </c>
      <c r="K1048" s="8" t="s">
        <v>1849</v>
      </c>
      <c r="L1048" s="10">
        <f>COUNTIF(Drank!A:A,Table1[[#This Row],[ID]])</f>
        <v>1</v>
      </c>
      <c r="M1048" s="37" t="s">
        <v>202</v>
      </c>
      <c r="N1048" s="37" t="s">
        <v>207</v>
      </c>
      <c r="O1048" s="37">
        <v>1</v>
      </c>
      <c r="P1048" s="10">
        <v>2019</v>
      </c>
      <c r="Q1048" s="37">
        <v>2030</v>
      </c>
      <c r="R1048" s="10">
        <f>IF(IFERROR(VLOOKUP(A1048,Drank!A:S,15,FALSE),"")=0,"",IFERROR(VLOOKUP(A1048,Drank!A:S,15,FALSE),""))</f>
        <v>2022</v>
      </c>
      <c r="S1048" s="10">
        <f>IF(IFERROR(VLOOKUP(A1048,Drank!A:S,16,FALSE),"")=0,"",IFERROR(VLOOKUP(A1048,Drank!A:S,16,FALSE),""))</f>
        <v>2030</v>
      </c>
      <c r="T1048" s="10"/>
      <c r="U1048" s="37" t="s">
        <v>1180</v>
      </c>
      <c r="V1048" s="18">
        <f>IF(IFERROR(VLOOKUP(A1048,Drank!A:T,19,FALSE),"")=0,"",IFERROR(VLOOKUP(A1048,Drank!A:T,19,FALSE),""))</f>
        <v>94</v>
      </c>
      <c r="W1048" s="1">
        <f>IF(IFERROR(VLOOKUP(A1048,Drank!A:T,20,FALSE),"")=0,"",IFERROR(VLOOKUP(A1048,Drank!A:T,20,FALSE),""))</f>
        <v>43953</v>
      </c>
      <c r="X1048" s="10">
        <f>SUMIF(A:A,A1048,I:I)</f>
        <v>38</v>
      </c>
      <c r="Y1048" s="10">
        <f>IF(Table1[[#This Row],[Drank]]&gt;0,VLOOKUP(Table1[[#This Row],[ID]],Drank!A:P,16,FALSE),IF(Table1[[#This Row],[WALDD]]&gt;0,VLOOKUP(Table1[[#This Row],[ID]],Wine1!A:Q,17,FALSE),Table1[[#This Row],[EP]]))</f>
        <v>2030</v>
      </c>
      <c r="Z1048" s="18">
        <f>IF(Table1[[#This Row],[My Rating]]="",IF(Table1[[#This Row],[WA Rating Clean]]="","",Table1[[#This Row],[WA Rating Clean]]),Table1[[#This Row],[My Rating]])</f>
        <v>94</v>
      </c>
      <c r="AA1048" s="37">
        <v>2031</v>
      </c>
      <c r="AB1048" s="129">
        <v>35.85</v>
      </c>
      <c r="AC1048" s="2">
        <f t="shared" si="53"/>
        <v>35.85</v>
      </c>
      <c r="AD1048" s="8">
        <v>1</v>
      </c>
      <c r="AE1048" s="10">
        <f>IF(Table1[[#This Row],[P/750]]&lt;20,1,IF(Table1[[#This Row],[P/750]]&lt;50,2,3))</f>
        <v>2</v>
      </c>
      <c r="AF1048" s="10">
        <f>IF(Table1[[#This Row],[P/750]]&lt;Expenses!$C$30,1,IF(Table1[[#This Row],[P/750]]&lt;Expenses!$C$31,2,IF(Table1[[#This Row],[P/750]]&lt;Expenses!$C$32,3,4)))</f>
        <v>3</v>
      </c>
      <c r="AH1048" s="37" t="s">
        <v>1128</v>
      </c>
      <c r="AI1048" s="11">
        <f>Table1[[#This Row],[Price]]/Table1[[#This Row],[Size (ml)]]*750</f>
        <v>35.85</v>
      </c>
      <c r="AJ1048" s="37">
        <v>96</v>
      </c>
      <c r="AK1048" s="10">
        <f>COUNTIF(UniqueID!A:A,Table1[[#This Row],[ID]])</f>
        <v>1</v>
      </c>
      <c r="AL1048" s="10" t="str">
        <f>VLOOKUP(Table1[[#This Row],[Cellar Location]],Location!A:F,6,FALSE)</f>
        <v>S</v>
      </c>
      <c r="AN1048" s="1">
        <v>44070</v>
      </c>
      <c r="AO1048" s="10" t="str">
        <f>TEXT(Table1[[#This Row],[Purchased]],"mmmm")</f>
        <v>August</v>
      </c>
      <c r="AP1048" s="10" t="str">
        <f>TEXT(Table1[[#This Row],[Purchased]],"yyyy")</f>
        <v>2020</v>
      </c>
      <c r="AQ1048" s="1"/>
    </row>
    <row r="1049" spans="1:43" s="37" customFormat="1" x14ac:dyDescent="0.25">
      <c r="A1049" s="37" t="str">
        <f t="shared" si="52"/>
        <v>2017Altos Las HormigasMalbec Appellation Gualtallary</v>
      </c>
      <c r="B1049" s="37">
        <v>2017</v>
      </c>
      <c r="C1049" s="37" t="s">
        <v>232</v>
      </c>
      <c r="D1049" s="9" t="s">
        <v>233</v>
      </c>
      <c r="E1049" s="67" t="s">
        <v>1207</v>
      </c>
      <c r="F1049" s="37" t="s">
        <v>731</v>
      </c>
      <c r="G1049" s="37" t="s">
        <v>732</v>
      </c>
      <c r="H1049" s="37" t="s">
        <v>1190</v>
      </c>
      <c r="I1049" s="8">
        <v>1</v>
      </c>
      <c r="J1049" s="107">
        <v>750</v>
      </c>
      <c r="K1049" s="8" t="s">
        <v>1849</v>
      </c>
      <c r="L1049" s="10">
        <f>COUNTIF(Drank!A:A,Table1[[#This Row],[ID]])</f>
        <v>1</v>
      </c>
      <c r="M1049" s="37" t="s">
        <v>202</v>
      </c>
      <c r="N1049" s="37" t="s">
        <v>207</v>
      </c>
      <c r="O1049" s="37">
        <v>1</v>
      </c>
      <c r="P1049" s="10">
        <v>2019</v>
      </c>
      <c r="Q1049" s="37">
        <v>2030</v>
      </c>
      <c r="R1049" s="10">
        <f>IF(IFERROR(VLOOKUP(A1049,Drank!A:S,15,FALSE),"")=0,"",IFERROR(VLOOKUP(A1049,Drank!A:S,15,FALSE),""))</f>
        <v>2022</v>
      </c>
      <c r="S1049" s="10">
        <f>IF(IFERROR(VLOOKUP(A1049,Drank!A:S,16,FALSE),"")=0,"",IFERROR(VLOOKUP(A1049,Drank!A:S,16,FALSE),""))</f>
        <v>2030</v>
      </c>
      <c r="T1049" s="10"/>
      <c r="U1049" s="37" t="s">
        <v>1180</v>
      </c>
      <c r="V1049" s="18">
        <f>IF(IFERROR(VLOOKUP(A1049,Drank!A:T,19,FALSE),"")=0,"",IFERROR(VLOOKUP(A1049,Drank!A:T,19,FALSE),""))</f>
        <v>94</v>
      </c>
      <c r="W1049" s="1">
        <f>IF(IFERROR(VLOOKUP(A1049,Drank!A:T,20,FALSE),"")=0,"",IFERROR(VLOOKUP(A1049,Drank!A:T,20,FALSE),""))</f>
        <v>43953</v>
      </c>
      <c r="X1049" s="10">
        <f>SUMIF(A:A,A1049,I:I)</f>
        <v>38</v>
      </c>
      <c r="Y1049" s="10">
        <f>IF(Table1[[#This Row],[Drank]]&gt;0,VLOOKUP(Table1[[#This Row],[ID]],Drank!A:P,16,FALSE),IF(Table1[[#This Row],[WALDD]]&gt;0,VLOOKUP(Table1[[#This Row],[ID]],Wine1!A:Q,17,FALSE),Table1[[#This Row],[EP]]))</f>
        <v>2030</v>
      </c>
      <c r="Z1049" s="18">
        <f>IF(Table1[[#This Row],[My Rating]]="",IF(Table1[[#This Row],[WA Rating Clean]]="","",Table1[[#This Row],[WA Rating Clean]]),Table1[[#This Row],[My Rating]])</f>
        <v>94</v>
      </c>
      <c r="AA1049" s="37">
        <v>2031</v>
      </c>
      <c r="AB1049" s="129">
        <v>35.85</v>
      </c>
      <c r="AC1049" s="2">
        <f t="shared" si="53"/>
        <v>35.85</v>
      </c>
      <c r="AD1049" s="8">
        <v>1</v>
      </c>
      <c r="AE1049" s="10">
        <f>IF(Table1[[#This Row],[P/750]]&lt;20,1,IF(Table1[[#This Row],[P/750]]&lt;50,2,3))</f>
        <v>2</v>
      </c>
      <c r="AF1049" s="10">
        <f>IF(Table1[[#This Row],[P/750]]&lt;Expenses!$C$30,1,IF(Table1[[#This Row],[P/750]]&lt;Expenses!$C$31,2,IF(Table1[[#This Row],[P/750]]&lt;Expenses!$C$32,3,4)))</f>
        <v>3</v>
      </c>
      <c r="AH1049" s="37" t="s">
        <v>1128</v>
      </c>
      <c r="AI1049" s="11">
        <f>Table1[[#This Row],[Price]]/Table1[[#This Row],[Size (ml)]]*750</f>
        <v>35.85</v>
      </c>
      <c r="AJ1049" s="37">
        <v>96</v>
      </c>
      <c r="AK1049" s="10">
        <f>COUNTIF(UniqueID!A:A,Table1[[#This Row],[ID]])</f>
        <v>1</v>
      </c>
      <c r="AL1049" s="10" t="str">
        <f>VLOOKUP(Table1[[#This Row],[Cellar Location]],Location!A:F,6,FALSE)</f>
        <v>S</v>
      </c>
      <c r="AN1049" s="1">
        <v>44070</v>
      </c>
      <c r="AO1049" s="10" t="str">
        <f>TEXT(Table1[[#This Row],[Purchased]],"mmmm")</f>
        <v>August</v>
      </c>
      <c r="AP1049" s="10" t="str">
        <f>TEXT(Table1[[#This Row],[Purchased]],"yyyy")</f>
        <v>2020</v>
      </c>
      <c r="AQ1049" s="1"/>
    </row>
    <row r="1050" spans="1:43" s="37" customFormat="1" x14ac:dyDescent="0.25">
      <c r="A1050" s="37" t="str">
        <f t="shared" si="52"/>
        <v>2015Tenuta VitanzaBrunello di Montalcino</v>
      </c>
      <c r="B1050" s="37">
        <v>2015</v>
      </c>
      <c r="C1050" s="19" t="s">
        <v>214</v>
      </c>
      <c r="D1050" s="9" t="s">
        <v>19</v>
      </c>
      <c r="E1050" s="68" t="s">
        <v>1250</v>
      </c>
      <c r="F1050" s="37" t="s">
        <v>728</v>
      </c>
      <c r="G1050" s="37" t="s">
        <v>790</v>
      </c>
      <c r="H1050" s="37" t="s">
        <v>19</v>
      </c>
      <c r="I1050" s="37">
        <v>1</v>
      </c>
      <c r="J1050" s="38">
        <v>750</v>
      </c>
      <c r="K1050" s="38" t="s">
        <v>384</v>
      </c>
      <c r="L1050" s="10">
        <f>COUNTIF(Drank!A:A,Table1[[#This Row],[ID]])</f>
        <v>0</v>
      </c>
      <c r="M1050" s="37" t="s">
        <v>202</v>
      </c>
      <c r="N1050" s="37" t="s">
        <v>207</v>
      </c>
      <c r="O1050" s="37">
        <v>0</v>
      </c>
      <c r="R1050" s="10" t="str">
        <f>IF(IFERROR(VLOOKUP(A1050,Drank!A:S,15,FALSE),"")=0,"",IFERROR(VLOOKUP(A1050,Drank!A:S,15,FALSE),""))</f>
        <v/>
      </c>
      <c r="S1050" s="10" t="str">
        <f>IF(IFERROR(VLOOKUP(A1050,Drank!A:S,16,FALSE),"")=0,"",IFERROR(VLOOKUP(A1050,Drank!A:S,16,FALSE),""))</f>
        <v/>
      </c>
      <c r="T1050" s="10">
        <v>2030</v>
      </c>
      <c r="V1050" s="18" t="str">
        <f>IF(IFERROR(VLOOKUP(A1050,Drank!A:T,19,FALSE),"")=0,"",IFERROR(VLOOKUP(A1050,Drank!A:T,19,FALSE),""))</f>
        <v/>
      </c>
      <c r="W1050" s="1" t="str">
        <f>IF(IFERROR(VLOOKUP(A1050,Drank!A:T,20,FALSE),"")=0,"",IFERROR(VLOOKUP(A1050,Drank!A:T,20,FALSE),""))</f>
        <v/>
      </c>
      <c r="X1050" s="10">
        <f>SUMIF(A:A,A1050,I:I)</f>
        <v>4</v>
      </c>
      <c r="Y1050" s="10">
        <f>IF(Table1[[#This Row],[Drank]]&gt;0,VLOOKUP(Table1[[#This Row],[ID]],Drank!A:P,16,FALSE),IF(Table1[[#This Row],[WALDD]]&gt;0,VLOOKUP(Table1[[#This Row],[ID]],Wine1!A:Q,17,FALSE),Table1[[#This Row],[EP]]))</f>
        <v>2030</v>
      </c>
      <c r="Z1050" s="18" t="str">
        <f>IF(Table1[[#This Row],[My Rating]]="",IF(Table1[[#This Row],[WA Rating Clean]]="","",Table1[[#This Row],[WA Rating Clean]]),Table1[[#This Row],[My Rating]])</f>
        <v/>
      </c>
      <c r="AA1050" s="37">
        <v>2031</v>
      </c>
      <c r="AB1050" s="4">
        <v>32.58</v>
      </c>
      <c r="AC1050" s="2">
        <f t="shared" si="53"/>
        <v>32.58</v>
      </c>
      <c r="AD1050" s="8">
        <v>1</v>
      </c>
      <c r="AE1050" s="10">
        <f>IF(Table1[[#This Row],[P/750]]&lt;20,1,IF(Table1[[#This Row],[P/750]]&lt;50,2,3))</f>
        <v>2</v>
      </c>
      <c r="AF1050" s="10">
        <f>IF(Table1[[#This Row],[P/750]]&lt;Expenses!$C$30,1,IF(Table1[[#This Row],[P/750]]&lt;Expenses!$C$31,2,IF(Table1[[#This Row],[P/750]]&lt;Expenses!$C$32,3,4)))</f>
        <v>3</v>
      </c>
      <c r="AH1050" s="37" t="s">
        <v>384</v>
      </c>
      <c r="AI1050" s="11">
        <f>Table1[[#This Row],[Price]]/Table1[[#This Row],[Size (ml)]]*750</f>
        <v>32.58</v>
      </c>
      <c r="AK1050" s="10">
        <f>COUNTIF(UniqueID!A:A,Table1[[#This Row],[ID]])</f>
        <v>0</v>
      </c>
      <c r="AL1050" s="10" t="str">
        <f>VLOOKUP(Table1[[#This Row],[Cellar Location]],Location!A:F,6,FALSE)</f>
        <v>W</v>
      </c>
      <c r="AN1050" s="1">
        <v>44023</v>
      </c>
      <c r="AO1050" s="10" t="str">
        <f>TEXT(Table1[[#This Row],[Purchased]],"mmmm")</f>
        <v>July</v>
      </c>
      <c r="AP1050" s="10" t="str">
        <f>TEXT(Table1[[#This Row],[Purchased]],"yyyy")</f>
        <v>2020</v>
      </c>
      <c r="AQ1050" s="1">
        <v>44137</v>
      </c>
    </row>
    <row r="1051" spans="1:43" s="37" customFormat="1" x14ac:dyDescent="0.25">
      <c r="A1051" s="37" t="str">
        <f t="shared" si="52"/>
        <v>2016Domaine du Grand MontmirailGigondas Vieilles Vignes</v>
      </c>
      <c r="B1051" s="37">
        <v>2016</v>
      </c>
      <c r="C1051" s="37" t="s">
        <v>1387</v>
      </c>
      <c r="D1051" s="37" t="s">
        <v>1576</v>
      </c>
      <c r="E1051" s="67" t="s">
        <v>1249</v>
      </c>
      <c r="F1051" s="37" t="s">
        <v>742</v>
      </c>
      <c r="G1051" s="37" t="s">
        <v>759</v>
      </c>
      <c r="H1051" s="37" t="s">
        <v>764</v>
      </c>
      <c r="I1051" s="8">
        <v>1</v>
      </c>
      <c r="J1051" s="38">
        <v>750</v>
      </c>
      <c r="K1051" s="38" t="s">
        <v>384</v>
      </c>
      <c r="L1051" s="10">
        <f>COUNTIF(Drank!A:A,Table1[[#This Row],[ID]])</f>
        <v>0</v>
      </c>
      <c r="M1051" s="37" t="s">
        <v>202</v>
      </c>
      <c r="N1051" s="37" t="s">
        <v>207</v>
      </c>
      <c r="O1051" s="37">
        <v>1</v>
      </c>
      <c r="P1051" s="10">
        <v>2020</v>
      </c>
      <c r="Q1051" s="37">
        <v>2030</v>
      </c>
      <c r="R1051" s="10" t="str">
        <f>IF(IFERROR(VLOOKUP(A1051,Drank!A:S,15,FALSE),"")=0,"",IFERROR(VLOOKUP(A1051,Drank!A:S,15,FALSE),""))</f>
        <v/>
      </c>
      <c r="S1051" s="10" t="str">
        <f>IF(IFERROR(VLOOKUP(A1051,Drank!A:S,16,FALSE),"")=0,"",IFERROR(VLOOKUP(A1051,Drank!A:S,16,FALSE),""))</f>
        <v/>
      </c>
      <c r="T1051" s="10"/>
      <c r="U1051" s="37">
        <v>92</v>
      </c>
      <c r="V1051" s="18" t="str">
        <f>IF(IFERROR(VLOOKUP(A1051,Drank!A:T,19,FALSE),"")=0,"",IFERROR(VLOOKUP(A1051,Drank!A:T,19,FALSE),""))</f>
        <v/>
      </c>
      <c r="W1051" s="1" t="str">
        <f>IF(IFERROR(VLOOKUP(A1051,Drank!A:T,20,FALSE),"")=0,"",IFERROR(VLOOKUP(A1051,Drank!A:T,20,FALSE),""))</f>
        <v/>
      </c>
      <c r="X1051" s="10">
        <f>SUMIF(A:A,A1051,I:I)</f>
        <v>6</v>
      </c>
      <c r="Y1051" s="10">
        <f>IF(Table1[[#This Row],[Drank]]&gt;0,VLOOKUP(Table1[[#This Row],[ID]],Drank!A:P,16,FALSE),IF(Table1[[#This Row],[WALDD]]&gt;0,VLOOKUP(Table1[[#This Row],[ID]],Wine1!A:Q,17,FALSE),Table1[[#This Row],[EP]]))</f>
        <v>2030</v>
      </c>
      <c r="Z1051" s="18">
        <f>IF(Table1[[#This Row],[My Rating]]="",IF(Table1[[#This Row],[WA Rating Clean]]="","",Table1[[#This Row],[WA Rating Clean]]),Table1[[#This Row],[My Rating]])</f>
        <v>92</v>
      </c>
      <c r="AA1051" s="37">
        <v>2031</v>
      </c>
      <c r="AB1051" s="4">
        <v>24.97</v>
      </c>
      <c r="AC1051" s="2">
        <f t="shared" si="53"/>
        <v>24.97</v>
      </c>
      <c r="AD1051" s="8">
        <v>1</v>
      </c>
      <c r="AE1051" s="10">
        <f>IF(Table1[[#This Row],[P/750]]&lt;20,1,IF(Table1[[#This Row],[P/750]]&lt;50,2,3))</f>
        <v>2</v>
      </c>
      <c r="AF1051" s="10">
        <f>IF(Table1[[#This Row],[P/750]]&lt;Expenses!$C$30,1,IF(Table1[[#This Row],[P/750]]&lt;Expenses!$C$31,2,IF(Table1[[#This Row],[P/750]]&lt;Expenses!$C$32,3,4)))</f>
        <v>2</v>
      </c>
      <c r="AH1051" s="37" t="s">
        <v>384</v>
      </c>
      <c r="AI1051" s="11">
        <f>Table1[[#This Row],[Price]]/Table1[[#This Row],[Size (ml)]]*750</f>
        <v>24.970000000000002</v>
      </c>
      <c r="AJ1051" s="37">
        <v>92</v>
      </c>
      <c r="AK1051" s="10">
        <f>COUNTIF(UniqueID!A:A,Table1[[#This Row],[ID]])</f>
        <v>0</v>
      </c>
      <c r="AL1051" s="10" t="str">
        <f>VLOOKUP(Table1[[#This Row],[Cellar Location]],Location!A:F,6,FALSE)</f>
        <v>W</v>
      </c>
      <c r="AN1051" s="1">
        <v>44055</v>
      </c>
      <c r="AO1051" s="10" t="str">
        <f>TEXT(Table1[[#This Row],[Purchased]],"mmmm")</f>
        <v>August</v>
      </c>
      <c r="AP1051" s="10" t="str">
        <f>TEXT(Table1[[#This Row],[Purchased]],"yyyy")</f>
        <v>2020</v>
      </c>
      <c r="AQ1051" s="1">
        <v>44137</v>
      </c>
    </row>
    <row r="1052" spans="1:43" s="37" customFormat="1" x14ac:dyDescent="0.25">
      <c r="A1052" s="8" t="str">
        <f t="shared" si="52"/>
        <v>2018Castello RomitorioRomiToro</v>
      </c>
      <c r="B1052" s="37">
        <v>2018</v>
      </c>
      <c r="C1052" s="37" t="s">
        <v>689</v>
      </c>
      <c r="D1052" s="37" t="s">
        <v>1511</v>
      </c>
      <c r="E1052" s="69" t="s">
        <v>1271</v>
      </c>
      <c r="F1052" s="37" t="s">
        <v>728</v>
      </c>
      <c r="G1052" s="37" t="s">
        <v>790</v>
      </c>
      <c r="H1052" s="37" t="s">
        <v>796</v>
      </c>
      <c r="I1052" s="107">
        <v>1</v>
      </c>
      <c r="J1052" s="37">
        <v>750</v>
      </c>
      <c r="K1052" s="107" t="s">
        <v>590</v>
      </c>
      <c r="L1052" s="10">
        <f>COUNTIF(Drank!A:A,Table1[[#This Row],[ID]])</f>
        <v>1</v>
      </c>
      <c r="M1052" s="37" t="s">
        <v>202</v>
      </c>
      <c r="N1052" s="37" t="s">
        <v>207</v>
      </c>
      <c r="O1052" s="37">
        <v>1</v>
      </c>
      <c r="P1052" s="10">
        <v>2021</v>
      </c>
      <c r="Q1052" s="37">
        <v>2030</v>
      </c>
      <c r="R1052" s="10">
        <f>IF(IFERROR(VLOOKUP(A1052,Drank!A:S,15,FALSE),"")=0,"",IFERROR(VLOOKUP(A1052,Drank!A:S,15,FALSE),""))</f>
        <v>2026</v>
      </c>
      <c r="S1052" s="10">
        <f>IF(IFERROR(VLOOKUP(A1052,Drank!A:S,16,FALSE),"")=0,"",IFERROR(VLOOKUP(A1052,Drank!A:S,16,FALSE),""))</f>
        <v>2030</v>
      </c>
      <c r="T1052" s="10"/>
      <c r="U1052" s="37" t="s">
        <v>74</v>
      </c>
      <c r="V1052" s="18">
        <f>IF(IFERROR(VLOOKUP(A1052,Drank!A:T,19,FALSE),"")=0,"",IFERROR(VLOOKUP(A1052,Drank!A:T,19,FALSE),""))</f>
        <v>91</v>
      </c>
      <c r="W1052" s="1">
        <f>IF(IFERROR(VLOOKUP(A1052,Drank!A:T,20,FALSE),"")=0,"",IFERROR(VLOOKUP(A1052,Drank!A:T,20,FALSE),""))</f>
        <v>44053</v>
      </c>
      <c r="X1052" s="10">
        <f>SUMIF(A:A,A1052,I:I)</f>
        <v>5</v>
      </c>
      <c r="Y1052" s="10">
        <f>IF(Table1[[#This Row],[Drank]]&gt;0,VLOOKUP(Table1[[#This Row],[ID]],Drank!A:P,16,FALSE),IF(Table1[[#This Row],[WALDD]]&gt;0,VLOOKUP(Table1[[#This Row],[ID]],Wine1!A:Q,17,FALSE),Table1[[#This Row],[EP]]))</f>
        <v>2030</v>
      </c>
      <c r="Z1052" s="18">
        <f>IF(Table1[[#This Row],[My Rating]]="",IF(Table1[[#This Row],[WA Rating Clean]]="","",Table1[[#This Row],[WA Rating Clean]]),Table1[[#This Row],[My Rating]])</f>
        <v>91</v>
      </c>
      <c r="AA1052" s="37">
        <v>2031</v>
      </c>
      <c r="AB1052" s="4">
        <v>19.54</v>
      </c>
      <c r="AC1052" s="2">
        <f t="shared" si="53"/>
        <v>19.54</v>
      </c>
      <c r="AD1052" s="8">
        <v>2</v>
      </c>
      <c r="AE1052" s="10">
        <f>IF(Table1[[#This Row],[P/750]]&lt;20,1,IF(Table1[[#This Row],[P/750]]&lt;50,2,3))</f>
        <v>1</v>
      </c>
      <c r="AF1052" s="10">
        <f>IF(Table1[[#This Row],[P/750]]&lt;Expenses!$C$30,1,IF(Table1[[#This Row],[P/750]]&lt;Expenses!$C$31,2,IF(Table1[[#This Row],[P/750]]&lt;Expenses!$C$32,3,4)))</f>
        <v>2</v>
      </c>
      <c r="AH1052" s="37" t="s">
        <v>384</v>
      </c>
      <c r="AI1052" s="11">
        <f>Table1[[#This Row],[Price]]/Table1[[#This Row],[Size (ml)]]*750</f>
        <v>19.54</v>
      </c>
      <c r="AJ1052" s="37">
        <v>93</v>
      </c>
      <c r="AK1052" s="10">
        <f>COUNTIF(UniqueID!A:A,Table1[[#This Row],[ID]])</f>
        <v>0</v>
      </c>
      <c r="AL1052" s="10" t="str">
        <f>VLOOKUP(Table1[[#This Row],[Cellar Location]],Location!A:F,6,FALSE)</f>
        <v>S</v>
      </c>
      <c r="AN1052" s="1">
        <v>44026</v>
      </c>
      <c r="AO1052" s="10" t="str">
        <f>TEXT(Table1[[#This Row],[Purchased]],"mmmm")</f>
        <v>July</v>
      </c>
      <c r="AP1052" s="10" t="str">
        <f>TEXT(Table1[[#This Row],[Purchased]],"yyyy")</f>
        <v>2020</v>
      </c>
      <c r="AQ1052" s="10"/>
    </row>
    <row r="1053" spans="1:43" s="37" customFormat="1" x14ac:dyDescent="0.25">
      <c r="A1053" s="37" t="str">
        <f t="shared" ref="A1053:A1116" si="54">CONCATENATE(B1053,C1053,D1053)</f>
        <v>2015MasiAmarone della Valpolicella Classico Costasera</v>
      </c>
      <c r="B1053" s="37">
        <v>2015</v>
      </c>
      <c r="C1053" s="25" t="s">
        <v>37</v>
      </c>
      <c r="D1053" s="37" t="s">
        <v>53</v>
      </c>
      <c r="E1053" s="64" t="s">
        <v>313</v>
      </c>
      <c r="F1053" s="37" t="s">
        <v>728</v>
      </c>
      <c r="G1053" s="37" t="s">
        <v>799</v>
      </c>
      <c r="H1053" s="37" t="s">
        <v>800</v>
      </c>
      <c r="I1053" s="107">
        <v>1</v>
      </c>
      <c r="J1053" s="37">
        <v>750</v>
      </c>
      <c r="K1053" s="107" t="s">
        <v>1406</v>
      </c>
      <c r="L1053" s="37">
        <f>COUNTIF(Drank!A:A,Table1[[#This Row],[ID]])</f>
        <v>1</v>
      </c>
      <c r="M1053" s="37" t="s">
        <v>202</v>
      </c>
      <c r="N1053" s="37" t="s">
        <v>207</v>
      </c>
      <c r="O1053" s="37">
        <v>1</v>
      </c>
      <c r="R1053" s="10">
        <f>IF(IFERROR(VLOOKUP(A1053,Drank!A:S,15,FALSE),"")=0,"",IFERROR(VLOOKUP(A1053,Drank!A:S,15,FALSE),""))</f>
        <v>2030</v>
      </c>
      <c r="S1053" s="10">
        <f>IF(IFERROR(VLOOKUP(A1053,Drank!A:S,16,FALSE),"")=0,"",IFERROR(VLOOKUP(A1053,Drank!A:S,16,FALSE),""))</f>
        <v>2030</v>
      </c>
      <c r="T1053" s="10"/>
      <c r="V1053" s="18">
        <f>IF(IFERROR(VLOOKUP(A1053,Drank!A:T,19,FALSE),"")=0,"",IFERROR(VLOOKUP(A1053,Drank!A:T,19,FALSE),""))</f>
        <v>94</v>
      </c>
      <c r="W1053" s="1">
        <f>IF(IFERROR(VLOOKUP(A1053,Drank!A:T,20,FALSE),"")=0,"",IFERROR(VLOOKUP(A1053,Drank!A:T,20,FALSE),""))</f>
        <v>43918</v>
      </c>
      <c r="X1053" s="10">
        <f>SUMIF(A:A,A1053,I:I)</f>
        <v>11</v>
      </c>
      <c r="Y1053" s="37">
        <f>IF(Table1[[#This Row],[Drank]]&gt;0,VLOOKUP(Table1[[#This Row],[ID]],Drank!A:P,16,FALSE),IF(Table1[[#This Row],[WALDD]]&gt;0,VLOOKUP(Table1[[#This Row],[ID]],Wine1!A:Q,17,FALSE),Table1[[#This Row],[EP]]))</f>
        <v>2030</v>
      </c>
      <c r="Z1053" s="18">
        <f>IF(Table1[[#This Row],[My Rating]]="",IF(Table1[[#This Row],[WA Rating Clean]]="","",Table1[[#This Row],[WA Rating Clean]]),Table1[[#This Row],[My Rating]])</f>
        <v>94</v>
      </c>
      <c r="AA1053" s="37">
        <v>2031</v>
      </c>
      <c r="AB1053" s="4">
        <v>58.67</v>
      </c>
      <c r="AC1053" s="2">
        <f t="shared" ref="AC1053:AC1116" si="55">AB1053*I1053</f>
        <v>58.67</v>
      </c>
      <c r="AD1053" s="8">
        <v>2</v>
      </c>
      <c r="AE1053" s="37">
        <f>IF(Table1[[#This Row],[P/750]]&lt;20,1,IF(Table1[[#This Row],[P/750]]&lt;50,2,3))</f>
        <v>3</v>
      </c>
      <c r="AF1053" s="37">
        <f>IF(Table1[[#This Row],[P/750]]&lt;Expenses!$C$30,1,IF(Table1[[#This Row],[P/750]]&lt;Expenses!$C$31,2,IF(Table1[[#This Row],[P/750]]&lt;Expenses!$C$32,3,4)))</f>
        <v>3</v>
      </c>
      <c r="AH1053" s="37" t="s">
        <v>1128</v>
      </c>
      <c r="AI1053" s="11">
        <f>Table1[[#This Row],[Price]]/Table1[[#This Row],[Size (ml)]]*750</f>
        <v>58.67</v>
      </c>
      <c r="AK1053" s="37">
        <f>COUNTIF(UniqueID!A:A,Table1[[#This Row],[ID]])</f>
        <v>0</v>
      </c>
      <c r="AL1053" s="37" t="str">
        <f>VLOOKUP(Table1[[#This Row],[Cellar Location]],Location!A:F,6,FALSE)</f>
        <v>S</v>
      </c>
      <c r="AN1053" s="1">
        <v>43966</v>
      </c>
      <c r="AO1053" s="37" t="str">
        <f>TEXT(Table1[[#This Row],[Purchased]],"mmmm")</f>
        <v>May</v>
      </c>
      <c r="AP1053" s="10" t="str">
        <f>TEXT(Table1[[#This Row],[Purchased]],"yyyy")</f>
        <v>2020</v>
      </c>
      <c r="AQ1053" s="10"/>
    </row>
    <row r="1054" spans="1:43" s="37" customFormat="1" x14ac:dyDescent="0.25">
      <c r="A1054" s="37" t="str">
        <f t="shared" si="54"/>
        <v>1998Raymond-LafonRaymond-Lafon</v>
      </c>
      <c r="B1054" s="8">
        <v>1998</v>
      </c>
      <c r="C1054" s="37" t="s">
        <v>197</v>
      </c>
      <c r="D1054" s="37" t="s">
        <v>197</v>
      </c>
      <c r="E1054" s="69" t="s">
        <v>1215</v>
      </c>
      <c r="F1054" s="37" t="s">
        <v>742</v>
      </c>
      <c r="G1054" s="37" t="s">
        <v>748</v>
      </c>
      <c r="H1054" s="37" t="s">
        <v>260</v>
      </c>
      <c r="I1054" s="107">
        <v>1</v>
      </c>
      <c r="J1054" s="37">
        <v>375</v>
      </c>
      <c r="K1054" s="107" t="s">
        <v>629</v>
      </c>
      <c r="L1054" s="37">
        <f>COUNTIF(Drank!A:A,Table1[[#This Row],[ID]])</f>
        <v>3</v>
      </c>
      <c r="M1054" s="37" t="s">
        <v>201</v>
      </c>
      <c r="N1054" s="37" t="s">
        <v>206</v>
      </c>
      <c r="O1054" s="37">
        <v>1</v>
      </c>
      <c r="P1054" s="37">
        <v>2018</v>
      </c>
      <c r="Q1054" s="37">
        <v>2025</v>
      </c>
      <c r="R1054" s="10" t="str">
        <f>IF(IFERROR(VLOOKUP(A1054,Drank!A:S,15,FALSE),"")=0,"",IFERROR(VLOOKUP(A1054,Drank!A:S,15,FALSE),""))</f>
        <v/>
      </c>
      <c r="S1054" s="10">
        <f>IF(IFERROR(VLOOKUP(A1054,Drank!A:S,16,FALSE),"")=0,"",IFERROR(VLOOKUP(A1054,Drank!A:S,16,FALSE),""))</f>
        <v>2030</v>
      </c>
      <c r="T1054" s="10"/>
      <c r="U1054" s="37">
        <v>93</v>
      </c>
      <c r="V1054" s="18">
        <f>IF(IFERROR(VLOOKUP(A1054,Drank!A:T,19,FALSE),"")=0,"",IFERROR(VLOOKUP(A1054,Drank!A:T,19,FALSE),""))</f>
        <v>92.666666666666671</v>
      </c>
      <c r="W1054" s="1">
        <f>IF(IFERROR(VLOOKUP(A1054,Drank!A:T,20,FALSE),"")=0,"",IFERROR(VLOOKUP(A1054,Drank!A:T,20,FALSE),""))</f>
        <v>44002</v>
      </c>
      <c r="X1054" s="10">
        <f>SUMIF(A:A,A1054,I:I)</f>
        <v>7</v>
      </c>
      <c r="Y1054" s="37">
        <f>IF(Table1[[#This Row],[Drank]]&gt;0,VLOOKUP(Table1[[#This Row],[ID]],Drank!A:P,16,FALSE),IF(Table1[[#This Row],[WALDD]]&gt;0,VLOOKUP(Table1[[#This Row],[ID]],Wine1!A:Q,17,FALSE),Table1[[#This Row],[EP]]))</f>
        <v>2030</v>
      </c>
      <c r="Z1054" s="18">
        <f>IF(Table1[[#This Row],[My Rating]]="",IF(Table1[[#This Row],[WA Rating Clean]]="","",Table1[[#This Row],[WA Rating Clean]]),Table1[[#This Row],[My Rating]])</f>
        <v>92.666666666666671</v>
      </c>
      <c r="AA1054" s="37">
        <v>2031</v>
      </c>
      <c r="AB1054" s="4">
        <v>16.989999999999998</v>
      </c>
      <c r="AC1054" s="2">
        <f t="shared" si="55"/>
        <v>16.989999999999998</v>
      </c>
      <c r="AD1054" s="8">
        <v>2</v>
      </c>
      <c r="AE1054" s="37">
        <f>IF(Table1[[#This Row],[P/750]]&lt;20,1,IF(Table1[[#This Row],[P/750]]&lt;50,2,3))</f>
        <v>2</v>
      </c>
      <c r="AF1054" s="37">
        <f>IF(Table1[[#This Row],[P/750]]&lt;Expenses!$C$30,1,IF(Table1[[#This Row],[P/750]]&lt;Expenses!$C$31,2,IF(Table1[[#This Row],[P/750]]&lt;Expenses!$C$32,3,4)))</f>
        <v>3</v>
      </c>
      <c r="AH1054" s="37" t="s">
        <v>385</v>
      </c>
      <c r="AI1054" s="11">
        <f>Table1[[#This Row],[Price]]/Table1[[#This Row],[Size (ml)]]*750</f>
        <v>33.979999999999997</v>
      </c>
      <c r="AJ1054" s="37">
        <v>93</v>
      </c>
      <c r="AK1054" s="37">
        <f>COUNTIF(UniqueID!A:A,Table1[[#This Row],[ID]])</f>
        <v>1</v>
      </c>
      <c r="AL1054" s="37" t="str">
        <f>VLOOKUP(Table1[[#This Row],[Cellar Location]],Location!A:F,6,FALSE)</f>
        <v>S</v>
      </c>
      <c r="AO1054" s="37" t="str">
        <f>TEXT(Table1[[#This Row],[Purchased]],"mmmm")</f>
        <v>January</v>
      </c>
      <c r="AP1054" s="10" t="str">
        <f>TEXT(Table1[[#This Row],[Purchased]],"yyyy")</f>
        <v>1900</v>
      </c>
      <c r="AQ1054" s="10"/>
    </row>
    <row r="1055" spans="1:43" s="37" customFormat="1" x14ac:dyDescent="0.25">
      <c r="A1055" s="37" t="str">
        <f t="shared" si="54"/>
        <v>2016Tenuta di NozzoleChianti Classico Riserva Nozzole</v>
      </c>
      <c r="B1055" s="37">
        <v>2016</v>
      </c>
      <c r="C1055" s="37" t="s">
        <v>100</v>
      </c>
      <c r="D1055" s="37" t="s">
        <v>101</v>
      </c>
      <c r="E1055" s="64" t="s">
        <v>399</v>
      </c>
      <c r="F1055" s="37" t="s">
        <v>728</v>
      </c>
      <c r="G1055" s="37" t="s">
        <v>790</v>
      </c>
      <c r="H1055" s="37" t="s">
        <v>792</v>
      </c>
      <c r="I1055" s="107">
        <v>1</v>
      </c>
      <c r="J1055" s="37">
        <v>750</v>
      </c>
      <c r="K1055" s="107" t="s">
        <v>619</v>
      </c>
      <c r="L1055" s="37">
        <f>COUNTIF(Drank!A:A,Table1[[#This Row],[ID]])</f>
        <v>3</v>
      </c>
      <c r="M1055" s="37" t="s">
        <v>202</v>
      </c>
      <c r="N1055" s="37" t="s">
        <v>207</v>
      </c>
      <c r="O1055" s="37">
        <v>1</v>
      </c>
      <c r="P1055" s="37">
        <v>2019</v>
      </c>
      <c r="Q1055" s="37">
        <v>2027</v>
      </c>
      <c r="R1055" s="10">
        <f>IF(IFERROR(VLOOKUP(A1055,Drank!A:S,15,FALSE),"")=0,"",IFERROR(VLOOKUP(A1055,Drank!A:S,15,FALSE),""))</f>
        <v>2024</v>
      </c>
      <c r="S1055" s="10">
        <f>IF(IFERROR(VLOOKUP(A1055,Drank!A:S,16,FALSE),"")=0,"",IFERROR(VLOOKUP(A1055,Drank!A:S,16,FALSE),""))</f>
        <v>2030</v>
      </c>
      <c r="T1055" s="10"/>
      <c r="U1055" s="37">
        <v>92</v>
      </c>
      <c r="V1055" s="18">
        <f>IF(IFERROR(VLOOKUP(A1055,Drank!A:T,19,FALSE),"")=0,"",IFERROR(VLOOKUP(A1055,Drank!A:T,19,FALSE),""))</f>
        <v>91.333333333333329</v>
      </c>
      <c r="W1055" s="1">
        <f>IF(IFERROR(VLOOKUP(A1055,Drank!A:T,20,FALSE),"")=0,"",IFERROR(VLOOKUP(A1055,Drank!A:T,20,FALSE),""))</f>
        <v>44058</v>
      </c>
      <c r="X1055" s="10">
        <f>SUMIF(A:A,A1055,I:I)</f>
        <v>6</v>
      </c>
      <c r="Y1055" s="37">
        <f>IF(Table1[[#This Row],[Drank]]&gt;0,VLOOKUP(Table1[[#This Row],[ID]],Drank!A:P,16,FALSE),IF(Table1[[#This Row],[WALDD]]&gt;0,VLOOKUP(Table1[[#This Row],[ID]],Wine1!A:Q,17,FALSE),Table1[[#This Row],[EP]]))</f>
        <v>2030</v>
      </c>
      <c r="Z1055" s="18">
        <f>IF(Table1[[#This Row],[My Rating]]="",IF(Table1[[#This Row],[WA Rating Clean]]="","",Table1[[#This Row],[WA Rating Clean]]),Table1[[#This Row],[My Rating]])</f>
        <v>91.333333333333329</v>
      </c>
      <c r="AA1055" s="8">
        <v>2031</v>
      </c>
      <c r="AB1055" s="4">
        <v>19.79</v>
      </c>
      <c r="AC1055" s="2">
        <f t="shared" si="55"/>
        <v>19.79</v>
      </c>
      <c r="AD1055" s="8">
        <v>2</v>
      </c>
      <c r="AE1055" s="37">
        <f>IF(Table1[[#This Row],[P/750]]&lt;20,1,IF(Table1[[#This Row],[P/750]]&lt;50,2,3))</f>
        <v>1</v>
      </c>
      <c r="AF1055" s="37">
        <f>IF(Table1[[#This Row],[P/750]]&lt;Expenses!$C$30,1,IF(Table1[[#This Row],[P/750]]&lt;Expenses!$C$31,2,IF(Table1[[#This Row],[P/750]]&lt;Expenses!$C$32,3,4)))</f>
        <v>2</v>
      </c>
      <c r="AH1055" s="25" t="s">
        <v>1128</v>
      </c>
      <c r="AI1055" s="11">
        <f>Table1[[#This Row],[Price]]/Table1[[#This Row],[Size (ml)]]*750</f>
        <v>19.79</v>
      </c>
      <c r="AJ1055" s="37">
        <v>92</v>
      </c>
      <c r="AK1055" s="37">
        <f>COUNTIF(UniqueID!A:A,Table1[[#This Row],[ID]])</f>
        <v>1</v>
      </c>
      <c r="AL1055" s="37" t="str">
        <f>VLOOKUP(Table1[[#This Row],[Cellar Location]],Location!A:F,6,FALSE)</f>
        <v>S</v>
      </c>
      <c r="AO1055" s="37" t="str">
        <f>TEXT(Table1[[#This Row],[Purchased]],"mmmm")</f>
        <v>January</v>
      </c>
      <c r="AP1055" s="10" t="str">
        <f>TEXT(Table1[[#This Row],[Purchased]],"yyyy")</f>
        <v>1900</v>
      </c>
      <c r="AQ1055" s="10"/>
    </row>
    <row r="1056" spans="1:43" s="37" customFormat="1" x14ac:dyDescent="0.25">
      <c r="A1056" s="37" t="str">
        <f t="shared" si="54"/>
        <v>2016Anderson's Conn ValleyCabernet Sauvignon</v>
      </c>
      <c r="B1056" s="37">
        <v>2016</v>
      </c>
      <c r="C1056" s="37" t="s">
        <v>252</v>
      </c>
      <c r="D1056" s="37" t="s">
        <v>32</v>
      </c>
      <c r="E1056" s="68" t="s">
        <v>1269</v>
      </c>
      <c r="F1056" s="37" t="s">
        <v>727</v>
      </c>
      <c r="G1056" s="37" t="s">
        <v>806</v>
      </c>
      <c r="H1056" s="37" t="s">
        <v>832</v>
      </c>
      <c r="I1056" s="8">
        <v>1</v>
      </c>
      <c r="J1056" s="107">
        <v>750</v>
      </c>
      <c r="K1056" s="8" t="s">
        <v>1832</v>
      </c>
      <c r="L1056" s="37">
        <f>COUNTIF(Drank!A:A,Table1[[#This Row],[ID]])</f>
        <v>1</v>
      </c>
      <c r="M1056" s="37" t="s">
        <v>202</v>
      </c>
      <c r="N1056" s="37" t="s">
        <v>207</v>
      </c>
      <c r="O1056" s="37">
        <v>1</v>
      </c>
      <c r="P1056" s="37">
        <v>2019</v>
      </c>
      <c r="Q1056" s="37">
        <v>2033</v>
      </c>
      <c r="R1056" s="37">
        <f>IF(IFERROR(VLOOKUP(A1056,Drank!A:S,15,FALSE),"")=0,"",IFERROR(VLOOKUP(A1056,Drank!A:S,15,FALSE),""))</f>
        <v>2024</v>
      </c>
      <c r="S1056" s="37">
        <f>IF(IFERROR(VLOOKUP(A1056,Drank!A:S,16,FALSE),"")=0,"",IFERROR(VLOOKUP(A1056,Drank!A:S,16,FALSE),""))</f>
        <v>2031</v>
      </c>
      <c r="U1056" s="37">
        <v>93</v>
      </c>
      <c r="V1056" s="18">
        <f>IF(IFERROR(VLOOKUP(A1056,Drank!A:T,19,FALSE),"")=0,"",IFERROR(VLOOKUP(A1056,Drank!A:T,19,FALSE),""))</f>
        <v>93</v>
      </c>
      <c r="W1056" s="1">
        <f>IF(IFERROR(VLOOKUP(A1056,Drank!A:T,20,FALSE),"")=0,"",IFERROR(VLOOKUP(A1056,Drank!A:T,20,FALSE),""))</f>
        <v>43582</v>
      </c>
      <c r="X1056" s="37">
        <f>SUMIF(A:A,A1056,I:I)</f>
        <v>3</v>
      </c>
      <c r="Y1056" s="37">
        <f>IF(Table1[[#This Row],[Drank]]&gt;0,VLOOKUP(Table1[[#This Row],[ID]],Drank!A:P,16,FALSE),IF(Table1[[#This Row],[WALDD]]&gt;0,VLOOKUP(Table1[[#This Row],[ID]],Wine1!A:Q,17,FALSE),Table1[[#This Row],[EP]]))</f>
        <v>2031</v>
      </c>
      <c r="Z1056" s="18">
        <f>IF(Table1[[#This Row],[My Rating]]="",IF(Table1[[#This Row],[WA Rating Clean]]="","",Table1[[#This Row],[WA Rating Clean]]),Table1[[#This Row],[My Rating]])</f>
        <v>93</v>
      </c>
      <c r="AA1056" s="8">
        <v>2031</v>
      </c>
      <c r="AB1056" s="4">
        <v>33</v>
      </c>
      <c r="AC1056" s="2">
        <f t="shared" si="55"/>
        <v>33</v>
      </c>
      <c r="AD1056" s="8">
        <v>0</v>
      </c>
      <c r="AE1056" s="37">
        <f>IF(Table1[[#This Row],[P/750]]&lt;20,1,IF(Table1[[#This Row],[P/750]]&lt;50,2,3))</f>
        <v>2</v>
      </c>
      <c r="AF1056" s="37">
        <f>IF(Table1[[#This Row],[P/750]]&lt;Expenses!$C$30,1,IF(Table1[[#This Row],[P/750]]&lt;Expenses!$C$31,2,IF(Table1[[#This Row],[P/750]]&lt;Expenses!$C$32,3,4)))</f>
        <v>3</v>
      </c>
      <c r="AH1056" s="37" t="s">
        <v>385</v>
      </c>
      <c r="AI1056" s="11">
        <f>Table1[[#This Row],[Price]]/Table1[[#This Row],[Size (ml)]]*750</f>
        <v>33</v>
      </c>
      <c r="AJ1056" s="37">
        <v>93</v>
      </c>
      <c r="AK1056" s="37">
        <f>COUNTIF(UniqueID!A:A,Table1[[#This Row],[ID]])</f>
        <v>1</v>
      </c>
      <c r="AL1056" s="37" t="str">
        <f>VLOOKUP(Table1[[#This Row],[Cellar Location]],Location!A:F,6,FALSE)</f>
        <v>S</v>
      </c>
      <c r="AO1056" s="37" t="str">
        <f>TEXT(Table1[[#This Row],[Purchased]],"mmmm")</f>
        <v>January</v>
      </c>
      <c r="AP1056" s="10" t="str">
        <f>TEXT(Table1[[#This Row],[Purchased]],"yyyy")</f>
        <v>1900</v>
      </c>
      <c r="AQ1056" s="10"/>
    </row>
    <row r="1057" spans="1:43" s="37" customFormat="1" x14ac:dyDescent="0.25">
      <c r="A1057" s="37" t="str">
        <f t="shared" si="54"/>
        <v>2011MugaPrado Enea Gran Reserva</v>
      </c>
      <c r="B1057" s="37">
        <v>2011</v>
      </c>
      <c r="C1057" s="37" t="s">
        <v>105</v>
      </c>
      <c r="D1057" s="21" t="s">
        <v>1652</v>
      </c>
      <c r="E1057" s="67" t="s">
        <v>1653</v>
      </c>
      <c r="F1057" s="37" t="s">
        <v>729</v>
      </c>
      <c r="G1057" s="37" t="s">
        <v>823</v>
      </c>
      <c r="I1057" s="37">
        <v>1</v>
      </c>
      <c r="J1057" s="107">
        <v>750</v>
      </c>
      <c r="K1057" s="8" t="s">
        <v>1812</v>
      </c>
      <c r="L1057" s="10">
        <f>COUNTIF(Drank!A:A,Table1[[#This Row],[ID]])</f>
        <v>0</v>
      </c>
      <c r="M1057" s="37" t="s">
        <v>202</v>
      </c>
      <c r="N1057" s="37" t="s">
        <v>207</v>
      </c>
      <c r="O1057" s="37">
        <v>1</v>
      </c>
      <c r="P1057" s="37">
        <v>2019</v>
      </c>
      <c r="Q1057" s="37">
        <v>2032</v>
      </c>
      <c r="R1057" s="10" t="str">
        <f>IF(IFERROR(VLOOKUP(A1057,Drank!A:S,15,FALSE),"")=0,"",IFERROR(VLOOKUP(A1057,Drank!A:S,15,FALSE),""))</f>
        <v/>
      </c>
      <c r="S1057" s="10" t="str">
        <f>IF(IFERROR(VLOOKUP(A1057,Drank!A:S,16,FALSE),"")=0,"",IFERROR(VLOOKUP(A1057,Drank!A:S,16,FALSE),""))</f>
        <v/>
      </c>
      <c r="T1057" s="10">
        <v>96</v>
      </c>
      <c r="V1057" s="18" t="str">
        <f>IF(IFERROR(VLOOKUP(A1057,Drank!A:T,19,FALSE),"")=0,"",IFERROR(VLOOKUP(A1057,Drank!A:T,19,FALSE),""))</f>
        <v/>
      </c>
      <c r="W1057" s="1" t="str">
        <f>IF(IFERROR(VLOOKUP(A1057,Drank!A:T,20,FALSE),"")=0,"",IFERROR(VLOOKUP(A1057,Drank!A:T,20,FALSE),""))</f>
        <v/>
      </c>
      <c r="X1057" s="10">
        <f>SUMIF(A:A,A1057,I:I)</f>
        <v>2</v>
      </c>
      <c r="Y1057" s="10">
        <f>IF(Table1[[#This Row],[Drank]]&gt;0,VLOOKUP(Table1[[#This Row],[ID]],Drank!A:P,16,FALSE),IF(Table1[[#This Row],[WALDD]]&gt;0,VLOOKUP(Table1[[#This Row],[ID]],Wine1!A:Q,17,FALSE),Table1[[#This Row],[EP]]))</f>
        <v>2032</v>
      </c>
      <c r="Z1057" s="18">
        <f>IF(Table1[[#This Row],[My Rating]]="",IF(Table1[[#This Row],[WA Rating Clean]]="","",Table1[[#This Row],[WA Rating Clean]]),Table1[[#This Row],[My Rating]])</f>
        <v>96</v>
      </c>
      <c r="AA1057" s="8">
        <v>2031</v>
      </c>
      <c r="AB1057" s="4">
        <v>69.98</v>
      </c>
      <c r="AC1057" s="2">
        <f t="shared" si="55"/>
        <v>69.98</v>
      </c>
      <c r="AD1057" s="8">
        <v>0</v>
      </c>
      <c r="AE1057" s="10">
        <f>IF(Table1[[#This Row],[P/750]]&lt;20,1,IF(Table1[[#This Row],[P/750]]&lt;50,2,3))</f>
        <v>3</v>
      </c>
      <c r="AF1057" s="10">
        <f>IF(Table1[[#This Row],[P/750]]&lt;Expenses!$C$30,1,IF(Table1[[#This Row],[P/750]]&lt;Expenses!$C$31,2,IF(Table1[[#This Row],[P/750]]&lt;Expenses!$C$32,3,4)))</f>
        <v>4</v>
      </c>
      <c r="AH1057" s="37" t="s">
        <v>1645</v>
      </c>
      <c r="AI1057" s="11">
        <f>Table1[[#This Row],[Price]]/Table1[[#This Row],[Size (ml)]]*750</f>
        <v>69.98</v>
      </c>
      <c r="AJ1057" s="37">
        <v>96</v>
      </c>
      <c r="AK1057" s="10">
        <f>COUNTIF(UniqueID!A:A,Table1[[#This Row],[ID]])</f>
        <v>0</v>
      </c>
      <c r="AL1057" s="10" t="str">
        <f>VLOOKUP(Table1[[#This Row],[Cellar Location]],Location!A:F,6,FALSE)</f>
        <v>S</v>
      </c>
      <c r="AN1057" s="1">
        <v>44060</v>
      </c>
      <c r="AO1057" s="10" t="str">
        <f>TEXT(Table1[[#This Row],[Purchased]],"mmmm")</f>
        <v>August</v>
      </c>
      <c r="AP1057" s="10" t="str">
        <f>TEXT(Table1[[#This Row],[Purchased]],"yyyy")</f>
        <v>2020</v>
      </c>
      <c r="AQ1057" s="10"/>
    </row>
    <row r="1058" spans="1:43" s="37" customFormat="1" x14ac:dyDescent="0.25">
      <c r="A1058" s="37" t="str">
        <f t="shared" si="54"/>
        <v>2016FontanabiancaBarbaresco</v>
      </c>
      <c r="B1058" s="37">
        <v>2016</v>
      </c>
      <c r="C1058" s="9" t="s">
        <v>1312</v>
      </c>
      <c r="D1058" s="9" t="s">
        <v>249</v>
      </c>
      <c r="E1058" s="67" t="s">
        <v>1206</v>
      </c>
      <c r="F1058" s="37" t="s">
        <v>728</v>
      </c>
      <c r="G1058" s="37" t="s">
        <v>778</v>
      </c>
      <c r="H1058" s="37" t="s">
        <v>249</v>
      </c>
      <c r="I1058" s="107">
        <v>1</v>
      </c>
      <c r="J1058" s="37">
        <v>750</v>
      </c>
      <c r="K1058" s="107" t="s">
        <v>1406</v>
      </c>
      <c r="L1058" s="10">
        <f>COUNTIF(Drank!A:A,Table1[[#This Row],[ID]])</f>
        <v>2</v>
      </c>
      <c r="M1058" s="37" t="s">
        <v>202</v>
      </c>
      <c r="N1058" s="37" t="s">
        <v>207</v>
      </c>
      <c r="O1058" s="37">
        <v>1</v>
      </c>
      <c r="P1058" s="37">
        <v>2020</v>
      </c>
      <c r="Q1058" s="37">
        <v>2033</v>
      </c>
      <c r="R1058" s="10">
        <f>IF(IFERROR(VLOOKUP(A1058,Drank!A:S,15,FALSE),"")=0,"",IFERROR(VLOOKUP(A1058,Drank!A:S,15,FALSE),""))</f>
        <v>2022</v>
      </c>
      <c r="S1058" s="10">
        <f>IF(IFERROR(VLOOKUP(A1058,Drank!A:S,16,FALSE),"")=0,"",IFERROR(VLOOKUP(A1058,Drank!A:S,16,FALSE),""))</f>
        <v>2032</v>
      </c>
      <c r="T1058" s="10"/>
      <c r="U1058" s="37">
        <v>93</v>
      </c>
      <c r="V1058" s="18">
        <f>IF(IFERROR(VLOOKUP(A1058,Drank!A:T,19,FALSE),"")=0,"",IFERROR(VLOOKUP(A1058,Drank!A:T,19,FALSE),""))</f>
        <v>93.5</v>
      </c>
      <c r="W1058" s="1">
        <f>IF(IFERROR(VLOOKUP(A1058,Drank!A:T,20,FALSE),"")=0,"",IFERROR(VLOOKUP(A1058,Drank!A:T,20,FALSE),""))</f>
        <v>44059</v>
      </c>
      <c r="X1058" s="10">
        <f>SUMIF(A:A,A1058,I:I)</f>
        <v>3</v>
      </c>
      <c r="Y1058" s="10">
        <f>IF(Table1[[#This Row],[Drank]]&gt;0,VLOOKUP(Table1[[#This Row],[ID]],Drank!A:P,16,FALSE),IF(Table1[[#This Row],[WALDD]]&gt;0,VLOOKUP(Table1[[#This Row],[ID]],Wine1!A:Q,17,FALSE),Table1[[#This Row],[EP]]))</f>
        <v>2032</v>
      </c>
      <c r="Z1058" s="18">
        <f>IF(Table1[[#This Row],[My Rating]]="",IF(Table1[[#This Row],[WA Rating Clean]]="","",Table1[[#This Row],[WA Rating Clean]]),Table1[[#This Row],[My Rating]])</f>
        <v>93.5</v>
      </c>
      <c r="AA1058" s="8">
        <v>2031</v>
      </c>
      <c r="AB1058" s="4">
        <v>41.07</v>
      </c>
      <c r="AC1058" s="2">
        <f t="shared" si="55"/>
        <v>41.07</v>
      </c>
      <c r="AD1058" s="8">
        <v>2</v>
      </c>
      <c r="AE1058" s="10">
        <f>IF(Table1[[#This Row],[P/750]]&lt;20,1,IF(Table1[[#This Row],[P/750]]&lt;50,2,3))</f>
        <v>2</v>
      </c>
      <c r="AF1058" s="10">
        <f>IF(Table1[[#This Row],[P/750]]&lt;Expenses!$C$30,1,IF(Table1[[#This Row],[P/750]]&lt;Expenses!$C$31,2,IF(Table1[[#This Row],[P/750]]&lt;Expenses!$C$32,3,4)))</f>
        <v>3</v>
      </c>
      <c r="AH1058" s="37" t="s">
        <v>1128</v>
      </c>
      <c r="AI1058" s="11">
        <f>Table1[[#This Row],[Price]]/Table1[[#This Row],[Size (ml)]]*750</f>
        <v>41.07</v>
      </c>
      <c r="AJ1058" s="37">
        <v>93</v>
      </c>
      <c r="AK1058" s="10">
        <f>COUNTIF(UniqueID!A:A,Table1[[#This Row],[ID]])</f>
        <v>0</v>
      </c>
      <c r="AL1058" s="10" t="str">
        <f>VLOOKUP(Table1[[#This Row],[Cellar Location]],Location!A:F,6,FALSE)</f>
        <v>S</v>
      </c>
      <c r="AN1058" s="1">
        <v>43966</v>
      </c>
      <c r="AO1058" s="10" t="str">
        <f>TEXT(Table1[[#This Row],[Purchased]],"mmmm")</f>
        <v>May</v>
      </c>
      <c r="AP1058" s="10" t="str">
        <f>TEXT(Table1[[#This Row],[Purchased]],"yyyy")</f>
        <v>2020</v>
      </c>
      <c r="AQ1058" s="10"/>
    </row>
    <row r="1059" spans="1:43" s="37" customFormat="1" x14ac:dyDescent="0.25">
      <c r="A1059" s="37" t="str">
        <f t="shared" si="54"/>
        <v>2015CortonesiBrunello di Montalcino La Mannella</v>
      </c>
      <c r="B1059" s="37">
        <v>2015</v>
      </c>
      <c r="C1059" s="37" t="s">
        <v>72</v>
      </c>
      <c r="D1059" s="25" t="s">
        <v>73</v>
      </c>
      <c r="E1059" s="67" t="s">
        <v>1250</v>
      </c>
      <c r="F1059" s="37" t="s">
        <v>728</v>
      </c>
      <c r="G1059" s="37" t="s">
        <v>790</v>
      </c>
      <c r="H1059" s="37" t="s">
        <v>19</v>
      </c>
      <c r="I1059" s="8">
        <v>1</v>
      </c>
      <c r="J1059" s="38">
        <v>750</v>
      </c>
      <c r="K1059" s="38" t="s">
        <v>384</v>
      </c>
      <c r="L1059" s="10">
        <f>COUNTIF(Drank!A:A,Table1[[#This Row],[ID]])</f>
        <v>1</v>
      </c>
      <c r="M1059" s="37" t="s">
        <v>202</v>
      </c>
      <c r="N1059" s="37" t="s">
        <v>207</v>
      </c>
      <c r="O1059" s="37">
        <v>1</v>
      </c>
      <c r="P1059" s="37">
        <v>2021</v>
      </c>
      <c r="Q1059" s="37">
        <v>2035</v>
      </c>
      <c r="R1059" s="10">
        <f>IF(IFERROR(VLOOKUP(A1059,Drank!A:S,15,FALSE),"")=0,"",IFERROR(VLOOKUP(A1059,Drank!A:S,15,FALSE),""))</f>
        <v>2026</v>
      </c>
      <c r="S1059" s="10">
        <f>IF(IFERROR(VLOOKUP(A1059,Drank!A:S,16,FALSE),"")=0,"",IFERROR(VLOOKUP(A1059,Drank!A:S,16,FALSE),""))</f>
        <v>2033</v>
      </c>
      <c r="T1059" s="10"/>
      <c r="U1059" s="37">
        <v>94</v>
      </c>
      <c r="V1059" s="18">
        <f>IF(IFERROR(VLOOKUP(A1059,Drank!A:T,19,FALSE),"")=0,"",IFERROR(VLOOKUP(A1059,Drank!A:T,19,FALSE),""))</f>
        <v>94</v>
      </c>
      <c r="W1059" s="1">
        <f>IF(IFERROR(VLOOKUP(A1059,Drank!A:T,20,FALSE),"")=0,"",IFERROR(VLOOKUP(A1059,Drank!A:T,20,FALSE),""))</f>
        <v>43995</v>
      </c>
      <c r="X1059" s="10">
        <f>SUMIF(A:A,A1059,I:I)</f>
        <v>23</v>
      </c>
      <c r="Y1059" s="10">
        <f>IF(Table1[[#This Row],[Drank]]&gt;0,VLOOKUP(Table1[[#This Row],[ID]],Drank!A:P,16,FALSE),IF(Table1[[#This Row],[WALDD]]&gt;0,VLOOKUP(Table1[[#This Row],[ID]],Wine1!A:Q,17,FALSE),Table1[[#This Row],[EP]]))</f>
        <v>2033</v>
      </c>
      <c r="Z1059" s="18">
        <f>IF(Table1[[#This Row],[My Rating]]="",IF(Table1[[#This Row],[WA Rating Clean]]="","",Table1[[#This Row],[WA Rating Clean]]),Table1[[#This Row],[My Rating]])</f>
        <v>94</v>
      </c>
      <c r="AA1059" s="37">
        <v>2031</v>
      </c>
      <c r="AB1059" s="4">
        <v>36.92</v>
      </c>
      <c r="AC1059" s="2">
        <f t="shared" si="55"/>
        <v>36.92</v>
      </c>
      <c r="AD1059" s="8">
        <v>1</v>
      </c>
      <c r="AE1059" s="10">
        <f>IF(Table1[[#This Row],[P/750]]&lt;20,1,IF(Table1[[#This Row],[P/750]]&lt;50,2,3))</f>
        <v>2</v>
      </c>
      <c r="AF1059" s="10">
        <f>IF(Table1[[#This Row],[P/750]]&lt;Expenses!$C$30,1,IF(Table1[[#This Row],[P/750]]&lt;Expenses!$C$31,2,IF(Table1[[#This Row],[P/750]]&lt;Expenses!$C$32,3,4)))</f>
        <v>3</v>
      </c>
      <c r="AH1059" s="37" t="s">
        <v>384</v>
      </c>
      <c r="AI1059" s="11">
        <f>Table1[[#This Row],[Price]]/Table1[[#This Row],[Size (ml)]]*750</f>
        <v>36.92</v>
      </c>
      <c r="AJ1059" s="37">
        <v>94</v>
      </c>
      <c r="AK1059" s="10">
        <f>COUNTIF(UniqueID!A:A,Table1[[#This Row],[ID]])</f>
        <v>0</v>
      </c>
      <c r="AL1059" s="10" t="str">
        <f>VLOOKUP(Table1[[#This Row],[Cellar Location]],Location!A:F,6,FALSE)</f>
        <v>W</v>
      </c>
      <c r="AN1059" s="1">
        <v>44045</v>
      </c>
      <c r="AO1059" s="10" t="str">
        <f>TEXT(Table1[[#This Row],[Purchased]],"mmmm")</f>
        <v>August</v>
      </c>
      <c r="AP1059" s="10" t="str">
        <f>TEXT(Table1[[#This Row],[Purchased]],"yyyy")</f>
        <v>2020</v>
      </c>
      <c r="AQ1059" s="1">
        <v>44138</v>
      </c>
    </row>
    <row r="1060" spans="1:43" s="37" customFormat="1" x14ac:dyDescent="0.25">
      <c r="A1060" s="37" t="str">
        <f t="shared" si="54"/>
        <v>2013FontanafreddaBarolo Serralunga</v>
      </c>
      <c r="B1060" s="37">
        <v>2013</v>
      </c>
      <c r="C1060" s="37" t="s">
        <v>428</v>
      </c>
      <c r="D1060" s="37" t="s">
        <v>429</v>
      </c>
      <c r="E1060" s="67" t="s">
        <v>1206</v>
      </c>
      <c r="F1060" s="37" t="s">
        <v>728</v>
      </c>
      <c r="G1060" s="37" t="s">
        <v>778</v>
      </c>
      <c r="H1060" s="37" t="s">
        <v>783</v>
      </c>
      <c r="I1060" s="107">
        <v>1</v>
      </c>
      <c r="J1060" s="37">
        <v>1000</v>
      </c>
      <c r="K1060" s="107" t="s">
        <v>619</v>
      </c>
      <c r="L1060" s="37">
        <f>COUNTIF(Drank!A:A,Table1[[#This Row],[ID]])</f>
        <v>2</v>
      </c>
      <c r="M1060" s="37" t="s">
        <v>202</v>
      </c>
      <c r="N1060" s="37" t="s">
        <v>207</v>
      </c>
      <c r="O1060" s="37">
        <v>1</v>
      </c>
      <c r="P1060" s="37">
        <v>2018</v>
      </c>
      <c r="Q1060" s="37">
        <v>2030</v>
      </c>
      <c r="R1060" s="10">
        <f>IF(IFERROR(VLOOKUP(A1060,Drank!A:S,15,FALSE),"")=0,"",IFERROR(VLOOKUP(A1060,Drank!A:S,15,FALSE),""))</f>
        <v>2025</v>
      </c>
      <c r="S1060" s="10">
        <f>IF(IFERROR(VLOOKUP(A1060,Drank!A:S,16,FALSE),"")=0,"",IFERROR(VLOOKUP(A1060,Drank!A:S,16,FALSE),""))</f>
        <v>2033</v>
      </c>
      <c r="T1060" s="10"/>
      <c r="U1060" s="37">
        <v>92</v>
      </c>
      <c r="V1060" s="18">
        <f>IF(IFERROR(VLOOKUP(A1060,Drank!A:T,19,FALSE),"")=0,"",IFERROR(VLOOKUP(A1060,Drank!A:T,19,FALSE),""))</f>
        <v>91.5</v>
      </c>
      <c r="W1060" s="1">
        <f>IF(IFERROR(VLOOKUP(A1060,Drank!A:T,20,FALSE),"")=0,"",IFERROR(VLOOKUP(A1060,Drank!A:T,20,FALSE),""))</f>
        <v>44057</v>
      </c>
      <c r="X1060" s="10">
        <f>SUMIF(A:A,A1060,I:I)</f>
        <v>7</v>
      </c>
      <c r="Y1060" s="37">
        <f>IF(Table1[[#This Row],[Drank]]&gt;0,VLOOKUP(Table1[[#This Row],[ID]],Drank!A:P,16,FALSE),IF(Table1[[#This Row],[WALDD]]&gt;0,VLOOKUP(Table1[[#This Row],[ID]],Wine1!A:Q,17,FALSE),Table1[[#This Row],[EP]]))</f>
        <v>2033</v>
      </c>
      <c r="Z1060" s="18">
        <f>IF(Table1[[#This Row],[My Rating]]="",IF(Table1[[#This Row],[WA Rating Clean]]="","",Table1[[#This Row],[WA Rating Clean]]),Table1[[#This Row],[My Rating]])</f>
        <v>91.5</v>
      </c>
      <c r="AA1060" s="8">
        <v>2031</v>
      </c>
      <c r="AB1060" s="4">
        <v>32.99</v>
      </c>
      <c r="AC1060" s="2">
        <f t="shared" si="55"/>
        <v>32.99</v>
      </c>
      <c r="AD1060" s="8">
        <v>2</v>
      </c>
      <c r="AE1060" s="37">
        <f>IF(Table1[[#This Row],[P/750]]&lt;20,1,IF(Table1[[#This Row],[P/750]]&lt;50,2,3))</f>
        <v>2</v>
      </c>
      <c r="AF1060" s="37">
        <f>IF(Table1[[#This Row],[P/750]]&lt;Expenses!$C$30,1,IF(Table1[[#This Row],[P/750]]&lt;Expenses!$C$31,2,IF(Table1[[#This Row],[P/750]]&lt;Expenses!$C$32,3,4)))</f>
        <v>2</v>
      </c>
      <c r="AH1060" s="37" t="s">
        <v>384</v>
      </c>
      <c r="AI1060" s="11">
        <f>Table1[[#This Row],[Price]]/Table1[[#This Row],[Size (ml)]]*750</f>
        <v>24.742500000000003</v>
      </c>
      <c r="AJ1060" s="37">
        <v>92</v>
      </c>
      <c r="AK1060" s="37">
        <f>COUNTIF(UniqueID!A:A,Table1[[#This Row],[ID]])</f>
        <v>1</v>
      </c>
      <c r="AL1060" s="37" t="str">
        <f>VLOOKUP(Table1[[#This Row],[Cellar Location]],Location!A:F,6,FALSE)</f>
        <v>S</v>
      </c>
      <c r="AN1060" s="1">
        <v>43806</v>
      </c>
      <c r="AO1060" s="37" t="str">
        <f>TEXT(Table1[[#This Row],[Purchased]],"mmmm")</f>
        <v>December</v>
      </c>
      <c r="AP1060" s="10" t="str">
        <f>TEXT(Table1[[#This Row],[Purchased]],"yyyy")</f>
        <v>2019</v>
      </c>
      <c r="AQ1060" s="10"/>
    </row>
    <row r="1061" spans="1:43" s="37" customFormat="1" x14ac:dyDescent="0.25">
      <c r="A1061" s="37" t="str">
        <f t="shared" si="54"/>
        <v>2015CamiglianoBrunello di Montalcino</v>
      </c>
      <c r="B1061" s="37">
        <v>2015</v>
      </c>
      <c r="C1061" s="37" t="s">
        <v>1693</v>
      </c>
      <c r="D1061" s="37" t="s">
        <v>19</v>
      </c>
      <c r="E1061" s="67" t="s">
        <v>1250</v>
      </c>
      <c r="F1061" s="37" t="s">
        <v>728</v>
      </c>
      <c r="G1061" s="37" t="s">
        <v>790</v>
      </c>
      <c r="H1061" s="37" t="s">
        <v>19</v>
      </c>
      <c r="I1061" s="8">
        <v>1</v>
      </c>
      <c r="J1061" s="38">
        <v>750</v>
      </c>
      <c r="K1061" s="38" t="s">
        <v>1687</v>
      </c>
      <c r="L1061" s="10">
        <f>COUNTIF(Drank!A:A,Table1[[#This Row],[ID]])</f>
        <v>0</v>
      </c>
      <c r="M1061" s="37" t="s">
        <v>202</v>
      </c>
      <c r="N1061" s="37" t="s">
        <v>207</v>
      </c>
      <c r="O1061" s="37">
        <v>1</v>
      </c>
      <c r="P1061" s="37">
        <v>2021</v>
      </c>
      <c r="Q1061" s="37">
        <v>2033</v>
      </c>
      <c r="R1061" s="10" t="str">
        <f>IF(IFERROR(VLOOKUP(A1061,Drank!A:S,15,FALSE),"")=0,"",IFERROR(VLOOKUP(A1061,Drank!A:S,15,FALSE),""))</f>
        <v/>
      </c>
      <c r="S1061" s="10" t="str">
        <f>IF(IFERROR(VLOOKUP(A1061,Drank!A:S,16,FALSE),"")=0,"",IFERROR(VLOOKUP(A1061,Drank!A:S,16,FALSE),""))</f>
        <v/>
      </c>
      <c r="T1061" s="10"/>
      <c r="U1061" s="37">
        <v>94</v>
      </c>
      <c r="V1061" s="18" t="str">
        <f>IF(IFERROR(VLOOKUP(A1061,Drank!A:T,19,FALSE),"")=0,"",IFERROR(VLOOKUP(A1061,Drank!A:T,19,FALSE),""))</f>
        <v/>
      </c>
      <c r="W1061" s="1" t="str">
        <f>IF(IFERROR(VLOOKUP(A1061,Drank!A:T,20,FALSE),"")=0,"",IFERROR(VLOOKUP(A1061,Drank!A:T,20,FALSE),""))</f>
        <v/>
      </c>
      <c r="X1061" s="10">
        <f>SUMIF(A:A,A1061,I:I)</f>
        <v>3</v>
      </c>
      <c r="Y1061" s="10">
        <f>IF(Table1[[#This Row],[Drank]]&gt;0,VLOOKUP(Table1[[#This Row],[ID]],Drank!A:P,16,FALSE),IF(Table1[[#This Row],[WALDD]]&gt;0,VLOOKUP(Table1[[#This Row],[ID]],Wine1!A:Q,17,FALSE),Table1[[#This Row],[EP]]))</f>
        <v>2033</v>
      </c>
      <c r="Z1061" s="18">
        <f>IF(Table1[[#This Row],[My Rating]]="",IF(Table1[[#This Row],[WA Rating Clean]]="","",Table1[[#This Row],[WA Rating Clean]]),Table1[[#This Row],[My Rating]])</f>
        <v>94</v>
      </c>
      <c r="AA1061" s="8">
        <v>2031</v>
      </c>
      <c r="AB1061" s="4">
        <v>36.51</v>
      </c>
      <c r="AC1061" s="2">
        <f t="shared" si="55"/>
        <v>36.51</v>
      </c>
      <c r="AD1061" s="8">
        <v>1</v>
      </c>
      <c r="AE1061" s="10">
        <f>IF(Table1[[#This Row],[P/750]]&lt;20,1,IF(Table1[[#This Row],[P/750]]&lt;50,2,3))</f>
        <v>2</v>
      </c>
      <c r="AF1061" s="10">
        <f>IF(Table1[[#This Row],[P/750]]&lt;Expenses!$C$30,1,IF(Table1[[#This Row],[P/750]]&lt;Expenses!$C$31,2,IF(Table1[[#This Row],[P/750]]&lt;Expenses!$C$32,3,4)))</f>
        <v>3</v>
      </c>
      <c r="AH1061" s="37" t="s">
        <v>1189</v>
      </c>
      <c r="AI1061" s="11">
        <f>Table1[[#This Row],[Price]]/Table1[[#This Row],[Size (ml)]]*750</f>
        <v>36.51</v>
      </c>
      <c r="AJ1061" s="37">
        <v>94</v>
      </c>
      <c r="AK1061" s="10">
        <f>COUNTIF(UniqueID!A:A,Table1[[#This Row],[ID]])</f>
        <v>0</v>
      </c>
      <c r="AL1061" s="10" t="str">
        <f>VLOOKUP(Table1[[#This Row],[Cellar Location]],Location!A:F,6,FALSE)</f>
        <v>W</v>
      </c>
      <c r="AN1061" s="1">
        <v>44061</v>
      </c>
      <c r="AO1061" s="10" t="str">
        <f>TEXT(Table1[[#This Row],[Purchased]],"mmmm")</f>
        <v>August</v>
      </c>
      <c r="AP1061" s="10" t="str">
        <f>TEXT(Table1[[#This Row],[Purchased]],"yyyy")</f>
        <v>2020</v>
      </c>
      <c r="AQ1061" s="1">
        <v>44137</v>
      </c>
    </row>
    <row r="1062" spans="1:43" s="37" customFormat="1" x14ac:dyDescent="0.25">
      <c r="A1062" s="37" t="str">
        <f t="shared" si="54"/>
        <v>2016Michele SattaBolgheri Superiore Piastraia</v>
      </c>
      <c r="B1062" s="37">
        <v>2016</v>
      </c>
      <c r="C1062" s="37" t="s">
        <v>1484</v>
      </c>
      <c r="D1062" s="37" t="s">
        <v>1485</v>
      </c>
      <c r="E1062" s="37" t="s">
        <v>1486</v>
      </c>
      <c r="F1062" s="37" t="s">
        <v>728</v>
      </c>
      <c r="G1062" s="37" t="s">
        <v>790</v>
      </c>
      <c r="H1062" s="37" t="s">
        <v>1336</v>
      </c>
      <c r="I1062" s="8">
        <v>1</v>
      </c>
      <c r="J1062" s="38">
        <v>750</v>
      </c>
      <c r="K1062" s="38" t="s">
        <v>1526</v>
      </c>
      <c r="L1062" s="10">
        <f>COUNTIF(Drank!A:A,Table1[[#This Row],[ID]])</f>
        <v>1</v>
      </c>
      <c r="M1062" s="37" t="s">
        <v>202</v>
      </c>
      <c r="N1062" s="37" t="s">
        <v>207</v>
      </c>
      <c r="O1062" s="37">
        <v>1</v>
      </c>
      <c r="P1062" s="37">
        <v>2020</v>
      </c>
      <c r="Q1062" s="37">
        <v>2033</v>
      </c>
      <c r="R1062" s="10" t="str">
        <f>IF(IFERROR(VLOOKUP(A1062,Drank!A:S,15,FALSE),"")=0,"",IFERROR(VLOOKUP(A1062,Drank!A:S,15,FALSE),""))</f>
        <v/>
      </c>
      <c r="S1062" s="10">
        <f>IF(IFERROR(VLOOKUP(A1062,Drank!A:S,16,FALSE),"")=0,"",IFERROR(VLOOKUP(A1062,Drank!A:S,16,FALSE),""))</f>
        <v>2033</v>
      </c>
      <c r="T1062" s="10"/>
      <c r="U1062" s="37" t="s">
        <v>17</v>
      </c>
      <c r="V1062" s="18">
        <f>IF(IFERROR(VLOOKUP(A1062,Drank!A:T,19,FALSE),"")=0,"",IFERROR(VLOOKUP(A1062,Drank!A:T,19,FALSE),""))</f>
        <v>92</v>
      </c>
      <c r="W1062" s="1">
        <f>IF(IFERROR(VLOOKUP(A1062,Drank!A:T,20,FALSE),"")=0,"",IFERROR(VLOOKUP(A1062,Drank!A:T,20,FALSE),""))</f>
        <v>44045</v>
      </c>
      <c r="X1062" s="10">
        <f>SUMIF(A:A,A1062,I:I)</f>
        <v>1</v>
      </c>
      <c r="Y1062" s="10">
        <f>IF(Table1[[#This Row],[Drank]]&gt;0,VLOOKUP(Table1[[#This Row],[ID]],Drank!A:P,16,FALSE),IF(Table1[[#This Row],[WALDD]]&gt;0,VLOOKUP(Table1[[#This Row],[ID]],Wine1!A:Q,17,FALSE),Table1[[#This Row],[EP]]))</f>
        <v>2033</v>
      </c>
      <c r="Z1062" s="18">
        <f>IF(Table1[[#This Row],[My Rating]]="",IF(Table1[[#This Row],[WA Rating Clean]]="","",Table1[[#This Row],[WA Rating Clean]]),Table1[[#This Row],[My Rating]])</f>
        <v>92</v>
      </c>
      <c r="AA1062" s="8">
        <v>2031</v>
      </c>
      <c r="AB1062" s="4">
        <v>34.75</v>
      </c>
      <c r="AC1062" s="2">
        <f t="shared" si="55"/>
        <v>34.75</v>
      </c>
      <c r="AD1062" s="8">
        <v>1</v>
      </c>
      <c r="AE1062" s="10">
        <f>IF(Table1[[#This Row],[P/750]]&lt;20,1,IF(Table1[[#This Row],[P/750]]&lt;50,2,3))</f>
        <v>2</v>
      </c>
      <c r="AF1062" s="10">
        <f>IF(Table1[[#This Row],[P/750]]&lt;Expenses!$C$30,1,IF(Table1[[#This Row],[P/750]]&lt;Expenses!$C$31,2,IF(Table1[[#This Row],[P/750]]&lt;Expenses!$C$32,3,4)))</f>
        <v>3</v>
      </c>
      <c r="AH1062" s="37" t="s">
        <v>1478</v>
      </c>
      <c r="AI1062" s="11">
        <f>Table1[[#This Row],[Price]]/Table1[[#This Row],[Size (ml)]]*750</f>
        <v>34.75</v>
      </c>
      <c r="AJ1062" s="37">
        <v>94</v>
      </c>
      <c r="AK1062" s="10">
        <f>COUNTIF(UniqueID!A:A,Table1[[#This Row],[ID]])</f>
        <v>0</v>
      </c>
      <c r="AL1062" s="10" t="str">
        <f>VLOOKUP(Table1[[#This Row],[Cellar Location]],Location!A:F,6,FALSE)</f>
        <v>W</v>
      </c>
      <c r="AN1062" s="1">
        <v>44064</v>
      </c>
      <c r="AO1062" s="10" t="str">
        <f>TEXT(Table1[[#This Row],[Purchased]],"mmmm")</f>
        <v>August</v>
      </c>
      <c r="AP1062" s="10" t="str">
        <f>TEXT(Table1[[#This Row],[Purchased]],"yyyy")</f>
        <v>2020</v>
      </c>
      <c r="AQ1062" s="1">
        <v>44114</v>
      </c>
    </row>
    <row r="1063" spans="1:43" s="37" customFormat="1" x14ac:dyDescent="0.25">
      <c r="A1063" s="37" t="str">
        <f t="shared" si="54"/>
        <v>2016MontepelosoEneo</v>
      </c>
      <c r="B1063" s="37">
        <v>2016</v>
      </c>
      <c r="C1063" s="37" t="s">
        <v>1799</v>
      </c>
      <c r="D1063" s="9" t="s">
        <v>1800</v>
      </c>
      <c r="E1063" s="67" t="s">
        <v>1801</v>
      </c>
      <c r="F1063" s="37" t="s">
        <v>728</v>
      </c>
      <c r="G1063" s="37" t="s">
        <v>790</v>
      </c>
      <c r="H1063" s="37" t="s">
        <v>796</v>
      </c>
      <c r="I1063" s="78">
        <v>1</v>
      </c>
      <c r="J1063" s="37">
        <v>750</v>
      </c>
      <c r="K1063" s="78" t="s">
        <v>1545</v>
      </c>
      <c r="L1063" s="10">
        <f>COUNTIF(Drank!A:A,Table1[[#This Row],[ID]])</f>
        <v>1</v>
      </c>
      <c r="M1063" s="37" t="s">
        <v>202</v>
      </c>
      <c r="N1063" s="37" t="s">
        <v>207</v>
      </c>
      <c r="O1063" s="37">
        <v>1</v>
      </c>
      <c r="P1063" s="10"/>
      <c r="R1063" s="10" t="str">
        <f>IF(IFERROR(VLOOKUP(A1063,Drank!A:S,15,FALSE),"")=0,"",IFERROR(VLOOKUP(A1063,Drank!A:S,15,FALSE),""))</f>
        <v/>
      </c>
      <c r="S1063" s="10" t="str">
        <f>IF(IFERROR(VLOOKUP(A1063,Drank!A:S,16,FALSE),"")=0,"",IFERROR(VLOOKUP(A1063,Drank!A:S,16,FALSE),""))</f>
        <v/>
      </c>
      <c r="T1063" s="10">
        <v>2034</v>
      </c>
      <c r="V1063" s="18">
        <f>IF(IFERROR(VLOOKUP(A1063,Drank!A:T,19,FALSE),"")=0,"",IFERROR(VLOOKUP(A1063,Drank!A:T,19,FALSE),""))</f>
        <v>93</v>
      </c>
      <c r="W1063" s="1">
        <f>IF(IFERROR(VLOOKUP(A1063,Drank!A:T,20,FALSE),"")=0,"",IFERROR(VLOOKUP(A1063,Drank!A:T,20,FALSE),""))</f>
        <v>44074</v>
      </c>
      <c r="X1063" s="10">
        <f>SUMIF(A:A,A1063,I:I)</f>
        <v>7</v>
      </c>
      <c r="Y1063" s="10">
        <f>IF(Table1[[#This Row],[Drank]]&gt;0,VLOOKUP(Table1[[#This Row],[ID]],Drank!A:P,16,FALSE),IF(Table1[[#This Row],[WALDD]]&gt;0,VLOOKUP(Table1[[#This Row],[ID]],Wine1!A:Q,17,FALSE),Table1[[#This Row],[EP]]))</f>
        <v>0</v>
      </c>
      <c r="Z1063" s="18">
        <f>IF(Table1[[#This Row],[My Rating]]="",IF(Table1[[#This Row],[WA Rating Clean]]="","",Table1[[#This Row],[WA Rating Clean]]),Table1[[#This Row],[My Rating]])</f>
        <v>93</v>
      </c>
      <c r="AA1063" s="37">
        <v>2033</v>
      </c>
      <c r="AB1063" s="128">
        <v>43.87</v>
      </c>
      <c r="AC1063" s="2">
        <f t="shared" si="55"/>
        <v>43.87</v>
      </c>
      <c r="AD1063" s="8"/>
      <c r="AE1063" s="10">
        <f>IF(Table1[[#This Row],[P/750]]&lt;20,1,IF(Table1[[#This Row],[P/750]]&lt;50,2,3))</f>
        <v>2</v>
      </c>
      <c r="AF1063" s="10">
        <f>IF(Table1[[#This Row],[P/750]]&lt;Expenses!$C$30,1,IF(Table1[[#This Row],[P/750]]&lt;Expenses!$C$31,2,IF(Table1[[#This Row],[P/750]]&lt;Expenses!$C$32,3,4)))</f>
        <v>3</v>
      </c>
      <c r="AH1063" s="37" t="s">
        <v>1545</v>
      </c>
      <c r="AI1063" s="11">
        <f>Table1[[#This Row],[Price]]/Table1[[#This Row],[Size (ml)]]*750</f>
        <v>43.87</v>
      </c>
      <c r="AK1063" s="10">
        <f>COUNTIF(UniqueID!A:A,Table1[[#This Row],[ID]])</f>
        <v>0</v>
      </c>
      <c r="AL1063" s="10" t="str">
        <f>VLOOKUP(Table1[[#This Row],[Cellar Location]],Location!A:F,6,FALSE)</f>
        <v>W</v>
      </c>
      <c r="AN1063" s="1">
        <v>44065</v>
      </c>
      <c r="AO1063" s="10" t="str">
        <f>TEXT(Table1[[#This Row],[Purchased]],"mmmm")</f>
        <v>August</v>
      </c>
      <c r="AP1063" s="10" t="str">
        <f>TEXT(Table1[[#This Row],[Purchased]],"yyyy")</f>
        <v>2020</v>
      </c>
      <c r="AQ1063" s="10"/>
    </row>
    <row r="1064" spans="1:43" s="37" customFormat="1" x14ac:dyDescent="0.25">
      <c r="A1064" s="37" t="str">
        <f t="shared" si="54"/>
        <v>2016Produttori del BarbarescoBarbaresco</v>
      </c>
      <c r="B1064" s="37">
        <v>2016</v>
      </c>
      <c r="C1064" s="37" t="s">
        <v>248</v>
      </c>
      <c r="D1064" s="37" t="s">
        <v>249</v>
      </c>
      <c r="E1064" s="67" t="s">
        <v>1206</v>
      </c>
      <c r="F1064" s="37" t="s">
        <v>728</v>
      </c>
      <c r="G1064" s="37" t="s">
        <v>778</v>
      </c>
      <c r="H1064" s="37" t="s">
        <v>249</v>
      </c>
      <c r="I1064" s="37">
        <v>1</v>
      </c>
      <c r="J1064" s="107">
        <v>750</v>
      </c>
      <c r="K1064" s="8" t="s">
        <v>1850</v>
      </c>
      <c r="L1064" s="10">
        <f>COUNTIF(Drank!A:A,Table1[[#This Row],[ID]])</f>
        <v>2</v>
      </c>
      <c r="M1064" s="37" t="s">
        <v>202</v>
      </c>
      <c r="N1064" s="37" t="s">
        <v>207</v>
      </c>
      <c r="O1064" s="37">
        <v>1</v>
      </c>
      <c r="P1064" s="37">
        <v>2022</v>
      </c>
      <c r="Q1064" s="37">
        <v>2040</v>
      </c>
      <c r="R1064" s="10">
        <f>IF(IFERROR(VLOOKUP(A1064,Drank!A:S,15,FALSE),"")=0,"",IFERROR(VLOOKUP(A1064,Drank!A:S,15,FALSE),""))</f>
        <v>2021</v>
      </c>
      <c r="S1064" s="10">
        <f>IF(IFERROR(VLOOKUP(A1064,Drank!A:S,16,FALSE),"")=0,"",IFERROR(VLOOKUP(A1064,Drank!A:S,16,FALSE),""))</f>
        <v>2032</v>
      </c>
      <c r="T1064" s="10"/>
      <c r="U1064" s="37">
        <v>95</v>
      </c>
      <c r="V1064" s="18">
        <f>IF(IFERROR(VLOOKUP(A1064,Drank!A:T,19,FALSE),"")=0,"",IFERROR(VLOOKUP(A1064,Drank!A:T,19,FALSE),""))</f>
        <v>95.5</v>
      </c>
      <c r="W1064" s="1">
        <f>IF(IFERROR(VLOOKUP(A1064,Drank!A:T,20,FALSE),"")=0,"",IFERROR(VLOOKUP(A1064,Drank!A:T,20,FALSE),""))</f>
        <v>44079</v>
      </c>
      <c r="X1064" s="10">
        <f>SUMIF(A:A,A1064,I:I)</f>
        <v>41</v>
      </c>
      <c r="Y1064" s="10">
        <f>IF(Table1[[#This Row],[Drank]]&gt;0,VLOOKUP(Table1[[#This Row],[ID]],Drank!A:P,16,FALSE),IF(Table1[[#This Row],[WALDD]]&gt;0,VLOOKUP(Table1[[#This Row],[ID]],Wine1!A:Q,17,FALSE),Table1[[#This Row],[EP]]))</f>
        <v>2032</v>
      </c>
      <c r="Z1064" s="18">
        <f>IF(Table1[[#This Row],[My Rating]]="",IF(Table1[[#This Row],[WA Rating Clean]]="","",Table1[[#This Row],[WA Rating Clean]]),Table1[[#This Row],[My Rating]])</f>
        <v>95.5</v>
      </c>
      <c r="AA1064" s="37">
        <v>2031</v>
      </c>
      <c r="AB1064" s="129">
        <v>42.36</v>
      </c>
      <c r="AC1064" s="2">
        <f t="shared" si="55"/>
        <v>42.36</v>
      </c>
      <c r="AD1064" s="8">
        <v>1</v>
      </c>
      <c r="AE1064" s="10">
        <f>IF(Table1[[#This Row],[P/750]]&lt;20,1,IF(Table1[[#This Row],[P/750]]&lt;50,2,3))</f>
        <v>2</v>
      </c>
      <c r="AF1064" s="10">
        <f>IF(Table1[[#This Row],[P/750]]&lt;Expenses!$C$30,1,IF(Table1[[#This Row],[P/750]]&lt;Expenses!$C$31,2,IF(Table1[[#This Row],[P/750]]&lt;Expenses!$C$32,3,4)))</f>
        <v>3</v>
      </c>
      <c r="AH1064" s="37" t="s">
        <v>1128</v>
      </c>
      <c r="AI1064" s="11">
        <f>Table1[[#This Row],[Price]]/Table1[[#This Row],[Size (ml)]]*750</f>
        <v>42.36</v>
      </c>
      <c r="AJ1064" s="37">
        <v>95</v>
      </c>
      <c r="AK1064" s="10">
        <f>COUNTIF(UniqueID!A:A,Table1[[#This Row],[ID]])</f>
        <v>1</v>
      </c>
      <c r="AL1064" s="10" t="str">
        <f>VLOOKUP(Table1[[#This Row],[Cellar Location]],Location!A:F,6,FALSE)</f>
        <v>S</v>
      </c>
      <c r="AN1064" s="1">
        <v>44070</v>
      </c>
      <c r="AO1064" s="10" t="str">
        <f>TEXT(Table1[[#This Row],[Purchased]],"mmmm")</f>
        <v>August</v>
      </c>
      <c r="AP1064" s="10" t="str">
        <f>TEXT(Table1[[#This Row],[Purchased]],"yyyy")</f>
        <v>2020</v>
      </c>
      <c r="AQ1064" s="1"/>
    </row>
    <row r="1065" spans="1:43" s="37" customFormat="1" x14ac:dyDescent="0.25">
      <c r="A1065" s="37" t="str">
        <f t="shared" si="54"/>
        <v>2016Produttori del BarbarescoBarbaresco</v>
      </c>
      <c r="B1065" s="37">
        <v>2016</v>
      </c>
      <c r="C1065" s="37" t="s">
        <v>248</v>
      </c>
      <c r="D1065" s="37" t="s">
        <v>249</v>
      </c>
      <c r="E1065" s="67" t="s">
        <v>1206</v>
      </c>
      <c r="F1065" s="37" t="s">
        <v>728</v>
      </c>
      <c r="G1065" s="37" t="s">
        <v>778</v>
      </c>
      <c r="H1065" s="37" t="s">
        <v>249</v>
      </c>
      <c r="I1065" s="37">
        <v>1</v>
      </c>
      <c r="J1065" s="107">
        <v>750</v>
      </c>
      <c r="K1065" s="8" t="s">
        <v>1850</v>
      </c>
      <c r="L1065" s="10">
        <f>COUNTIF(Drank!A:A,Table1[[#This Row],[ID]])</f>
        <v>2</v>
      </c>
      <c r="M1065" s="37" t="s">
        <v>202</v>
      </c>
      <c r="N1065" s="37" t="s">
        <v>207</v>
      </c>
      <c r="O1065" s="37">
        <v>1</v>
      </c>
      <c r="P1065" s="37">
        <v>2022</v>
      </c>
      <c r="Q1065" s="37">
        <v>2040</v>
      </c>
      <c r="R1065" s="10">
        <f>IF(IFERROR(VLOOKUP(A1065,Drank!A:S,15,FALSE),"")=0,"",IFERROR(VLOOKUP(A1065,Drank!A:S,15,FALSE),""))</f>
        <v>2021</v>
      </c>
      <c r="S1065" s="10">
        <f>IF(IFERROR(VLOOKUP(A1065,Drank!A:S,16,FALSE),"")=0,"",IFERROR(VLOOKUP(A1065,Drank!A:S,16,FALSE),""))</f>
        <v>2032</v>
      </c>
      <c r="T1065" s="10"/>
      <c r="U1065" s="37">
        <v>95</v>
      </c>
      <c r="V1065" s="18">
        <f>IF(IFERROR(VLOOKUP(A1065,Drank!A:T,19,FALSE),"")=0,"",IFERROR(VLOOKUP(A1065,Drank!A:T,19,FALSE),""))</f>
        <v>95.5</v>
      </c>
      <c r="W1065" s="1">
        <f>IF(IFERROR(VLOOKUP(A1065,Drank!A:T,20,FALSE),"")=0,"",IFERROR(VLOOKUP(A1065,Drank!A:T,20,FALSE),""))</f>
        <v>44079</v>
      </c>
      <c r="X1065" s="10">
        <f>SUMIF(A:A,A1065,I:I)</f>
        <v>41</v>
      </c>
      <c r="Y1065" s="10">
        <f>IF(Table1[[#This Row],[Drank]]&gt;0,VLOOKUP(Table1[[#This Row],[ID]],Drank!A:P,16,FALSE),IF(Table1[[#This Row],[WALDD]]&gt;0,VLOOKUP(Table1[[#This Row],[ID]],Wine1!A:Q,17,FALSE),Table1[[#This Row],[EP]]))</f>
        <v>2032</v>
      </c>
      <c r="Z1065" s="18">
        <f>IF(Table1[[#This Row],[My Rating]]="",IF(Table1[[#This Row],[WA Rating Clean]]="","",Table1[[#This Row],[WA Rating Clean]]),Table1[[#This Row],[My Rating]])</f>
        <v>95.5</v>
      </c>
      <c r="AA1065" s="37">
        <v>2031</v>
      </c>
      <c r="AB1065" s="129">
        <v>42.36</v>
      </c>
      <c r="AC1065" s="2">
        <f t="shared" si="55"/>
        <v>42.36</v>
      </c>
      <c r="AD1065" s="8">
        <v>1</v>
      </c>
      <c r="AE1065" s="10">
        <f>IF(Table1[[#This Row],[P/750]]&lt;20,1,IF(Table1[[#This Row],[P/750]]&lt;50,2,3))</f>
        <v>2</v>
      </c>
      <c r="AF1065" s="10">
        <f>IF(Table1[[#This Row],[P/750]]&lt;Expenses!$C$30,1,IF(Table1[[#This Row],[P/750]]&lt;Expenses!$C$31,2,IF(Table1[[#This Row],[P/750]]&lt;Expenses!$C$32,3,4)))</f>
        <v>3</v>
      </c>
      <c r="AH1065" s="37" t="s">
        <v>1128</v>
      </c>
      <c r="AI1065" s="11">
        <f>Table1[[#This Row],[Price]]/Table1[[#This Row],[Size (ml)]]*750</f>
        <v>42.36</v>
      </c>
      <c r="AJ1065" s="37">
        <v>95</v>
      </c>
      <c r="AK1065" s="10">
        <f>COUNTIF(UniqueID!A:A,Table1[[#This Row],[ID]])</f>
        <v>1</v>
      </c>
      <c r="AL1065" s="10" t="str">
        <f>VLOOKUP(Table1[[#This Row],[Cellar Location]],Location!A:F,6,FALSE)</f>
        <v>S</v>
      </c>
      <c r="AN1065" s="1">
        <v>44070</v>
      </c>
      <c r="AO1065" s="10" t="str">
        <f>TEXT(Table1[[#This Row],[Purchased]],"mmmm")</f>
        <v>August</v>
      </c>
      <c r="AP1065" s="10" t="str">
        <f>TEXT(Table1[[#This Row],[Purchased]],"yyyy")</f>
        <v>2020</v>
      </c>
      <c r="AQ1065" s="1"/>
    </row>
    <row r="1066" spans="1:43" s="37" customFormat="1" x14ac:dyDescent="0.25">
      <c r="A1066" s="37" t="str">
        <f t="shared" si="54"/>
        <v>2010La Rioja AltaGran Reserva 904</v>
      </c>
      <c r="B1066" s="37">
        <v>2010</v>
      </c>
      <c r="C1066" s="37" t="s">
        <v>221</v>
      </c>
      <c r="D1066" s="37" t="s">
        <v>222</v>
      </c>
      <c r="E1066" s="67" t="s">
        <v>1296</v>
      </c>
      <c r="F1066" s="37" t="s">
        <v>729</v>
      </c>
      <c r="G1066" s="37" t="s">
        <v>823</v>
      </c>
      <c r="H1066" s="37" t="s">
        <v>824</v>
      </c>
      <c r="I1066" s="37">
        <v>1</v>
      </c>
      <c r="J1066" s="38">
        <v>750</v>
      </c>
      <c r="K1066" s="38" t="s">
        <v>1564</v>
      </c>
      <c r="L1066" s="10">
        <f>COUNTIF(Drank!A:A,Table1[[#This Row],[ID]])</f>
        <v>0</v>
      </c>
      <c r="M1066" s="37" t="s">
        <v>202</v>
      </c>
      <c r="N1066" s="37" t="s">
        <v>207</v>
      </c>
      <c r="O1066" s="37">
        <v>1</v>
      </c>
      <c r="P1066" s="10">
        <v>2019</v>
      </c>
      <c r="Q1066" s="37">
        <v>2035</v>
      </c>
      <c r="R1066" s="10" t="str">
        <f>IF(IFERROR(VLOOKUP(A1066,Drank!A:S,15,FALSE),"")=0,"",IFERROR(VLOOKUP(A1066,Drank!A:S,15,FALSE),""))</f>
        <v/>
      </c>
      <c r="S1066" s="10" t="str">
        <f>IF(IFERROR(VLOOKUP(A1066,Drank!A:S,16,FALSE),"")=0,"",IFERROR(VLOOKUP(A1066,Drank!A:S,16,FALSE),""))</f>
        <v/>
      </c>
      <c r="T1066" s="10"/>
      <c r="U1066" s="37" t="s">
        <v>1180</v>
      </c>
      <c r="V1066" s="18" t="str">
        <f>IF(IFERROR(VLOOKUP(A1066,Drank!A:T,19,FALSE),"")=0,"",IFERROR(VLOOKUP(A1066,Drank!A:T,19,FALSE),""))</f>
        <v/>
      </c>
      <c r="W1066" s="1" t="str">
        <f>IF(IFERROR(VLOOKUP(A1066,Drank!A:T,20,FALSE),"")=0,"",IFERROR(VLOOKUP(A1066,Drank!A:T,20,FALSE),""))</f>
        <v/>
      </c>
      <c r="X1066" s="10">
        <f>SUMIF(A:A,A1066,I:I)</f>
        <v>9</v>
      </c>
      <c r="Y1066" s="10">
        <f>IF(Table1[[#This Row],[Drank]]&gt;0,VLOOKUP(Table1[[#This Row],[ID]],Drank!A:P,16,FALSE),IF(Table1[[#This Row],[WALDD]]&gt;0,VLOOKUP(Table1[[#This Row],[ID]],Wine1!A:Q,17,FALSE),Table1[[#This Row],[EP]]))</f>
        <v>2035</v>
      </c>
      <c r="Z1066" s="18">
        <f>IF(Table1[[#This Row],[My Rating]]="",IF(Table1[[#This Row],[WA Rating Clean]]="","",Table1[[#This Row],[WA Rating Clean]]),Table1[[#This Row],[My Rating]])</f>
        <v>96</v>
      </c>
      <c r="AA1066" s="37">
        <v>2031</v>
      </c>
      <c r="AB1066" s="127">
        <v>64.08</v>
      </c>
      <c r="AC1066" s="2">
        <f t="shared" si="55"/>
        <v>64.08</v>
      </c>
      <c r="AD1066" s="8">
        <v>1</v>
      </c>
      <c r="AE1066" s="10">
        <f>IF(Table1[[#This Row],[P/750]]&lt;20,1,IF(Table1[[#This Row],[P/750]]&lt;50,2,3))</f>
        <v>3</v>
      </c>
      <c r="AF1066" s="10">
        <f>IF(Table1[[#This Row],[P/750]]&lt;Expenses!$C$30,1,IF(Table1[[#This Row],[P/750]]&lt;Expenses!$C$31,2,IF(Table1[[#This Row],[P/750]]&lt;Expenses!$C$32,3,4)))</f>
        <v>3</v>
      </c>
      <c r="AH1066" s="25" t="s">
        <v>1564</v>
      </c>
      <c r="AI1066" s="11">
        <f>Table1[[#This Row],[Price]]/Table1[[#This Row],[Size (ml)]]*750</f>
        <v>64.08</v>
      </c>
      <c r="AJ1066" s="37">
        <v>96</v>
      </c>
      <c r="AK1066" s="10">
        <f>COUNTIF(UniqueID!A:A,Table1[[#This Row],[ID]])</f>
        <v>0</v>
      </c>
      <c r="AL1066" s="10" t="str">
        <f>VLOOKUP(Table1[[#This Row],[Cellar Location]],Location!A:F,6,FALSE)</f>
        <v>W</v>
      </c>
      <c r="AN1066" s="1">
        <v>44064</v>
      </c>
      <c r="AO1066" s="10" t="str">
        <f>TEXT(Table1[[#This Row],[Purchased]],"mmmm")</f>
        <v>August</v>
      </c>
      <c r="AP1066" s="10" t="str">
        <f>TEXT(Table1[[#This Row],[Purchased]],"yyyy")</f>
        <v>2020</v>
      </c>
      <c r="AQ1066" s="1">
        <v>44114</v>
      </c>
    </row>
    <row r="1067" spans="1:43" s="37" customFormat="1" x14ac:dyDescent="0.25">
      <c r="A1067" s="37" t="str">
        <f t="shared" si="54"/>
        <v>2016G.D. VajraBarolo Albe</v>
      </c>
      <c r="B1067" s="37">
        <v>2016</v>
      </c>
      <c r="C1067" s="37" t="s">
        <v>81</v>
      </c>
      <c r="D1067" s="37" t="s">
        <v>82</v>
      </c>
      <c r="E1067" s="67" t="s">
        <v>1206</v>
      </c>
      <c r="F1067" s="37" t="s">
        <v>728</v>
      </c>
      <c r="G1067" s="37" t="s">
        <v>778</v>
      </c>
      <c r="H1067" s="37" t="s">
        <v>268</v>
      </c>
      <c r="I1067" s="8">
        <v>1</v>
      </c>
      <c r="J1067" s="38">
        <v>750</v>
      </c>
      <c r="K1067" s="38" t="s">
        <v>1139</v>
      </c>
      <c r="L1067" s="10">
        <f>COUNTIF(Drank!A:A,Table1[[#This Row],[ID]])</f>
        <v>0</v>
      </c>
      <c r="M1067" s="37" t="s">
        <v>202</v>
      </c>
      <c r="N1067" s="37" t="s">
        <v>207</v>
      </c>
      <c r="O1067" s="37">
        <v>1</v>
      </c>
      <c r="P1067" s="10">
        <v>2022</v>
      </c>
      <c r="Q1067" s="37">
        <v>2035</v>
      </c>
      <c r="R1067" s="10" t="str">
        <f>IF(IFERROR(VLOOKUP(A1067,Drank!A:S,15,FALSE),"")=0,"",IFERROR(VLOOKUP(A1067,Drank!A:S,15,FALSE),""))</f>
        <v/>
      </c>
      <c r="S1067" s="10" t="str">
        <f>IF(IFERROR(VLOOKUP(A1067,Drank!A:S,16,FALSE),"")=0,"",IFERROR(VLOOKUP(A1067,Drank!A:S,16,FALSE),""))</f>
        <v/>
      </c>
      <c r="T1067" s="10"/>
      <c r="U1067" s="37">
        <v>94</v>
      </c>
      <c r="V1067" s="18" t="str">
        <f>IF(IFERROR(VLOOKUP(A1067,Drank!A:T,19,FALSE),"")=0,"",IFERROR(VLOOKUP(A1067,Drank!A:T,19,FALSE),""))</f>
        <v/>
      </c>
      <c r="W1067" s="1" t="str">
        <f>IF(IFERROR(VLOOKUP(A1067,Drank!A:T,20,FALSE),"")=0,"",IFERROR(VLOOKUP(A1067,Drank!A:T,20,FALSE),""))</f>
        <v/>
      </c>
      <c r="X1067" s="10">
        <f>SUMIF(A:A,A1067,I:I)</f>
        <v>6</v>
      </c>
      <c r="Y1067" s="10">
        <f>IF(Table1[[#This Row],[Drank]]&gt;0,VLOOKUP(Table1[[#This Row],[ID]],Drank!A:P,16,FALSE),IF(Table1[[#This Row],[WALDD]]&gt;0,VLOOKUP(Table1[[#This Row],[ID]],Wine1!A:Q,17,FALSE),Table1[[#This Row],[EP]]))</f>
        <v>2035</v>
      </c>
      <c r="Z1067" s="18">
        <f>IF(Table1[[#This Row],[My Rating]]="",IF(Table1[[#This Row],[WA Rating Clean]]="","",Table1[[#This Row],[WA Rating Clean]]),Table1[[#This Row],[My Rating]])</f>
        <v>94</v>
      </c>
      <c r="AA1067" s="37">
        <v>2031</v>
      </c>
      <c r="AB1067" s="4">
        <v>37.14</v>
      </c>
      <c r="AC1067" s="2">
        <f t="shared" si="55"/>
        <v>37.14</v>
      </c>
      <c r="AD1067" s="8">
        <v>1</v>
      </c>
      <c r="AE1067" s="10">
        <f>IF(Table1[[#This Row],[P/750]]&lt;20,1,IF(Table1[[#This Row],[P/750]]&lt;50,2,3))</f>
        <v>2</v>
      </c>
      <c r="AF1067" s="10">
        <f>IF(Table1[[#This Row],[P/750]]&lt;Expenses!$C$30,1,IF(Table1[[#This Row],[P/750]]&lt;Expenses!$C$31,2,IF(Table1[[#This Row],[P/750]]&lt;Expenses!$C$32,3,4)))</f>
        <v>3</v>
      </c>
      <c r="AH1067" s="37" t="s">
        <v>1139</v>
      </c>
      <c r="AI1067" s="11">
        <f>Table1[[#This Row],[Price]]/Table1[[#This Row],[Size (ml)]]*750</f>
        <v>37.14</v>
      </c>
      <c r="AJ1067" s="37">
        <v>94</v>
      </c>
      <c r="AK1067" s="10">
        <f>COUNTIF(UniqueID!A:A,Table1[[#This Row],[ID]])</f>
        <v>0</v>
      </c>
      <c r="AL1067" s="10" t="str">
        <f>VLOOKUP(Table1[[#This Row],[Cellar Location]],Location!A:F,6,FALSE)</f>
        <v>W</v>
      </c>
      <c r="AN1067" s="1">
        <v>44058</v>
      </c>
      <c r="AO1067" s="10" t="str">
        <f>TEXT(Table1[[#This Row],[Purchased]],"mmmm")</f>
        <v>August</v>
      </c>
      <c r="AP1067" s="10" t="str">
        <f>TEXT(Table1[[#This Row],[Purchased]],"yyyy")</f>
        <v>2020</v>
      </c>
      <c r="AQ1067" s="1">
        <v>44132</v>
      </c>
    </row>
    <row r="1068" spans="1:43" s="37" customFormat="1" x14ac:dyDescent="0.25">
      <c r="A1068" s="37" t="str">
        <f t="shared" si="54"/>
        <v>2015Siro PacentiBrunello di Montalcino Pelagrilli</v>
      </c>
      <c r="B1068" s="37">
        <v>2015</v>
      </c>
      <c r="C1068" s="37" t="s">
        <v>1609</v>
      </c>
      <c r="D1068" s="37" t="s">
        <v>1610</v>
      </c>
      <c r="E1068" s="67" t="s">
        <v>1250</v>
      </c>
      <c r="F1068" s="37" t="s">
        <v>728</v>
      </c>
      <c r="G1068" s="37" t="s">
        <v>790</v>
      </c>
      <c r="H1068" s="37" t="s">
        <v>19</v>
      </c>
      <c r="I1068" s="8">
        <v>1</v>
      </c>
      <c r="J1068" s="38">
        <v>750</v>
      </c>
      <c r="K1068" s="38" t="s">
        <v>1139</v>
      </c>
      <c r="L1068" s="10">
        <f>COUNTIF(Drank!A:A,Table1[[#This Row],[ID]])</f>
        <v>0</v>
      </c>
      <c r="M1068" s="37" t="s">
        <v>202</v>
      </c>
      <c r="N1068" s="37" t="s">
        <v>207</v>
      </c>
      <c r="O1068" s="37">
        <v>1</v>
      </c>
      <c r="P1068" s="10">
        <v>2021</v>
      </c>
      <c r="Q1068" s="37">
        <v>2035</v>
      </c>
      <c r="R1068" s="10" t="str">
        <f>IF(IFERROR(VLOOKUP(A1068,Drank!A:S,15,FALSE),"")=0,"",IFERROR(VLOOKUP(A1068,Drank!A:S,15,FALSE),""))</f>
        <v/>
      </c>
      <c r="S1068" s="10" t="str">
        <f>IF(IFERROR(VLOOKUP(A1068,Drank!A:S,16,FALSE),"")=0,"",IFERROR(VLOOKUP(A1068,Drank!A:S,16,FALSE),""))</f>
        <v/>
      </c>
      <c r="T1068" s="10"/>
      <c r="U1068" s="37">
        <v>95</v>
      </c>
      <c r="V1068" s="18" t="str">
        <f>IF(IFERROR(VLOOKUP(A1068,Drank!A:T,19,FALSE),"")=0,"",IFERROR(VLOOKUP(A1068,Drank!A:T,19,FALSE),""))</f>
        <v/>
      </c>
      <c r="W1068" s="1" t="str">
        <f>IF(IFERROR(VLOOKUP(A1068,Drank!A:T,20,FALSE),"")=0,"",IFERROR(VLOOKUP(A1068,Drank!A:T,20,FALSE),""))</f>
        <v/>
      </c>
      <c r="X1068" s="10">
        <f>SUMIF(A:A,A1068,I:I)</f>
        <v>4</v>
      </c>
      <c r="Y1068" s="10">
        <f>IF(Table1[[#This Row],[Drank]]&gt;0,VLOOKUP(Table1[[#This Row],[ID]],Drank!A:P,16,FALSE),IF(Table1[[#This Row],[WALDD]]&gt;0,VLOOKUP(Table1[[#This Row],[ID]],Wine1!A:Q,17,FALSE),Table1[[#This Row],[EP]]))</f>
        <v>2035</v>
      </c>
      <c r="Z1068" s="18">
        <f>IF(Table1[[#This Row],[My Rating]]="",IF(Table1[[#This Row],[WA Rating Clean]]="","",Table1[[#This Row],[WA Rating Clean]]),Table1[[#This Row],[My Rating]])</f>
        <v>95</v>
      </c>
      <c r="AA1068" s="37">
        <v>2031</v>
      </c>
      <c r="AB1068" s="4">
        <v>58.65</v>
      </c>
      <c r="AC1068" s="2">
        <f t="shared" si="55"/>
        <v>58.65</v>
      </c>
      <c r="AD1068" s="8">
        <v>1</v>
      </c>
      <c r="AE1068" s="10">
        <f>IF(Table1[[#This Row],[P/750]]&lt;20,1,IF(Table1[[#This Row],[P/750]]&lt;50,2,3))</f>
        <v>3</v>
      </c>
      <c r="AF1068" s="10">
        <f>IF(Table1[[#This Row],[P/750]]&lt;Expenses!$C$30,1,IF(Table1[[#This Row],[P/750]]&lt;Expenses!$C$31,2,IF(Table1[[#This Row],[P/750]]&lt;Expenses!$C$32,3,4)))</f>
        <v>3</v>
      </c>
      <c r="AH1068" s="37" t="s">
        <v>1139</v>
      </c>
      <c r="AI1068" s="11">
        <f>Table1[[#This Row],[Price]]/Table1[[#This Row],[Size (ml)]]*750</f>
        <v>58.649999999999991</v>
      </c>
      <c r="AJ1068" s="37">
        <v>95</v>
      </c>
      <c r="AK1068" s="10">
        <f>COUNTIF(UniqueID!A:A,Table1[[#This Row],[ID]])</f>
        <v>0</v>
      </c>
      <c r="AL1068" s="10" t="str">
        <f>VLOOKUP(Table1[[#This Row],[Cellar Location]],Location!A:F,6,FALSE)</f>
        <v>W</v>
      </c>
      <c r="AN1068" s="1">
        <v>44058</v>
      </c>
      <c r="AO1068" s="10" t="str">
        <f>TEXT(Table1[[#This Row],[Purchased]],"mmmm")</f>
        <v>August</v>
      </c>
      <c r="AP1068" s="10" t="str">
        <f>TEXT(Table1[[#This Row],[Purchased]],"yyyy")</f>
        <v>2020</v>
      </c>
      <c r="AQ1068" s="1">
        <v>44132</v>
      </c>
    </row>
    <row r="1069" spans="1:43" s="37" customFormat="1" x14ac:dyDescent="0.25">
      <c r="A1069" s="37" t="str">
        <f t="shared" si="54"/>
        <v>2016GrattamaccoBolgheri Superiore l'Alberello</v>
      </c>
      <c r="B1069" s="37">
        <v>2016</v>
      </c>
      <c r="C1069" s="37" t="s">
        <v>1802</v>
      </c>
      <c r="D1069" s="37" t="s">
        <v>1334</v>
      </c>
      <c r="E1069" s="67" t="s">
        <v>1335</v>
      </c>
      <c r="F1069" s="67" t="s">
        <v>728</v>
      </c>
      <c r="G1069" s="37" t="s">
        <v>790</v>
      </c>
      <c r="H1069" s="37" t="s">
        <v>1336</v>
      </c>
      <c r="I1069" s="8">
        <v>1</v>
      </c>
      <c r="J1069" s="38">
        <v>750</v>
      </c>
      <c r="K1069" s="38" t="s">
        <v>1572</v>
      </c>
      <c r="L1069" s="10">
        <f>COUNTIF(Drank!A:A,Table1[[#This Row],[ID]])</f>
        <v>0</v>
      </c>
      <c r="M1069" s="37" t="s">
        <v>202</v>
      </c>
      <c r="N1069" s="37" t="s">
        <v>207</v>
      </c>
      <c r="O1069" s="37">
        <v>1</v>
      </c>
      <c r="P1069" s="10">
        <v>2020</v>
      </c>
      <c r="Q1069" s="37">
        <v>2035</v>
      </c>
      <c r="R1069" s="10" t="str">
        <f>IF(IFERROR(VLOOKUP(A1069,Drank!A:S,15,FALSE),"")=0,"",IFERROR(VLOOKUP(A1069,Drank!A:S,15,FALSE),""))</f>
        <v/>
      </c>
      <c r="S1069" s="10" t="str">
        <f>IF(IFERROR(VLOOKUP(A1069,Drank!A:S,16,FALSE),"")=0,"",IFERROR(VLOOKUP(A1069,Drank!A:S,16,FALSE),""))</f>
        <v/>
      </c>
      <c r="T1069" s="10"/>
      <c r="U1069" s="37">
        <v>96</v>
      </c>
      <c r="V1069" s="18" t="str">
        <f>IF(IFERROR(VLOOKUP(A1069,Drank!A:T,19,FALSE),"")=0,"",IFERROR(VLOOKUP(A1069,Drank!A:T,19,FALSE),""))</f>
        <v/>
      </c>
      <c r="W1069" s="1" t="str">
        <f>IF(IFERROR(VLOOKUP(A1069,Drank!A:T,20,FALSE),"")=0,"",IFERROR(VLOOKUP(A1069,Drank!A:T,20,FALSE),""))</f>
        <v/>
      </c>
      <c r="X1069" s="10">
        <f>SUMIF(A:A,A1069,I:I)</f>
        <v>9</v>
      </c>
      <c r="Y1069" s="10">
        <f>IF(Table1[[#This Row],[Drank]]&gt;0,VLOOKUP(Table1[[#This Row],[ID]],Drank!A:P,16,FALSE),IF(Table1[[#This Row],[WALDD]]&gt;0,VLOOKUP(Table1[[#This Row],[ID]],Wine1!A:Q,17,FALSE),Table1[[#This Row],[EP]]))</f>
        <v>2035</v>
      </c>
      <c r="Z1069" s="18">
        <f>IF(Table1[[#This Row],[My Rating]]="",IF(Table1[[#This Row],[WA Rating Clean]]="","",Table1[[#This Row],[WA Rating Clean]]),Table1[[#This Row],[My Rating]])</f>
        <v>96</v>
      </c>
      <c r="AA1069" s="8">
        <v>2031</v>
      </c>
      <c r="AB1069" s="4">
        <v>59.987700185069791</v>
      </c>
      <c r="AC1069" s="2">
        <f t="shared" si="55"/>
        <v>59.987700185069791</v>
      </c>
      <c r="AD1069" s="8">
        <v>1</v>
      </c>
      <c r="AE1069" s="10">
        <f>IF(Table1[[#This Row],[P/750]]&lt;20,1,IF(Table1[[#This Row],[P/750]]&lt;50,2,3))</f>
        <v>3</v>
      </c>
      <c r="AF1069" s="10">
        <f>IF(Table1[[#This Row],[P/750]]&lt;Expenses!$C$30,1,IF(Table1[[#This Row],[P/750]]&lt;Expenses!$C$31,2,IF(Table1[[#This Row],[P/750]]&lt;Expenses!$C$32,3,4)))</f>
        <v>3</v>
      </c>
      <c r="AH1069" s="37" t="s">
        <v>1572</v>
      </c>
      <c r="AI1069" s="11">
        <f>Table1[[#This Row],[Price]]/Table1[[#This Row],[Size (ml)]]*750</f>
        <v>59.987700185069791</v>
      </c>
      <c r="AJ1069" s="37">
        <v>96</v>
      </c>
      <c r="AK1069" s="10">
        <f>COUNTIF(UniqueID!A:A,Table1[[#This Row],[ID]])</f>
        <v>0</v>
      </c>
      <c r="AL1069" s="10" t="str">
        <f>VLOOKUP(Table1[[#This Row],[Cellar Location]],Location!A:F,6,FALSE)</f>
        <v>W</v>
      </c>
      <c r="AN1069" s="1">
        <v>44055</v>
      </c>
      <c r="AO1069" s="10" t="str">
        <f>TEXT(Table1[[#This Row],[Purchased]],"mmmm")</f>
        <v>August</v>
      </c>
      <c r="AP1069" s="10" t="str">
        <f>TEXT(Table1[[#This Row],[Purchased]],"yyyy")</f>
        <v>2020</v>
      </c>
      <c r="AQ1069" s="1">
        <v>44114</v>
      </c>
    </row>
    <row r="1070" spans="1:43" s="37" customFormat="1" x14ac:dyDescent="0.25">
      <c r="A1070" s="37" t="str">
        <f t="shared" si="54"/>
        <v>2016ViettiBarolo Castiglione</v>
      </c>
      <c r="B1070" s="37">
        <v>2016</v>
      </c>
      <c r="C1070" s="37" t="s">
        <v>1186</v>
      </c>
      <c r="D1070" s="9" t="s">
        <v>1794</v>
      </c>
      <c r="E1070" s="67" t="s">
        <v>1206</v>
      </c>
      <c r="F1070" s="37" t="s">
        <v>728</v>
      </c>
      <c r="G1070" s="37" t="s">
        <v>778</v>
      </c>
      <c r="H1070" s="37" t="s">
        <v>1692</v>
      </c>
      <c r="I1070" s="37">
        <v>1</v>
      </c>
      <c r="J1070" s="107">
        <v>750</v>
      </c>
      <c r="K1070" s="8" t="s">
        <v>1831</v>
      </c>
      <c r="L1070" s="10">
        <f>COUNTIF(Drank!A:A,Table1[[#This Row],[ID]])</f>
        <v>0</v>
      </c>
      <c r="M1070" s="37" t="s">
        <v>202</v>
      </c>
      <c r="N1070" s="37" t="s">
        <v>207</v>
      </c>
      <c r="O1070" s="37">
        <v>1</v>
      </c>
      <c r="P1070" s="10">
        <v>2022</v>
      </c>
      <c r="Q1070" s="37">
        <v>2040</v>
      </c>
      <c r="R1070" s="10" t="str">
        <f>IF(IFERROR(VLOOKUP(A1070,Drank!A:S,15,FALSE),"")=0,"",IFERROR(VLOOKUP(A1070,Drank!A:S,15,FALSE),""))</f>
        <v/>
      </c>
      <c r="S1070" s="10" t="str">
        <f>IF(IFERROR(VLOOKUP(A1070,Drank!A:S,16,FALSE),"")=0,"",IFERROR(VLOOKUP(A1070,Drank!A:S,16,FALSE),""))</f>
        <v/>
      </c>
      <c r="T1070" s="10"/>
      <c r="U1070" s="37" t="s">
        <v>17</v>
      </c>
      <c r="V1070" s="18" t="str">
        <f>IF(IFERROR(VLOOKUP(A1070,Drank!A:T,19,FALSE),"")=0,"",IFERROR(VLOOKUP(A1070,Drank!A:T,19,FALSE),""))</f>
        <v/>
      </c>
      <c r="W1070" s="1" t="str">
        <f>IF(IFERROR(VLOOKUP(A1070,Drank!A:T,20,FALSE),"")=0,"",IFERROR(VLOOKUP(A1070,Drank!A:T,20,FALSE),""))</f>
        <v/>
      </c>
      <c r="X1070" s="10">
        <f>SUMIF(A:A,A1070,I:I)</f>
        <v>6</v>
      </c>
      <c r="Y1070" s="10">
        <f>IF(Table1[[#This Row],[Drank]]&gt;0,VLOOKUP(Table1[[#This Row],[ID]],Drank!A:P,16,FALSE),IF(Table1[[#This Row],[WALDD]]&gt;0,VLOOKUP(Table1[[#This Row],[ID]],Wine1!A:Q,17,FALSE),Table1[[#This Row],[EP]]))</f>
        <v>2040</v>
      </c>
      <c r="Z1070" s="18" t="str">
        <f>IF(Table1[[#This Row],[My Rating]]="",IF(Table1[[#This Row],[WA Rating Clean]]="","",Table1[[#This Row],[WA Rating Clean]]),Table1[[#This Row],[My Rating]])</f>
        <v>94+</v>
      </c>
      <c r="AA1070" s="37">
        <v>2031</v>
      </c>
      <c r="AB1070" s="129">
        <v>52.14</v>
      </c>
      <c r="AC1070" s="2">
        <f t="shared" si="55"/>
        <v>52.14</v>
      </c>
      <c r="AD1070" s="8">
        <v>1</v>
      </c>
      <c r="AE1070" s="10">
        <f>IF(Table1[[#This Row],[P/750]]&lt;20,1,IF(Table1[[#This Row],[P/750]]&lt;50,2,3))</f>
        <v>3</v>
      </c>
      <c r="AF1070" s="10">
        <f>IF(Table1[[#This Row],[P/750]]&lt;Expenses!$C$30,1,IF(Table1[[#This Row],[P/750]]&lt;Expenses!$C$31,2,IF(Table1[[#This Row],[P/750]]&lt;Expenses!$C$32,3,4)))</f>
        <v>3</v>
      </c>
      <c r="AH1070" s="25" t="s">
        <v>1128</v>
      </c>
      <c r="AI1070" s="11">
        <f>Table1[[#This Row],[Price]]/Table1[[#This Row],[Size (ml)]]*750</f>
        <v>52.14</v>
      </c>
      <c r="AJ1070" s="37" t="s">
        <v>17</v>
      </c>
      <c r="AK1070" s="10">
        <f>COUNTIF(UniqueID!A:A,Table1[[#This Row],[ID]])</f>
        <v>0</v>
      </c>
      <c r="AL1070" s="10" t="str">
        <f>VLOOKUP(Table1[[#This Row],[Cellar Location]],Location!A:F,6,FALSE)</f>
        <v>S</v>
      </c>
      <c r="AN1070" s="1">
        <v>44070</v>
      </c>
      <c r="AO1070" s="10" t="str">
        <f>TEXT(Table1[[#This Row],[Purchased]],"mmmm")</f>
        <v>August</v>
      </c>
      <c r="AP1070" s="10" t="str">
        <f>TEXT(Table1[[#This Row],[Purchased]],"yyyy")</f>
        <v>2020</v>
      </c>
      <c r="AQ1070" s="1"/>
    </row>
    <row r="1071" spans="1:43" s="37" customFormat="1" x14ac:dyDescent="0.25">
      <c r="A1071" s="37" t="str">
        <f t="shared" si="54"/>
        <v>2016Mauro MolinoBarolo</v>
      </c>
      <c r="B1071" s="37">
        <v>2016</v>
      </c>
      <c r="C1071" s="37" t="s">
        <v>1695</v>
      </c>
      <c r="D1071" s="37" t="s">
        <v>268</v>
      </c>
      <c r="E1071" s="67" t="s">
        <v>1206</v>
      </c>
      <c r="F1071" s="37" t="s">
        <v>728</v>
      </c>
      <c r="G1071" s="37" t="s">
        <v>778</v>
      </c>
      <c r="H1071" s="37" t="s">
        <v>268</v>
      </c>
      <c r="I1071" s="8">
        <v>1</v>
      </c>
      <c r="J1071" s="38">
        <v>750</v>
      </c>
      <c r="K1071" s="38" t="s">
        <v>1687</v>
      </c>
      <c r="L1071" s="10">
        <f>COUNTIF(Drank!A:A,Table1[[#This Row],[ID]])</f>
        <v>0</v>
      </c>
      <c r="M1071" s="37" t="s">
        <v>202</v>
      </c>
      <c r="N1071" s="37" t="s">
        <v>207</v>
      </c>
      <c r="O1071" s="37">
        <v>1</v>
      </c>
      <c r="P1071" s="37">
        <v>2023</v>
      </c>
      <c r="Q1071" s="37">
        <v>2040</v>
      </c>
      <c r="R1071" s="10" t="str">
        <f>IF(IFERROR(VLOOKUP(A1071,Drank!A:S,15,FALSE),"")=0,"",IFERROR(VLOOKUP(A1071,Drank!A:S,15,FALSE),""))</f>
        <v/>
      </c>
      <c r="S1071" s="10" t="str">
        <f>IF(IFERROR(VLOOKUP(A1071,Drank!A:S,16,FALSE),"")=0,"",IFERROR(VLOOKUP(A1071,Drank!A:S,16,FALSE),""))</f>
        <v/>
      </c>
      <c r="T1071" s="10"/>
      <c r="U1071" s="37" t="s">
        <v>74</v>
      </c>
      <c r="V1071" s="18" t="str">
        <f>IF(IFERROR(VLOOKUP(A1071,Drank!A:T,19,FALSE),"")=0,"",IFERROR(VLOOKUP(A1071,Drank!A:T,19,FALSE),""))</f>
        <v/>
      </c>
      <c r="W1071" s="1" t="str">
        <f>IF(IFERROR(VLOOKUP(A1071,Drank!A:T,20,FALSE),"")=0,"",IFERROR(VLOOKUP(A1071,Drank!A:T,20,FALSE),""))</f>
        <v/>
      </c>
      <c r="X1071" s="10">
        <f>SUMIF(A:A,A1071,I:I)</f>
        <v>4</v>
      </c>
      <c r="Y1071" s="10">
        <f>IF(Table1[[#This Row],[Drank]]&gt;0,VLOOKUP(Table1[[#This Row],[ID]],Drank!A:P,16,FALSE),IF(Table1[[#This Row],[WALDD]]&gt;0,VLOOKUP(Table1[[#This Row],[ID]],Wine1!A:Q,17,FALSE),Table1[[#This Row],[EP]]))</f>
        <v>2040</v>
      </c>
      <c r="Z1071" s="18">
        <f>IF(Table1[[#This Row],[My Rating]]="",IF(Table1[[#This Row],[WA Rating Clean]]="","",Table1[[#This Row],[WA Rating Clean]]),Table1[[#This Row],[My Rating]])</f>
        <v>93</v>
      </c>
      <c r="AA1071" s="8">
        <v>2031</v>
      </c>
      <c r="AB1071" s="4">
        <v>34.24</v>
      </c>
      <c r="AC1071" s="2">
        <f t="shared" si="55"/>
        <v>34.24</v>
      </c>
      <c r="AD1071" s="8">
        <v>1</v>
      </c>
      <c r="AE1071" s="10">
        <f>IF(Table1[[#This Row],[P/750]]&lt;20,1,IF(Table1[[#This Row],[P/750]]&lt;50,2,3))</f>
        <v>2</v>
      </c>
      <c r="AF1071" s="10">
        <f>IF(Table1[[#This Row],[P/750]]&lt;Expenses!$C$30,1,IF(Table1[[#This Row],[P/750]]&lt;Expenses!$C$31,2,IF(Table1[[#This Row],[P/750]]&lt;Expenses!$C$32,3,4)))</f>
        <v>3</v>
      </c>
      <c r="AH1071" s="37" t="s">
        <v>1189</v>
      </c>
      <c r="AI1071" s="11">
        <f>Table1[[#This Row],[Price]]/Table1[[#This Row],[Size (ml)]]*750</f>
        <v>34.24</v>
      </c>
      <c r="AJ1071" s="37">
        <v>93</v>
      </c>
      <c r="AK1071" s="10">
        <f>COUNTIF(UniqueID!A:A,Table1[[#This Row],[ID]])</f>
        <v>0</v>
      </c>
      <c r="AL1071" s="10" t="str">
        <f>VLOOKUP(Table1[[#This Row],[Cellar Location]],Location!A:F,6,FALSE)</f>
        <v>W</v>
      </c>
      <c r="AN1071" s="1">
        <v>44061</v>
      </c>
      <c r="AO1071" s="10" t="str">
        <f>TEXT(Table1[[#This Row],[Purchased]],"mmmm")</f>
        <v>August</v>
      </c>
      <c r="AP1071" s="10" t="str">
        <f>TEXT(Table1[[#This Row],[Purchased]],"yyyy")</f>
        <v>2020</v>
      </c>
      <c r="AQ1071" s="1">
        <v>44137</v>
      </c>
    </row>
    <row r="1072" spans="1:43" s="37" customFormat="1" x14ac:dyDescent="0.25">
      <c r="A1072" s="37" t="str">
        <f t="shared" si="54"/>
        <v>2016Marchesi AntinoriTignanello</v>
      </c>
      <c r="B1072" s="37">
        <v>2016</v>
      </c>
      <c r="C1072" s="37" t="s">
        <v>1699</v>
      </c>
      <c r="D1072" s="37" t="s">
        <v>1774</v>
      </c>
      <c r="E1072" s="67" t="s">
        <v>1775</v>
      </c>
      <c r="F1072" s="37" t="s">
        <v>728</v>
      </c>
      <c r="G1072" s="37" t="s">
        <v>790</v>
      </c>
      <c r="H1072" s="37" t="s">
        <v>796</v>
      </c>
      <c r="I1072" s="37">
        <v>1</v>
      </c>
      <c r="J1072" s="107">
        <v>750</v>
      </c>
      <c r="K1072" s="8" t="s">
        <v>1845</v>
      </c>
      <c r="L1072" s="10">
        <f>COUNTIF(Drank!A:A,Table1[[#This Row],[ID]])</f>
        <v>0</v>
      </c>
      <c r="M1072" s="37" t="s">
        <v>202</v>
      </c>
      <c r="N1072" s="37" t="s">
        <v>207</v>
      </c>
      <c r="O1072" s="37">
        <v>1</v>
      </c>
      <c r="P1072" s="10">
        <v>2020</v>
      </c>
      <c r="Q1072" s="37">
        <v>2045</v>
      </c>
      <c r="R1072" s="10" t="str">
        <f>IF(IFERROR(VLOOKUP(A1072,Drank!A:S,15,FALSE),"")=0,"",IFERROR(VLOOKUP(A1072,Drank!A:S,15,FALSE),""))</f>
        <v/>
      </c>
      <c r="S1072" s="10" t="str">
        <f>IF(IFERROR(VLOOKUP(A1072,Drank!A:S,16,FALSE),"")=0,"",IFERROR(VLOOKUP(A1072,Drank!A:S,16,FALSE),""))</f>
        <v/>
      </c>
      <c r="T1072" s="10"/>
      <c r="U1072" s="37">
        <v>97</v>
      </c>
      <c r="V1072" s="18" t="str">
        <f>IF(IFERROR(VLOOKUP(A1072,Drank!A:T,19,FALSE),"")=0,"",IFERROR(VLOOKUP(A1072,Drank!A:T,19,FALSE),""))</f>
        <v/>
      </c>
      <c r="W1072" s="1" t="str">
        <f>IF(IFERROR(VLOOKUP(A1072,Drank!A:T,20,FALSE),"")=0,"",IFERROR(VLOOKUP(A1072,Drank!A:T,20,FALSE),""))</f>
        <v/>
      </c>
      <c r="X1072" s="10">
        <f>SUMIF(A:A,A1072,I:I)</f>
        <v>6</v>
      </c>
      <c r="Y1072" s="10">
        <f>IF(Table1[[#This Row],[Drank]]&gt;0,VLOOKUP(Table1[[#This Row],[ID]],Drank!A:P,16,FALSE),IF(Table1[[#This Row],[WALDD]]&gt;0,VLOOKUP(Table1[[#This Row],[ID]],Wine1!A:Q,17,FALSE),Table1[[#This Row],[EP]]))</f>
        <v>2045</v>
      </c>
      <c r="Z1072" s="18">
        <f>IF(Table1[[#This Row],[My Rating]]="",IF(Table1[[#This Row],[WA Rating Clean]]="","",Table1[[#This Row],[WA Rating Clean]]),Table1[[#This Row],[My Rating]])</f>
        <v>97</v>
      </c>
      <c r="AA1072" s="37">
        <v>2031</v>
      </c>
      <c r="AB1072" s="129">
        <v>146.63</v>
      </c>
      <c r="AC1072" s="2">
        <f t="shared" si="55"/>
        <v>146.63</v>
      </c>
      <c r="AD1072" s="8">
        <v>1</v>
      </c>
      <c r="AE1072" s="10">
        <f>IF(Table1[[#This Row],[P/750]]&lt;20,1,IF(Table1[[#This Row],[P/750]]&lt;50,2,3))</f>
        <v>3</v>
      </c>
      <c r="AF1072" s="10">
        <f>IF(Table1[[#This Row],[P/750]]&lt;Expenses!$C$30,1,IF(Table1[[#This Row],[P/750]]&lt;Expenses!$C$31,2,IF(Table1[[#This Row],[P/750]]&lt;Expenses!$C$32,3,4)))</f>
        <v>4</v>
      </c>
      <c r="AH1072" s="37" t="s">
        <v>1128</v>
      </c>
      <c r="AI1072" s="11">
        <f>Table1[[#This Row],[Price]]/Table1[[#This Row],[Size (ml)]]*750</f>
        <v>146.63</v>
      </c>
      <c r="AJ1072" s="37">
        <v>97</v>
      </c>
      <c r="AK1072" s="10">
        <f>COUNTIF(UniqueID!A:A,Table1[[#This Row],[ID]])</f>
        <v>0</v>
      </c>
      <c r="AL1072" s="10" t="str">
        <f>VLOOKUP(Table1[[#This Row],[Cellar Location]],Location!A:F,6,FALSE)</f>
        <v>S</v>
      </c>
      <c r="AN1072" s="1">
        <v>44070</v>
      </c>
      <c r="AO1072" s="10" t="str">
        <f>TEXT(Table1[[#This Row],[Purchased]],"mmmm")</f>
        <v>August</v>
      </c>
      <c r="AP1072" s="10" t="str">
        <f>TEXT(Table1[[#This Row],[Purchased]],"yyyy")</f>
        <v>2020</v>
      </c>
      <c r="AQ1072" s="1"/>
    </row>
    <row r="1073" spans="1:43" s="37" customFormat="1" x14ac:dyDescent="0.25">
      <c r="A1073" s="37" t="str">
        <f t="shared" si="54"/>
        <v>2016Clos du RoyClos du Roy</v>
      </c>
      <c r="B1073" s="37">
        <v>2016</v>
      </c>
      <c r="C1073" s="37" t="s">
        <v>854</v>
      </c>
      <c r="D1073" s="37" t="s">
        <v>854</v>
      </c>
      <c r="E1073" s="37" t="s">
        <v>1198</v>
      </c>
      <c r="F1073" s="37" t="s">
        <v>742</v>
      </c>
      <c r="G1073" s="37" t="s">
        <v>748</v>
      </c>
      <c r="H1073" s="37" t="s">
        <v>856</v>
      </c>
      <c r="I1073" s="107">
        <v>1</v>
      </c>
      <c r="J1073" s="37">
        <v>750</v>
      </c>
      <c r="K1073" s="107" t="s">
        <v>1145</v>
      </c>
      <c r="L1073" s="10">
        <f>COUNTIF(Drank!A:A,Table1[[#This Row],[ID]])</f>
        <v>1</v>
      </c>
      <c r="M1073" s="37" t="s">
        <v>202</v>
      </c>
      <c r="N1073" s="37" t="s">
        <v>207</v>
      </c>
      <c r="O1073" s="37">
        <v>1</v>
      </c>
      <c r="P1073" s="10">
        <v>2021</v>
      </c>
      <c r="Q1073" s="37">
        <v>2038</v>
      </c>
      <c r="R1073" s="10" t="str">
        <f>IF(IFERROR(VLOOKUP(A1073,Drank!A:S,15,FALSE),"")=0,"",IFERROR(VLOOKUP(A1073,Drank!A:S,15,FALSE),""))</f>
        <v/>
      </c>
      <c r="S1073" s="10">
        <f>IF(IFERROR(VLOOKUP(A1073,Drank!A:S,16,FALSE),"")=0,"",IFERROR(VLOOKUP(A1073,Drank!A:S,16,FALSE),""))</f>
        <v>2045</v>
      </c>
      <c r="T1073" s="10"/>
      <c r="U1073" s="37" t="s">
        <v>855</v>
      </c>
      <c r="V1073" s="18">
        <f>IF(IFERROR(VLOOKUP(A1073,Drank!A:T,19,FALSE),"")=0,"",IFERROR(VLOOKUP(A1073,Drank!A:T,19,FALSE),""))</f>
        <v>91</v>
      </c>
      <c r="W1073" s="1">
        <f>IF(IFERROR(VLOOKUP(A1073,Drank!A:T,20,FALSE),"")=0,"",IFERROR(VLOOKUP(A1073,Drank!A:T,20,FALSE),""))</f>
        <v>43830</v>
      </c>
      <c r="X1073" s="10">
        <f>SUMIF(A:A,A1073,I:I)</f>
        <v>15</v>
      </c>
      <c r="Y1073" s="10">
        <f>IF(Table1[[#This Row],[Drank]]&gt;0,VLOOKUP(Table1[[#This Row],[ID]],Drank!A:P,16,FALSE),IF(Table1[[#This Row],[WALDD]]&gt;0,VLOOKUP(Table1[[#This Row],[ID]],Wine1!A:Q,17,FALSE),Table1[[#This Row],[EP]]))</f>
        <v>2045</v>
      </c>
      <c r="Z1073" s="18">
        <f>IF(Table1[[#This Row],[My Rating]]="",IF(Table1[[#This Row],[WA Rating Clean]]="","",Table1[[#This Row],[WA Rating Clean]]),Table1[[#This Row],[My Rating]])</f>
        <v>91</v>
      </c>
      <c r="AA1073" s="37">
        <v>2031</v>
      </c>
      <c r="AB1073" s="4">
        <v>17.91</v>
      </c>
      <c r="AC1073" s="2">
        <f t="shared" si="55"/>
        <v>17.91</v>
      </c>
      <c r="AD1073" s="8">
        <v>2</v>
      </c>
      <c r="AE1073" s="10">
        <f>IF(Table1[[#This Row],[P/750]]&lt;20,1,IF(Table1[[#This Row],[P/750]]&lt;50,2,3))</f>
        <v>1</v>
      </c>
      <c r="AF1073" s="10">
        <f>IF(Table1[[#This Row],[P/750]]&lt;Expenses!$C$30,1,IF(Table1[[#This Row],[P/750]]&lt;Expenses!$C$31,2,IF(Table1[[#This Row],[P/750]]&lt;Expenses!$C$32,3,4)))</f>
        <v>2</v>
      </c>
      <c r="AH1073" s="37" t="s">
        <v>1128</v>
      </c>
      <c r="AI1073" s="11">
        <f>Table1[[#This Row],[Price]]/Table1[[#This Row],[Size (ml)]]*750</f>
        <v>17.91</v>
      </c>
      <c r="AJ1073" s="37">
        <v>92</v>
      </c>
      <c r="AK1073" s="10">
        <f>COUNTIF(UniqueID!A:A,Table1[[#This Row],[ID]])</f>
        <v>1</v>
      </c>
      <c r="AL1073" s="37" t="str">
        <f>VLOOKUP(Table1[[#This Row],[Cellar Location]],Location!A:F,6,FALSE)</f>
        <v>S</v>
      </c>
      <c r="AN1073" s="1">
        <v>43830</v>
      </c>
      <c r="AO1073" s="37" t="str">
        <f>TEXT(Table1[[#This Row],[Purchased]],"mmmm")</f>
        <v>December</v>
      </c>
      <c r="AP1073" s="10" t="str">
        <f>TEXT(Table1[[#This Row],[Purchased]],"yyyy")</f>
        <v>2019</v>
      </c>
      <c r="AQ1073" s="10"/>
    </row>
    <row r="1074" spans="1:43" s="37" customFormat="1" x14ac:dyDescent="0.25">
      <c r="A1074" s="37" t="str">
        <f t="shared" si="54"/>
        <v>2015Il PoggioneBrunello di Montalcino</v>
      </c>
      <c r="B1074" s="8">
        <v>2015</v>
      </c>
      <c r="C1074" s="37" t="s">
        <v>1124</v>
      </c>
      <c r="D1074" s="8" t="s">
        <v>19</v>
      </c>
      <c r="E1074" s="67" t="s">
        <v>1250</v>
      </c>
      <c r="F1074" s="37" t="s">
        <v>728</v>
      </c>
      <c r="G1074" s="37" t="s">
        <v>790</v>
      </c>
      <c r="H1074" s="37" t="s">
        <v>19</v>
      </c>
      <c r="I1074" s="8">
        <v>1</v>
      </c>
      <c r="J1074" s="38">
        <v>750</v>
      </c>
      <c r="K1074" s="38" t="s">
        <v>435</v>
      </c>
      <c r="L1074" s="10">
        <f>COUNTIF(Drank!A:A,Table1[[#This Row],[ID]])</f>
        <v>0</v>
      </c>
      <c r="M1074" s="37" t="s">
        <v>202</v>
      </c>
      <c r="N1074" s="37" t="s">
        <v>207</v>
      </c>
      <c r="O1074" s="37">
        <v>1</v>
      </c>
      <c r="P1074" s="37">
        <v>2021</v>
      </c>
      <c r="Q1074" s="37">
        <v>2045</v>
      </c>
      <c r="R1074" s="10" t="str">
        <f>IF(IFERROR(VLOOKUP(A1074,Drank!A:S,15,FALSE),"")=0,"",IFERROR(VLOOKUP(A1074,Drank!A:S,15,FALSE),""))</f>
        <v/>
      </c>
      <c r="S1074" s="10" t="str">
        <f>IF(IFERROR(VLOOKUP(A1074,Drank!A:S,16,FALSE),"")=0,"",IFERROR(VLOOKUP(A1074,Drank!A:S,16,FALSE),""))</f>
        <v/>
      </c>
      <c r="T1074" s="10"/>
      <c r="U1074" s="37">
        <v>97</v>
      </c>
      <c r="V1074" s="18" t="str">
        <f>IF(IFERROR(VLOOKUP(A1074,Drank!A:T,19,FALSE),"")=0,"",IFERROR(VLOOKUP(A1074,Drank!A:T,19,FALSE),""))</f>
        <v/>
      </c>
      <c r="W1074" s="1" t="str">
        <f>IF(IFERROR(VLOOKUP(A1074,Drank!A:T,20,FALSE),"")=0,"",IFERROR(VLOOKUP(A1074,Drank!A:T,20,FALSE),""))</f>
        <v/>
      </c>
      <c r="X1074" s="10">
        <f>SUMIF(A:A,A1074,I:I)</f>
        <v>6</v>
      </c>
      <c r="Y1074" s="10">
        <f>IF(Table1[[#This Row],[Drank]]&gt;0,VLOOKUP(Table1[[#This Row],[ID]],Drank!A:P,16,FALSE),IF(Table1[[#This Row],[WALDD]]&gt;0,VLOOKUP(Table1[[#This Row],[ID]],Wine1!A:Q,17,FALSE),Table1[[#This Row],[EP]]))</f>
        <v>2045</v>
      </c>
      <c r="Z1074" s="18">
        <f>IF(Table1[[#This Row],[My Rating]]="",IF(Table1[[#This Row],[WA Rating Clean]]="","",Table1[[#This Row],[WA Rating Clean]]),Table1[[#This Row],[My Rating]])</f>
        <v>97</v>
      </c>
      <c r="AA1074" s="8">
        <v>2031</v>
      </c>
      <c r="AB1074" s="4">
        <v>73.849999999999994</v>
      </c>
      <c r="AC1074" s="2">
        <f t="shared" si="55"/>
        <v>73.849999999999994</v>
      </c>
      <c r="AD1074" s="8">
        <v>1</v>
      </c>
      <c r="AE1074" s="10">
        <f>IF(Table1[[#This Row],[P/750]]&lt;20,1,IF(Table1[[#This Row],[P/750]]&lt;50,2,3))</f>
        <v>3</v>
      </c>
      <c r="AF1074" s="10">
        <f>IF(Table1[[#This Row],[P/750]]&lt;Expenses!$C$30,1,IF(Table1[[#This Row],[P/750]]&lt;Expenses!$C$31,2,IF(Table1[[#This Row],[P/750]]&lt;Expenses!$C$32,3,4)))</f>
        <v>4</v>
      </c>
      <c r="AH1074" s="37" t="s">
        <v>1478</v>
      </c>
      <c r="AI1074" s="11">
        <f>Table1[[#This Row],[Price]]/Table1[[#This Row],[Size (ml)]]*750</f>
        <v>73.849999999999994</v>
      </c>
      <c r="AJ1074" s="37">
        <v>97</v>
      </c>
      <c r="AK1074" s="10">
        <f>COUNTIF(UniqueID!A:A,Table1[[#This Row],[ID]])</f>
        <v>0</v>
      </c>
      <c r="AL1074" s="10" t="str">
        <f>VLOOKUP(Table1[[#This Row],[Cellar Location]],Location!A:F,6,FALSE)</f>
        <v>W</v>
      </c>
      <c r="AN1074" s="1">
        <v>44064</v>
      </c>
      <c r="AO1074" s="10" t="str">
        <f>TEXT(Table1[[#This Row],[Purchased]],"mmmm")</f>
        <v>August</v>
      </c>
      <c r="AP1074" s="10" t="str">
        <f>TEXT(Table1[[#This Row],[Purchased]],"yyyy")</f>
        <v>2020</v>
      </c>
      <c r="AQ1074" s="1">
        <v>44114</v>
      </c>
    </row>
    <row r="1075" spans="1:43" s="37" customFormat="1" x14ac:dyDescent="0.25">
      <c r="A1075" s="37" t="str">
        <f t="shared" si="54"/>
        <v>2009Chateau SuduirautChateau Suduiraut</v>
      </c>
      <c r="B1075" s="37">
        <v>2009</v>
      </c>
      <c r="C1075" s="37" t="s">
        <v>1742</v>
      </c>
      <c r="D1075" s="37" t="s">
        <v>1742</v>
      </c>
      <c r="E1075" s="67" t="s">
        <v>1743</v>
      </c>
      <c r="F1075" s="37" t="s">
        <v>742</v>
      </c>
      <c r="G1075" s="37" t="s">
        <v>748</v>
      </c>
      <c r="H1075" s="37" t="s">
        <v>260</v>
      </c>
      <c r="I1075" s="8">
        <v>1</v>
      </c>
      <c r="J1075" s="38">
        <v>375</v>
      </c>
      <c r="K1075" s="38" t="s">
        <v>385</v>
      </c>
      <c r="L1075" s="10">
        <f>COUNTIF(Drank!A:A,Table1[[#This Row],[ID]])</f>
        <v>0</v>
      </c>
      <c r="M1075" s="37" t="s">
        <v>201</v>
      </c>
      <c r="N1075" s="37" t="s">
        <v>206</v>
      </c>
      <c r="O1075" s="37">
        <v>1</v>
      </c>
      <c r="P1075" s="37">
        <v>2019</v>
      </c>
      <c r="Q1075" s="37">
        <v>2055</v>
      </c>
      <c r="R1075" s="10" t="str">
        <f>IF(IFERROR(VLOOKUP(A1075,Drank!A:S,15,FALSE),"")=0,"",IFERROR(VLOOKUP(A1075,Drank!A:S,15,FALSE),""))</f>
        <v/>
      </c>
      <c r="S1075" s="10" t="str">
        <f>IF(IFERROR(VLOOKUP(A1075,Drank!A:S,16,FALSE),"")=0,"",IFERROR(VLOOKUP(A1075,Drank!A:S,16,FALSE),""))</f>
        <v/>
      </c>
      <c r="T1075" s="10"/>
      <c r="U1075" s="37">
        <v>98</v>
      </c>
      <c r="V1075" s="18" t="str">
        <f>IF(IFERROR(VLOOKUP(A1075,Drank!A:T,19,FALSE),"")=0,"",IFERROR(VLOOKUP(A1075,Drank!A:T,19,FALSE),""))</f>
        <v/>
      </c>
      <c r="W1075" s="1" t="str">
        <f>IF(IFERROR(VLOOKUP(A1075,Drank!A:T,20,FALSE),"")=0,"",IFERROR(VLOOKUP(A1075,Drank!A:T,20,FALSE),""))</f>
        <v/>
      </c>
      <c r="X1075" s="10">
        <f>SUMIF(A:A,A1075,I:I)</f>
        <v>6</v>
      </c>
      <c r="Y1075" s="10">
        <f>IF(Table1[[#This Row],[Drank]]&gt;0,VLOOKUP(Table1[[#This Row],[ID]],Drank!A:P,16,FALSE),IF(Table1[[#This Row],[WALDD]]&gt;0,VLOOKUP(Table1[[#This Row],[ID]],Wine1!A:Q,17,FALSE),Table1[[#This Row],[EP]]))</f>
        <v>2055</v>
      </c>
      <c r="Z1075" s="18" t="str">
        <f>IF(Table1[[#This Row],[My Rating]]="",IF(Table1[[#This Row],[WA Rating Clean]]="","",Table1[[#This Row],[WA Rating Clean]]),Table1[[#This Row],[My Rating]])</f>
        <v/>
      </c>
      <c r="AA1075" s="8">
        <v>2031</v>
      </c>
      <c r="AB1075" s="4">
        <v>42.6</v>
      </c>
      <c r="AC1075" s="2">
        <f t="shared" si="55"/>
        <v>42.6</v>
      </c>
      <c r="AD1075" s="8">
        <v>1</v>
      </c>
      <c r="AE1075" s="10">
        <f>IF(Table1[[#This Row],[P/750]]&lt;20,1,IF(Table1[[#This Row],[P/750]]&lt;50,2,3))</f>
        <v>3</v>
      </c>
      <c r="AF1075" s="10">
        <f>IF(Table1[[#This Row],[P/750]]&lt;Expenses!$C$30,1,IF(Table1[[#This Row],[P/750]]&lt;Expenses!$C$31,2,IF(Table1[[#This Row],[P/750]]&lt;Expenses!$C$32,3,4)))</f>
        <v>4</v>
      </c>
      <c r="AH1075" s="37" t="s">
        <v>385</v>
      </c>
      <c r="AI1075" s="11">
        <f>Table1[[#This Row],[Price]]/Table1[[#This Row],[Size (ml)]]*750</f>
        <v>85.2</v>
      </c>
      <c r="AK1075" s="10">
        <f>COUNTIF(UniqueID!A:A,Table1[[#This Row],[ID]])</f>
        <v>0</v>
      </c>
      <c r="AL1075" s="10" t="str">
        <f>VLOOKUP(Table1[[#This Row],[Cellar Location]],Location!A:F,6,FALSE)</f>
        <v>W</v>
      </c>
      <c r="AN1075" s="1">
        <v>44062</v>
      </c>
      <c r="AO1075" s="10" t="str">
        <f>TEXT(Table1[[#This Row],[Purchased]],"mmmm")</f>
        <v>August</v>
      </c>
      <c r="AP1075" s="10" t="str">
        <f>TEXT(Table1[[#This Row],[Purchased]],"yyyy")</f>
        <v>2020</v>
      </c>
      <c r="AQ1075" s="1">
        <v>44114</v>
      </c>
    </row>
    <row r="1076" spans="1:43" s="37" customFormat="1" x14ac:dyDescent="0.25">
      <c r="A1076" s="37" t="str">
        <f t="shared" si="54"/>
        <v>2017Altos Las HormigasMalbec Appellation Gualtallary</v>
      </c>
      <c r="B1076" s="37">
        <v>2017</v>
      </c>
      <c r="C1076" s="37" t="s">
        <v>232</v>
      </c>
      <c r="D1076" s="9" t="s">
        <v>233</v>
      </c>
      <c r="E1076" s="67" t="s">
        <v>1207</v>
      </c>
      <c r="F1076" s="37" t="s">
        <v>731</v>
      </c>
      <c r="G1076" s="37" t="s">
        <v>732</v>
      </c>
      <c r="H1076" s="37" t="s">
        <v>1190</v>
      </c>
      <c r="I1076" s="8">
        <v>1</v>
      </c>
      <c r="J1076" s="107">
        <v>750</v>
      </c>
      <c r="K1076" s="8" t="s">
        <v>1849</v>
      </c>
      <c r="L1076" s="10">
        <f>COUNTIF(Drank!A:A,Table1[[#This Row],[ID]])</f>
        <v>1</v>
      </c>
      <c r="M1076" s="37" t="s">
        <v>202</v>
      </c>
      <c r="N1076" s="37" t="s">
        <v>207</v>
      </c>
      <c r="O1076" s="37">
        <v>1</v>
      </c>
      <c r="P1076" s="10">
        <v>2019</v>
      </c>
      <c r="Q1076" s="37">
        <v>2030</v>
      </c>
      <c r="R1076" s="10">
        <f>IF(IFERROR(VLOOKUP(A1076,Drank!A:S,15,FALSE),"")=0,"",IFERROR(VLOOKUP(A1076,Drank!A:S,15,FALSE),""))</f>
        <v>2022</v>
      </c>
      <c r="S1076" s="10">
        <f>IF(IFERROR(VLOOKUP(A1076,Drank!A:S,16,FALSE),"")=0,"",IFERROR(VLOOKUP(A1076,Drank!A:S,16,FALSE),""))</f>
        <v>2030</v>
      </c>
      <c r="T1076" s="10"/>
      <c r="U1076" s="37" t="s">
        <v>1180</v>
      </c>
      <c r="V1076" s="18">
        <f>IF(IFERROR(VLOOKUP(A1076,Drank!A:T,19,FALSE),"")=0,"",IFERROR(VLOOKUP(A1076,Drank!A:T,19,FALSE),""))</f>
        <v>94</v>
      </c>
      <c r="W1076" s="1">
        <f>IF(IFERROR(VLOOKUP(A1076,Drank!A:T,20,FALSE),"")=0,"",IFERROR(VLOOKUP(A1076,Drank!A:T,20,FALSE),""))</f>
        <v>43953</v>
      </c>
      <c r="X1076" s="10">
        <f>SUMIF(A:A,A1076,I:I)</f>
        <v>38</v>
      </c>
      <c r="Y1076" s="10">
        <f>IF(Table1[[#This Row],[Drank]]&gt;0,VLOOKUP(Table1[[#This Row],[ID]],Drank!A:P,16,FALSE),IF(Table1[[#This Row],[WALDD]]&gt;0,VLOOKUP(Table1[[#This Row],[ID]],Wine1!A:Q,17,FALSE),Table1[[#This Row],[EP]]))</f>
        <v>2030</v>
      </c>
      <c r="Z1076" s="18">
        <f>IF(Table1[[#This Row],[My Rating]]="",IF(Table1[[#This Row],[WA Rating Clean]]="","",Table1[[#This Row],[WA Rating Clean]]),Table1[[#This Row],[My Rating]])</f>
        <v>94</v>
      </c>
      <c r="AA1076" s="37">
        <v>2032</v>
      </c>
      <c r="AB1076" s="129">
        <v>35.85</v>
      </c>
      <c r="AC1076" s="2">
        <f t="shared" si="55"/>
        <v>35.85</v>
      </c>
      <c r="AD1076" s="8">
        <v>1</v>
      </c>
      <c r="AE1076" s="10">
        <f>IF(Table1[[#This Row],[P/750]]&lt;20,1,IF(Table1[[#This Row],[P/750]]&lt;50,2,3))</f>
        <v>2</v>
      </c>
      <c r="AF1076" s="10">
        <f>IF(Table1[[#This Row],[P/750]]&lt;Expenses!$C$30,1,IF(Table1[[#This Row],[P/750]]&lt;Expenses!$C$31,2,IF(Table1[[#This Row],[P/750]]&lt;Expenses!$C$32,3,4)))</f>
        <v>3</v>
      </c>
      <c r="AH1076" s="37" t="s">
        <v>1128</v>
      </c>
      <c r="AI1076" s="11">
        <f>Table1[[#This Row],[Price]]/Table1[[#This Row],[Size (ml)]]*750</f>
        <v>35.85</v>
      </c>
      <c r="AJ1076" s="37">
        <v>96</v>
      </c>
      <c r="AK1076" s="10">
        <f>COUNTIF(UniqueID!A:A,Table1[[#This Row],[ID]])</f>
        <v>1</v>
      </c>
      <c r="AL1076" s="10" t="str">
        <f>VLOOKUP(Table1[[#This Row],[Cellar Location]],Location!A:F,6,FALSE)</f>
        <v>S</v>
      </c>
      <c r="AN1076" s="1">
        <v>44070</v>
      </c>
      <c r="AO1076" s="10" t="str">
        <f>TEXT(Table1[[#This Row],[Purchased]],"mmmm")</f>
        <v>August</v>
      </c>
      <c r="AP1076" s="10" t="str">
        <f>TEXT(Table1[[#This Row],[Purchased]],"yyyy")</f>
        <v>2020</v>
      </c>
      <c r="AQ1076" s="1"/>
    </row>
    <row r="1077" spans="1:43" s="37" customFormat="1" x14ac:dyDescent="0.25">
      <c r="A1077" s="37" t="str">
        <f t="shared" si="54"/>
        <v>2015MasiAmarone della Valpolicella Classico Costasera</v>
      </c>
      <c r="B1077" s="37">
        <v>2015</v>
      </c>
      <c r="C1077" s="25" t="s">
        <v>37</v>
      </c>
      <c r="D1077" s="37" t="s">
        <v>53</v>
      </c>
      <c r="E1077" s="64" t="s">
        <v>313</v>
      </c>
      <c r="F1077" s="37" t="s">
        <v>728</v>
      </c>
      <c r="G1077" s="37" t="s">
        <v>799</v>
      </c>
      <c r="H1077" s="37" t="s">
        <v>800</v>
      </c>
      <c r="I1077" s="107">
        <v>1</v>
      </c>
      <c r="J1077" s="37">
        <v>750</v>
      </c>
      <c r="K1077" s="107" t="s">
        <v>1313</v>
      </c>
      <c r="L1077" s="37">
        <f>COUNTIF(Drank!A:A,Table1[[#This Row],[ID]])</f>
        <v>1</v>
      </c>
      <c r="M1077" s="37" t="s">
        <v>202</v>
      </c>
      <c r="N1077" s="37" t="s">
        <v>207</v>
      </c>
      <c r="O1077" s="37">
        <v>1</v>
      </c>
      <c r="R1077" s="10">
        <f>IF(IFERROR(VLOOKUP(A1077,Drank!A:S,15,FALSE),"")=0,"",IFERROR(VLOOKUP(A1077,Drank!A:S,15,FALSE),""))</f>
        <v>2030</v>
      </c>
      <c r="S1077" s="10">
        <f>IF(IFERROR(VLOOKUP(A1077,Drank!A:S,16,FALSE),"")=0,"",IFERROR(VLOOKUP(A1077,Drank!A:S,16,FALSE),""))</f>
        <v>2030</v>
      </c>
      <c r="T1077" s="10"/>
      <c r="V1077" s="18">
        <f>IF(IFERROR(VLOOKUP(A1077,Drank!A:T,19,FALSE),"")=0,"",IFERROR(VLOOKUP(A1077,Drank!A:T,19,FALSE),""))</f>
        <v>94</v>
      </c>
      <c r="W1077" s="1">
        <f>IF(IFERROR(VLOOKUP(A1077,Drank!A:T,20,FALSE),"")=0,"",IFERROR(VLOOKUP(A1077,Drank!A:T,20,FALSE),""))</f>
        <v>43918</v>
      </c>
      <c r="X1077" s="10">
        <f>SUMIF(A:A,A1077,I:I)</f>
        <v>11</v>
      </c>
      <c r="Y1077" s="37">
        <f>IF(Table1[[#This Row],[Drank]]&gt;0,VLOOKUP(Table1[[#This Row],[ID]],Drank!A:P,16,FALSE),IF(Table1[[#This Row],[WALDD]]&gt;0,VLOOKUP(Table1[[#This Row],[ID]],Wine1!A:Q,17,FALSE),Table1[[#This Row],[EP]]))</f>
        <v>2030</v>
      </c>
      <c r="Z1077" s="18">
        <f>IF(Table1[[#This Row],[My Rating]]="",IF(Table1[[#This Row],[WA Rating Clean]]="","",Table1[[#This Row],[WA Rating Clean]]),Table1[[#This Row],[My Rating]])</f>
        <v>94</v>
      </c>
      <c r="AA1077" s="37">
        <v>2032</v>
      </c>
      <c r="AB1077" s="4">
        <v>49.99</v>
      </c>
      <c r="AC1077" s="2">
        <f t="shared" si="55"/>
        <v>49.99</v>
      </c>
      <c r="AD1077" s="8">
        <v>2</v>
      </c>
      <c r="AE1077" s="37">
        <f>IF(Table1[[#This Row],[P/750]]&lt;20,1,IF(Table1[[#This Row],[P/750]]&lt;50,2,3))</f>
        <v>2</v>
      </c>
      <c r="AF1077" s="37">
        <f>IF(Table1[[#This Row],[P/750]]&lt;Expenses!$C$30,1,IF(Table1[[#This Row],[P/750]]&lt;Expenses!$C$31,2,IF(Table1[[#This Row],[P/750]]&lt;Expenses!$C$32,3,4)))</f>
        <v>3</v>
      </c>
      <c r="AH1077" s="37" t="s">
        <v>1128</v>
      </c>
      <c r="AI1077" s="11">
        <f>Table1[[#This Row],[Price]]/Table1[[#This Row],[Size (ml)]]*750</f>
        <v>49.990000000000009</v>
      </c>
      <c r="AK1077" s="37">
        <f>COUNTIF(UniqueID!A:A,Table1[[#This Row],[ID]])</f>
        <v>0</v>
      </c>
      <c r="AL1077" s="37" t="str">
        <f>VLOOKUP(Table1[[#This Row],[Cellar Location]],Location!A:F,6,FALSE)</f>
        <v>S</v>
      </c>
      <c r="AN1077" s="1">
        <v>43879</v>
      </c>
      <c r="AO1077" s="37" t="str">
        <f>TEXT(Table1[[#This Row],[Purchased]],"mmmm")</f>
        <v>February</v>
      </c>
      <c r="AP1077" s="10" t="str">
        <f>TEXT(Table1[[#This Row],[Purchased]],"yyyy")</f>
        <v>2020</v>
      </c>
      <c r="AQ1077" s="10"/>
    </row>
    <row r="1078" spans="1:43" s="37" customFormat="1" x14ac:dyDescent="0.25">
      <c r="A1078" s="37" t="str">
        <f t="shared" si="54"/>
        <v>2017Altos Las HormigasMalbec Appellation Gualtallary</v>
      </c>
      <c r="B1078" s="37">
        <v>2017</v>
      </c>
      <c r="C1078" s="37" t="s">
        <v>232</v>
      </c>
      <c r="D1078" s="37" t="s">
        <v>233</v>
      </c>
      <c r="E1078" s="67" t="s">
        <v>1207</v>
      </c>
      <c r="F1078" s="37" t="s">
        <v>731</v>
      </c>
      <c r="G1078" s="37" t="s">
        <v>732</v>
      </c>
      <c r="H1078" s="37" t="s">
        <v>1190</v>
      </c>
      <c r="I1078" s="107">
        <v>1</v>
      </c>
      <c r="J1078" s="37">
        <v>750</v>
      </c>
      <c r="K1078" s="107" t="s">
        <v>643</v>
      </c>
      <c r="L1078" s="10">
        <f>COUNTIF(Drank!A:A,Table1[[#This Row],[ID]])</f>
        <v>1</v>
      </c>
      <c r="M1078" s="37" t="s">
        <v>202</v>
      </c>
      <c r="N1078" s="37" t="s">
        <v>207</v>
      </c>
      <c r="O1078" s="37">
        <v>1</v>
      </c>
      <c r="P1078" s="10">
        <v>2019</v>
      </c>
      <c r="Q1078" s="37">
        <v>2030</v>
      </c>
      <c r="R1078" s="10">
        <f>IF(IFERROR(VLOOKUP(A1078,Drank!A:S,15,FALSE),"")=0,"",IFERROR(VLOOKUP(A1078,Drank!A:S,15,FALSE),""))</f>
        <v>2022</v>
      </c>
      <c r="S1078" s="10">
        <f>IF(IFERROR(VLOOKUP(A1078,Drank!A:S,16,FALSE),"")=0,"",IFERROR(VLOOKUP(A1078,Drank!A:S,16,FALSE),""))</f>
        <v>2030</v>
      </c>
      <c r="T1078" s="10"/>
      <c r="U1078" s="37" t="s">
        <v>1180</v>
      </c>
      <c r="V1078" s="18">
        <f>IF(IFERROR(VLOOKUP(A1078,Drank!A:T,19,FALSE),"")=0,"",IFERROR(VLOOKUP(A1078,Drank!A:T,19,FALSE),""))</f>
        <v>94</v>
      </c>
      <c r="W1078" s="1">
        <f>IF(IFERROR(VLOOKUP(A1078,Drank!A:T,20,FALSE),"")=0,"",IFERROR(VLOOKUP(A1078,Drank!A:T,20,FALSE),""))</f>
        <v>43953</v>
      </c>
      <c r="X1078" s="10">
        <f>SUMIF(A:A,A1078,I:I)</f>
        <v>38</v>
      </c>
      <c r="Y1078" s="10">
        <f>IF(Table1[[#This Row],[Drank]]&gt;0,VLOOKUP(Table1[[#This Row],[ID]],Drank!A:P,16,FALSE),IF(Table1[[#This Row],[WALDD]]&gt;0,VLOOKUP(Table1[[#This Row],[ID]],Wine1!A:Q,17,FALSE),Table1[[#This Row],[EP]]))</f>
        <v>2030</v>
      </c>
      <c r="Z1078" s="18">
        <f>IF(Table1[[#This Row],[My Rating]]="",IF(Table1[[#This Row],[WA Rating Clean]]="","",Table1[[#This Row],[WA Rating Clean]]),Table1[[#This Row],[My Rating]])</f>
        <v>94</v>
      </c>
      <c r="AA1078" s="37">
        <v>2032</v>
      </c>
      <c r="AB1078" s="4">
        <v>39.97</v>
      </c>
      <c r="AC1078" s="2">
        <f t="shared" si="55"/>
        <v>39.97</v>
      </c>
      <c r="AD1078" s="8">
        <v>2</v>
      </c>
      <c r="AE1078" s="10">
        <f>IF(Table1[[#This Row],[P/750]]&lt;20,1,IF(Table1[[#This Row],[P/750]]&lt;50,2,3))</f>
        <v>2</v>
      </c>
      <c r="AF1078" s="10">
        <f>IF(Table1[[#This Row],[P/750]]&lt;Expenses!$C$30,1,IF(Table1[[#This Row],[P/750]]&lt;Expenses!$C$31,2,IF(Table1[[#This Row],[P/750]]&lt;Expenses!$C$32,3,4)))</f>
        <v>3</v>
      </c>
      <c r="AH1078" s="37" t="s">
        <v>1188</v>
      </c>
      <c r="AI1078" s="11">
        <f>Table1[[#This Row],[Price]]/Table1[[#This Row],[Size (ml)]]*750</f>
        <v>39.97</v>
      </c>
      <c r="AJ1078" s="37">
        <v>96</v>
      </c>
      <c r="AK1078" s="10">
        <f>COUNTIF(UniqueID!A:A,Table1[[#This Row],[ID]])</f>
        <v>1</v>
      </c>
      <c r="AL1078" s="10" t="str">
        <f>VLOOKUP(Table1[[#This Row],[Cellar Location]],Location!A:F,6,FALSE)</f>
        <v>S</v>
      </c>
      <c r="AN1078" s="1">
        <v>43860</v>
      </c>
      <c r="AO1078" s="37" t="str">
        <f>TEXT(Table1[[#This Row],[Purchased]],"mmmm")</f>
        <v>January</v>
      </c>
      <c r="AP1078" s="10" t="str">
        <f>TEXT(Table1[[#This Row],[Purchased]],"yyyy")</f>
        <v>2020</v>
      </c>
      <c r="AQ1078" s="10"/>
    </row>
    <row r="1079" spans="1:43" s="37" customFormat="1" x14ac:dyDescent="0.25">
      <c r="A1079" s="37" t="str">
        <f t="shared" si="54"/>
        <v>2013CortonesiBrunello di Montalcino La Mannella</v>
      </c>
      <c r="B1079" s="37">
        <v>2013</v>
      </c>
      <c r="C1079" s="37" t="s">
        <v>72</v>
      </c>
      <c r="D1079" s="37" t="s">
        <v>73</v>
      </c>
      <c r="E1079" s="67" t="s">
        <v>1250</v>
      </c>
      <c r="F1079" s="37" t="s">
        <v>728</v>
      </c>
      <c r="G1079" s="37" t="s">
        <v>790</v>
      </c>
      <c r="H1079" s="37" t="s">
        <v>19</v>
      </c>
      <c r="I1079" s="37">
        <v>1</v>
      </c>
      <c r="J1079" s="37">
        <v>750</v>
      </c>
      <c r="K1079" s="8" t="s">
        <v>11</v>
      </c>
      <c r="L1079" s="37">
        <f>COUNTIF(Drank!A:A,Table1[[#This Row],[ID]])</f>
        <v>1</v>
      </c>
      <c r="M1079" s="37" t="s">
        <v>202</v>
      </c>
      <c r="N1079" s="37" t="s">
        <v>207</v>
      </c>
      <c r="O1079" s="37">
        <v>1</v>
      </c>
      <c r="P1079" s="37">
        <v>2020</v>
      </c>
      <c r="Q1079" s="37">
        <v>2033</v>
      </c>
      <c r="R1079" s="37">
        <f>IF(IFERROR(VLOOKUP(A1079,Drank!A:S,15,FALSE),"")=0,"",IFERROR(VLOOKUP(A1079,Drank!A:S,15,FALSE),""))</f>
        <v>2024</v>
      </c>
      <c r="S1079" s="37">
        <f>IF(IFERROR(VLOOKUP(A1079,Drank!A:S,16,FALSE),"")=0,"",IFERROR(VLOOKUP(A1079,Drank!A:S,16,FALSE),""))</f>
        <v>2030</v>
      </c>
      <c r="U1079" s="37" t="s">
        <v>74</v>
      </c>
      <c r="V1079" s="18">
        <f>IF(IFERROR(VLOOKUP(A1079,Drank!A:T,19,FALSE),"")=0,"",IFERROR(VLOOKUP(A1079,Drank!A:T,19,FALSE),""))</f>
        <v>93</v>
      </c>
      <c r="W1079" s="1">
        <f>IF(IFERROR(VLOOKUP(A1079,Drank!A:T,20,FALSE),"")=0,"",IFERROR(VLOOKUP(A1079,Drank!A:T,20,FALSE),""))</f>
        <v>43924</v>
      </c>
      <c r="X1079" s="37">
        <f>SUMIF(A:A,A1079,I:I)</f>
        <v>5</v>
      </c>
      <c r="Y1079" s="37">
        <f>IF(Table1[[#This Row],[Drank]]&gt;0,VLOOKUP(Table1[[#This Row],[ID]],Drank!A:P,16,FALSE),IF(Table1[[#This Row],[WALDD]]&gt;0,VLOOKUP(Table1[[#This Row],[ID]],Wine1!A:Q,17,FALSE),Table1[[#This Row],[EP]]))</f>
        <v>2030</v>
      </c>
      <c r="Z1079" s="18">
        <f>IF(Table1[[#This Row],[My Rating]]="",IF(Table1[[#This Row],[WA Rating Clean]]="","",Table1[[#This Row],[WA Rating Clean]]),Table1[[#This Row],[My Rating]])</f>
        <v>93</v>
      </c>
      <c r="AA1079" s="37">
        <v>2032</v>
      </c>
      <c r="AB1079" s="3">
        <v>39</v>
      </c>
      <c r="AC1079" s="2">
        <f t="shared" si="55"/>
        <v>39</v>
      </c>
      <c r="AD1079" s="8">
        <v>0</v>
      </c>
      <c r="AE1079" s="37">
        <f>IF(Table1[[#This Row],[P/750]]&lt;20,1,IF(Table1[[#This Row],[P/750]]&lt;50,2,3))</f>
        <v>2</v>
      </c>
      <c r="AF1079" s="37">
        <f>IF(Table1[[#This Row],[P/750]]&lt;Expenses!$C$30,1,IF(Table1[[#This Row],[P/750]]&lt;Expenses!$C$31,2,IF(Table1[[#This Row],[P/750]]&lt;Expenses!$C$32,3,4)))</f>
        <v>3</v>
      </c>
      <c r="AH1079" s="37" t="s">
        <v>1131</v>
      </c>
      <c r="AI1079" s="11">
        <f>Table1[[#This Row],[Price]]/Table1[[#This Row],[Size (ml)]]*750</f>
        <v>39</v>
      </c>
      <c r="AJ1079" s="37">
        <v>93</v>
      </c>
      <c r="AK1079" s="37">
        <f>COUNTIF(UniqueID!A:A,Table1[[#This Row],[ID]])</f>
        <v>1</v>
      </c>
      <c r="AL1079" s="37" t="str">
        <f>VLOOKUP(Table1[[#This Row],[Cellar Location]],Location!A:F,6,FALSE)</f>
        <v>K</v>
      </c>
      <c r="AO1079" s="37" t="str">
        <f>TEXT(Table1[[#This Row],[Purchased]],"mmmm")</f>
        <v>January</v>
      </c>
      <c r="AP1079" s="10" t="str">
        <f>TEXT(Table1[[#This Row],[Purchased]],"yyyy")</f>
        <v>1900</v>
      </c>
      <c r="AQ1079" s="10"/>
    </row>
    <row r="1080" spans="1:43" s="37" customFormat="1" x14ac:dyDescent="0.25">
      <c r="A1080" s="37" t="str">
        <f t="shared" si="54"/>
        <v>2007López de HerediaViña Tondonia Reserva</v>
      </c>
      <c r="B1080" s="37">
        <v>2007</v>
      </c>
      <c r="C1080" s="37" t="s">
        <v>1263</v>
      </c>
      <c r="D1080" s="37" t="s">
        <v>1264</v>
      </c>
      <c r="E1080" s="67" t="s">
        <v>1265</v>
      </c>
      <c r="F1080" s="37" t="s">
        <v>729</v>
      </c>
      <c r="G1080" s="37" t="s">
        <v>823</v>
      </c>
      <c r="I1080" s="107">
        <v>1</v>
      </c>
      <c r="J1080" s="37">
        <v>750</v>
      </c>
      <c r="K1080" s="107" t="s">
        <v>928</v>
      </c>
      <c r="L1080" s="10">
        <f>COUNTIF(Drank!A:A,Table1[[#This Row],[ID]])</f>
        <v>0</v>
      </c>
      <c r="M1080" s="37" t="s">
        <v>202</v>
      </c>
      <c r="N1080" s="37" t="s">
        <v>207</v>
      </c>
      <c r="O1080" s="37">
        <v>1</v>
      </c>
      <c r="P1080" s="10">
        <v>2019</v>
      </c>
      <c r="Q1080" s="37">
        <v>2030</v>
      </c>
      <c r="R1080" s="10" t="str">
        <f>IF(IFERROR(VLOOKUP(A1080,Drank!A:S,15,FALSE),"")=0,"",IFERROR(VLOOKUP(A1080,Drank!A:S,15,FALSE),""))</f>
        <v/>
      </c>
      <c r="S1080" s="10" t="str">
        <f>IF(IFERROR(VLOOKUP(A1080,Drank!A:S,16,FALSE),"")=0,"",IFERROR(VLOOKUP(A1080,Drank!A:S,16,FALSE),""))</f>
        <v/>
      </c>
      <c r="T1080" s="10"/>
      <c r="U1080" s="37">
        <v>96</v>
      </c>
      <c r="V1080" s="18" t="str">
        <f>IF(IFERROR(VLOOKUP(A1080,Drank!A:T,19,FALSE),"")=0,"",IFERROR(VLOOKUP(A1080,Drank!A:T,19,FALSE),""))</f>
        <v/>
      </c>
      <c r="W1080" s="1" t="str">
        <f>IF(IFERROR(VLOOKUP(A1080,Drank!A:T,20,FALSE),"")=0,"",IFERROR(VLOOKUP(A1080,Drank!A:T,20,FALSE),""))</f>
        <v/>
      </c>
      <c r="X1080" s="10">
        <f>SUMIF(A:A,A1080,I:I)</f>
        <v>4</v>
      </c>
      <c r="Y1080" s="10">
        <f>IF(Table1[[#This Row],[Drank]]&gt;0,VLOOKUP(Table1[[#This Row],[ID]],Drank!A:P,16,FALSE),IF(Table1[[#This Row],[WALDD]]&gt;0,VLOOKUP(Table1[[#This Row],[ID]],Wine1!A:Q,17,FALSE),Table1[[#This Row],[EP]]))</f>
        <v>2030</v>
      </c>
      <c r="Z1080" s="18">
        <f>IF(Table1[[#This Row],[My Rating]]="",IF(Table1[[#This Row],[WA Rating Clean]]="","",Table1[[#This Row],[WA Rating Clean]]),Table1[[#This Row],[My Rating]])</f>
        <v>96</v>
      </c>
      <c r="AA1080" s="37">
        <v>2032</v>
      </c>
      <c r="AB1080" s="4">
        <v>43.99</v>
      </c>
      <c r="AC1080" s="2">
        <f t="shared" si="55"/>
        <v>43.99</v>
      </c>
      <c r="AD1080" s="8">
        <v>2</v>
      </c>
      <c r="AE1080" s="10">
        <f>IF(Table1[[#This Row],[P/750]]&lt;20,1,IF(Table1[[#This Row],[P/750]]&lt;50,2,3))</f>
        <v>2</v>
      </c>
      <c r="AF1080" s="10">
        <f>IF(Table1[[#This Row],[P/750]]&lt;Expenses!$C$30,1,IF(Table1[[#This Row],[P/750]]&lt;Expenses!$C$31,2,IF(Table1[[#This Row],[P/750]]&lt;Expenses!$C$32,3,4)))</f>
        <v>3</v>
      </c>
      <c r="AH1080" s="37" t="s">
        <v>1139</v>
      </c>
      <c r="AI1080" s="11">
        <f>Table1[[#This Row],[Price]]/Table1[[#This Row],[Size (ml)]]*750</f>
        <v>43.99</v>
      </c>
      <c r="AJ1080" s="37">
        <v>96</v>
      </c>
      <c r="AK1080" s="10">
        <f>COUNTIF(UniqueID!A:A,Table1[[#This Row],[ID]])</f>
        <v>1</v>
      </c>
      <c r="AL1080" s="37" t="str">
        <f>VLOOKUP(Table1[[#This Row],[Cellar Location]],Location!A:F,6,FALSE)</f>
        <v>S</v>
      </c>
      <c r="AO1080" s="37" t="str">
        <f>TEXT(Table1[[#This Row],[Purchased]],"mmmm")</f>
        <v>January</v>
      </c>
      <c r="AP1080" s="10" t="str">
        <f>TEXT(Table1[[#This Row],[Purchased]],"yyyy")</f>
        <v>1900</v>
      </c>
      <c r="AQ1080" s="10"/>
    </row>
    <row r="1081" spans="1:43" s="37" customFormat="1" x14ac:dyDescent="0.25">
      <c r="A1081" s="37" t="str">
        <f t="shared" si="54"/>
        <v>2013Mazzei Chianti Classico Gran Selezione Castello Fonterutoli</v>
      </c>
      <c r="B1081" s="37">
        <v>2013</v>
      </c>
      <c r="C1081" s="9" t="s">
        <v>1380</v>
      </c>
      <c r="D1081" s="9" t="s">
        <v>1379</v>
      </c>
      <c r="E1081" s="67" t="s">
        <v>1381</v>
      </c>
      <c r="F1081" s="37" t="s">
        <v>728</v>
      </c>
      <c r="G1081" s="37" t="s">
        <v>790</v>
      </c>
      <c r="H1081" s="9" t="s">
        <v>792</v>
      </c>
      <c r="I1081" s="107">
        <v>1</v>
      </c>
      <c r="J1081" s="37">
        <v>750</v>
      </c>
      <c r="K1081" s="107" t="s">
        <v>1196</v>
      </c>
      <c r="L1081" s="10">
        <f>COUNTIF(Drank!A:A,Table1[[#This Row],[ID]])</f>
        <v>1</v>
      </c>
      <c r="M1081" s="37" t="s">
        <v>202</v>
      </c>
      <c r="N1081" s="37" t="s">
        <v>207</v>
      </c>
      <c r="O1081" s="37">
        <v>1</v>
      </c>
      <c r="P1081" s="37">
        <v>2017</v>
      </c>
      <c r="Q1081" s="37">
        <v>2030</v>
      </c>
      <c r="R1081" s="10">
        <f>IF(IFERROR(VLOOKUP(A1081,Drank!A:S,15,FALSE),"")=0,"",IFERROR(VLOOKUP(A1081,Drank!A:S,15,FALSE),""))</f>
        <v>2026</v>
      </c>
      <c r="S1081" s="10">
        <f>IF(IFERROR(VLOOKUP(A1081,Drank!A:S,16,FALSE),"")=0,"",IFERROR(VLOOKUP(A1081,Drank!A:S,16,FALSE),""))</f>
        <v>2032</v>
      </c>
      <c r="T1081" s="10"/>
      <c r="U1081" s="37">
        <v>94</v>
      </c>
      <c r="V1081" s="18">
        <f>IF(IFERROR(VLOOKUP(A1081,Drank!A:T,19,FALSE),"")=0,"",IFERROR(VLOOKUP(A1081,Drank!A:T,19,FALSE),""))</f>
        <v>93</v>
      </c>
      <c r="W1081" s="1">
        <f>IF(IFERROR(VLOOKUP(A1081,Drank!A:T,20,FALSE),"")=0,"",IFERROR(VLOOKUP(A1081,Drank!A:T,20,FALSE),""))</f>
        <v>44017</v>
      </c>
      <c r="X1081" s="10">
        <f>SUMIF(A:A,A1081,I:I)</f>
        <v>3</v>
      </c>
      <c r="Y1081" s="10">
        <f>IF(Table1[[#This Row],[Drank]]&gt;0,VLOOKUP(Table1[[#This Row],[ID]],Drank!A:P,16,FALSE),IF(Table1[[#This Row],[WALDD]]&gt;0,VLOOKUP(Table1[[#This Row],[ID]],Wine1!A:Q,17,FALSE),Table1[[#This Row],[EP]]))</f>
        <v>2032</v>
      </c>
      <c r="Z1081" s="18">
        <f>IF(Table1[[#This Row],[My Rating]]="",IF(Table1[[#This Row],[WA Rating Clean]]="","",Table1[[#This Row],[WA Rating Clean]]),Table1[[#This Row],[My Rating]])</f>
        <v>93</v>
      </c>
      <c r="AA1081" s="37">
        <v>2032</v>
      </c>
      <c r="AB1081" s="4">
        <v>35.840000000000003</v>
      </c>
      <c r="AC1081" s="2">
        <f t="shared" si="55"/>
        <v>35.840000000000003</v>
      </c>
      <c r="AD1081" s="8">
        <v>2</v>
      </c>
      <c r="AE1081" s="10">
        <f>IF(Table1[[#This Row],[P/750]]&lt;20,1,IF(Table1[[#This Row],[P/750]]&lt;50,2,3))</f>
        <v>2</v>
      </c>
      <c r="AF1081" s="10">
        <f>IF(Table1[[#This Row],[P/750]]&lt;Expenses!$C$30,1,IF(Table1[[#This Row],[P/750]]&lt;Expenses!$C$31,2,IF(Table1[[#This Row],[P/750]]&lt;Expenses!$C$32,3,4)))</f>
        <v>3</v>
      </c>
      <c r="AH1081" s="25" t="s">
        <v>384</v>
      </c>
      <c r="AI1081" s="11">
        <f>Table1[[#This Row],[Price]]/Table1[[#This Row],[Size (ml)]]*750</f>
        <v>35.840000000000003</v>
      </c>
      <c r="AJ1081" s="37">
        <v>94</v>
      </c>
      <c r="AK1081" s="10">
        <f>COUNTIF(UniqueID!A:A,Table1[[#This Row],[ID]])</f>
        <v>0</v>
      </c>
      <c r="AL1081" s="10" t="str">
        <f>VLOOKUP(Table1[[#This Row],[Cellar Location]],Location!A:F,6,FALSE)</f>
        <v>S</v>
      </c>
      <c r="AN1081" s="1">
        <v>43947</v>
      </c>
      <c r="AO1081" s="10" t="str">
        <f>TEXT(Table1[[#This Row],[Purchased]],"mmmm")</f>
        <v>April</v>
      </c>
      <c r="AP1081" s="10" t="str">
        <f>TEXT(Table1[[#This Row],[Purchased]],"yyyy")</f>
        <v>2020</v>
      </c>
      <c r="AQ1081" s="10"/>
    </row>
    <row r="1082" spans="1:43" s="37" customFormat="1" x14ac:dyDescent="0.25">
      <c r="A1082" s="37" t="str">
        <f t="shared" si="54"/>
        <v>2010FontanafreddaBarolo la Rosa</v>
      </c>
      <c r="B1082" s="37">
        <v>2010</v>
      </c>
      <c r="C1082" s="9" t="s">
        <v>428</v>
      </c>
      <c r="D1082" s="37" t="s">
        <v>924</v>
      </c>
      <c r="E1082" s="67" t="s">
        <v>1206</v>
      </c>
      <c r="F1082" s="37" t="s">
        <v>728</v>
      </c>
      <c r="G1082" s="37" t="s">
        <v>778</v>
      </c>
      <c r="H1082" s="37" t="s">
        <v>268</v>
      </c>
      <c r="I1082" s="107">
        <v>1</v>
      </c>
      <c r="J1082" s="37">
        <v>750</v>
      </c>
      <c r="K1082" s="107" t="s">
        <v>1133</v>
      </c>
      <c r="L1082" s="10">
        <f>COUNTIF(Drank!A:A,Table1[[#This Row],[ID]])</f>
        <v>0</v>
      </c>
      <c r="M1082" s="37" t="s">
        <v>202</v>
      </c>
      <c r="N1082" s="37" t="s">
        <v>207</v>
      </c>
      <c r="O1082" s="37">
        <v>1</v>
      </c>
      <c r="P1082" s="10">
        <v>2017</v>
      </c>
      <c r="Q1082" s="37">
        <v>2032</v>
      </c>
      <c r="R1082" s="10" t="str">
        <f>IF(IFERROR(VLOOKUP(A1082,Drank!A:S,15,FALSE),"")=0,"",IFERROR(VLOOKUP(A1082,Drank!A:S,15,FALSE),""))</f>
        <v/>
      </c>
      <c r="S1082" s="10" t="str">
        <f>IF(IFERROR(VLOOKUP(A1082,Drank!A:S,16,FALSE),"")=0,"",IFERROR(VLOOKUP(A1082,Drank!A:S,16,FALSE),""))</f>
        <v/>
      </c>
      <c r="T1082" s="10"/>
      <c r="U1082" s="37">
        <v>94</v>
      </c>
      <c r="V1082" s="18" t="str">
        <f>IF(IFERROR(VLOOKUP(A1082,Drank!A:T,19,FALSE),"")=0,"",IFERROR(VLOOKUP(A1082,Drank!A:T,19,FALSE),""))</f>
        <v/>
      </c>
      <c r="W1082" s="1" t="str">
        <f>IF(IFERROR(VLOOKUP(A1082,Drank!A:T,20,FALSE),"")=0,"",IFERROR(VLOOKUP(A1082,Drank!A:T,20,FALSE),""))</f>
        <v/>
      </c>
      <c r="X1082" s="10">
        <f>SUMIF(A:A,A1082,I:I)</f>
        <v>3</v>
      </c>
      <c r="Y1082" s="10">
        <f>IF(Table1[[#This Row],[Drank]]&gt;0,VLOOKUP(Table1[[#This Row],[ID]],Drank!A:P,16,FALSE),IF(Table1[[#This Row],[WALDD]]&gt;0,VLOOKUP(Table1[[#This Row],[ID]],Wine1!A:Q,17,FALSE),Table1[[#This Row],[EP]]))</f>
        <v>2032</v>
      </c>
      <c r="Z1082" s="18">
        <f>IF(Table1[[#This Row],[My Rating]]="",IF(Table1[[#This Row],[WA Rating Clean]]="","",Table1[[#This Row],[WA Rating Clean]]),Table1[[#This Row],[My Rating]])</f>
        <v>94</v>
      </c>
      <c r="AA1082" s="37">
        <v>2032</v>
      </c>
      <c r="AB1082" s="4">
        <v>60</v>
      </c>
      <c r="AC1082" s="2">
        <f t="shared" si="55"/>
        <v>60</v>
      </c>
      <c r="AD1082" s="8">
        <v>2</v>
      </c>
      <c r="AE1082" s="10">
        <f>IF(Table1[[#This Row],[P/750]]&lt;20,1,IF(Table1[[#This Row],[P/750]]&lt;50,2,3))</f>
        <v>3</v>
      </c>
      <c r="AF1082" s="10">
        <f>IF(Table1[[#This Row],[P/750]]&lt;Expenses!$C$30,1,IF(Table1[[#This Row],[P/750]]&lt;Expenses!$C$31,2,IF(Table1[[#This Row],[P/750]]&lt;Expenses!$C$32,3,4)))</f>
        <v>3</v>
      </c>
      <c r="AH1082" s="37" t="s">
        <v>384</v>
      </c>
      <c r="AI1082" s="11">
        <f>Table1[[#This Row],[Price]]/Table1[[#This Row],[Size (ml)]]*750</f>
        <v>60</v>
      </c>
      <c r="AJ1082" s="37">
        <v>94</v>
      </c>
      <c r="AK1082" s="10">
        <f>COUNTIF(UniqueID!A:A,Table1[[#This Row],[ID]])</f>
        <v>1</v>
      </c>
      <c r="AL1082" s="37" t="str">
        <f>VLOOKUP(Table1[[#This Row],[Cellar Location]],Location!A:F,6,FALSE)</f>
        <v>S</v>
      </c>
      <c r="AN1082" s="1">
        <v>43826</v>
      </c>
      <c r="AO1082" s="37" t="str">
        <f>TEXT(Table1[[#This Row],[Purchased]],"mmmm")</f>
        <v>December</v>
      </c>
      <c r="AP1082" s="10" t="str">
        <f>TEXT(Table1[[#This Row],[Purchased]],"yyyy")</f>
        <v>2019</v>
      </c>
      <c r="AQ1082" s="10"/>
    </row>
    <row r="1083" spans="1:43" s="37" customFormat="1" x14ac:dyDescent="0.25">
      <c r="A1083" s="37" t="str">
        <f t="shared" si="54"/>
        <v>2013Giovanni ManzoneBarolo Gramolere</v>
      </c>
      <c r="B1083" s="37">
        <v>2013</v>
      </c>
      <c r="C1083" s="37" t="s">
        <v>294</v>
      </c>
      <c r="D1083" s="37" t="s">
        <v>305</v>
      </c>
      <c r="E1083" s="67" t="s">
        <v>1206</v>
      </c>
      <c r="F1083" s="37" t="s">
        <v>728</v>
      </c>
      <c r="G1083" s="37" t="s">
        <v>778</v>
      </c>
      <c r="H1083" s="37" t="s">
        <v>781</v>
      </c>
      <c r="I1083" s="37">
        <v>1</v>
      </c>
      <c r="J1083" s="107">
        <v>750</v>
      </c>
      <c r="K1083" s="8" t="s">
        <v>1832</v>
      </c>
      <c r="L1083" s="37">
        <f>COUNTIF(Drank!A:A,Table1[[#This Row],[ID]])</f>
        <v>1</v>
      </c>
      <c r="M1083" s="37" t="s">
        <v>202</v>
      </c>
      <c r="N1083" s="37" t="s">
        <v>207</v>
      </c>
      <c r="O1083" s="37">
        <v>1</v>
      </c>
      <c r="P1083" s="37">
        <v>2018</v>
      </c>
      <c r="Q1083" s="37">
        <v>2030</v>
      </c>
      <c r="R1083" s="10">
        <f>IF(IFERROR(VLOOKUP(A1083,Drank!A:S,15,FALSE),"")=0,"",IFERROR(VLOOKUP(A1083,Drank!A:S,15,FALSE),""))</f>
        <v>2024</v>
      </c>
      <c r="S1083" s="10">
        <f>IF(IFERROR(VLOOKUP(A1083,Drank!A:S,16,FALSE),"")=0,"",IFERROR(VLOOKUP(A1083,Drank!A:S,16,FALSE),""))</f>
        <v>2032</v>
      </c>
      <c r="T1083" s="10"/>
      <c r="U1083" s="37">
        <v>94</v>
      </c>
      <c r="V1083" s="18">
        <f>IF(IFERROR(VLOOKUP(A1083,Drank!A:T,19,FALSE),"")=0,"",IFERROR(VLOOKUP(A1083,Drank!A:T,19,FALSE),""))</f>
        <v>94</v>
      </c>
      <c r="W1083" s="1">
        <f>IF(IFERROR(VLOOKUP(A1083,Drank!A:T,20,FALSE),"")=0,"",IFERROR(VLOOKUP(A1083,Drank!A:T,20,FALSE),""))</f>
        <v>43597</v>
      </c>
      <c r="X1083" s="10">
        <f>SUMIF(A:A,A1083,I:I)</f>
        <v>3</v>
      </c>
      <c r="Y1083" s="37">
        <f>IF(Table1[[#This Row],[Drank]]&gt;0,VLOOKUP(Table1[[#This Row],[ID]],Drank!A:P,16,FALSE),IF(Table1[[#This Row],[WALDD]]&gt;0,VLOOKUP(Table1[[#This Row],[ID]],Wine1!A:Q,17,FALSE),Table1[[#This Row],[EP]]))</f>
        <v>2032</v>
      </c>
      <c r="Z1083" s="18">
        <f>IF(Table1[[#This Row],[My Rating]]="",IF(Table1[[#This Row],[WA Rating Clean]]="","",Table1[[#This Row],[WA Rating Clean]]),Table1[[#This Row],[My Rating]])</f>
        <v>94</v>
      </c>
      <c r="AA1083" s="8">
        <v>2032</v>
      </c>
      <c r="AB1083" s="4">
        <v>45</v>
      </c>
      <c r="AC1083" s="2">
        <f t="shared" si="55"/>
        <v>45</v>
      </c>
      <c r="AD1083" s="8">
        <v>0</v>
      </c>
      <c r="AE1083" s="37">
        <f>IF(Table1[[#This Row],[P/750]]&lt;20,1,IF(Table1[[#This Row],[P/750]]&lt;50,2,3))</f>
        <v>2</v>
      </c>
      <c r="AF1083" s="37">
        <f>IF(Table1[[#This Row],[P/750]]&lt;Expenses!$C$30,1,IF(Table1[[#This Row],[P/750]]&lt;Expenses!$C$31,2,IF(Table1[[#This Row],[P/750]]&lt;Expenses!$C$32,3,4)))</f>
        <v>3</v>
      </c>
      <c r="AH1083" s="37" t="s">
        <v>385</v>
      </c>
      <c r="AI1083" s="11">
        <f>Table1[[#This Row],[Price]]/Table1[[#This Row],[Size (ml)]]*750</f>
        <v>45</v>
      </c>
      <c r="AJ1083" s="37">
        <v>94</v>
      </c>
      <c r="AK1083" s="37">
        <f>COUNTIF(UniqueID!A:A,Table1[[#This Row],[ID]])</f>
        <v>1</v>
      </c>
      <c r="AL1083" s="37" t="str">
        <f>VLOOKUP(Table1[[#This Row],[Cellar Location]],Location!A:F,6,FALSE)</f>
        <v>S</v>
      </c>
      <c r="AO1083" s="37" t="str">
        <f>TEXT(Table1[[#This Row],[Purchased]],"mmmm")</f>
        <v>January</v>
      </c>
      <c r="AP1083" s="10" t="str">
        <f>TEXT(Table1[[#This Row],[Purchased]],"yyyy")</f>
        <v>1900</v>
      </c>
      <c r="AQ1083" s="10"/>
    </row>
    <row r="1084" spans="1:43" s="37" customFormat="1" x14ac:dyDescent="0.25">
      <c r="A1084" s="37" t="str">
        <f t="shared" si="54"/>
        <v>2013Giovanni ManzoneBarolo Bricat</v>
      </c>
      <c r="B1084" s="37">
        <v>2013</v>
      </c>
      <c r="C1084" s="37" t="s">
        <v>294</v>
      </c>
      <c r="D1084" s="37" t="s">
        <v>295</v>
      </c>
      <c r="E1084" s="67" t="s">
        <v>1206</v>
      </c>
      <c r="F1084" s="37" t="s">
        <v>728</v>
      </c>
      <c r="G1084" s="37" t="s">
        <v>778</v>
      </c>
      <c r="H1084" s="9" t="s">
        <v>268</v>
      </c>
      <c r="I1084" s="37">
        <v>1</v>
      </c>
      <c r="J1084" s="107">
        <v>750</v>
      </c>
      <c r="K1084" s="8" t="s">
        <v>1832</v>
      </c>
      <c r="L1084" s="37">
        <f>COUNTIF(Drank!A:A,Table1[[#This Row],[ID]])</f>
        <v>1</v>
      </c>
      <c r="M1084" s="37" t="s">
        <v>202</v>
      </c>
      <c r="N1084" s="37" t="s">
        <v>207</v>
      </c>
      <c r="O1084" s="37">
        <v>1</v>
      </c>
      <c r="P1084" s="37">
        <v>2018</v>
      </c>
      <c r="Q1084" s="37">
        <v>2032</v>
      </c>
      <c r="R1084" s="10">
        <f>IF(IFERROR(VLOOKUP(A1084,Drank!A:S,15,FALSE),"")=0,"",IFERROR(VLOOKUP(A1084,Drank!A:S,15,FALSE),""))</f>
        <v>2024</v>
      </c>
      <c r="S1084" s="10">
        <f>IF(IFERROR(VLOOKUP(A1084,Drank!A:S,16,FALSE),"")=0,"",IFERROR(VLOOKUP(A1084,Drank!A:S,16,FALSE),""))</f>
        <v>2032</v>
      </c>
      <c r="T1084" s="10"/>
      <c r="U1084" s="37" t="s">
        <v>17</v>
      </c>
      <c r="V1084" s="18">
        <f>IF(IFERROR(VLOOKUP(A1084,Drank!A:T,19,FALSE),"")=0,"",IFERROR(VLOOKUP(A1084,Drank!A:T,19,FALSE),""))</f>
        <v>91</v>
      </c>
      <c r="W1084" s="1">
        <f>IF(IFERROR(VLOOKUP(A1084,Drank!A:T,20,FALSE),"")=0,"",IFERROR(VLOOKUP(A1084,Drank!A:T,20,FALSE),""))</f>
        <v>43583</v>
      </c>
      <c r="X1084" s="10">
        <f>SUMIF(A:A,A1084,I:I)</f>
        <v>3</v>
      </c>
      <c r="Y1084" s="37">
        <f>IF(Table1[[#This Row],[Drank]]&gt;0,VLOOKUP(Table1[[#This Row],[ID]],Drank!A:P,16,FALSE),IF(Table1[[#This Row],[WALDD]]&gt;0,VLOOKUP(Table1[[#This Row],[ID]],Wine1!A:Q,17,FALSE),Table1[[#This Row],[EP]]))</f>
        <v>2032</v>
      </c>
      <c r="Z1084" s="18">
        <f>IF(Table1[[#This Row],[My Rating]]="",IF(Table1[[#This Row],[WA Rating Clean]]="","",Table1[[#This Row],[WA Rating Clean]]),Table1[[#This Row],[My Rating]])</f>
        <v>91</v>
      </c>
      <c r="AA1084" s="8">
        <v>2032</v>
      </c>
      <c r="AB1084" s="4">
        <v>45</v>
      </c>
      <c r="AC1084" s="2">
        <f t="shared" si="55"/>
        <v>45</v>
      </c>
      <c r="AD1084" s="8">
        <v>0</v>
      </c>
      <c r="AE1084" s="37">
        <f>IF(Table1[[#This Row],[P/750]]&lt;20,1,IF(Table1[[#This Row],[P/750]]&lt;50,2,3))</f>
        <v>2</v>
      </c>
      <c r="AF1084" s="37">
        <f>IF(Table1[[#This Row],[P/750]]&lt;Expenses!$C$30,1,IF(Table1[[#This Row],[P/750]]&lt;Expenses!$C$31,2,IF(Table1[[#This Row],[P/750]]&lt;Expenses!$C$32,3,4)))</f>
        <v>3</v>
      </c>
      <c r="AH1084" s="37" t="s">
        <v>385</v>
      </c>
      <c r="AI1084" s="11">
        <f>Table1[[#This Row],[Price]]/Table1[[#This Row],[Size (ml)]]*750</f>
        <v>45</v>
      </c>
      <c r="AJ1084" s="37">
        <v>94</v>
      </c>
      <c r="AK1084" s="37">
        <f>COUNTIF(UniqueID!A:A,Table1[[#This Row],[ID]])</f>
        <v>1</v>
      </c>
      <c r="AL1084" s="37" t="str">
        <f>VLOOKUP(Table1[[#This Row],[Cellar Location]],Location!A:F,6,FALSE)</f>
        <v>S</v>
      </c>
      <c r="AO1084" s="37" t="str">
        <f>TEXT(Table1[[#This Row],[Purchased]],"mmmm")</f>
        <v>January</v>
      </c>
      <c r="AP1084" s="10" t="str">
        <f>TEXT(Table1[[#This Row],[Purchased]],"yyyy")</f>
        <v>1900</v>
      </c>
      <c r="AQ1084" s="10"/>
    </row>
    <row r="1085" spans="1:43" s="37" customFormat="1" x14ac:dyDescent="0.25">
      <c r="A1085" s="37" t="str">
        <f t="shared" si="54"/>
        <v>2013MasiAmarone della Valpolicella Classico Costasera</v>
      </c>
      <c r="B1085" s="8">
        <v>2013</v>
      </c>
      <c r="C1085" s="37" t="s">
        <v>37</v>
      </c>
      <c r="D1085" s="37" t="s">
        <v>53</v>
      </c>
      <c r="E1085" s="64" t="s">
        <v>313</v>
      </c>
      <c r="F1085" s="37" t="s">
        <v>728</v>
      </c>
      <c r="G1085" s="37" t="s">
        <v>799</v>
      </c>
      <c r="H1085" s="37" t="s">
        <v>800</v>
      </c>
      <c r="I1085" s="37">
        <v>1</v>
      </c>
      <c r="J1085" s="107">
        <v>750</v>
      </c>
      <c r="K1085" s="8" t="s">
        <v>1832</v>
      </c>
      <c r="L1085" s="37">
        <f>COUNTIF(Drank!A:A,Table1[[#This Row],[ID]])</f>
        <v>1</v>
      </c>
      <c r="M1085" s="37" t="s">
        <v>202</v>
      </c>
      <c r="N1085" s="37" t="s">
        <v>207</v>
      </c>
      <c r="O1085" s="37">
        <v>1</v>
      </c>
      <c r="P1085" s="37">
        <v>2019</v>
      </c>
      <c r="Q1085" s="37">
        <v>2030</v>
      </c>
      <c r="R1085" s="10">
        <f>IF(IFERROR(VLOOKUP(A1085,Drank!A:S,15,FALSE),"")=0,"",IFERROR(VLOOKUP(A1085,Drank!A:S,15,FALSE),""))</f>
        <v>2028</v>
      </c>
      <c r="S1085" s="10">
        <f>IF(IFERROR(VLOOKUP(A1085,Drank!A:S,16,FALSE),"")=0,"",IFERROR(VLOOKUP(A1085,Drank!A:S,16,FALSE),""))</f>
        <v>2032</v>
      </c>
      <c r="T1085" s="10">
        <v>2028</v>
      </c>
      <c r="U1085" s="37">
        <v>92</v>
      </c>
      <c r="V1085" s="18">
        <f>IF(IFERROR(VLOOKUP(A1085,Drank!A:T,19,FALSE),"")=0,"",IFERROR(VLOOKUP(A1085,Drank!A:T,19,FALSE),""))</f>
        <v>92</v>
      </c>
      <c r="W1085" s="1">
        <f>IF(IFERROR(VLOOKUP(A1085,Drank!A:T,20,FALSE),"")=0,"",IFERROR(VLOOKUP(A1085,Drank!A:T,20,FALSE),""))</f>
        <v>43824</v>
      </c>
      <c r="X1085" s="10">
        <f>SUMIF(A:A,A1085,I:I)</f>
        <v>2</v>
      </c>
      <c r="Y1085" s="37">
        <f>IF(Table1[[#This Row],[Drank]]&gt;0,VLOOKUP(Table1[[#This Row],[ID]],Drank!A:P,16,FALSE),IF(Table1[[#This Row],[WALDD]]&gt;0,VLOOKUP(Table1[[#This Row],[ID]],Wine1!A:Q,17,FALSE),Table1[[#This Row],[EP]]))</f>
        <v>2032</v>
      </c>
      <c r="Z1085" s="18">
        <f>IF(Table1[[#This Row],[My Rating]]="",IF(Table1[[#This Row],[WA Rating Clean]]="","",Table1[[#This Row],[WA Rating Clean]]),Table1[[#This Row],[My Rating]])</f>
        <v>92</v>
      </c>
      <c r="AA1085" s="37">
        <v>2032</v>
      </c>
      <c r="AB1085" s="4">
        <v>53.99</v>
      </c>
      <c r="AC1085" s="2">
        <f t="shared" si="55"/>
        <v>53.99</v>
      </c>
      <c r="AD1085" s="8">
        <v>0</v>
      </c>
      <c r="AE1085" s="37">
        <f>IF(Table1[[#This Row],[P/750]]&lt;20,1,IF(Table1[[#This Row],[P/750]]&lt;50,2,3))</f>
        <v>3</v>
      </c>
      <c r="AF1085" s="37">
        <f>IF(Table1[[#This Row],[P/750]]&lt;Expenses!$C$30,1,IF(Table1[[#This Row],[P/750]]&lt;Expenses!$C$31,2,IF(Table1[[#This Row],[P/750]]&lt;Expenses!$C$32,3,4)))</f>
        <v>3</v>
      </c>
      <c r="AG1085" s="37">
        <v>2</v>
      </c>
      <c r="AH1085" s="37" t="s">
        <v>1128</v>
      </c>
      <c r="AI1085" s="11">
        <f>Table1[[#This Row],[Price]]/Table1[[#This Row],[Size (ml)]]*750</f>
        <v>53.99</v>
      </c>
      <c r="AK1085" s="37">
        <f>COUNTIF(UniqueID!A:A,Table1[[#This Row],[ID]])</f>
        <v>1</v>
      </c>
      <c r="AL1085" s="37" t="str">
        <f>VLOOKUP(Table1[[#This Row],[Cellar Location]],Location!A:F,6,FALSE)</f>
        <v>S</v>
      </c>
      <c r="AO1085" s="37" t="str">
        <f>TEXT(Table1[[#This Row],[Purchased]],"mmmm")</f>
        <v>January</v>
      </c>
      <c r="AP1085" s="10" t="str">
        <f>TEXT(Table1[[#This Row],[Purchased]],"yyyy")</f>
        <v>1900</v>
      </c>
      <c r="AQ1085" s="10"/>
    </row>
    <row r="1086" spans="1:43" s="37" customFormat="1" x14ac:dyDescent="0.25">
      <c r="A1086" s="37" t="str">
        <f t="shared" si="54"/>
        <v>2015Produttori del BarbarescoBarbaresco</v>
      </c>
      <c r="B1086" s="37">
        <v>2015</v>
      </c>
      <c r="C1086" s="37" t="s">
        <v>248</v>
      </c>
      <c r="D1086" s="37" t="s">
        <v>249</v>
      </c>
      <c r="E1086" s="67" t="s">
        <v>1206</v>
      </c>
      <c r="F1086" s="37" t="s">
        <v>728</v>
      </c>
      <c r="G1086" s="37" t="s">
        <v>778</v>
      </c>
      <c r="H1086" s="37" t="s">
        <v>249</v>
      </c>
      <c r="I1086" s="107">
        <v>1</v>
      </c>
      <c r="J1086" s="37">
        <v>750</v>
      </c>
      <c r="K1086" s="107" t="s">
        <v>648</v>
      </c>
      <c r="L1086" s="37">
        <f>COUNTIF(Drank!A:A,Table1[[#This Row],[ID]])</f>
        <v>2</v>
      </c>
      <c r="M1086" s="37" t="s">
        <v>202</v>
      </c>
      <c r="N1086" s="37" t="s">
        <v>207</v>
      </c>
      <c r="O1086" s="37">
        <v>1</v>
      </c>
      <c r="P1086" s="37">
        <v>2020</v>
      </c>
      <c r="Q1086" s="37">
        <v>2038</v>
      </c>
      <c r="R1086" s="10">
        <f>IF(IFERROR(VLOOKUP(A1086,Drank!A:S,15,FALSE),"")=0,"",IFERROR(VLOOKUP(A1086,Drank!A:S,15,FALSE),""))</f>
        <v>2024</v>
      </c>
      <c r="S1086" s="10">
        <f>IF(IFERROR(VLOOKUP(A1086,Drank!A:S,16,FALSE),"")=0,"",IFERROR(VLOOKUP(A1086,Drank!A:S,16,FALSE),""))</f>
        <v>2032</v>
      </c>
      <c r="T1086" s="10"/>
      <c r="U1086" s="37">
        <v>93</v>
      </c>
      <c r="V1086" s="18">
        <f>IF(IFERROR(VLOOKUP(A1086,Drank!A:T,19,FALSE),"")=0,"",IFERROR(VLOOKUP(A1086,Drank!A:T,19,FALSE),""))</f>
        <v>93.5</v>
      </c>
      <c r="W1086" s="1">
        <f>IF(IFERROR(VLOOKUP(A1086,Drank!A:T,20,FALSE),"")=0,"",IFERROR(VLOOKUP(A1086,Drank!A:T,20,FALSE),""))</f>
        <v>43757</v>
      </c>
      <c r="X1086" s="10">
        <f>SUMIF(A:A,A1086,I:I)</f>
        <v>5</v>
      </c>
      <c r="Y1086" s="37">
        <f>IF(Table1[[#This Row],[Drank]]&gt;0,VLOOKUP(Table1[[#This Row],[ID]],Drank!A:P,16,FALSE),IF(Table1[[#This Row],[WALDD]]&gt;0,VLOOKUP(Table1[[#This Row],[ID]],Wine1!A:Q,17,FALSE),Table1[[#This Row],[EP]]))</f>
        <v>2032</v>
      </c>
      <c r="Z1086" s="18">
        <f>IF(Table1[[#This Row],[My Rating]]="",IF(Table1[[#This Row],[WA Rating Clean]]="","",Table1[[#This Row],[WA Rating Clean]]),Table1[[#This Row],[My Rating]])</f>
        <v>93.5</v>
      </c>
      <c r="AA1086" s="6">
        <v>2032</v>
      </c>
      <c r="AB1086" s="4">
        <v>40.49</v>
      </c>
      <c r="AC1086" s="2">
        <f t="shared" si="55"/>
        <v>40.49</v>
      </c>
      <c r="AD1086" s="8">
        <v>2</v>
      </c>
      <c r="AE1086" s="37">
        <f>IF(Table1[[#This Row],[P/750]]&lt;20,1,IF(Table1[[#This Row],[P/750]]&lt;50,2,3))</f>
        <v>2</v>
      </c>
      <c r="AF1086" s="37">
        <f>IF(Table1[[#This Row],[P/750]]&lt;Expenses!$C$30,1,IF(Table1[[#This Row],[P/750]]&lt;Expenses!$C$31,2,IF(Table1[[#This Row],[P/750]]&lt;Expenses!$C$32,3,4)))</f>
        <v>3</v>
      </c>
      <c r="AH1086" s="37" t="s">
        <v>1128</v>
      </c>
      <c r="AI1086" s="11">
        <f>Table1[[#This Row],[Price]]/Table1[[#This Row],[Size (ml)]]*750</f>
        <v>40.49</v>
      </c>
      <c r="AJ1086" s="37">
        <v>93</v>
      </c>
      <c r="AK1086" s="37">
        <f>COUNTIF(UniqueID!A:A,Table1[[#This Row],[ID]])</f>
        <v>1</v>
      </c>
      <c r="AL1086" s="37" t="str">
        <f>VLOOKUP(Table1[[#This Row],[Cellar Location]],Location!A:F,6,FALSE)</f>
        <v>S</v>
      </c>
      <c r="AO1086" s="37" t="str">
        <f>TEXT(Table1[[#This Row],[Purchased]],"mmmm")</f>
        <v>January</v>
      </c>
      <c r="AP1086" s="10" t="str">
        <f>TEXT(Table1[[#This Row],[Purchased]],"yyyy")</f>
        <v>1900</v>
      </c>
      <c r="AQ1086" s="10"/>
    </row>
    <row r="1087" spans="1:43" s="37" customFormat="1" x14ac:dyDescent="0.25">
      <c r="A1087" s="37" t="str">
        <f t="shared" si="54"/>
        <v>2015CortonesiBrunello di Montalcino La Mannella</v>
      </c>
      <c r="B1087" s="37">
        <v>2015</v>
      </c>
      <c r="C1087" s="37" t="s">
        <v>72</v>
      </c>
      <c r="D1087" s="25" t="s">
        <v>73</v>
      </c>
      <c r="E1087" s="67" t="s">
        <v>1250</v>
      </c>
      <c r="F1087" s="37" t="s">
        <v>728</v>
      </c>
      <c r="G1087" s="37" t="s">
        <v>790</v>
      </c>
      <c r="H1087" s="37" t="s">
        <v>19</v>
      </c>
      <c r="I1087" s="107">
        <v>1</v>
      </c>
      <c r="J1087" s="37">
        <v>750</v>
      </c>
      <c r="K1087" s="107" t="s">
        <v>1195</v>
      </c>
      <c r="L1087" s="10">
        <f>COUNTIF(Drank!A:A,Table1[[#This Row],[ID]])</f>
        <v>1</v>
      </c>
      <c r="M1087" s="37" t="s">
        <v>202</v>
      </c>
      <c r="N1087" s="37" t="s">
        <v>207</v>
      </c>
      <c r="O1087" s="37">
        <v>1</v>
      </c>
      <c r="P1087" s="37">
        <v>2021</v>
      </c>
      <c r="Q1087" s="37">
        <v>2035</v>
      </c>
      <c r="R1087" s="10">
        <f>IF(IFERROR(VLOOKUP(A1087,Drank!A:S,15,FALSE),"")=0,"",IFERROR(VLOOKUP(A1087,Drank!A:S,15,FALSE),""))</f>
        <v>2026</v>
      </c>
      <c r="S1087" s="10">
        <f>IF(IFERROR(VLOOKUP(A1087,Drank!A:S,16,FALSE),"")=0,"",IFERROR(VLOOKUP(A1087,Drank!A:S,16,FALSE),""))</f>
        <v>2033</v>
      </c>
      <c r="T1087" s="10"/>
      <c r="U1087" s="37">
        <v>94</v>
      </c>
      <c r="V1087" s="18">
        <f>IF(IFERROR(VLOOKUP(A1087,Drank!A:T,19,FALSE),"")=0,"",IFERROR(VLOOKUP(A1087,Drank!A:T,19,FALSE),""))</f>
        <v>94</v>
      </c>
      <c r="W1087" s="1">
        <f>IF(IFERROR(VLOOKUP(A1087,Drank!A:T,20,FALSE),"")=0,"",IFERROR(VLOOKUP(A1087,Drank!A:T,20,FALSE),""))</f>
        <v>43995</v>
      </c>
      <c r="X1087" s="10">
        <f>SUMIF(A:A,A1087,I:I)</f>
        <v>23</v>
      </c>
      <c r="Y1087" s="10">
        <f>IF(Table1[[#This Row],[Drank]]&gt;0,VLOOKUP(Table1[[#This Row],[ID]],Drank!A:P,16,FALSE),IF(Table1[[#This Row],[WALDD]]&gt;0,VLOOKUP(Table1[[#This Row],[ID]],Wine1!A:Q,17,FALSE),Table1[[#This Row],[EP]]))</f>
        <v>2033</v>
      </c>
      <c r="Z1087" s="18">
        <f>IF(Table1[[#This Row],[My Rating]]="",IF(Table1[[#This Row],[WA Rating Clean]]="","",Table1[[#This Row],[WA Rating Clean]]),Table1[[#This Row],[My Rating]])</f>
        <v>94</v>
      </c>
      <c r="AA1087" s="37">
        <v>2032</v>
      </c>
      <c r="AB1087" s="4">
        <v>36.92</v>
      </c>
      <c r="AC1087" s="2">
        <f t="shared" si="55"/>
        <v>36.92</v>
      </c>
      <c r="AD1087" s="8">
        <v>2</v>
      </c>
      <c r="AE1087" s="10">
        <f>IF(Table1[[#This Row],[P/750]]&lt;20,1,IF(Table1[[#This Row],[P/750]]&lt;50,2,3))</f>
        <v>2</v>
      </c>
      <c r="AF1087" s="10">
        <f>IF(Table1[[#This Row],[P/750]]&lt;Expenses!$C$30,1,IF(Table1[[#This Row],[P/750]]&lt;Expenses!$C$31,2,IF(Table1[[#This Row],[P/750]]&lt;Expenses!$C$32,3,4)))</f>
        <v>3</v>
      </c>
      <c r="AH1087" s="37" t="s">
        <v>384</v>
      </c>
      <c r="AI1087" s="11">
        <f>Table1[[#This Row],[Price]]/Table1[[#This Row],[Size (ml)]]*750</f>
        <v>36.92</v>
      </c>
      <c r="AJ1087" s="37">
        <v>94</v>
      </c>
      <c r="AK1087" s="10">
        <f>COUNTIF(UniqueID!A:A,Table1[[#This Row],[ID]])</f>
        <v>0</v>
      </c>
      <c r="AL1087" s="10" t="str">
        <f>VLOOKUP(Table1[[#This Row],[Cellar Location]],Location!A:F,6,FALSE)</f>
        <v>S</v>
      </c>
      <c r="AN1087" s="1">
        <v>43984</v>
      </c>
      <c r="AO1087" s="10" t="str">
        <f>TEXT(Table1[[#This Row],[Purchased]],"mmmm")</f>
        <v>June</v>
      </c>
      <c r="AP1087" s="10" t="str">
        <f>TEXT(Table1[[#This Row],[Purchased]],"yyyy")</f>
        <v>2020</v>
      </c>
      <c r="AQ1087" s="10"/>
    </row>
    <row r="1088" spans="1:43" s="37" customFormat="1" x14ac:dyDescent="0.25">
      <c r="A1088" s="37" t="str">
        <f t="shared" si="54"/>
        <v>2017Becklyn CellarsCabernet Sauvignon</v>
      </c>
      <c r="B1088" s="37">
        <v>2017</v>
      </c>
      <c r="C1088" s="37" t="s">
        <v>581</v>
      </c>
      <c r="D1088" s="37" t="s">
        <v>32</v>
      </c>
      <c r="E1088" s="64" t="s">
        <v>32</v>
      </c>
      <c r="F1088" s="37" t="s">
        <v>727</v>
      </c>
      <c r="G1088" s="37" t="s">
        <v>806</v>
      </c>
      <c r="I1088" s="107">
        <v>1</v>
      </c>
      <c r="J1088" s="37">
        <v>750</v>
      </c>
      <c r="K1088" s="107" t="s">
        <v>642</v>
      </c>
      <c r="L1088" s="10">
        <f>COUNTIF(Drank!A:A,Table1[[#This Row],[ID]])</f>
        <v>0</v>
      </c>
      <c r="M1088" s="37" t="s">
        <v>202</v>
      </c>
      <c r="N1088" s="37" t="s">
        <v>207</v>
      </c>
      <c r="O1088" s="37">
        <v>0</v>
      </c>
      <c r="P1088" s="10"/>
      <c r="R1088" s="10" t="str">
        <f>IF(IFERROR(VLOOKUP(A1088,Drank!A:S,15,FALSE),"")=0,"",IFERROR(VLOOKUP(A1088,Drank!A:S,15,FALSE),""))</f>
        <v/>
      </c>
      <c r="S1088" s="10" t="str">
        <f>IF(IFERROR(VLOOKUP(A1088,Drank!A:S,16,FALSE),"")=0,"",IFERROR(VLOOKUP(A1088,Drank!A:S,16,FALSE),""))</f>
        <v/>
      </c>
      <c r="T1088" s="10">
        <v>2033</v>
      </c>
      <c r="V1088" s="18" t="str">
        <f>IF(IFERROR(VLOOKUP(A1088,Drank!A:T,19,FALSE),"")=0,"",IFERROR(VLOOKUP(A1088,Drank!A:T,19,FALSE),""))</f>
        <v/>
      </c>
      <c r="W1088" s="1" t="str">
        <f>IF(IFERROR(VLOOKUP(A1088,Drank!A:T,20,FALSE),"")=0,"",IFERROR(VLOOKUP(A1088,Drank!A:T,20,FALSE),""))</f>
        <v/>
      </c>
      <c r="X1088" s="10">
        <f>SUMIF(A:A,A1088,I:I)</f>
        <v>2</v>
      </c>
      <c r="Y1088" s="10">
        <f>IF(Table1[[#This Row],[Drank]]&gt;0,VLOOKUP(Table1[[#This Row],[ID]],Drank!A:P,16,FALSE),IF(Table1[[#This Row],[WALDD]]&gt;0,VLOOKUP(Table1[[#This Row],[ID]],Wine1!A:Q,17,FALSE),Table1[[#This Row],[EP]]))</f>
        <v>2033</v>
      </c>
      <c r="Z1088" s="18" t="str">
        <f>IF(Table1[[#This Row],[My Rating]]="",IF(Table1[[#This Row],[WA Rating Clean]]="","",Table1[[#This Row],[WA Rating Clean]]),Table1[[#This Row],[My Rating]])</f>
        <v/>
      </c>
      <c r="AA1088" s="6">
        <v>2032</v>
      </c>
      <c r="AB1088" s="4">
        <v>65</v>
      </c>
      <c r="AC1088" s="2">
        <f t="shared" si="55"/>
        <v>65</v>
      </c>
      <c r="AD1088" s="8">
        <v>2</v>
      </c>
      <c r="AE1088" s="10">
        <f>IF(Table1[[#This Row],[P/750]]&lt;20,1,IF(Table1[[#This Row],[P/750]]&lt;50,2,3))</f>
        <v>3</v>
      </c>
      <c r="AF1088" s="10">
        <f>IF(Table1[[#This Row],[P/750]]&lt;Expenses!$C$30,1,IF(Table1[[#This Row],[P/750]]&lt;Expenses!$C$31,2,IF(Table1[[#This Row],[P/750]]&lt;Expenses!$C$32,3,4)))</f>
        <v>4</v>
      </c>
      <c r="AH1088" s="37" t="s">
        <v>581</v>
      </c>
      <c r="AI1088" s="11">
        <f>Table1[[#This Row],[Price]]/Table1[[#This Row],[Size (ml)]]*750</f>
        <v>65</v>
      </c>
      <c r="AK1088" s="37">
        <f>COUNTIF(UniqueID!A:A,Table1[[#This Row],[ID]])</f>
        <v>1</v>
      </c>
      <c r="AL1088" s="37" t="str">
        <f>VLOOKUP(Table1[[#This Row],[Cellar Location]],Location!A:F,6,FALSE)</f>
        <v>S</v>
      </c>
      <c r="AO1088" s="37" t="str">
        <f>TEXT(Table1[[#This Row],[Purchased]],"mmmm")</f>
        <v>January</v>
      </c>
      <c r="AP1088" s="10" t="str">
        <f>TEXT(Table1[[#This Row],[Purchased]],"yyyy")</f>
        <v>1900</v>
      </c>
      <c r="AQ1088" s="10"/>
    </row>
    <row r="1089" spans="1:43" s="37" customFormat="1" x14ac:dyDescent="0.25">
      <c r="A1089" s="37" t="str">
        <f t="shared" si="54"/>
        <v>2013FontanafreddaBarolo Serralunga</v>
      </c>
      <c r="B1089" s="37">
        <v>2013</v>
      </c>
      <c r="C1089" s="37" t="s">
        <v>428</v>
      </c>
      <c r="D1089" s="37" t="s">
        <v>429</v>
      </c>
      <c r="E1089" s="67" t="s">
        <v>1206</v>
      </c>
      <c r="F1089" s="37" t="s">
        <v>728</v>
      </c>
      <c r="G1089" s="37" t="s">
        <v>778</v>
      </c>
      <c r="H1089" s="37" t="s">
        <v>783</v>
      </c>
      <c r="I1089" s="107">
        <v>1</v>
      </c>
      <c r="J1089" s="37">
        <v>1000</v>
      </c>
      <c r="K1089" s="107" t="s">
        <v>625</v>
      </c>
      <c r="L1089" s="37">
        <f>COUNTIF(Drank!A:A,Table1[[#This Row],[ID]])</f>
        <v>2</v>
      </c>
      <c r="M1089" s="37" t="s">
        <v>202</v>
      </c>
      <c r="N1089" s="37" t="s">
        <v>207</v>
      </c>
      <c r="O1089" s="37">
        <v>1</v>
      </c>
      <c r="P1089" s="37">
        <v>2018</v>
      </c>
      <c r="Q1089" s="37">
        <v>2030</v>
      </c>
      <c r="R1089" s="10">
        <f>IF(IFERROR(VLOOKUP(A1089,Drank!A:S,15,FALSE),"")=0,"",IFERROR(VLOOKUP(A1089,Drank!A:S,15,FALSE),""))</f>
        <v>2025</v>
      </c>
      <c r="S1089" s="10">
        <f>IF(IFERROR(VLOOKUP(A1089,Drank!A:S,16,FALSE),"")=0,"",IFERROR(VLOOKUP(A1089,Drank!A:S,16,FALSE),""))</f>
        <v>2033</v>
      </c>
      <c r="T1089" s="10"/>
      <c r="U1089" s="37">
        <v>92</v>
      </c>
      <c r="V1089" s="18">
        <f>IF(IFERROR(VLOOKUP(A1089,Drank!A:T,19,FALSE),"")=0,"",IFERROR(VLOOKUP(A1089,Drank!A:T,19,FALSE),""))</f>
        <v>91.5</v>
      </c>
      <c r="W1089" s="1">
        <f>IF(IFERROR(VLOOKUP(A1089,Drank!A:T,20,FALSE),"")=0,"",IFERROR(VLOOKUP(A1089,Drank!A:T,20,FALSE),""))</f>
        <v>44057</v>
      </c>
      <c r="X1089" s="10">
        <f>SUMIF(A:A,A1089,I:I)</f>
        <v>7</v>
      </c>
      <c r="Y1089" s="37">
        <f>IF(Table1[[#This Row],[Drank]]&gt;0,VLOOKUP(Table1[[#This Row],[ID]],Drank!A:P,16,FALSE),IF(Table1[[#This Row],[WALDD]]&gt;0,VLOOKUP(Table1[[#This Row],[ID]],Wine1!A:Q,17,FALSE),Table1[[#This Row],[EP]]))</f>
        <v>2033</v>
      </c>
      <c r="Z1089" s="18">
        <f>IF(Table1[[#This Row],[My Rating]]="",IF(Table1[[#This Row],[WA Rating Clean]]="","",Table1[[#This Row],[WA Rating Clean]]),Table1[[#This Row],[My Rating]])</f>
        <v>91.5</v>
      </c>
      <c r="AA1089" s="8">
        <v>2032</v>
      </c>
      <c r="AB1089" s="4">
        <v>32.99</v>
      </c>
      <c r="AC1089" s="2">
        <f t="shared" si="55"/>
        <v>32.99</v>
      </c>
      <c r="AD1089" s="8">
        <v>2</v>
      </c>
      <c r="AE1089" s="37">
        <f>IF(Table1[[#This Row],[P/750]]&lt;20,1,IF(Table1[[#This Row],[P/750]]&lt;50,2,3))</f>
        <v>2</v>
      </c>
      <c r="AF1089" s="37">
        <f>IF(Table1[[#This Row],[P/750]]&lt;Expenses!$C$30,1,IF(Table1[[#This Row],[P/750]]&lt;Expenses!$C$31,2,IF(Table1[[#This Row],[P/750]]&lt;Expenses!$C$32,3,4)))</f>
        <v>2</v>
      </c>
      <c r="AH1089" s="37" t="s">
        <v>384</v>
      </c>
      <c r="AI1089" s="11">
        <f>Table1[[#This Row],[Price]]/Table1[[#This Row],[Size (ml)]]*750</f>
        <v>24.742500000000003</v>
      </c>
      <c r="AJ1089" s="37">
        <v>92</v>
      </c>
      <c r="AK1089" s="37">
        <f>COUNTIF(UniqueID!A:A,Table1[[#This Row],[ID]])</f>
        <v>1</v>
      </c>
      <c r="AL1089" s="37" t="str">
        <f>VLOOKUP(Table1[[#This Row],[Cellar Location]],Location!A:F,6,FALSE)</f>
        <v>S</v>
      </c>
      <c r="AN1089" s="1">
        <v>43806</v>
      </c>
      <c r="AO1089" s="37" t="str">
        <f>TEXT(Table1[[#This Row],[Purchased]],"mmmm")</f>
        <v>December</v>
      </c>
      <c r="AP1089" s="10" t="str">
        <f>TEXT(Table1[[#This Row],[Purchased]],"yyyy")</f>
        <v>2019</v>
      </c>
      <c r="AQ1089" s="10"/>
    </row>
    <row r="1090" spans="1:43" s="37" customFormat="1" x14ac:dyDescent="0.25">
      <c r="A1090" s="37" t="str">
        <f t="shared" si="54"/>
        <v>2016Produttori del BarbarescoBarbaresco</v>
      </c>
      <c r="B1090" s="37">
        <v>2016</v>
      </c>
      <c r="C1090" s="37" t="s">
        <v>248</v>
      </c>
      <c r="D1090" s="37" t="s">
        <v>249</v>
      </c>
      <c r="E1090" s="67" t="s">
        <v>1206</v>
      </c>
      <c r="F1090" s="37" t="s">
        <v>728</v>
      </c>
      <c r="G1090" s="37" t="s">
        <v>778</v>
      </c>
      <c r="H1090" s="37" t="s">
        <v>249</v>
      </c>
      <c r="I1090" s="37">
        <v>1</v>
      </c>
      <c r="J1090" s="107">
        <v>750</v>
      </c>
      <c r="K1090" s="8" t="s">
        <v>1850</v>
      </c>
      <c r="L1090" s="10">
        <f>COUNTIF(Drank!A:A,Table1[[#This Row],[ID]])</f>
        <v>2</v>
      </c>
      <c r="M1090" s="37" t="s">
        <v>202</v>
      </c>
      <c r="N1090" s="37" t="s">
        <v>207</v>
      </c>
      <c r="O1090" s="37">
        <v>1</v>
      </c>
      <c r="P1090" s="37">
        <v>2022</v>
      </c>
      <c r="Q1090" s="37">
        <v>2040</v>
      </c>
      <c r="R1090" s="10">
        <f>IF(IFERROR(VLOOKUP(A1090,Drank!A:S,15,FALSE),"")=0,"",IFERROR(VLOOKUP(A1090,Drank!A:S,15,FALSE),""))</f>
        <v>2021</v>
      </c>
      <c r="S1090" s="10">
        <f>IF(IFERROR(VLOOKUP(A1090,Drank!A:S,16,FALSE),"")=0,"",IFERROR(VLOOKUP(A1090,Drank!A:S,16,FALSE),""))</f>
        <v>2032</v>
      </c>
      <c r="T1090" s="10"/>
      <c r="U1090" s="37">
        <v>95</v>
      </c>
      <c r="V1090" s="18">
        <f>IF(IFERROR(VLOOKUP(A1090,Drank!A:T,19,FALSE),"")=0,"",IFERROR(VLOOKUP(A1090,Drank!A:T,19,FALSE),""))</f>
        <v>95.5</v>
      </c>
      <c r="W1090" s="1">
        <f>IF(IFERROR(VLOOKUP(A1090,Drank!A:T,20,FALSE),"")=0,"",IFERROR(VLOOKUP(A1090,Drank!A:T,20,FALSE),""))</f>
        <v>44079</v>
      </c>
      <c r="X1090" s="10">
        <f>SUMIF(A:A,A1090,I:I)</f>
        <v>41</v>
      </c>
      <c r="Y1090" s="10">
        <f>IF(Table1[[#This Row],[Drank]]&gt;0,VLOOKUP(Table1[[#This Row],[ID]],Drank!A:P,16,FALSE),IF(Table1[[#This Row],[WALDD]]&gt;0,VLOOKUP(Table1[[#This Row],[ID]],Wine1!A:Q,17,FALSE),Table1[[#This Row],[EP]]))</f>
        <v>2032</v>
      </c>
      <c r="Z1090" s="18">
        <f>IF(Table1[[#This Row],[My Rating]]="",IF(Table1[[#This Row],[WA Rating Clean]]="","",Table1[[#This Row],[WA Rating Clean]]),Table1[[#This Row],[My Rating]])</f>
        <v>95.5</v>
      </c>
      <c r="AA1090" s="37">
        <v>2032</v>
      </c>
      <c r="AB1090" s="129">
        <v>42.36</v>
      </c>
      <c r="AC1090" s="2">
        <f t="shared" si="55"/>
        <v>42.36</v>
      </c>
      <c r="AD1090" s="8">
        <v>1</v>
      </c>
      <c r="AE1090" s="10">
        <f>IF(Table1[[#This Row],[P/750]]&lt;20,1,IF(Table1[[#This Row],[P/750]]&lt;50,2,3))</f>
        <v>2</v>
      </c>
      <c r="AF1090" s="10">
        <f>IF(Table1[[#This Row],[P/750]]&lt;Expenses!$C$30,1,IF(Table1[[#This Row],[P/750]]&lt;Expenses!$C$31,2,IF(Table1[[#This Row],[P/750]]&lt;Expenses!$C$32,3,4)))</f>
        <v>3</v>
      </c>
      <c r="AH1090" s="37" t="s">
        <v>1128</v>
      </c>
      <c r="AI1090" s="11">
        <f>Table1[[#This Row],[Price]]/Table1[[#This Row],[Size (ml)]]*750</f>
        <v>42.36</v>
      </c>
      <c r="AJ1090" s="37">
        <v>95</v>
      </c>
      <c r="AK1090" s="10">
        <f>COUNTIF(UniqueID!A:A,Table1[[#This Row],[ID]])</f>
        <v>1</v>
      </c>
      <c r="AL1090" s="10" t="str">
        <f>VLOOKUP(Table1[[#This Row],[Cellar Location]],Location!A:F,6,FALSE)</f>
        <v>S</v>
      </c>
      <c r="AN1090" s="1">
        <v>44070</v>
      </c>
      <c r="AO1090" s="10" t="str">
        <f>TEXT(Table1[[#This Row],[Purchased]],"mmmm")</f>
        <v>August</v>
      </c>
      <c r="AP1090" s="10" t="str">
        <f>TEXT(Table1[[#This Row],[Purchased]],"yyyy")</f>
        <v>2020</v>
      </c>
      <c r="AQ1090" s="1"/>
    </row>
    <row r="1091" spans="1:43" s="37" customFormat="1" x14ac:dyDescent="0.25">
      <c r="A1091" s="37" t="str">
        <f t="shared" si="54"/>
        <v>2016Castello di AmaChianti Classico Gran Selezione San Lorenzo</v>
      </c>
      <c r="B1091" s="37">
        <v>2016</v>
      </c>
      <c r="C1091" s="37" t="s">
        <v>75</v>
      </c>
      <c r="D1091" s="9" t="s">
        <v>76</v>
      </c>
      <c r="E1091" s="67" t="s">
        <v>1620</v>
      </c>
      <c r="F1091" s="37" t="s">
        <v>728</v>
      </c>
      <c r="G1091" s="37" t="s">
        <v>790</v>
      </c>
      <c r="H1091" s="37" t="s">
        <v>1619</v>
      </c>
      <c r="I1091" s="37">
        <v>1</v>
      </c>
      <c r="J1091" s="107">
        <v>750</v>
      </c>
      <c r="K1091" s="8" t="s">
        <v>1830</v>
      </c>
      <c r="L1091" s="10">
        <f>COUNTIF(Drank!A:A,Table1[[#This Row],[ID]])</f>
        <v>1</v>
      </c>
      <c r="M1091" s="37" t="s">
        <v>202</v>
      </c>
      <c r="N1091" s="37" t="s">
        <v>207</v>
      </c>
      <c r="O1091" s="37">
        <v>1</v>
      </c>
      <c r="P1091" s="10">
        <v>2020</v>
      </c>
      <c r="Q1091" s="37">
        <v>2038</v>
      </c>
      <c r="R1091" s="10" t="str">
        <f>IF(IFERROR(VLOOKUP(A1091,Drank!A:S,15,FALSE),"")=0,"",IFERROR(VLOOKUP(A1091,Drank!A:S,15,FALSE),""))</f>
        <v/>
      </c>
      <c r="S1091" s="10">
        <f>IF(IFERROR(VLOOKUP(A1091,Drank!A:S,16,FALSE),"")=0,"",IFERROR(VLOOKUP(A1091,Drank!A:S,16,FALSE),""))</f>
        <v>2035</v>
      </c>
      <c r="T1091" s="10"/>
      <c r="U1091" s="37">
        <v>95</v>
      </c>
      <c r="V1091" s="18">
        <f>IF(IFERROR(VLOOKUP(A1091,Drank!A:T,19,FALSE),"")=0,"",IFERROR(VLOOKUP(A1091,Drank!A:T,19,FALSE),""))</f>
        <v>94</v>
      </c>
      <c r="W1091" s="1">
        <f>IF(IFERROR(VLOOKUP(A1091,Drank!A:T,20,FALSE),"")=0,"",IFERROR(VLOOKUP(A1091,Drank!A:T,20,FALSE),""))</f>
        <v>44061</v>
      </c>
      <c r="X1091" s="10">
        <f>SUMIF(A:A,A1091,I:I)</f>
        <v>4</v>
      </c>
      <c r="Y1091" s="10">
        <f>IF(Table1[[#This Row],[Drank]]&gt;0,VLOOKUP(Table1[[#This Row],[ID]],Drank!A:P,16,FALSE),IF(Table1[[#This Row],[WALDD]]&gt;0,VLOOKUP(Table1[[#This Row],[ID]],Wine1!A:Q,17,FALSE),Table1[[#This Row],[EP]]))</f>
        <v>2035</v>
      </c>
      <c r="Z1091" s="18">
        <f>IF(Table1[[#This Row],[My Rating]]="",IF(Table1[[#This Row],[WA Rating Clean]]="","",Table1[[#This Row],[WA Rating Clean]]),Table1[[#This Row],[My Rating]])</f>
        <v>94</v>
      </c>
      <c r="AA1091" s="37">
        <v>2032</v>
      </c>
      <c r="AB1091" s="129">
        <v>48.87</v>
      </c>
      <c r="AC1091" s="2">
        <f t="shared" si="55"/>
        <v>48.87</v>
      </c>
      <c r="AD1091" s="8">
        <v>1</v>
      </c>
      <c r="AE1091" s="10">
        <f>IF(Table1[[#This Row],[P/750]]&lt;20,1,IF(Table1[[#This Row],[P/750]]&lt;50,2,3))</f>
        <v>2</v>
      </c>
      <c r="AF1091" s="10">
        <f>IF(Table1[[#This Row],[P/750]]&lt;Expenses!$C$30,1,IF(Table1[[#This Row],[P/750]]&lt;Expenses!$C$31,2,IF(Table1[[#This Row],[P/750]]&lt;Expenses!$C$32,3,4)))</f>
        <v>3</v>
      </c>
      <c r="AH1091" s="25" t="s">
        <v>1128</v>
      </c>
      <c r="AI1091" s="11">
        <f>Table1[[#This Row],[Price]]/Table1[[#This Row],[Size (ml)]]*750</f>
        <v>48.87</v>
      </c>
      <c r="AJ1091" s="37">
        <v>95</v>
      </c>
      <c r="AK1091" s="10">
        <f>COUNTIF(UniqueID!A:A,Table1[[#This Row],[ID]])</f>
        <v>0</v>
      </c>
      <c r="AL1091" s="10" t="str">
        <f>VLOOKUP(Table1[[#This Row],[Cellar Location]],Location!A:F,6,FALSE)</f>
        <v>S</v>
      </c>
      <c r="AN1091" s="1">
        <v>44070</v>
      </c>
      <c r="AO1091" s="10" t="str">
        <f>TEXT(Table1[[#This Row],[Purchased]],"mmmm")</f>
        <v>August</v>
      </c>
      <c r="AP1091" s="10" t="str">
        <f>TEXT(Table1[[#This Row],[Purchased]],"yyyy")</f>
        <v>2020</v>
      </c>
      <c r="AQ1091" s="1"/>
    </row>
    <row r="1092" spans="1:43" s="37" customFormat="1" x14ac:dyDescent="0.25">
      <c r="A1092" s="37" t="str">
        <f t="shared" si="54"/>
        <v>2016GrattamaccoBolgheri Superiore l'Alberello</v>
      </c>
      <c r="B1092" s="37">
        <v>2016</v>
      </c>
      <c r="C1092" s="37" t="s">
        <v>1802</v>
      </c>
      <c r="D1092" s="37" t="s">
        <v>1334</v>
      </c>
      <c r="E1092" s="67" t="s">
        <v>1335</v>
      </c>
      <c r="F1092" s="67" t="s">
        <v>728</v>
      </c>
      <c r="G1092" s="37" t="s">
        <v>790</v>
      </c>
      <c r="H1092" s="37" t="s">
        <v>1336</v>
      </c>
      <c r="I1092" s="8">
        <v>1</v>
      </c>
      <c r="J1092" s="38">
        <v>750</v>
      </c>
      <c r="K1092" s="38" t="s">
        <v>1572</v>
      </c>
      <c r="L1092" s="10">
        <f>COUNTIF(Drank!A:A,Table1[[#This Row],[ID]])</f>
        <v>0</v>
      </c>
      <c r="M1092" s="37" t="s">
        <v>202</v>
      </c>
      <c r="N1092" s="37" t="s">
        <v>207</v>
      </c>
      <c r="O1092" s="37">
        <v>1</v>
      </c>
      <c r="P1092" s="10">
        <v>2020</v>
      </c>
      <c r="Q1092" s="37">
        <v>2035</v>
      </c>
      <c r="R1092" s="10" t="str">
        <f>IF(IFERROR(VLOOKUP(A1092,Drank!A:S,15,FALSE),"")=0,"",IFERROR(VLOOKUP(A1092,Drank!A:S,15,FALSE),""))</f>
        <v/>
      </c>
      <c r="S1092" s="10" t="str">
        <f>IF(IFERROR(VLOOKUP(A1092,Drank!A:S,16,FALSE),"")=0,"",IFERROR(VLOOKUP(A1092,Drank!A:S,16,FALSE),""))</f>
        <v/>
      </c>
      <c r="T1092" s="10"/>
      <c r="U1092" s="37">
        <v>96</v>
      </c>
      <c r="V1092" s="18" t="str">
        <f>IF(IFERROR(VLOOKUP(A1092,Drank!A:T,19,FALSE),"")=0,"",IFERROR(VLOOKUP(A1092,Drank!A:T,19,FALSE),""))</f>
        <v/>
      </c>
      <c r="W1092" s="1" t="str">
        <f>IF(IFERROR(VLOOKUP(A1092,Drank!A:T,20,FALSE),"")=0,"",IFERROR(VLOOKUP(A1092,Drank!A:T,20,FALSE),""))</f>
        <v/>
      </c>
      <c r="X1092" s="10">
        <f>SUMIF(A:A,A1092,I:I)</f>
        <v>9</v>
      </c>
      <c r="Y1092" s="10">
        <f>IF(Table1[[#This Row],[Drank]]&gt;0,VLOOKUP(Table1[[#This Row],[ID]],Drank!A:P,16,FALSE),IF(Table1[[#This Row],[WALDD]]&gt;0,VLOOKUP(Table1[[#This Row],[ID]],Wine1!A:Q,17,FALSE),Table1[[#This Row],[EP]]))</f>
        <v>2035</v>
      </c>
      <c r="Z1092" s="18">
        <f>IF(Table1[[#This Row],[My Rating]]="",IF(Table1[[#This Row],[WA Rating Clean]]="","",Table1[[#This Row],[WA Rating Clean]]),Table1[[#This Row],[My Rating]])</f>
        <v>96</v>
      </c>
      <c r="AA1092" s="8">
        <v>2032</v>
      </c>
      <c r="AB1092" s="4">
        <v>60.09</v>
      </c>
      <c r="AC1092" s="2">
        <f t="shared" si="55"/>
        <v>60.09</v>
      </c>
      <c r="AD1092" s="8">
        <v>1</v>
      </c>
      <c r="AE1092" s="10">
        <f>IF(Table1[[#This Row],[P/750]]&lt;20,1,IF(Table1[[#This Row],[P/750]]&lt;50,2,3))</f>
        <v>3</v>
      </c>
      <c r="AF1092" s="10">
        <f>IF(Table1[[#This Row],[P/750]]&lt;Expenses!$C$30,1,IF(Table1[[#This Row],[P/750]]&lt;Expenses!$C$31,2,IF(Table1[[#This Row],[P/750]]&lt;Expenses!$C$32,3,4)))</f>
        <v>3</v>
      </c>
      <c r="AH1092" s="37" t="s">
        <v>1572</v>
      </c>
      <c r="AI1092" s="11">
        <f>Table1[[#This Row],[Price]]/Table1[[#This Row],[Size (ml)]]*750</f>
        <v>60.090000000000011</v>
      </c>
      <c r="AJ1092" s="37">
        <v>96</v>
      </c>
      <c r="AK1092" s="10">
        <f>COUNTIF(UniqueID!A:A,Table1[[#This Row],[ID]])</f>
        <v>0</v>
      </c>
      <c r="AL1092" s="10" t="str">
        <f>VLOOKUP(Table1[[#This Row],[Cellar Location]],Location!A:F,6,FALSE)</f>
        <v>W</v>
      </c>
      <c r="AN1092" s="1">
        <v>44064</v>
      </c>
      <c r="AO1092" s="10" t="str">
        <f>TEXT(Table1[[#This Row],[Purchased]],"mmmm")</f>
        <v>August</v>
      </c>
      <c r="AP1092" s="10" t="str">
        <f>TEXT(Table1[[#This Row],[Purchased]],"yyyy")</f>
        <v>2020</v>
      </c>
      <c r="AQ1092" s="1">
        <v>44114</v>
      </c>
    </row>
    <row r="1093" spans="1:43" s="37" customFormat="1" x14ac:dyDescent="0.25">
      <c r="A1093" s="37" t="str">
        <f t="shared" si="54"/>
        <v>2016G.D. VajraBarolo Albe</v>
      </c>
      <c r="B1093" s="37">
        <v>2016</v>
      </c>
      <c r="C1093" s="37" t="s">
        <v>81</v>
      </c>
      <c r="D1093" s="37" t="s">
        <v>82</v>
      </c>
      <c r="E1093" s="67" t="s">
        <v>1206</v>
      </c>
      <c r="F1093" s="37" t="s">
        <v>728</v>
      </c>
      <c r="G1093" s="37" t="s">
        <v>778</v>
      </c>
      <c r="H1093" s="37" t="s">
        <v>268</v>
      </c>
      <c r="I1093" s="8">
        <v>1</v>
      </c>
      <c r="J1093" s="38">
        <v>750</v>
      </c>
      <c r="K1093" s="38" t="s">
        <v>1139</v>
      </c>
      <c r="L1093" s="10">
        <f>COUNTIF(Drank!A:A,Table1[[#This Row],[ID]])</f>
        <v>0</v>
      </c>
      <c r="M1093" s="37" t="s">
        <v>202</v>
      </c>
      <c r="N1093" s="37" t="s">
        <v>207</v>
      </c>
      <c r="O1093" s="37">
        <v>1</v>
      </c>
      <c r="P1093" s="10">
        <v>2022</v>
      </c>
      <c r="Q1093" s="37">
        <v>2035</v>
      </c>
      <c r="R1093" s="10" t="str">
        <f>IF(IFERROR(VLOOKUP(A1093,Drank!A:S,15,FALSE),"")=0,"",IFERROR(VLOOKUP(A1093,Drank!A:S,15,FALSE),""))</f>
        <v/>
      </c>
      <c r="S1093" s="10" t="str">
        <f>IF(IFERROR(VLOOKUP(A1093,Drank!A:S,16,FALSE),"")=0,"",IFERROR(VLOOKUP(A1093,Drank!A:S,16,FALSE),""))</f>
        <v/>
      </c>
      <c r="T1093" s="10"/>
      <c r="U1093" s="37">
        <v>94</v>
      </c>
      <c r="V1093" s="18" t="str">
        <f>IF(IFERROR(VLOOKUP(A1093,Drank!A:T,19,FALSE),"")=0,"",IFERROR(VLOOKUP(A1093,Drank!A:T,19,FALSE),""))</f>
        <v/>
      </c>
      <c r="W1093" s="1" t="str">
        <f>IF(IFERROR(VLOOKUP(A1093,Drank!A:T,20,FALSE),"")=0,"",IFERROR(VLOOKUP(A1093,Drank!A:T,20,FALSE),""))</f>
        <v/>
      </c>
      <c r="X1093" s="10">
        <f>SUMIF(A:A,A1093,I:I)</f>
        <v>6</v>
      </c>
      <c r="Y1093" s="10">
        <f>IF(Table1[[#This Row],[Drank]]&gt;0,VLOOKUP(Table1[[#This Row],[ID]],Drank!A:P,16,FALSE),IF(Table1[[#This Row],[WALDD]]&gt;0,VLOOKUP(Table1[[#This Row],[ID]],Wine1!A:Q,17,FALSE),Table1[[#This Row],[EP]]))</f>
        <v>2035</v>
      </c>
      <c r="Z1093" s="18">
        <f>IF(Table1[[#This Row],[My Rating]]="",IF(Table1[[#This Row],[WA Rating Clean]]="","",Table1[[#This Row],[WA Rating Clean]]),Table1[[#This Row],[My Rating]])</f>
        <v>94</v>
      </c>
      <c r="AA1093" s="37">
        <v>2032</v>
      </c>
      <c r="AB1093" s="4">
        <v>37.14</v>
      </c>
      <c r="AC1093" s="2">
        <f t="shared" si="55"/>
        <v>37.14</v>
      </c>
      <c r="AD1093" s="8">
        <v>1</v>
      </c>
      <c r="AE1093" s="10">
        <f>IF(Table1[[#This Row],[P/750]]&lt;20,1,IF(Table1[[#This Row],[P/750]]&lt;50,2,3))</f>
        <v>2</v>
      </c>
      <c r="AF1093" s="10">
        <f>IF(Table1[[#This Row],[P/750]]&lt;Expenses!$C$30,1,IF(Table1[[#This Row],[P/750]]&lt;Expenses!$C$31,2,IF(Table1[[#This Row],[P/750]]&lt;Expenses!$C$32,3,4)))</f>
        <v>3</v>
      </c>
      <c r="AH1093" s="37" t="s">
        <v>1139</v>
      </c>
      <c r="AI1093" s="11">
        <f>Table1[[#This Row],[Price]]/Table1[[#This Row],[Size (ml)]]*750</f>
        <v>37.14</v>
      </c>
      <c r="AJ1093" s="37">
        <v>94</v>
      </c>
      <c r="AK1093" s="10">
        <f>COUNTIF(UniqueID!A:A,Table1[[#This Row],[ID]])</f>
        <v>0</v>
      </c>
      <c r="AL1093" s="10" t="str">
        <f>VLOOKUP(Table1[[#This Row],[Cellar Location]],Location!A:F,6,FALSE)</f>
        <v>W</v>
      </c>
      <c r="AN1093" s="1">
        <v>44058</v>
      </c>
      <c r="AO1093" s="10" t="str">
        <f>TEXT(Table1[[#This Row],[Purchased]],"mmmm")</f>
        <v>August</v>
      </c>
      <c r="AP1093" s="10" t="str">
        <f>TEXT(Table1[[#This Row],[Purchased]],"yyyy")</f>
        <v>2020</v>
      </c>
      <c r="AQ1093" s="1">
        <v>44132</v>
      </c>
    </row>
    <row r="1094" spans="1:43" s="37" customFormat="1" x14ac:dyDescent="0.25">
      <c r="A1094" s="37" t="str">
        <f t="shared" si="54"/>
        <v>2013Celestino PecciBrunello di Montalcino</v>
      </c>
      <c r="B1094" s="37">
        <v>2013</v>
      </c>
      <c r="C1094" s="37" t="s">
        <v>1374</v>
      </c>
      <c r="D1094" s="37" t="s">
        <v>19</v>
      </c>
      <c r="E1094" s="67" t="s">
        <v>1250</v>
      </c>
      <c r="F1094" s="37" t="s">
        <v>728</v>
      </c>
      <c r="G1094" s="37" t="s">
        <v>790</v>
      </c>
      <c r="H1094" s="37" t="s">
        <v>19</v>
      </c>
      <c r="I1094" s="107">
        <v>1</v>
      </c>
      <c r="J1094" s="9">
        <v>750</v>
      </c>
      <c r="K1094" s="107" t="s">
        <v>1196</v>
      </c>
      <c r="L1094" s="10">
        <f>COUNTIF(Drank!A:A,Table1[[#This Row],[ID]])</f>
        <v>0</v>
      </c>
      <c r="M1094" s="37" t="s">
        <v>202</v>
      </c>
      <c r="N1094" s="37" t="s">
        <v>207</v>
      </c>
      <c r="O1094" s="37">
        <v>0</v>
      </c>
      <c r="P1094" s="10"/>
      <c r="R1094" s="10" t="str">
        <f>IF(IFERROR(VLOOKUP(A1094,Drank!A:S,15,FALSE),"")=0,"",IFERROR(VLOOKUP(A1094,Drank!A:S,15,FALSE),""))</f>
        <v/>
      </c>
      <c r="S1094" s="10" t="str">
        <f>IF(IFERROR(VLOOKUP(A1094,Drank!A:S,16,FALSE),"")=0,"",IFERROR(VLOOKUP(A1094,Drank!A:S,16,FALSE),""))</f>
        <v/>
      </c>
      <c r="T1094" s="10">
        <v>2035</v>
      </c>
      <c r="V1094" s="18" t="str">
        <f>IF(IFERROR(VLOOKUP(A1094,Drank!A:T,19,FALSE),"")=0,"",IFERROR(VLOOKUP(A1094,Drank!A:T,19,FALSE),""))</f>
        <v/>
      </c>
      <c r="W1094" s="1" t="str">
        <f>IF(IFERROR(VLOOKUP(A1094,Drank!A:T,20,FALSE),"")=0,"",IFERROR(VLOOKUP(A1094,Drank!A:T,20,FALSE),""))</f>
        <v/>
      </c>
      <c r="X1094" s="10">
        <f>SUMIF(A:A,A1094,I:I)</f>
        <v>4</v>
      </c>
      <c r="Y1094" s="10">
        <f>IF(Table1[[#This Row],[Drank]]&gt;0,VLOOKUP(Table1[[#This Row],[ID]],Drank!A:P,16,FALSE),IF(Table1[[#This Row],[WALDD]]&gt;0,VLOOKUP(Table1[[#This Row],[ID]],Wine1!A:Q,17,FALSE),Table1[[#This Row],[EP]]))</f>
        <v>2035</v>
      </c>
      <c r="Z1094" s="18" t="str">
        <f>IF(Table1[[#This Row],[My Rating]]="",IF(Table1[[#This Row],[WA Rating Clean]]="","",Table1[[#This Row],[WA Rating Clean]]),Table1[[#This Row],[My Rating]])</f>
        <v/>
      </c>
      <c r="AA1094" s="37">
        <v>2032</v>
      </c>
      <c r="AB1094" s="4">
        <v>39.325000000000003</v>
      </c>
      <c r="AC1094" s="2">
        <f t="shared" si="55"/>
        <v>39.325000000000003</v>
      </c>
      <c r="AD1094" s="8">
        <v>2</v>
      </c>
      <c r="AE1094" s="10">
        <f>IF(Table1[[#This Row],[P/750]]&lt;20,1,IF(Table1[[#This Row],[P/750]]&lt;50,2,3))</f>
        <v>2</v>
      </c>
      <c r="AF1094" s="10">
        <f>IF(Table1[[#This Row],[P/750]]&lt;Expenses!$C$30,1,IF(Table1[[#This Row],[P/750]]&lt;Expenses!$C$31,2,IF(Table1[[#This Row],[P/750]]&lt;Expenses!$C$32,3,4)))</f>
        <v>3</v>
      </c>
      <c r="AH1094" s="37" t="s">
        <v>385</v>
      </c>
      <c r="AI1094" s="11">
        <f>Table1[[#This Row],[Price]]/Table1[[#This Row],[Size (ml)]]*750</f>
        <v>39.325000000000003</v>
      </c>
      <c r="AK1094" s="10">
        <f>COUNTIF(UniqueID!A:A,Table1[[#This Row],[ID]])</f>
        <v>0</v>
      </c>
      <c r="AL1094" s="10" t="str">
        <f>VLOOKUP(Table1[[#This Row],[Cellar Location]],Location!A:F,6,FALSE)</f>
        <v>S</v>
      </c>
      <c r="AN1094" s="1">
        <v>43938</v>
      </c>
      <c r="AO1094" s="10" t="str">
        <f>TEXT(Table1[[#This Row],[Purchased]],"mmmm")</f>
        <v>April</v>
      </c>
      <c r="AP1094" s="10" t="str">
        <f>TEXT(Table1[[#This Row],[Purchased]],"yyyy")</f>
        <v>2020</v>
      </c>
      <c r="AQ1094" s="10"/>
    </row>
    <row r="1095" spans="1:43" s="37" customFormat="1" x14ac:dyDescent="0.25">
      <c r="A1095" s="37" t="str">
        <f t="shared" si="54"/>
        <v>2016Domaine du PegauChateauneuf du Pape Cuvee Reservee</v>
      </c>
      <c r="B1095" s="37">
        <v>2016</v>
      </c>
      <c r="C1095" s="37" t="s">
        <v>1318</v>
      </c>
      <c r="D1095" s="37" t="s">
        <v>1319</v>
      </c>
      <c r="E1095" s="67" t="s">
        <v>1320</v>
      </c>
      <c r="F1095" s="37" t="s">
        <v>742</v>
      </c>
      <c r="G1095" s="37" t="s">
        <v>759</v>
      </c>
      <c r="H1095" s="37" t="s">
        <v>762</v>
      </c>
      <c r="I1095" s="107">
        <v>1</v>
      </c>
      <c r="J1095" s="9">
        <v>750</v>
      </c>
      <c r="K1095" s="107" t="s">
        <v>661</v>
      </c>
      <c r="L1095" s="10">
        <f>COUNTIF(Drank!A:A,Table1[[#This Row],[ID]])</f>
        <v>0</v>
      </c>
      <c r="M1095" s="37" t="s">
        <v>202</v>
      </c>
      <c r="N1095" s="37" t="s">
        <v>207</v>
      </c>
      <c r="O1095" s="37">
        <v>1</v>
      </c>
      <c r="P1095" s="10">
        <v>2020</v>
      </c>
      <c r="Q1095" s="37">
        <v>2035</v>
      </c>
      <c r="R1095" s="10" t="str">
        <f>IF(IFERROR(VLOOKUP(A1095,Drank!A:S,15,FALSE),"")=0,"",IFERROR(VLOOKUP(A1095,Drank!A:S,15,FALSE),""))</f>
        <v/>
      </c>
      <c r="S1095" s="10" t="str">
        <f>IF(IFERROR(VLOOKUP(A1095,Drank!A:S,16,FALSE),"")=0,"",IFERROR(VLOOKUP(A1095,Drank!A:S,16,FALSE),""))</f>
        <v/>
      </c>
      <c r="T1095" s="10"/>
      <c r="U1095" s="37" t="s">
        <v>441</v>
      </c>
      <c r="V1095" s="18" t="str">
        <f>IF(IFERROR(VLOOKUP(A1095,Drank!A:T,19,FALSE),"")=0,"",IFERROR(VLOOKUP(A1095,Drank!A:T,19,FALSE),""))</f>
        <v/>
      </c>
      <c r="W1095" s="1" t="str">
        <f>IF(IFERROR(VLOOKUP(A1095,Drank!A:T,20,FALSE),"")=0,"",IFERROR(VLOOKUP(A1095,Drank!A:T,20,FALSE),""))</f>
        <v/>
      </c>
      <c r="X1095" s="10">
        <f>SUMIF(A:A,A1095,I:I)</f>
        <v>2</v>
      </c>
      <c r="Y1095" s="10">
        <f>IF(Table1[[#This Row],[Drank]]&gt;0,VLOOKUP(Table1[[#This Row],[ID]],Drank!A:P,16,FALSE),IF(Table1[[#This Row],[WALDD]]&gt;0,VLOOKUP(Table1[[#This Row],[ID]],Wine1!A:Q,17,FALSE),Table1[[#This Row],[EP]]))</f>
        <v>2035</v>
      </c>
      <c r="Z1095" s="18">
        <f>IF(Table1[[#This Row],[My Rating]]="",IF(Table1[[#This Row],[WA Rating Clean]]="","",Table1[[#This Row],[WA Rating Clean]]),Table1[[#This Row],[My Rating]])</f>
        <v>95</v>
      </c>
      <c r="AA1095" s="37">
        <v>2032</v>
      </c>
      <c r="AB1095" s="4">
        <v>63.36</v>
      </c>
      <c r="AC1095" s="2">
        <f t="shared" si="55"/>
        <v>63.36</v>
      </c>
      <c r="AD1095" s="8">
        <v>2</v>
      </c>
      <c r="AE1095" s="10">
        <f>IF(Table1[[#This Row],[P/750]]&lt;20,1,IF(Table1[[#This Row],[P/750]]&lt;50,2,3))</f>
        <v>3</v>
      </c>
      <c r="AF1095" s="10">
        <f>IF(Table1[[#This Row],[P/750]]&lt;Expenses!$C$30,1,IF(Table1[[#This Row],[P/750]]&lt;Expenses!$C$31,2,IF(Table1[[#This Row],[P/750]]&lt;Expenses!$C$32,3,4)))</f>
        <v>3</v>
      </c>
      <c r="AH1095" s="37" t="s">
        <v>385</v>
      </c>
      <c r="AI1095" s="11">
        <f>Table1[[#This Row],[Price]]/Table1[[#This Row],[Size (ml)]]*750</f>
        <v>63.36</v>
      </c>
      <c r="AJ1095" s="37">
        <v>95</v>
      </c>
      <c r="AK1095" s="10">
        <f>COUNTIF(UniqueID!A:A,Table1[[#This Row],[ID]])</f>
        <v>0</v>
      </c>
      <c r="AL1095" s="10" t="str">
        <f>VLOOKUP(Table1[[#This Row],[Cellar Location]],Location!A:F,6,FALSE)</f>
        <v>S</v>
      </c>
      <c r="AN1095" s="1">
        <v>43921</v>
      </c>
      <c r="AO1095" s="10" t="str">
        <f>TEXT(Table1[[#This Row],[Purchased]],"mmmm")</f>
        <v>March</v>
      </c>
      <c r="AP1095" s="10" t="str">
        <f>TEXT(Table1[[#This Row],[Purchased]],"yyyy")</f>
        <v>2020</v>
      </c>
      <c r="AQ1095" s="10"/>
    </row>
    <row r="1096" spans="1:43" s="37" customFormat="1" x14ac:dyDescent="0.25">
      <c r="A1096" s="37" t="str">
        <f t="shared" si="54"/>
        <v>2010La Rioja AltaViña Ardanza Selección Especial</v>
      </c>
      <c r="B1096" s="37">
        <v>2010</v>
      </c>
      <c r="C1096" s="37" t="s">
        <v>221</v>
      </c>
      <c r="D1096" s="37" t="s">
        <v>1274</v>
      </c>
      <c r="E1096" s="67" t="s">
        <v>1467</v>
      </c>
      <c r="F1096" s="37" t="s">
        <v>729</v>
      </c>
      <c r="G1096" s="37" t="s">
        <v>823</v>
      </c>
      <c r="I1096" s="107">
        <v>1</v>
      </c>
      <c r="J1096" s="37">
        <v>750</v>
      </c>
      <c r="K1096" s="107" t="s">
        <v>927</v>
      </c>
      <c r="L1096" s="10">
        <f>COUNTIF(Drank!A:A,Table1[[#This Row],[ID]])</f>
        <v>1</v>
      </c>
      <c r="M1096" s="37" t="s">
        <v>202</v>
      </c>
      <c r="N1096" s="37" t="s">
        <v>207</v>
      </c>
      <c r="O1096" s="37">
        <v>1</v>
      </c>
      <c r="P1096" s="10">
        <v>2019</v>
      </c>
      <c r="Q1096" s="37">
        <v>2035</v>
      </c>
      <c r="R1096" s="10">
        <f>IF(IFERROR(VLOOKUP(A1096,Drank!A:S,15,FALSE),"")=0,"",IFERROR(VLOOKUP(A1096,Drank!A:S,15,FALSE),""))</f>
        <v>2024</v>
      </c>
      <c r="S1096" s="10">
        <f>IF(IFERROR(VLOOKUP(A1096,Drank!A:S,16,FALSE),"")=0,"",IFERROR(VLOOKUP(A1096,Drank!A:S,16,FALSE),""))</f>
        <v>2035</v>
      </c>
      <c r="T1096" s="10"/>
      <c r="U1096" s="37">
        <v>95</v>
      </c>
      <c r="V1096" s="18">
        <f>IF(IFERROR(VLOOKUP(A1096,Drank!A:T,19,FALSE),"")=0,"",IFERROR(VLOOKUP(A1096,Drank!A:T,19,FALSE),""))</f>
        <v>91</v>
      </c>
      <c r="W1096" s="1">
        <f>IF(IFERROR(VLOOKUP(A1096,Drank!A:T,20,FALSE),"")=0,"",IFERROR(VLOOKUP(A1096,Drank!A:T,20,FALSE),""))</f>
        <v>43855</v>
      </c>
      <c r="X1096" s="10">
        <f>SUMIF(A:A,A1096,I:I)</f>
        <v>3</v>
      </c>
      <c r="Y1096" s="10">
        <f>IF(Table1[[#This Row],[Drank]]&gt;0,VLOOKUP(Table1[[#This Row],[ID]],Drank!A:P,16,FALSE),IF(Table1[[#This Row],[WALDD]]&gt;0,VLOOKUP(Table1[[#This Row],[ID]],Wine1!A:Q,17,FALSE),Table1[[#This Row],[EP]]))</f>
        <v>2035</v>
      </c>
      <c r="Z1096" s="18">
        <f>IF(Table1[[#This Row],[My Rating]]="",IF(Table1[[#This Row],[WA Rating Clean]]="","",Table1[[#This Row],[WA Rating Clean]]),Table1[[#This Row],[My Rating]])</f>
        <v>91</v>
      </c>
      <c r="AA1096" s="37">
        <v>2032</v>
      </c>
      <c r="AB1096" s="4">
        <v>32.99</v>
      </c>
      <c r="AC1096" s="2">
        <f t="shared" si="55"/>
        <v>32.99</v>
      </c>
      <c r="AD1096" s="8">
        <v>2</v>
      </c>
      <c r="AE1096" s="10">
        <f>IF(Table1[[#This Row],[P/750]]&lt;20,1,IF(Table1[[#This Row],[P/750]]&lt;50,2,3))</f>
        <v>2</v>
      </c>
      <c r="AF1096" s="10">
        <f>IF(Table1[[#This Row],[P/750]]&lt;Expenses!$C$30,1,IF(Table1[[#This Row],[P/750]]&lt;Expenses!$C$31,2,IF(Table1[[#This Row],[P/750]]&lt;Expenses!$C$32,3,4)))</f>
        <v>3</v>
      </c>
      <c r="AH1096" s="37" t="s">
        <v>1139</v>
      </c>
      <c r="AI1096" s="11">
        <f>Table1[[#This Row],[Price]]/Table1[[#This Row],[Size (ml)]]*750</f>
        <v>32.99</v>
      </c>
      <c r="AJ1096" s="37">
        <v>95</v>
      </c>
      <c r="AK1096" s="10">
        <f>COUNTIF(UniqueID!A:A,Table1[[#This Row],[ID]])</f>
        <v>1</v>
      </c>
      <c r="AL1096" s="37" t="str">
        <f>VLOOKUP(Table1[[#This Row],[Cellar Location]],Location!A:F,6,FALSE)</f>
        <v>S</v>
      </c>
      <c r="AO1096" s="37" t="str">
        <f>TEXT(Table1[[#This Row],[Purchased]],"mmmm")</f>
        <v>January</v>
      </c>
      <c r="AP1096" s="10" t="str">
        <f>TEXT(Table1[[#This Row],[Purchased]],"yyyy")</f>
        <v>1900</v>
      </c>
      <c r="AQ1096" s="10"/>
    </row>
    <row r="1097" spans="1:43" s="37" customFormat="1" x14ac:dyDescent="0.25">
      <c r="A1097" s="37" t="str">
        <f t="shared" si="54"/>
        <v>2015OdderoBarolo</v>
      </c>
      <c r="B1097" s="37">
        <v>2015</v>
      </c>
      <c r="C1097" s="37" t="s">
        <v>1173</v>
      </c>
      <c r="D1097" s="37" t="s">
        <v>268</v>
      </c>
      <c r="E1097" s="37" t="s">
        <v>1206</v>
      </c>
      <c r="F1097" s="37" t="s">
        <v>728</v>
      </c>
      <c r="G1097" s="37" t="s">
        <v>778</v>
      </c>
      <c r="H1097" s="37" t="s">
        <v>268</v>
      </c>
      <c r="I1097" s="107">
        <v>1</v>
      </c>
      <c r="J1097" s="37">
        <v>375</v>
      </c>
      <c r="K1097" s="107" t="s">
        <v>1234</v>
      </c>
      <c r="L1097" s="10">
        <f>COUNTIF(Drank!A:A,Table1[[#This Row],[ID]])</f>
        <v>2</v>
      </c>
      <c r="M1097" s="37" t="s">
        <v>202</v>
      </c>
      <c r="N1097" s="37" t="s">
        <v>207</v>
      </c>
      <c r="O1097" s="37">
        <v>1</v>
      </c>
      <c r="P1097" s="37">
        <v>2020</v>
      </c>
      <c r="Q1097" s="37">
        <v>2035</v>
      </c>
      <c r="R1097" s="10">
        <f>IF(IFERROR(VLOOKUP(A1097,Drank!A:S,15,FALSE),"")=0,"",IFERROR(VLOOKUP(A1097,Drank!A:S,15,FALSE),""))</f>
        <v>2022</v>
      </c>
      <c r="S1097" s="10">
        <f>IF(IFERROR(VLOOKUP(A1097,Drank!A:S,16,FALSE),"")=0,"",IFERROR(VLOOKUP(A1097,Drank!A:S,16,FALSE),""))</f>
        <v>2035</v>
      </c>
      <c r="T1097" s="10"/>
      <c r="U1097" s="37" t="s">
        <v>74</v>
      </c>
      <c r="V1097" s="18">
        <f>IF(IFERROR(VLOOKUP(A1097,Drank!A:T,19,FALSE),"")=0,"",IFERROR(VLOOKUP(A1097,Drank!A:T,19,FALSE),""))</f>
        <v>93</v>
      </c>
      <c r="W1097" s="1">
        <f>IF(IFERROR(VLOOKUP(A1097,Drank!A:T,20,FALSE),"")=0,"",IFERROR(VLOOKUP(A1097,Drank!A:T,20,FALSE),""))</f>
        <v>43905</v>
      </c>
      <c r="X1097" s="10">
        <f>SUMIF(A:A,A1097,I:I)</f>
        <v>22</v>
      </c>
      <c r="Y1097" s="10">
        <f>IF(Table1[[#This Row],[Drank]]&gt;0,VLOOKUP(Table1[[#This Row],[ID]],Drank!A:P,16,FALSE),IF(Table1[[#This Row],[WALDD]]&gt;0,VLOOKUP(Table1[[#This Row],[ID]],Wine1!A:Q,17,FALSE),Table1[[#This Row],[EP]]))</f>
        <v>2035</v>
      </c>
      <c r="Z1097" s="18">
        <f>IF(Table1[[#This Row],[My Rating]]="",IF(Table1[[#This Row],[WA Rating Clean]]="","",Table1[[#This Row],[WA Rating Clean]]),Table1[[#This Row],[My Rating]])</f>
        <v>93</v>
      </c>
      <c r="AA1097" s="8">
        <v>2032</v>
      </c>
      <c r="AB1097" s="4">
        <v>26.48</v>
      </c>
      <c r="AC1097" s="2">
        <f t="shared" si="55"/>
        <v>26.48</v>
      </c>
      <c r="AD1097" s="8">
        <v>2</v>
      </c>
      <c r="AE1097" s="10">
        <f>IF(Table1[[#This Row],[P/750]]&lt;20,1,IF(Table1[[#This Row],[P/750]]&lt;50,2,3))</f>
        <v>3</v>
      </c>
      <c r="AF1097" s="10">
        <f>IF(Table1[[#This Row],[P/750]]&lt;Expenses!$C$30,1,IF(Table1[[#This Row],[P/750]]&lt;Expenses!$C$31,2,IF(Table1[[#This Row],[P/750]]&lt;Expenses!$C$32,3,4)))</f>
        <v>3</v>
      </c>
      <c r="AH1097" s="37" t="s">
        <v>1175</v>
      </c>
      <c r="AI1097" s="11">
        <f>Table1[[#This Row],[Price]]/Table1[[#This Row],[Size (ml)]]*750</f>
        <v>52.96</v>
      </c>
      <c r="AJ1097" s="37">
        <v>93</v>
      </c>
      <c r="AK1097" s="10">
        <f>COUNTIF(UniqueID!A:A,Table1[[#This Row],[ID]])</f>
        <v>1</v>
      </c>
      <c r="AL1097" s="10" t="str">
        <f>VLOOKUP(Table1[[#This Row],[Cellar Location]],Location!A:F,6,FALSE)</f>
        <v>S</v>
      </c>
      <c r="AN1097" s="1">
        <v>43858</v>
      </c>
      <c r="AO1097" s="37" t="str">
        <f>TEXT(Table1[[#This Row],[Purchased]],"mmmm")</f>
        <v>January</v>
      </c>
      <c r="AP1097" s="10" t="str">
        <f>TEXT(Table1[[#This Row],[Purchased]],"yyyy")</f>
        <v>2020</v>
      </c>
      <c r="AQ1097" s="10"/>
    </row>
    <row r="1098" spans="1:43" s="37" customFormat="1" x14ac:dyDescent="0.25">
      <c r="A1098" s="37" t="str">
        <f t="shared" si="54"/>
        <v>2015OdderoBarolo</v>
      </c>
      <c r="B1098" s="37">
        <v>2015</v>
      </c>
      <c r="C1098" s="37" t="s">
        <v>1173</v>
      </c>
      <c r="D1098" s="37" t="s">
        <v>268</v>
      </c>
      <c r="E1098" s="37" t="s">
        <v>1206</v>
      </c>
      <c r="F1098" s="37" t="s">
        <v>728</v>
      </c>
      <c r="G1098" s="37" t="s">
        <v>778</v>
      </c>
      <c r="H1098" s="37" t="s">
        <v>268</v>
      </c>
      <c r="I1098" s="107">
        <v>1</v>
      </c>
      <c r="J1098" s="37">
        <v>750</v>
      </c>
      <c r="K1098" s="107" t="s">
        <v>1235</v>
      </c>
      <c r="L1098" s="10">
        <f>COUNTIF(Drank!A:A,Table1[[#This Row],[ID]])</f>
        <v>2</v>
      </c>
      <c r="M1098" s="37" t="s">
        <v>202</v>
      </c>
      <c r="N1098" s="37" t="s">
        <v>207</v>
      </c>
      <c r="O1098" s="37">
        <v>1</v>
      </c>
      <c r="P1098" s="37">
        <v>2020</v>
      </c>
      <c r="Q1098" s="37">
        <v>2035</v>
      </c>
      <c r="R1098" s="10">
        <f>IF(IFERROR(VLOOKUP(A1098,Drank!A:S,15,FALSE),"")=0,"",IFERROR(VLOOKUP(A1098,Drank!A:S,15,FALSE),""))</f>
        <v>2022</v>
      </c>
      <c r="S1098" s="10">
        <f>IF(IFERROR(VLOOKUP(A1098,Drank!A:S,16,FALSE),"")=0,"",IFERROR(VLOOKUP(A1098,Drank!A:S,16,FALSE),""))</f>
        <v>2035</v>
      </c>
      <c r="T1098" s="10"/>
      <c r="U1098" s="37" t="s">
        <v>74</v>
      </c>
      <c r="V1098" s="18">
        <f>IF(IFERROR(VLOOKUP(A1098,Drank!A:T,19,FALSE),"")=0,"",IFERROR(VLOOKUP(A1098,Drank!A:T,19,FALSE),""))</f>
        <v>93</v>
      </c>
      <c r="W1098" s="1">
        <f>IF(IFERROR(VLOOKUP(A1098,Drank!A:T,20,FALSE),"")=0,"",IFERROR(VLOOKUP(A1098,Drank!A:T,20,FALSE),""))</f>
        <v>43905</v>
      </c>
      <c r="X1098" s="10">
        <f>SUMIF(A:A,A1098,I:I)</f>
        <v>22</v>
      </c>
      <c r="Y1098" s="10">
        <f>IF(Table1[[#This Row],[Drank]]&gt;0,VLOOKUP(Table1[[#This Row],[ID]],Drank!A:P,16,FALSE),IF(Table1[[#This Row],[WALDD]]&gt;0,VLOOKUP(Table1[[#This Row],[ID]],Wine1!A:Q,17,FALSE),Table1[[#This Row],[EP]]))</f>
        <v>2035</v>
      </c>
      <c r="Z1098" s="18">
        <f>IF(Table1[[#This Row],[My Rating]]="",IF(Table1[[#This Row],[WA Rating Clean]]="","",Table1[[#This Row],[WA Rating Clean]]),Table1[[#This Row],[My Rating]])</f>
        <v>93</v>
      </c>
      <c r="AA1098" s="8">
        <v>2032</v>
      </c>
      <c r="AB1098" s="4">
        <v>40.229999999999997</v>
      </c>
      <c r="AC1098" s="2">
        <f t="shared" si="55"/>
        <v>40.229999999999997</v>
      </c>
      <c r="AD1098" s="8">
        <v>2</v>
      </c>
      <c r="AE1098" s="10">
        <f>IF(Table1[[#This Row],[P/750]]&lt;20,1,IF(Table1[[#This Row],[P/750]]&lt;50,2,3))</f>
        <v>2</v>
      </c>
      <c r="AF1098" s="10">
        <f>IF(Table1[[#This Row],[P/750]]&lt;Expenses!$C$30,1,IF(Table1[[#This Row],[P/750]]&lt;Expenses!$C$31,2,IF(Table1[[#This Row],[P/750]]&lt;Expenses!$C$32,3,4)))</f>
        <v>3</v>
      </c>
      <c r="AH1098" s="37" t="s">
        <v>1174</v>
      </c>
      <c r="AI1098" s="11">
        <f>Table1[[#This Row],[Price]]/Table1[[#This Row],[Size (ml)]]*750</f>
        <v>40.229999999999997</v>
      </c>
      <c r="AJ1098" s="37">
        <v>93</v>
      </c>
      <c r="AK1098" s="10">
        <f>COUNTIF(UniqueID!A:A,Table1[[#This Row],[ID]])</f>
        <v>1</v>
      </c>
      <c r="AL1098" s="10" t="str">
        <f>VLOOKUP(Table1[[#This Row],[Cellar Location]],Location!A:F,6,FALSE)</f>
        <v>S</v>
      </c>
      <c r="AN1098" s="1">
        <v>43858</v>
      </c>
      <c r="AO1098" s="37" t="str">
        <f>TEXT(Table1[[#This Row],[Purchased]],"mmmm")</f>
        <v>January</v>
      </c>
      <c r="AP1098" s="10" t="str">
        <f>TEXT(Table1[[#This Row],[Purchased]],"yyyy")</f>
        <v>2020</v>
      </c>
      <c r="AQ1098" s="10"/>
    </row>
    <row r="1099" spans="1:43" s="37" customFormat="1" x14ac:dyDescent="0.25">
      <c r="A1099" s="37" t="str">
        <f t="shared" si="54"/>
        <v>2013Pertimali - Livio SassettiBrunello di Montalcino</v>
      </c>
      <c r="B1099" s="37">
        <v>2013</v>
      </c>
      <c r="C1099" s="37" t="s">
        <v>293</v>
      </c>
      <c r="D1099" s="37" t="s">
        <v>19</v>
      </c>
      <c r="E1099" s="64" t="s">
        <v>280</v>
      </c>
      <c r="F1099" s="37" t="s">
        <v>728</v>
      </c>
      <c r="G1099" s="37" t="s">
        <v>790</v>
      </c>
      <c r="H1099" s="37" t="s">
        <v>19</v>
      </c>
      <c r="I1099" s="37">
        <v>1</v>
      </c>
      <c r="J1099" s="37">
        <v>750</v>
      </c>
      <c r="K1099" s="8" t="s">
        <v>8</v>
      </c>
      <c r="L1099" s="37">
        <f>COUNTIF(Drank!A:A,Table1[[#This Row],[ID]])</f>
        <v>1</v>
      </c>
      <c r="M1099" s="37" t="s">
        <v>202</v>
      </c>
      <c r="N1099" s="37" t="s">
        <v>207</v>
      </c>
      <c r="O1099" s="37">
        <v>1</v>
      </c>
      <c r="P1099" s="37">
        <v>2020</v>
      </c>
      <c r="Q1099" s="37">
        <v>2035</v>
      </c>
      <c r="R1099" s="10">
        <f>IF(IFERROR(VLOOKUP(A1099,Drank!A:S,15,FALSE),"")=0,"",IFERROR(VLOOKUP(A1099,Drank!A:S,15,FALSE),""))</f>
        <v>2024</v>
      </c>
      <c r="S1099" s="10">
        <f>IF(IFERROR(VLOOKUP(A1099,Drank!A:S,16,FALSE),"")=0,"",IFERROR(VLOOKUP(A1099,Drank!A:S,16,FALSE),""))</f>
        <v>2035</v>
      </c>
      <c r="T1099" s="10"/>
      <c r="U1099" s="37">
        <v>93</v>
      </c>
      <c r="V1099" s="18">
        <f>IF(IFERROR(VLOOKUP(A1099,Drank!A:T,19,FALSE),"")=0,"",IFERROR(VLOOKUP(A1099,Drank!A:T,19,FALSE),""))</f>
        <v>93</v>
      </c>
      <c r="W1099" s="1">
        <f>IF(IFERROR(VLOOKUP(A1099,Drank!A:T,20,FALSE),"")=0,"",IFERROR(VLOOKUP(A1099,Drank!A:T,20,FALSE),""))</f>
        <v>43590</v>
      </c>
      <c r="X1099" s="10">
        <f>SUMIF(A:A,A1099,I:I)</f>
        <v>2</v>
      </c>
      <c r="Y1099" s="37">
        <f>IF(Table1[[#This Row],[Drank]]&gt;0,VLOOKUP(Table1[[#This Row],[ID]],Drank!A:P,16,FALSE),IF(Table1[[#This Row],[WALDD]]&gt;0,VLOOKUP(Table1[[#This Row],[ID]],Wine1!A:Q,17,FALSE),Table1[[#This Row],[EP]]))</f>
        <v>2035</v>
      </c>
      <c r="Z1099" s="18">
        <f>IF(Table1[[#This Row],[My Rating]]="",IF(Table1[[#This Row],[WA Rating Clean]]="","",Table1[[#This Row],[WA Rating Clean]]),Table1[[#This Row],[My Rating]])</f>
        <v>93</v>
      </c>
      <c r="AA1099" s="8">
        <v>2032</v>
      </c>
      <c r="AB1099" s="4">
        <v>52</v>
      </c>
      <c r="AC1099" s="2">
        <f t="shared" si="55"/>
        <v>52</v>
      </c>
      <c r="AD1099" s="8">
        <v>0</v>
      </c>
      <c r="AE1099" s="37">
        <f>IF(Table1[[#This Row],[P/750]]&lt;20,1,IF(Table1[[#This Row],[P/750]]&lt;50,2,3))</f>
        <v>3</v>
      </c>
      <c r="AF1099" s="37">
        <f>IF(Table1[[#This Row],[P/750]]&lt;Expenses!$C$30,1,IF(Table1[[#This Row],[P/750]]&lt;Expenses!$C$31,2,IF(Table1[[#This Row],[P/750]]&lt;Expenses!$C$32,3,4)))</f>
        <v>3</v>
      </c>
      <c r="AH1099" s="37" t="s">
        <v>385</v>
      </c>
      <c r="AI1099" s="11">
        <f>Table1[[#This Row],[Price]]/Table1[[#This Row],[Size (ml)]]*750</f>
        <v>52</v>
      </c>
      <c r="AJ1099" s="37">
        <v>93</v>
      </c>
      <c r="AK1099" s="37">
        <f>COUNTIF(UniqueID!A:A,Table1[[#This Row],[ID]])</f>
        <v>1</v>
      </c>
      <c r="AL1099" s="37" t="str">
        <f>VLOOKUP(Table1[[#This Row],[Cellar Location]],Location!A:F,6,FALSE)</f>
        <v>K</v>
      </c>
      <c r="AO1099" s="37" t="str">
        <f>TEXT(Table1[[#This Row],[Purchased]],"mmmm")</f>
        <v>January</v>
      </c>
      <c r="AP1099" s="10" t="str">
        <f>TEXT(Table1[[#This Row],[Purchased]],"yyyy")</f>
        <v>1900</v>
      </c>
      <c r="AQ1099" s="10"/>
    </row>
    <row r="1100" spans="1:43" s="37" customFormat="1" x14ac:dyDescent="0.25">
      <c r="A1100" s="37" t="str">
        <f t="shared" si="54"/>
        <v>2014Produttori del BarbarescoBarbaresco Riserva Pora</v>
      </c>
      <c r="B1100" s="37">
        <v>2014</v>
      </c>
      <c r="C1100" s="37" t="s">
        <v>248</v>
      </c>
      <c r="D1100" s="37" t="s">
        <v>1135</v>
      </c>
      <c r="E1100" s="67" t="s">
        <v>1206</v>
      </c>
      <c r="F1100" s="37" t="s">
        <v>728</v>
      </c>
      <c r="G1100" s="37" t="s">
        <v>778</v>
      </c>
      <c r="H1100" s="37" t="s">
        <v>249</v>
      </c>
      <c r="I1100" s="107">
        <v>1</v>
      </c>
      <c r="J1100" s="37">
        <v>750</v>
      </c>
      <c r="K1100" s="107" t="s">
        <v>1133</v>
      </c>
      <c r="L1100" s="10">
        <f>COUNTIF(Drank!A:A,Table1[[#This Row],[ID]])</f>
        <v>0</v>
      </c>
      <c r="M1100" s="37" t="s">
        <v>202</v>
      </c>
      <c r="N1100" s="37" t="s">
        <v>207</v>
      </c>
      <c r="O1100" s="37">
        <v>1</v>
      </c>
      <c r="P1100" s="10">
        <v>2021</v>
      </c>
      <c r="Q1100" s="37">
        <v>2035</v>
      </c>
      <c r="R1100" s="10" t="str">
        <f>IF(IFERROR(VLOOKUP(A1100,Drank!A:S,15,FALSE),"")=0,"",IFERROR(VLOOKUP(A1100,Drank!A:S,15,FALSE),""))</f>
        <v/>
      </c>
      <c r="S1100" s="10" t="str">
        <f>IF(IFERROR(VLOOKUP(A1100,Drank!A:S,16,FALSE),"")=0,"",IFERROR(VLOOKUP(A1100,Drank!A:S,16,FALSE),""))</f>
        <v/>
      </c>
      <c r="T1100" s="10"/>
      <c r="U1100" s="37">
        <v>94</v>
      </c>
      <c r="V1100" s="18" t="str">
        <f>IF(IFERROR(VLOOKUP(A1100,Drank!A:T,19,FALSE),"")=0,"",IFERROR(VLOOKUP(A1100,Drank!A:T,19,FALSE),""))</f>
        <v/>
      </c>
      <c r="W1100" s="1" t="str">
        <f>IF(IFERROR(VLOOKUP(A1100,Drank!A:T,20,FALSE),"")=0,"",IFERROR(VLOOKUP(A1100,Drank!A:T,20,FALSE),""))</f>
        <v/>
      </c>
      <c r="X1100" s="10">
        <f>SUMIF(A:A,A1100,I:I)</f>
        <v>1</v>
      </c>
      <c r="Y1100" s="10">
        <f>IF(Table1[[#This Row],[Drank]]&gt;0,VLOOKUP(Table1[[#This Row],[ID]],Drank!A:P,16,FALSE),IF(Table1[[#This Row],[WALDD]]&gt;0,VLOOKUP(Table1[[#This Row],[ID]],Wine1!A:Q,17,FALSE),Table1[[#This Row],[EP]]))</f>
        <v>2035</v>
      </c>
      <c r="Z1100" s="18">
        <f>IF(Table1[[#This Row],[My Rating]]="",IF(Table1[[#This Row],[WA Rating Clean]]="","",Table1[[#This Row],[WA Rating Clean]]),Table1[[#This Row],[My Rating]])</f>
        <v>94</v>
      </c>
      <c r="AA1100" s="37">
        <v>2032</v>
      </c>
      <c r="AB1100" s="4">
        <v>53.09</v>
      </c>
      <c r="AC1100" s="2">
        <f t="shared" si="55"/>
        <v>53.09</v>
      </c>
      <c r="AD1100" s="8">
        <v>2</v>
      </c>
      <c r="AE1100" s="10">
        <f>IF(Table1[[#This Row],[P/750]]&lt;20,1,IF(Table1[[#This Row],[P/750]]&lt;50,2,3))</f>
        <v>3</v>
      </c>
      <c r="AF1100" s="10">
        <f>IF(Table1[[#This Row],[P/750]]&lt;Expenses!$C$30,1,IF(Table1[[#This Row],[P/750]]&lt;Expenses!$C$31,2,IF(Table1[[#This Row],[P/750]]&lt;Expenses!$C$32,3,4)))</f>
        <v>3</v>
      </c>
      <c r="AH1100" s="37" t="s">
        <v>1132</v>
      </c>
      <c r="AI1100" s="11">
        <f>Table1[[#This Row],[Price]]/Table1[[#This Row],[Size (ml)]]*750</f>
        <v>53.089999999999996</v>
      </c>
      <c r="AJ1100" s="37">
        <v>94</v>
      </c>
      <c r="AK1100" s="10">
        <f>COUNTIF(UniqueID!A:A,Table1[[#This Row],[ID]])</f>
        <v>1</v>
      </c>
      <c r="AL1100" s="10" t="str">
        <f>VLOOKUP(Table1[[#This Row],[Cellar Location]],Location!A:F,6,FALSE)</f>
        <v>S</v>
      </c>
      <c r="AN1100" s="1">
        <v>43833</v>
      </c>
      <c r="AO1100" s="37" t="str">
        <f>TEXT(Table1[[#This Row],[Purchased]],"mmmm")</f>
        <v>January</v>
      </c>
      <c r="AP1100" s="10" t="str">
        <f>TEXT(Table1[[#This Row],[Purchased]],"yyyy")</f>
        <v>2020</v>
      </c>
      <c r="AQ1100" s="10"/>
    </row>
    <row r="1101" spans="1:43" s="37" customFormat="1" x14ac:dyDescent="0.25">
      <c r="A1101" s="37" t="str">
        <f t="shared" si="54"/>
        <v>2016Produttori del BarbarescoBarbaresco</v>
      </c>
      <c r="B1101" s="37">
        <v>2016</v>
      </c>
      <c r="C1101" s="37" t="s">
        <v>248</v>
      </c>
      <c r="D1101" s="37" t="s">
        <v>249</v>
      </c>
      <c r="E1101" s="67" t="s">
        <v>1206</v>
      </c>
      <c r="F1101" s="37" t="s">
        <v>728</v>
      </c>
      <c r="G1101" s="37" t="s">
        <v>778</v>
      </c>
      <c r="H1101" s="37" t="s">
        <v>249</v>
      </c>
      <c r="I1101" s="107">
        <v>1</v>
      </c>
      <c r="J1101" s="37">
        <v>750</v>
      </c>
      <c r="K1101" s="107" t="s">
        <v>644</v>
      </c>
      <c r="L1101" s="37">
        <f>COUNTIF(Drank!A:A,Table1[[#This Row],[ID]])</f>
        <v>2</v>
      </c>
      <c r="M1101" s="37" t="s">
        <v>202</v>
      </c>
      <c r="N1101" s="37" t="s">
        <v>207</v>
      </c>
      <c r="O1101" s="37">
        <v>1</v>
      </c>
      <c r="P1101" s="37">
        <v>2022</v>
      </c>
      <c r="Q1101" s="37">
        <v>2040</v>
      </c>
      <c r="R1101" s="10">
        <f>IF(IFERROR(VLOOKUP(A1101,Drank!A:S,15,FALSE),"")=0,"",IFERROR(VLOOKUP(A1101,Drank!A:S,15,FALSE),""))</f>
        <v>2021</v>
      </c>
      <c r="S1101" s="10">
        <f>IF(IFERROR(VLOOKUP(A1101,Drank!A:S,16,FALSE),"")=0,"",IFERROR(VLOOKUP(A1101,Drank!A:S,16,FALSE),""))</f>
        <v>2032</v>
      </c>
      <c r="T1101" s="10"/>
      <c r="U1101" s="37">
        <v>95</v>
      </c>
      <c r="V1101" s="18">
        <f>IF(IFERROR(VLOOKUP(A1101,Drank!A:T,19,FALSE),"")=0,"",IFERROR(VLOOKUP(A1101,Drank!A:T,19,FALSE),""))</f>
        <v>95.5</v>
      </c>
      <c r="W1101" s="1">
        <f>IF(IFERROR(VLOOKUP(A1101,Drank!A:T,20,FALSE),"")=0,"",IFERROR(VLOOKUP(A1101,Drank!A:T,20,FALSE),""))</f>
        <v>44079</v>
      </c>
      <c r="X1101" s="10">
        <f>SUMIF(A:A,A1101,I:I)</f>
        <v>41</v>
      </c>
      <c r="Y1101" s="37">
        <f>IF(Table1[[#This Row],[Drank]]&gt;0,VLOOKUP(Table1[[#This Row],[ID]],Drank!A:P,16,FALSE),IF(Table1[[#This Row],[WALDD]]&gt;0,VLOOKUP(Table1[[#This Row],[ID]],Wine1!A:Q,17,FALSE),Table1[[#This Row],[EP]]))</f>
        <v>2032</v>
      </c>
      <c r="Z1101" s="18">
        <f>IF(Table1[[#This Row],[My Rating]]="",IF(Table1[[#This Row],[WA Rating Clean]]="","",Table1[[#This Row],[WA Rating Clean]]),Table1[[#This Row],[My Rating]])</f>
        <v>95.5</v>
      </c>
      <c r="AA1101" s="8">
        <v>2032</v>
      </c>
      <c r="AB1101" s="4">
        <v>43.19</v>
      </c>
      <c r="AC1101" s="2">
        <f t="shared" si="55"/>
        <v>43.19</v>
      </c>
      <c r="AD1101" s="8">
        <v>2</v>
      </c>
      <c r="AE1101" s="37">
        <f>IF(Table1[[#This Row],[P/750]]&lt;20,1,IF(Table1[[#This Row],[P/750]]&lt;50,2,3))</f>
        <v>2</v>
      </c>
      <c r="AF1101" s="37">
        <f>IF(Table1[[#This Row],[P/750]]&lt;Expenses!$C$30,1,IF(Table1[[#This Row],[P/750]]&lt;Expenses!$C$31,2,IF(Table1[[#This Row],[P/750]]&lt;Expenses!$C$32,3,4)))</f>
        <v>3</v>
      </c>
      <c r="AH1101" s="37" t="s">
        <v>1128</v>
      </c>
      <c r="AI1101" s="11">
        <f>Table1[[#This Row],[Price]]/Table1[[#This Row],[Size (ml)]]*750</f>
        <v>43.19</v>
      </c>
      <c r="AJ1101" s="37">
        <v>95</v>
      </c>
      <c r="AK1101" s="37">
        <f>COUNTIF(UniqueID!A:A,Table1[[#This Row],[ID]])</f>
        <v>1</v>
      </c>
      <c r="AL1101" s="37" t="str">
        <f>VLOOKUP(Table1[[#This Row],[Cellar Location]],Location!A:F,6,FALSE)</f>
        <v>S</v>
      </c>
      <c r="AO1101" s="37" t="str">
        <f>TEXT(Table1[[#This Row],[Purchased]],"mmmm")</f>
        <v>January</v>
      </c>
      <c r="AP1101" s="10" t="str">
        <f>TEXT(Table1[[#This Row],[Purchased]],"yyyy")</f>
        <v>1900</v>
      </c>
      <c r="AQ1101" s="10"/>
    </row>
    <row r="1102" spans="1:43" s="37" customFormat="1" x14ac:dyDescent="0.25">
      <c r="A1102" s="37" t="str">
        <f t="shared" si="54"/>
        <v>2015Poggio AnticoBrunello di Montalcino</v>
      </c>
      <c r="B1102" s="37">
        <v>2015</v>
      </c>
      <c r="C1102" s="37" t="s">
        <v>223</v>
      </c>
      <c r="D1102" s="37" t="s">
        <v>19</v>
      </c>
      <c r="E1102" s="37" t="s">
        <v>1250</v>
      </c>
      <c r="F1102" s="37" t="s">
        <v>728</v>
      </c>
      <c r="G1102" s="37" t="s">
        <v>790</v>
      </c>
      <c r="H1102" s="37" t="s">
        <v>19</v>
      </c>
      <c r="I1102" s="8">
        <v>1</v>
      </c>
      <c r="J1102" s="38">
        <v>750</v>
      </c>
      <c r="K1102" s="38" t="s">
        <v>1687</v>
      </c>
      <c r="L1102" s="10">
        <f>COUNTIF(Drank!A:A,Table1[[#This Row],[ID]])</f>
        <v>0</v>
      </c>
      <c r="M1102" s="37" t="s">
        <v>202</v>
      </c>
      <c r="N1102" s="37" t="s">
        <v>207</v>
      </c>
      <c r="O1102" s="37">
        <v>1</v>
      </c>
      <c r="P1102" s="37">
        <v>2021</v>
      </c>
      <c r="Q1102" s="37">
        <v>2035</v>
      </c>
      <c r="R1102" s="10" t="str">
        <f>IF(IFERROR(VLOOKUP(A1102,Drank!A:S,15,FALSE),"")=0,"",IFERROR(VLOOKUP(A1102,Drank!A:S,15,FALSE),""))</f>
        <v/>
      </c>
      <c r="S1102" s="10" t="str">
        <f>IF(IFERROR(VLOOKUP(A1102,Drank!A:S,16,FALSE),"")=0,"",IFERROR(VLOOKUP(A1102,Drank!A:S,16,FALSE),""))</f>
        <v/>
      </c>
      <c r="T1102" s="10"/>
      <c r="U1102" s="37">
        <v>95</v>
      </c>
      <c r="V1102" s="18" t="str">
        <f>IF(IFERROR(VLOOKUP(A1102,Drank!A:T,19,FALSE),"")=0,"",IFERROR(VLOOKUP(A1102,Drank!A:T,19,FALSE),""))</f>
        <v/>
      </c>
      <c r="W1102" s="1" t="str">
        <f>IF(IFERROR(VLOOKUP(A1102,Drank!A:T,20,FALSE),"")=0,"",IFERROR(VLOOKUP(A1102,Drank!A:T,20,FALSE),""))</f>
        <v/>
      </c>
      <c r="X1102" s="10">
        <f>SUMIF(A:A,A1102,I:I)</f>
        <v>4</v>
      </c>
      <c r="Y1102" s="10">
        <f>IF(Table1[[#This Row],[Drank]]&gt;0,VLOOKUP(Table1[[#This Row],[ID]],Drank!A:P,16,FALSE),IF(Table1[[#This Row],[WALDD]]&gt;0,VLOOKUP(Table1[[#This Row],[ID]],Wine1!A:Q,17,FALSE),Table1[[#This Row],[EP]]))</f>
        <v>2035</v>
      </c>
      <c r="Z1102" s="18">
        <f>IF(Table1[[#This Row],[My Rating]]="",IF(Table1[[#This Row],[WA Rating Clean]]="","",Table1[[#This Row],[WA Rating Clean]]),Table1[[#This Row],[My Rating]])</f>
        <v>95</v>
      </c>
      <c r="AA1102" s="8">
        <v>2032</v>
      </c>
      <c r="AB1102" s="4">
        <v>66.930000000000007</v>
      </c>
      <c r="AC1102" s="2">
        <f t="shared" si="55"/>
        <v>66.930000000000007</v>
      </c>
      <c r="AD1102" s="8">
        <v>1</v>
      </c>
      <c r="AE1102" s="10">
        <f>IF(Table1[[#This Row],[P/750]]&lt;20,1,IF(Table1[[#This Row],[P/750]]&lt;50,2,3))</f>
        <v>3</v>
      </c>
      <c r="AF1102" s="10">
        <f>IF(Table1[[#This Row],[P/750]]&lt;Expenses!$C$30,1,IF(Table1[[#This Row],[P/750]]&lt;Expenses!$C$31,2,IF(Table1[[#This Row],[P/750]]&lt;Expenses!$C$32,3,4)))</f>
        <v>4</v>
      </c>
      <c r="AH1102" s="37" t="s">
        <v>1189</v>
      </c>
      <c r="AI1102" s="11">
        <f>Table1[[#This Row],[Price]]/Table1[[#This Row],[Size (ml)]]*750</f>
        <v>66.930000000000007</v>
      </c>
      <c r="AJ1102" s="37">
        <v>95</v>
      </c>
      <c r="AK1102" s="10">
        <f>COUNTIF(UniqueID!A:A,Table1[[#This Row],[ID]])</f>
        <v>0</v>
      </c>
      <c r="AL1102" s="10" t="str">
        <f>VLOOKUP(Table1[[#This Row],[Cellar Location]],Location!A:F,6,FALSE)</f>
        <v>W</v>
      </c>
      <c r="AN1102" s="1">
        <v>44061</v>
      </c>
      <c r="AO1102" s="10" t="str">
        <f>TEXT(Table1[[#This Row],[Purchased]],"mmmm")</f>
        <v>August</v>
      </c>
      <c r="AP1102" s="10" t="str">
        <f>TEXT(Table1[[#This Row],[Purchased]],"yyyy")</f>
        <v>2020</v>
      </c>
      <c r="AQ1102" s="1">
        <v>44137</v>
      </c>
    </row>
    <row r="1103" spans="1:43" s="37" customFormat="1" x14ac:dyDescent="0.25">
      <c r="A1103" s="37" t="str">
        <f t="shared" si="54"/>
        <v>2015UccellieraBrunello di Montalcino</v>
      </c>
      <c r="B1103" s="37">
        <v>2015</v>
      </c>
      <c r="C1103" s="37" t="s">
        <v>1470</v>
      </c>
      <c r="D1103" s="37" t="s">
        <v>19</v>
      </c>
      <c r="E1103" s="67" t="s">
        <v>1250</v>
      </c>
      <c r="F1103" s="37" t="s">
        <v>728</v>
      </c>
      <c r="G1103" s="37" t="s">
        <v>790</v>
      </c>
      <c r="H1103" s="37" t="s">
        <v>19</v>
      </c>
      <c r="I1103" s="37">
        <v>1</v>
      </c>
      <c r="J1103" s="38">
        <v>750</v>
      </c>
      <c r="K1103" s="38" t="s">
        <v>415</v>
      </c>
      <c r="L1103" s="10">
        <f>COUNTIF(Drank!A:A,Table1[[#This Row],[ID]])</f>
        <v>0</v>
      </c>
      <c r="M1103" s="37" t="s">
        <v>202</v>
      </c>
      <c r="N1103" s="37" t="s">
        <v>206</v>
      </c>
      <c r="O1103" s="37">
        <v>1</v>
      </c>
      <c r="P1103" s="10">
        <v>2021</v>
      </c>
      <c r="Q1103" s="37">
        <v>2040</v>
      </c>
      <c r="R1103" s="10" t="str">
        <f>IF(IFERROR(VLOOKUP(A1103,Drank!A:S,15,FALSE),"")=0,"",IFERROR(VLOOKUP(A1103,Drank!A:S,15,FALSE),""))</f>
        <v/>
      </c>
      <c r="S1103" s="10" t="str">
        <f>IF(IFERROR(VLOOKUP(A1103,Drank!A:S,16,FALSE),"")=0,"",IFERROR(VLOOKUP(A1103,Drank!A:S,16,FALSE),""))</f>
        <v/>
      </c>
      <c r="T1103" s="10"/>
      <c r="U1103" s="37">
        <v>97</v>
      </c>
      <c r="V1103" s="18" t="str">
        <f>IF(IFERROR(VLOOKUP(A1103,Drank!A:T,19,FALSE),"")=0,"",IFERROR(VLOOKUP(A1103,Drank!A:T,19,FALSE),""))</f>
        <v/>
      </c>
      <c r="W1103" s="1" t="str">
        <f>IF(IFERROR(VLOOKUP(A1103,Drank!A:T,20,FALSE),"")=0,"",IFERROR(VLOOKUP(A1103,Drank!A:T,20,FALSE),""))</f>
        <v/>
      </c>
      <c r="X1103" s="10">
        <f>SUMIF(A:A,A1103,I:I)</f>
        <v>3</v>
      </c>
      <c r="Y1103" s="10">
        <f>IF(Table1[[#This Row],[Drank]]&gt;0,VLOOKUP(Table1[[#This Row],[ID]],Drank!A:P,16,FALSE),IF(Table1[[#This Row],[WALDD]]&gt;0,VLOOKUP(Table1[[#This Row],[ID]],Wine1!A:Q,17,FALSE),Table1[[#This Row],[EP]]))</f>
        <v>2040</v>
      </c>
      <c r="Z1103" s="18">
        <f>IF(Table1[[#This Row],[My Rating]]="",IF(Table1[[#This Row],[WA Rating Clean]]="","",Table1[[#This Row],[WA Rating Clean]]),Table1[[#This Row],[My Rating]])</f>
        <v>97</v>
      </c>
      <c r="AA1103" s="6">
        <v>2032</v>
      </c>
      <c r="AB1103" s="4">
        <v>62.99</v>
      </c>
      <c r="AC1103" s="2">
        <f t="shared" si="55"/>
        <v>62.99</v>
      </c>
      <c r="AD1103" s="8">
        <v>1</v>
      </c>
      <c r="AE1103" s="10">
        <f>IF(Table1[[#This Row],[P/750]]&lt;20,1,IF(Table1[[#This Row],[P/750]]&lt;50,2,3))</f>
        <v>3</v>
      </c>
      <c r="AF1103" s="10">
        <f>IF(Table1[[#This Row],[P/750]]&lt;Expenses!$C$30,1,IF(Table1[[#This Row],[P/750]]&lt;Expenses!$C$31,2,IF(Table1[[#This Row],[P/750]]&lt;Expenses!$C$32,3,4)))</f>
        <v>3</v>
      </c>
      <c r="AH1103" s="37" t="s">
        <v>415</v>
      </c>
      <c r="AI1103" s="11">
        <f>Table1[[#This Row],[Price]]/Table1[[#This Row],[Size (ml)]]*750</f>
        <v>62.99</v>
      </c>
      <c r="AJ1103" s="37">
        <v>97</v>
      </c>
      <c r="AK1103" s="10">
        <f>COUNTIF(UniqueID!A:A,Table1[[#This Row],[ID]])</f>
        <v>0</v>
      </c>
      <c r="AL1103" s="10" t="str">
        <f>VLOOKUP(Table1[[#This Row],[Cellar Location]],Location!A:F,6,FALSE)</f>
        <v>W</v>
      </c>
      <c r="AN1103" s="1">
        <v>44015</v>
      </c>
      <c r="AO1103" s="10" t="str">
        <f>TEXT(Table1[[#This Row],[Purchased]],"mmmm")</f>
        <v>July</v>
      </c>
      <c r="AP1103" s="10" t="str">
        <f>TEXT(Table1[[#This Row],[Purchased]],"yyyy")</f>
        <v>2020</v>
      </c>
      <c r="AQ1103" s="1">
        <v>44114</v>
      </c>
    </row>
    <row r="1104" spans="1:43" s="37" customFormat="1" x14ac:dyDescent="0.25">
      <c r="A1104" s="37" t="str">
        <f t="shared" si="54"/>
        <v>2009Chateau La Tour BlancheLa Tour Blanche</v>
      </c>
      <c r="B1104" s="37">
        <v>2009</v>
      </c>
      <c r="C1104" s="37" t="s">
        <v>1208</v>
      </c>
      <c r="D1104" s="37" t="s">
        <v>216</v>
      </c>
      <c r="E1104" s="69" t="s">
        <v>1215</v>
      </c>
      <c r="F1104" s="37" t="s">
        <v>742</v>
      </c>
      <c r="G1104" s="37" t="s">
        <v>748</v>
      </c>
      <c r="H1104" s="37" t="s">
        <v>260</v>
      </c>
      <c r="I1104" s="107">
        <v>1</v>
      </c>
      <c r="J1104" s="37">
        <v>375</v>
      </c>
      <c r="K1104" s="107" t="s">
        <v>1504</v>
      </c>
      <c r="L1104" s="37">
        <f>COUNTIF(Drank!A:A,Table1[[#This Row],[ID]])</f>
        <v>4</v>
      </c>
      <c r="M1104" s="37" t="s">
        <v>201</v>
      </c>
      <c r="N1104" s="37" t="s">
        <v>206</v>
      </c>
      <c r="O1104" s="37">
        <v>1</v>
      </c>
      <c r="P1104" s="37">
        <v>2019</v>
      </c>
      <c r="Q1104" s="37">
        <v>2042</v>
      </c>
      <c r="R1104" s="37">
        <f>IF(IFERROR(VLOOKUP(A1104,Drank!A:S,15,FALSE),"")=0,"",IFERROR(VLOOKUP(A1104,Drank!A:S,15,FALSE),""))</f>
        <v>2020</v>
      </c>
      <c r="S1104" s="37">
        <f>IF(IFERROR(VLOOKUP(A1104,Drank!A:S,16,FALSE),"")=0,"",IFERROR(VLOOKUP(A1104,Drank!A:S,16,FALSE),""))</f>
        <v>2040</v>
      </c>
      <c r="U1104" s="37">
        <v>93</v>
      </c>
      <c r="V1104" s="18">
        <f>IF(IFERROR(VLOOKUP(A1104,Drank!A:T,19,FALSE),"")=0,"",IFERROR(VLOOKUP(A1104,Drank!A:T,19,FALSE),""))</f>
        <v>92.25</v>
      </c>
      <c r="W1104" s="1">
        <f>IF(IFERROR(VLOOKUP(A1104,Drank!A:T,20,FALSE),"")=0,"",IFERROR(VLOOKUP(A1104,Drank!A:T,20,FALSE),""))</f>
        <v>43646</v>
      </c>
      <c r="X1104" s="37">
        <f>SUMIF(A:A,A1104,I:I)</f>
        <v>9</v>
      </c>
      <c r="Y1104" s="37">
        <f>IF(Table1[[#This Row],[Drank]]&gt;0,VLOOKUP(Table1[[#This Row],[ID]],Drank!A:P,16,FALSE),IF(Table1[[#This Row],[WALDD]]&gt;0,VLOOKUP(Table1[[#This Row],[ID]],Wine1!A:Q,17,FALSE),Table1[[#This Row],[EP]]))</f>
        <v>2040</v>
      </c>
      <c r="Z1104" s="18">
        <f>IF(Table1[[#This Row],[My Rating]]="",IF(Table1[[#This Row],[WA Rating Clean]]="","",Table1[[#This Row],[WA Rating Clean]]),Table1[[#This Row],[My Rating]])</f>
        <v>92.25</v>
      </c>
      <c r="AA1104" s="37">
        <v>2032</v>
      </c>
      <c r="AB1104" s="4">
        <v>20.99</v>
      </c>
      <c r="AC1104" s="2">
        <f t="shared" si="55"/>
        <v>20.99</v>
      </c>
      <c r="AD1104" s="8">
        <v>2</v>
      </c>
      <c r="AE1104" s="37">
        <f>IF(Table1[[#This Row],[P/750]]&lt;20,1,IF(Table1[[#This Row],[P/750]]&lt;50,2,3))</f>
        <v>2</v>
      </c>
      <c r="AF1104" s="37">
        <f>IF(Table1[[#This Row],[P/750]]&lt;Expenses!$C$30,1,IF(Table1[[#This Row],[P/750]]&lt;Expenses!$C$31,2,IF(Table1[[#This Row],[P/750]]&lt;Expenses!$C$32,3,4)))</f>
        <v>3</v>
      </c>
      <c r="AH1104" s="37" t="s">
        <v>385</v>
      </c>
      <c r="AI1104" s="11">
        <f>Table1[[#This Row],[Price]]/Table1[[#This Row],[Size (ml)]]*750</f>
        <v>41.98</v>
      </c>
      <c r="AJ1104" s="37">
        <v>93</v>
      </c>
      <c r="AK1104" s="37">
        <f>COUNTIF(UniqueID!A:A,Table1[[#This Row],[ID]])</f>
        <v>1</v>
      </c>
      <c r="AL1104" s="37" t="str">
        <f>VLOOKUP(Table1[[#This Row],[Cellar Location]],Location!A:F,6,FALSE)</f>
        <v>S</v>
      </c>
      <c r="AN1104" s="1">
        <v>43846</v>
      </c>
      <c r="AO1104" s="37" t="str">
        <f>TEXT(Table1[[#This Row],[Purchased]],"mmmm")</f>
        <v>January</v>
      </c>
      <c r="AP1104" s="10" t="str">
        <f>TEXT(Table1[[#This Row],[Purchased]],"yyyy")</f>
        <v>2020</v>
      </c>
      <c r="AQ1104" s="10"/>
    </row>
    <row r="1105" spans="1:43" s="37" customFormat="1" x14ac:dyDescent="0.25">
      <c r="A1105" s="37" t="str">
        <f t="shared" si="54"/>
        <v>2016CoutetCoutet</v>
      </c>
      <c r="B1105" s="37">
        <v>2016</v>
      </c>
      <c r="C1105" s="37" t="s">
        <v>847</v>
      </c>
      <c r="D1105" s="37" t="s">
        <v>847</v>
      </c>
      <c r="E1105" s="64" t="s">
        <v>260</v>
      </c>
      <c r="F1105" s="37" t="s">
        <v>742</v>
      </c>
      <c r="G1105" s="37" t="s">
        <v>748</v>
      </c>
      <c r="H1105" s="37" t="s">
        <v>753</v>
      </c>
      <c r="I1105" s="37">
        <v>1</v>
      </c>
      <c r="J1105" s="37">
        <v>375</v>
      </c>
      <c r="K1105" s="8" t="s">
        <v>658</v>
      </c>
      <c r="L1105" s="10">
        <f>COUNTIF(Drank!A:A,Table1[[#This Row],[ID]])</f>
        <v>0</v>
      </c>
      <c r="M1105" s="37" t="s">
        <v>201</v>
      </c>
      <c r="N1105" s="37" t="s">
        <v>206</v>
      </c>
      <c r="O1105" s="37">
        <v>1</v>
      </c>
      <c r="P1105" s="10">
        <v>2021</v>
      </c>
      <c r="Q1105" s="37">
        <v>2044</v>
      </c>
      <c r="R1105" s="10" t="str">
        <f>IF(IFERROR(VLOOKUP(A1105,Drank!A:S,15,FALSE),"")=0,"",IFERROR(VLOOKUP(A1105,Drank!A:S,15,FALSE),""))</f>
        <v/>
      </c>
      <c r="S1105" s="10" t="str">
        <f>IF(IFERROR(VLOOKUP(A1105,Drank!A:S,16,FALSE),"")=0,"",IFERROR(VLOOKUP(A1105,Drank!A:S,16,FALSE),""))</f>
        <v/>
      </c>
      <c r="T1105" s="10"/>
      <c r="U1105" s="37">
        <v>95</v>
      </c>
      <c r="V1105" s="18" t="str">
        <f>IF(IFERROR(VLOOKUP(A1105,Drank!A:T,19,FALSE),"")=0,"",IFERROR(VLOOKUP(A1105,Drank!A:T,19,FALSE),""))</f>
        <v/>
      </c>
      <c r="W1105" s="1" t="str">
        <f>IF(IFERROR(VLOOKUP(A1105,Drank!A:T,20,FALSE),"")=0,"",IFERROR(VLOOKUP(A1105,Drank!A:T,20,FALSE),""))</f>
        <v/>
      </c>
      <c r="X1105" s="10">
        <f>SUMIF(A:A,A1105,I:I)</f>
        <v>3</v>
      </c>
      <c r="Y1105" s="10">
        <f>IF(Table1[[#This Row],[Drank]]&gt;0,VLOOKUP(Table1[[#This Row],[ID]],Drank!A:P,16,FALSE),IF(Table1[[#This Row],[WALDD]]&gt;0,VLOOKUP(Table1[[#This Row],[ID]],Wine1!A:Q,17,FALSE),Table1[[#This Row],[EP]]))</f>
        <v>2044</v>
      </c>
      <c r="Z1105" s="18">
        <f>IF(Table1[[#This Row],[My Rating]]="",IF(Table1[[#This Row],[WA Rating Clean]]="","",Table1[[#This Row],[WA Rating Clean]]),Table1[[#This Row],[My Rating]])</f>
        <v>95</v>
      </c>
      <c r="AA1105" s="37">
        <v>2032</v>
      </c>
      <c r="AB1105" s="4">
        <v>21.99</v>
      </c>
      <c r="AC1105" s="2">
        <f t="shared" si="55"/>
        <v>21.99</v>
      </c>
      <c r="AD1105" s="8">
        <v>0</v>
      </c>
      <c r="AE1105" s="10">
        <f>IF(Table1[[#This Row],[P/750]]&lt;20,1,IF(Table1[[#This Row],[P/750]]&lt;50,2,3))</f>
        <v>2</v>
      </c>
      <c r="AF1105" s="10">
        <f>IF(Table1[[#This Row],[P/750]]&lt;Expenses!$C$30,1,IF(Table1[[#This Row],[P/750]]&lt;Expenses!$C$31,2,IF(Table1[[#This Row],[P/750]]&lt;Expenses!$C$32,3,4)))</f>
        <v>3</v>
      </c>
      <c r="AH1105" s="37" t="s">
        <v>1139</v>
      </c>
      <c r="AI1105" s="11">
        <f>Table1[[#This Row],[Price]]/Table1[[#This Row],[Size (ml)]]*750</f>
        <v>43.98</v>
      </c>
      <c r="AJ1105" s="37">
        <v>95</v>
      </c>
      <c r="AK1105" s="10">
        <f>COUNTIF(UniqueID!A:A,Table1[[#This Row],[ID]])</f>
        <v>1</v>
      </c>
      <c r="AL1105" s="37" t="str">
        <f>VLOOKUP(Table1[[#This Row],[Cellar Location]],Location!A:F,6,FALSE)</f>
        <v>C</v>
      </c>
      <c r="AO1105" s="37" t="str">
        <f>TEXT(Table1[[#This Row],[Purchased]],"mmmm")</f>
        <v>January</v>
      </c>
      <c r="AP1105" s="10" t="str">
        <f>TEXT(Table1[[#This Row],[Purchased]],"yyyy")</f>
        <v>1900</v>
      </c>
      <c r="AQ1105" s="10"/>
    </row>
    <row r="1106" spans="1:43" s="37" customFormat="1" x14ac:dyDescent="0.25">
      <c r="A1106" s="37" t="str">
        <f t="shared" si="54"/>
        <v>2016Clos du RoyClos du Roy</v>
      </c>
      <c r="B1106" s="37">
        <v>2016</v>
      </c>
      <c r="C1106" s="37" t="s">
        <v>854</v>
      </c>
      <c r="D1106" s="37" t="s">
        <v>854</v>
      </c>
      <c r="E1106" s="37" t="s">
        <v>1198</v>
      </c>
      <c r="F1106" s="37" t="s">
        <v>742</v>
      </c>
      <c r="G1106" s="37" t="s">
        <v>748</v>
      </c>
      <c r="H1106" s="37" t="s">
        <v>856</v>
      </c>
      <c r="I1106" s="107">
        <v>1</v>
      </c>
      <c r="J1106" s="37">
        <v>750</v>
      </c>
      <c r="K1106" s="107" t="s">
        <v>1145</v>
      </c>
      <c r="L1106" s="10">
        <f>COUNTIF(Drank!A:A,Table1[[#This Row],[ID]])</f>
        <v>1</v>
      </c>
      <c r="M1106" s="37" t="s">
        <v>202</v>
      </c>
      <c r="N1106" s="37" t="s">
        <v>207</v>
      </c>
      <c r="O1106" s="37">
        <v>1</v>
      </c>
      <c r="P1106" s="10">
        <v>2021</v>
      </c>
      <c r="Q1106" s="37">
        <v>2038</v>
      </c>
      <c r="R1106" s="10" t="str">
        <f>IF(IFERROR(VLOOKUP(A1106,Drank!A:S,15,FALSE),"")=0,"",IFERROR(VLOOKUP(A1106,Drank!A:S,15,FALSE),""))</f>
        <v/>
      </c>
      <c r="S1106" s="10">
        <f>IF(IFERROR(VLOOKUP(A1106,Drank!A:S,16,FALSE),"")=0,"",IFERROR(VLOOKUP(A1106,Drank!A:S,16,FALSE),""))</f>
        <v>2045</v>
      </c>
      <c r="T1106" s="10"/>
      <c r="U1106" s="37" t="s">
        <v>855</v>
      </c>
      <c r="V1106" s="18">
        <f>IF(IFERROR(VLOOKUP(A1106,Drank!A:T,19,FALSE),"")=0,"",IFERROR(VLOOKUP(A1106,Drank!A:T,19,FALSE),""))</f>
        <v>91</v>
      </c>
      <c r="W1106" s="1">
        <f>IF(IFERROR(VLOOKUP(A1106,Drank!A:T,20,FALSE),"")=0,"",IFERROR(VLOOKUP(A1106,Drank!A:T,20,FALSE),""))</f>
        <v>43830</v>
      </c>
      <c r="X1106" s="10">
        <f>SUMIF(A:A,A1106,I:I)</f>
        <v>15</v>
      </c>
      <c r="Y1106" s="10">
        <f>IF(Table1[[#This Row],[Drank]]&gt;0,VLOOKUP(Table1[[#This Row],[ID]],Drank!A:P,16,FALSE),IF(Table1[[#This Row],[WALDD]]&gt;0,VLOOKUP(Table1[[#This Row],[ID]],Wine1!A:Q,17,FALSE),Table1[[#This Row],[EP]]))</f>
        <v>2045</v>
      </c>
      <c r="Z1106" s="18">
        <f>IF(Table1[[#This Row],[My Rating]]="",IF(Table1[[#This Row],[WA Rating Clean]]="","",Table1[[#This Row],[WA Rating Clean]]),Table1[[#This Row],[My Rating]])</f>
        <v>91</v>
      </c>
      <c r="AA1106" s="37">
        <v>2032</v>
      </c>
      <c r="AB1106" s="4">
        <v>17.91</v>
      </c>
      <c r="AC1106" s="2">
        <f t="shared" si="55"/>
        <v>17.91</v>
      </c>
      <c r="AD1106" s="8">
        <v>2</v>
      </c>
      <c r="AE1106" s="10">
        <f>IF(Table1[[#This Row],[P/750]]&lt;20,1,IF(Table1[[#This Row],[P/750]]&lt;50,2,3))</f>
        <v>1</v>
      </c>
      <c r="AF1106" s="10">
        <f>IF(Table1[[#This Row],[P/750]]&lt;Expenses!$C$30,1,IF(Table1[[#This Row],[P/750]]&lt;Expenses!$C$31,2,IF(Table1[[#This Row],[P/750]]&lt;Expenses!$C$32,3,4)))</f>
        <v>2</v>
      </c>
      <c r="AH1106" s="37" t="s">
        <v>1128</v>
      </c>
      <c r="AI1106" s="11">
        <f>Table1[[#This Row],[Price]]/Table1[[#This Row],[Size (ml)]]*750</f>
        <v>17.91</v>
      </c>
      <c r="AJ1106" s="37">
        <v>92</v>
      </c>
      <c r="AK1106" s="10">
        <f>COUNTIF(UniqueID!A:A,Table1[[#This Row],[ID]])</f>
        <v>1</v>
      </c>
      <c r="AL1106" s="37" t="str">
        <f>VLOOKUP(Table1[[#This Row],[Cellar Location]],Location!A:F,6,FALSE)</f>
        <v>S</v>
      </c>
      <c r="AN1106" s="1">
        <v>43830</v>
      </c>
      <c r="AO1106" s="37" t="str">
        <f>TEXT(Table1[[#This Row],[Purchased]],"mmmm")</f>
        <v>December</v>
      </c>
      <c r="AP1106" s="10" t="str">
        <f>TEXT(Table1[[#This Row],[Purchased]],"yyyy")</f>
        <v>2019</v>
      </c>
      <c r="AQ1106" s="10"/>
    </row>
    <row r="1107" spans="1:43" s="37" customFormat="1" x14ac:dyDescent="0.25">
      <c r="A1107" s="37" t="str">
        <f t="shared" si="54"/>
        <v>2016Castello di AmaL'Apparita</v>
      </c>
      <c r="B1107" s="8">
        <v>2016</v>
      </c>
      <c r="C1107" s="8" t="s">
        <v>75</v>
      </c>
      <c r="D1107" s="19" t="s">
        <v>1819</v>
      </c>
      <c r="E1107" s="63" t="s">
        <v>1820</v>
      </c>
      <c r="F1107" s="37" t="s">
        <v>728</v>
      </c>
      <c r="G1107" s="37" t="s">
        <v>790</v>
      </c>
      <c r="H1107" s="37" t="s">
        <v>796</v>
      </c>
      <c r="I1107" s="37">
        <v>1</v>
      </c>
      <c r="J1107" s="38">
        <v>750</v>
      </c>
      <c r="K1107" s="38" t="s">
        <v>435</v>
      </c>
      <c r="L1107" s="10">
        <f>COUNTIF(Drank!A:A,Table1[[#This Row],[ID]])</f>
        <v>0</v>
      </c>
      <c r="M1107" s="37" t="s">
        <v>202</v>
      </c>
      <c r="N1107" s="37" t="s">
        <v>207</v>
      </c>
      <c r="O1107" s="37">
        <v>1</v>
      </c>
      <c r="P1107" s="10">
        <v>2022</v>
      </c>
      <c r="Q1107" s="37">
        <v>2045</v>
      </c>
      <c r="R1107" s="10" t="str">
        <f>IF(IFERROR(VLOOKUP(A1107,Drank!A:S,15,FALSE),"")=0,"",IFERROR(VLOOKUP(A1107,Drank!A:S,15,FALSE),""))</f>
        <v/>
      </c>
      <c r="S1107" s="10" t="str">
        <f>IF(IFERROR(VLOOKUP(A1107,Drank!A:S,16,FALSE),"")=0,"",IFERROR(VLOOKUP(A1107,Drank!A:S,16,FALSE),""))</f>
        <v/>
      </c>
      <c r="T1107" s="10"/>
      <c r="U1107" s="37">
        <v>99</v>
      </c>
      <c r="V1107" s="18" t="str">
        <f>IF(IFERROR(VLOOKUP(A1107,Drank!A:T,19,FALSE),"")=0,"",IFERROR(VLOOKUP(A1107,Drank!A:T,19,FALSE),""))</f>
        <v/>
      </c>
      <c r="W1107" s="1" t="str">
        <f>IF(IFERROR(VLOOKUP(A1107,Drank!A:T,20,FALSE),"")=0,"",IFERROR(VLOOKUP(A1107,Drank!A:T,20,FALSE),""))</f>
        <v/>
      </c>
      <c r="X1107" s="10">
        <f>SUMIF(A:A,A1107,I:I)</f>
        <v>2</v>
      </c>
      <c r="Y1107" s="10">
        <f>IF(Table1[[#This Row],[Drank]]&gt;0,VLOOKUP(Table1[[#This Row],[ID]],Drank!A:P,16,FALSE),IF(Table1[[#This Row],[WALDD]]&gt;0,VLOOKUP(Table1[[#This Row],[ID]],Wine1!A:Q,17,FALSE),Table1[[#This Row],[EP]]))</f>
        <v>2045</v>
      </c>
      <c r="Z1107" s="18">
        <f>IF(Table1[[#This Row],[My Rating]]="",IF(Table1[[#This Row],[WA Rating Clean]]="","",Table1[[#This Row],[WA Rating Clean]]),Table1[[#This Row],[My Rating]])</f>
        <v>99</v>
      </c>
      <c r="AA1107" s="37">
        <v>2032</v>
      </c>
      <c r="AB1107" s="128">
        <v>209.35</v>
      </c>
      <c r="AC1107" s="2">
        <f t="shared" si="55"/>
        <v>209.35</v>
      </c>
      <c r="AD1107" s="8"/>
      <c r="AE1107" s="10">
        <f>IF(Table1[[#This Row],[P/750]]&lt;20,1,IF(Table1[[#This Row],[P/750]]&lt;50,2,3))</f>
        <v>3</v>
      </c>
      <c r="AF1107" s="10">
        <f>IF(Table1[[#This Row],[P/750]]&lt;Expenses!$C$30,1,IF(Table1[[#This Row],[P/750]]&lt;Expenses!$C$31,2,IF(Table1[[#This Row],[P/750]]&lt;Expenses!$C$32,3,4)))</f>
        <v>4</v>
      </c>
      <c r="AH1107" s="25" t="s">
        <v>1818</v>
      </c>
      <c r="AI1107" s="11">
        <f>Table1[[#This Row],[Price]]/Table1[[#This Row],[Size (ml)]]*750</f>
        <v>209.35</v>
      </c>
      <c r="AJ1107" s="37">
        <v>99</v>
      </c>
      <c r="AK1107" s="10">
        <f>COUNTIF(UniqueID!A:A,Table1[[#This Row],[ID]])</f>
        <v>0</v>
      </c>
      <c r="AL1107" s="10" t="str">
        <f>VLOOKUP(Table1[[#This Row],[Cellar Location]],Location!A:F,6,FALSE)</f>
        <v>W</v>
      </c>
      <c r="AN1107" s="1">
        <v>44068</v>
      </c>
      <c r="AO1107" s="10" t="str">
        <f>TEXT(Table1[[#This Row],[Purchased]],"mmmm")</f>
        <v>August</v>
      </c>
      <c r="AP1107" s="10" t="str">
        <f>TEXT(Table1[[#This Row],[Purchased]],"yyyy")</f>
        <v>2020</v>
      </c>
      <c r="AQ1107" s="1">
        <v>44114</v>
      </c>
    </row>
    <row r="1108" spans="1:43" s="37" customFormat="1" x14ac:dyDescent="0.25">
      <c r="A1108" s="37" t="str">
        <f t="shared" si="54"/>
        <v>2016Doisy-VedrinesPetit-Vedrines</v>
      </c>
      <c r="B1108" s="37">
        <v>2016</v>
      </c>
      <c r="C1108" s="37" t="s">
        <v>843</v>
      </c>
      <c r="D1108" s="37" t="s">
        <v>1686</v>
      </c>
      <c r="E1108" s="69" t="s">
        <v>1688</v>
      </c>
      <c r="F1108" s="37" t="s">
        <v>742</v>
      </c>
      <c r="G1108" s="37" t="s">
        <v>748</v>
      </c>
      <c r="H1108" s="37" t="s">
        <v>260</v>
      </c>
      <c r="I1108" s="8">
        <v>1</v>
      </c>
      <c r="J1108" s="38">
        <v>375</v>
      </c>
      <c r="K1108" s="38" t="s">
        <v>1687</v>
      </c>
      <c r="L1108" s="10">
        <f>COUNTIF(Drank!A:A,Table1[[#This Row],[ID]])</f>
        <v>0</v>
      </c>
      <c r="M1108" s="37" t="s">
        <v>201</v>
      </c>
      <c r="N1108" s="37" t="s">
        <v>206</v>
      </c>
      <c r="O1108" s="37">
        <v>0</v>
      </c>
      <c r="R1108" s="10" t="str">
        <f>IF(IFERROR(VLOOKUP(A1108,Drank!A:S,15,FALSE),"")=0,"",IFERROR(VLOOKUP(A1108,Drank!A:S,15,FALSE),""))</f>
        <v/>
      </c>
      <c r="S1108" s="10" t="str">
        <f>IF(IFERROR(VLOOKUP(A1108,Drank!A:S,16,FALSE),"")=0,"",IFERROR(VLOOKUP(A1108,Drank!A:S,16,FALSE),""))</f>
        <v/>
      </c>
      <c r="T1108" s="10"/>
      <c r="V1108" s="18" t="str">
        <f>IF(IFERROR(VLOOKUP(A1108,Drank!A:T,19,FALSE),"")=0,"",IFERROR(VLOOKUP(A1108,Drank!A:T,19,FALSE),""))</f>
        <v/>
      </c>
      <c r="W1108" s="1" t="str">
        <f>IF(IFERROR(VLOOKUP(A1108,Drank!A:T,20,FALSE),"")=0,"",IFERROR(VLOOKUP(A1108,Drank!A:T,20,FALSE),""))</f>
        <v/>
      </c>
      <c r="X1108" s="10">
        <f>SUMIF(A:A,A1108,I:I)</f>
        <v>24</v>
      </c>
      <c r="Y1108" s="10">
        <f>IF(Table1[[#This Row],[Drank]]&gt;0,VLOOKUP(Table1[[#This Row],[ID]],Drank!A:P,16,FALSE),IF(Table1[[#This Row],[WALDD]]&gt;0,VLOOKUP(Table1[[#This Row],[ID]],Wine1!A:Q,17,FALSE),Table1[[#This Row],[EP]]))</f>
        <v>0</v>
      </c>
      <c r="Z1108" s="18" t="str">
        <f>IF(Table1[[#This Row],[My Rating]]="",IF(Table1[[#This Row],[WA Rating Clean]]="","",Table1[[#This Row],[WA Rating Clean]]),Table1[[#This Row],[My Rating]])</f>
        <v/>
      </c>
      <c r="AA1108" s="8">
        <v>2033</v>
      </c>
      <c r="AB1108" s="4">
        <v>16.399999999999999</v>
      </c>
      <c r="AC1108" s="2">
        <f t="shared" si="55"/>
        <v>16.399999999999999</v>
      </c>
      <c r="AD1108" s="8">
        <v>1</v>
      </c>
      <c r="AE1108" s="10">
        <f>IF(Table1[[#This Row],[P/750]]&lt;20,1,IF(Table1[[#This Row],[P/750]]&lt;50,2,3))</f>
        <v>2</v>
      </c>
      <c r="AF1108" s="10">
        <f>IF(Table1[[#This Row],[P/750]]&lt;Expenses!$C$30,1,IF(Table1[[#This Row],[P/750]]&lt;Expenses!$C$31,2,IF(Table1[[#This Row],[P/750]]&lt;Expenses!$C$32,3,4)))</f>
        <v>3</v>
      </c>
      <c r="AH1108" s="37" t="s">
        <v>1189</v>
      </c>
      <c r="AI1108" s="11">
        <f>Table1[[#This Row],[Price]]/Table1[[#This Row],[Size (ml)]]*750</f>
        <v>32.799999999999997</v>
      </c>
      <c r="AK1108" s="10">
        <f>COUNTIF(UniqueID!A:A,Table1[[#This Row],[ID]])</f>
        <v>0</v>
      </c>
      <c r="AL1108" s="10" t="str">
        <f>VLOOKUP(Table1[[#This Row],[Cellar Location]],Location!A:F,6,FALSE)</f>
        <v>W</v>
      </c>
      <c r="AN1108" s="1">
        <v>44061</v>
      </c>
      <c r="AO1108" s="10" t="str">
        <f>TEXT(Table1[[#This Row],[Purchased]],"mmmm")</f>
        <v>August</v>
      </c>
      <c r="AP1108" s="10" t="str">
        <f>TEXT(Table1[[#This Row],[Purchased]],"yyyy")</f>
        <v>2020</v>
      </c>
      <c r="AQ1108" s="1">
        <v>44137</v>
      </c>
    </row>
    <row r="1109" spans="1:43" s="37" customFormat="1" x14ac:dyDescent="0.25">
      <c r="A1109" s="37" t="str">
        <f t="shared" si="54"/>
        <v>2017SichelSichel</v>
      </c>
      <c r="B1109" s="8">
        <v>2017</v>
      </c>
      <c r="C1109" s="37" t="s">
        <v>409</v>
      </c>
      <c r="D1109" s="37" t="s">
        <v>409</v>
      </c>
      <c r="E1109" s="37" t="s">
        <v>1200</v>
      </c>
      <c r="F1109" s="37" t="s">
        <v>742</v>
      </c>
      <c r="G1109" s="37" t="s">
        <v>748</v>
      </c>
      <c r="H1109" s="37" t="s">
        <v>260</v>
      </c>
      <c r="I1109" s="107">
        <v>1</v>
      </c>
      <c r="J1109" s="37">
        <v>375</v>
      </c>
      <c r="K1109" s="107" t="s">
        <v>1504</v>
      </c>
      <c r="L1109" s="37">
        <f>COUNTIF(Drank!A:A,Table1[[#This Row],[ID]])</f>
        <v>10</v>
      </c>
      <c r="M1109" s="37" t="s">
        <v>201</v>
      </c>
      <c r="N1109" s="37" t="s">
        <v>206</v>
      </c>
      <c r="O1109" s="37">
        <v>1</v>
      </c>
      <c r="R1109" s="10">
        <f>IF(IFERROR(VLOOKUP(A1109,Drank!A:S,15,FALSE),"")=0,"",IFERROR(VLOOKUP(A1109,Drank!A:S,15,FALSE),""))</f>
        <v>2020</v>
      </c>
      <c r="S1109" s="10">
        <f>IF(IFERROR(VLOOKUP(A1109,Drank!A:S,16,FALSE),"")=0,"",IFERROR(VLOOKUP(A1109,Drank!A:S,16,FALSE),""))</f>
        <v>2025</v>
      </c>
      <c r="T1109" s="10"/>
      <c r="V1109" s="18">
        <f>IF(IFERROR(VLOOKUP(A1109,Drank!A:T,19,FALSE),"")=0,"",IFERROR(VLOOKUP(A1109,Drank!A:T,19,FALSE),""))</f>
        <v>89.7</v>
      </c>
      <c r="W1109" s="1">
        <f>IF(IFERROR(VLOOKUP(A1109,Drank!A:T,20,FALSE),"")=0,"",IFERROR(VLOOKUP(A1109,Drank!A:T,20,FALSE),""))</f>
        <v>44002</v>
      </c>
      <c r="X1109" s="10">
        <f>SUMIF(A:A,A1109,I:I)</f>
        <v>20</v>
      </c>
      <c r="Y1109" s="37">
        <f>IF(Table1[[#This Row],[Drank]]&gt;0,VLOOKUP(Table1[[#This Row],[ID]],Drank!A:P,16,FALSE),IF(Table1[[#This Row],[WALDD]]&gt;0,VLOOKUP(Table1[[#This Row],[ID]],Wine1!A:Q,17,FALSE),Table1[[#This Row],[EP]]))</f>
        <v>2025</v>
      </c>
      <c r="Z1109" s="18">
        <f>IF(Table1[[#This Row],[My Rating]]="",IF(Table1[[#This Row],[WA Rating Clean]]="","",Table1[[#This Row],[WA Rating Clean]]),Table1[[#This Row],[My Rating]])</f>
        <v>89.7</v>
      </c>
      <c r="AA1109" s="37">
        <v>2033</v>
      </c>
      <c r="AB1109" s="4">
        <v>12</v>
      </c>
      <c r="AC1109" s="2">
        <f t="shared" si="55"/>
        <v>12</v>
      </c>
      <c r="AD1109" s="8">
        <v>2</v>
      </c>
      <c r="AE1109" s="37">
        <f>IF(Table1[[#This Row],[P/750]]&lt;20,1,IF(Table1[[#This Row],[P/750]]&lt;50,2,3))</f>
        <v>2</v>
      </c>
      <c r="AF1109" s="37">
        <f>IF(Table1[[#This Row],[P/750]]&lt;Expenses!$C$30,1,IF(Table1[[#This Row],[P/750]]&lt;Expenses!$C$31,2,IF(Table1[[#This Row],[P/750]]&lt;Expenses!$C$32,3,4)))</f>
        <v>2</v>
      </c>
      <c r="AH1109" s="37" t="s">
        <v>385</v>
      </c>
      <c r="AI1109" s="11">
        <f>Table1[[#This Row],[Price]]/Table1[[#This Row],[Size (ml)]]*750</f>
        <v>24</v>
      </c>
      <c r="AK1109" s="37">
        <f>COUNTIF(UniqueID!A:A,Table1[[#This Row],[ID]])</f>
        <v>1</v>
      </c>
      <c r="AL1109" s="37" t="str">
        <f>VLOOKUP(Table1[[#This Row],[Cellar Location]],Location!A:F,6,FALSE)</f>
        <v>S</v>
      </c>
      <c r="AN1109" s="1">
        <v>43845</v>
      </c>
      <c r="AO1109" s="37" t="str">
        <f>TEXT(Table1[[#This Row],[Purchased]],"mmmm")</f>
        <v>January</v>
      </c>
      <c r="AP1109" s="10" t="str">
        <f>TEXT(Table1[[#This Row],[Purchased]],"yyyy")</f>
        <v>2020</v>
      </c>
      <c r="AQ1109" s="10"/>
    </row>
    <row r="1110" spans="1:43" s="37" customFormat="1" x14ac:dyDescent="0.25">
      <c r="A1110" s="37" t="str">
        <f t="shared" si="54"/>
        <v>2015Durfort VivensDurfort Vivens</v>
      </c>
      <c r="B1110" s="37">
        <v>2015</v>
      </c>
      <c r="C1110" s="37" t="s">
        <v>116</v>
      </c>
      <c r="D1110" s="37" t="s">
        <v>116</v>
      </c>
      <c r="E1110" s="67" t="s">
        <v>1262</v>
      </c>
      <c r="F1110" s="37" t="s">
        <v>742</v>
      </c>
      <c r="G1110" s="37" t="s">
        <v>748</v>
      </c>
      <c r="H1110" s="37" t="s">
        <v>750</v>
      </c>
      <c r="I1110" s="37">
        <v>1</v>
      </c>
      <c r="J1110" s="37">
        <v>750</v>
      </c>
      <c r="K1110" s="8" t="s">
        <v>8</v>
      </c>
      <c r="L1110" s="37">
        <f>COUNTIF(Drank!A:A,Table1[[#This Row],[ID]])</f>
        <v>1</v>
      </c>
      <c r="M1110" s="37" t="s">
        <v>202</v>
      </c>
      <c r="N1110" s="37" t="s">
        <v>207</v>
      </c>
      <c r="O1110" s="37">
        <v>1</v>
      </c>
      <c r="P1110" s="37">
        <v>2018</v>
      </c>
      <c r="Q1110" s="37">
        <v>2030</v>
      </c>
      <c r="R1110" s="37">
        <f>IF(IFERROR(VLOOKUP(A1110,Drank!A:S,15,FALSE),"")=0,"",IFERROR(VLOOKUP(A1110,Drank!A:S,15,FALSE),""))</f>
        <v>2019</v>
      </c>
      <c r="S1110" s="37">
        <f>IF(IFERROR(VLOOKUP(A1110,Drank!A:S,16,FALSE),"")=0,"",IFERROR(VLOOKUP(A1110,Drank!A:S,16,FALSE),""))</f>
        <v>2029</v>
      </c>
      <c r="U1110" s="37" t="s">
        <v>117</v>
      </c>
      <c r="V1110" s="18">
        <f>IF(IFERROR(VLOOKUP(A1110,Drank!A:T,19,FALSE),"")=0,"",IFERROR(VLOOKUP(A1110,Drank!A:T,19,FALSE),""))</f>
        <v>91</v>
      </c>
      <c r="W1110" s="1">
        <f>IF(IFERROR(VLOOKUP(A1110,Drank!A:T,20,FALSE),"")=0,"",IFERROR(VLOOKUP(A1110,Drank!A:T,20,FALSE),""))</f>
        <v>43554</v>
      </c>
      <c r="X1110" s="37">
        <f>SUMIF(A:A,A1110,I:I)</f>
        <v>4</v>
      </c>
      <c r="Y1110" s="37">
        <f>IF(Table1[[#This Row],[Drank]]&gt;0,VLOOKUP(Table1[[#This Row],[ID]],Drank!A:P,16,FALSE),IF(Table1[[#This Row],[WALDD]]&gt;0,VLOOKUP(Table1[[#This Row],[ID]],Wine1!A:Q,17,FALSE),Table1[[#This Row],[EP]]))</f>
        <v>2029</v>
      </c>
      <c r="Z1110" s="18">
        <f>IF(Table1[[#This Row],[My Rating]]="",IF(Table1[[#This Row],[WA Rating Clean]]="","",Table1[[#This Row],[WA Rating Clean]]),Table1[[#This Row],[My Rating]])</f>
        <v>91</v>
      </c>
      <c r="AA1110" s="37">
        <v>2033</v>
      </c>
      <c r="AB1110" s="3">
        <v>70</v>
      </c>
      <c r="AC1110" s="2">
        <f t="shared" si="55"/>
        <v>70</v>
      </c>
      <c r="AD1110" s="8">
        <v>0</v>
      </c>
      <c r="AE1110" s="37">
        <f>IF(Table1[[#This Row],[P/750]]&lt;20,1,IF(Table1[[#This Row],[P/750]]&lt;50,2,3))</f>
        <v>3</v>
      </c>
      <c r="AF1110" s="37">
        <f>IF(Table1[[#This Row],[P/750]]&lt;Expenses!$C$30,1,IF(Table1[[#This Row],[P/750]]&lt;Expenses!$C$31,2,IF(Table1[[#This Row],[P/750]]&lt;Expenses!$C$32,3,4)))</f>
        <v>4</v>
      </c>
      <c r="AH1110" s="37" t="s">
        <v>1131</v>
      </c>
      <c r="AI1110" s="11">
        <f>Table1[[#This Row],[Price]]/Table1[[#This Row],[Size (ml)]]*750</f>
        <v>70</v>
      </c>
      <c r="AJ1110" s="37">
        <v>90</v>
      </c>
      <c r="AK1110" s="37">
        <f>COUNTIF(UniqueID!A:A,Table1[[#This Row],[ID]])</f>
        <v>1</v>
      </c>
      <c r="AL1110" s="37" t="str">
        <f>VLOOKUP(Table1[[#This Row],[Cellar Location]],Location!A:F,6,FALSE)</f>
        <v>K</v>
      </c>
      <c r="AO1110" s="37" t="str">
        <f>TEXT(Table1[[#This Row],[Purchased]],"mmmm")</f>
        <v>January</v>
      </c>
      <c r="AP1110" s="10" t="str">
        <f>TEXT(Table1[[#This Row],[Purchased]],"yyyy")</f>
        <v>1900</v>
      </c>
      <c r="AQ1110" s="10"/>
    </row>
    <row r="1111" spans="1:43" s="37" customFormat="1" x14ac:dyDescent="0.25">
      <c r="A1111" s="37" t="str">
        <f t="shared" si="54"/>
        <v>2017Altos Las HormigasMalbec Appellation Gualtallary</v>
      </c>
      <c r="B1111" s="37">
        <v>2017</v>
      </c>
      <c r="C1111" s="37" t="s">
        <v>232</v>
      </c>
      <c r="D1111" s="9" t="s">
        <v>233</v>
      </c>
      <c r="E1111" s="67" t="s">
        <v>1207</v>
      </c>
      <c r="F1111" s="37" t="s">
        <v>731</v>
      </c>
      <c r="G1111" s="37" t="s">
        <v>732</v>
      </c>
      <c r="H1111" s="37" t="s">
        <v>1190</v>
      </c>
      <c r="I1111" s="8">
        <v>1</v>
      </c>
      <c r="J1111" s="107">
        <v>750</v>
      </c>
      <c r="K1111" s="8" t="s">
        <v>1849</v>
      </c>
      <c r="L1111" s="10">
        <f>COUNTIF(Drank!A:A,Table1[[#This Row],[ID]])</f>
        <v>1</v>
      </c>
      <c r="M1111" s="37" t="s">
        <v>202</v>
      </c>
      <c r="N1111" s="37" t="s">
        <v>207</v>
      </c>
      <c r="O1111" s="37">
        <v>1</v>
      </c>
      <c r="P1111" s="10">
        <v>2019</v>
      </c>
      <c r="Q1111" s="37">
        <v>2030</v>
      </c>
      <c r="R1111" s="10">
        <f>IF(IFERROR(VLOOKUP(A1111,Drank!A:S,15,FALSE),"")=0,"",IFERROR(VLOOKUP(A1111,Drank!A:S,15,FALSE),""))</f>
        <v>2022</v>
      </c>
      <c r="S1111" s="10">
        <f>IF(IFERROR(VLOOKUP(A1111,Drank!A:S,16,FALSE),"")=0,"",IFERROR(VLOOKUP(A1111,Drank!A:S,16,FALSE),""))</f>
        <v>2030</v>
      </c>
      <c r="T1111" s="10"/>
      <c r="U1111" s="37" t="s">
        <v>1180</v>
      </c>
      <c r="V1111" s="18">
        <f>IF(IFERROR(VLOOKUP(A1111,Drank!A:T,19,FALSE),"")=0,"",IFERROR(VLOOKUP(A1111,Drank!A:T,19,FALSE),""))</f>
        <v>94</v>
      </c>
      <c r="W1111" s="1">
        <f>IF(IFERROR(VLOOKUP(A1111,Drank!A:T,20,FALSE),"")=0,"",IFERROR(VLOOKUP(A1111,Drank!A:T,20,FALSE),""))</f>
        <v>43953</v>
      </c>
      <c r="X1111" s="10">
        <f>SUMIF(A:A,A1111,I:I)</f>
        <v>38</v>
      </c>
      <c r="Y1111" s="10">
        <f>IF(Table1[[#This Row],[Drank]]&gt;0,VLOOKUP(Table1[[#This Row],[ID]],Drank!A:P,16,FALSE),IF(Table1[[#This Row],[WALDD]]&gt;0,VLOOKUP(Table1[[#This Row],[ID]],Wine1!A:Q,17,FALSE),Table1[[#This Row],[EP]]))</f>
        <v>2030</v>
      </c>
      <c r="Z1111" s="18">
        <f>IF(Table1[[#This Row],[My Rating]]="",IF(Table1[[#This Row],[WA Rating Clean]]="","",Table1[[#This Row],[WA Rating Clean]]),Table1[[#This Row],[My Rating]])</f>
        <v>94</v>
      </c>
      <c r="AA1111" s="37">
        <v>2033</v>
      </c>
      <c r="AB1111" s="129">
        <v>35.85</v>
      </c>
      <c r="AC1111" s="2">
        <f t="shared" si="55"/>
        <v>35.85</v>
      </c>
      <c r="AD1111" s="8">
        <v>1</v>
      </c>
      <c r="AE1111" s="10">
        <f>IF(Table1[[#This Row],[P/750]]&lt;20,1,IF(Table1[[#This Row],[P/750]]&lt;50,2,3))</f>
        <v>2</v>
      </c>
      <c r="AF1111" s="10">
        <f>IF(Table1[[#This Row],[P/750]]&lt;Expenses!$C$30,1,IF(Table1[[#This Row],[P/750]]&lt;Expenses!$C$31,2,IF(Table1[[#This Row],[P/750]]&lt;Expenses!$C$32,3,4)))</f>
        <v>3</v>
      </c>
      <c r="AH1111" s="37" t="s">
        <v>1128</v>
      </c>
      <c r="AI1111" s="11">
        <f>Table1[[#This Row],[Price]]/Table1[[#This Row],[Size (ml)]]*750</f>
        <v>35.85</v>
      </c>
      <c r="AJ1111" s="37">
        <v>96</v>
      </c>
      <c r="AK1111" s="10">
        <f>COUNTIF(UniqueID!A:A,Table1[[#This Row],[ID]])</f>
        <v>1</v>
      </c>
      <c r="AL1111" s="10" t="str">
        <f>VLOOKUP(Table1[[#This Row],[Cellar Location]],Location!A:F,6,FALSE)</f>
        <v>S</v>
      </c>
      <c r="AN1111" s="1">
        <v>44070</v>
      </c>
      <c r="AO1111" s="10" t="str">
        <f>TEXT(Table1[[#This Row],[Purchased]],"mmmm")</f>
        <v>August</v>
      </c>
      <c r="AP1111" s="10" t="str">
        <f>TEXT(Table1[[#This Row],[Purchased]],"yyyy")</f>
        <v>2020</v>
      </c>
      <c r="AQ1111" s="1"/>
    </row>
    <row r="1112" spans="1:43" s="37" customFormat="1" x14ac:dyDescent="0.25">
      <c r="A1112" s="37" t="str">
        <f t="shared" si="54"/>
        <v>2017Altos Las HormigasMalbec Appellation Gualtallary</v>
      </c>
      <c r="B1112" s="37">
        <v>2017</v>
      </c>
      <c r="C1112" s="37" t="s">
        <v>232</v>
      </c>
      <c r="D1112" s="9" t="s">
        <v>233</v>
      </c>
      <c r="E1112" s="67" t="s">
        <v>1207</v>
      </c>
      <c r="F1112" s="37" t="s">
        <v>731</v>
      </c>
      <c r="G1112" s="37" t="s">
        <v>732</v>
      </c>
      <c r="H1112" s="37" t="s">
        <v>1190</v>
      </c>
      <c r="I1112" s="8">
        <v>1</v>
      </c>
      <c r="J1112" s="107">
        <v>750</v>
      </c>
      <c r="K1112" s="8" t="s">
        <v>1849</v>
      </c>
      <c r="L1112" s="10">
        <f>COUNTIF(Drank!A:A,Table1[[#This Row],[ID]])</f>
        <v>1</v>
      </c>
      <c r="M1112" s="37" t="s">
        <v>202</v>
      </c>
      <c r="N1112" s="37" t="s">
        <v>207</v>
      </c>
      <c r="O1112" s="37">
        <v>1</v>
      </c>
      <c r="P1112" s="10">
        <v>2019</v>
      </c>
      <c r="Q1112" s="37">
        <v>2030</v>
      </c>
      <c r="R1112" s="10">
        <f>IF(IFERROR(VLOOKUP(A1112,Drank!A:S,15,FALSE),"")=0,"",IFERROR(VLOOKUP(A1112,Drank!A:S,15,FALSE),""))</f>
        <v>2022</v>
      </c>
      <c r="S1112" s="10">
        <f>IF(IFERROR(VLOOKUP(A1112,Drank!A:S,16,FALSE),"")=0,"",IFERROR(VLOOKUP(A1112,Drank!A:S,16,FALSE),""))</f>
        <v>2030</v>
      </c>
      <c r="T1112" s="10"/>
      <c r="U1112" s="37" t="s">
        <v>1180</v>
      </c>
      <c r="V1112" s="18">
        <f>IF(IFERROR(VLOOKUP(A1112,Drank!A:T,19,FALSE),"")=0,"",IFERROR(VLOOKUP(A1112,Drank!A:T,19,FALSE),""))</f>
        <v>94</v>
      </c>
      <c r="W1112" s="1">
        <f>IF(IFERROR(VLOOKUP(A1112,Drank!A:T,20,FALSE),"")=0,"",IFERROR(VLOOKUP(A1112,Drank!A:T,20,FALSE),""))</f>
        <v>43953</v>
      </c>
      <c r="X1112" s="10">
        <f>SUMIF(A:A,A1112,I:I)</f>
        <v>38</v>
      </c>
      <c r="Y1112" s="10">
        <f>IF(Table1[[#This Row],[Drank]]&gt;0,VLOOKUP(Table1[[#This Row],[ID]],Drank!A:P,16,FALSE),IF(Table1[[#This Row],[WALDD]]&gt;0,VLOOKUP(Table1[[#This Row],[ID]],Wine1!A:Q,17,FALSE),Table1[[#This Row],[EP]]))</f>
        <v>2030</v>
      </c>
      <c r="Z1112" s="18">
        <f>IF(Table1[[#This Row],[My Rating]]="",IF(Table1[[#This Row],[WA Rating Clean]]="","",Table1[[#This Row],[WA Rating Clean]]),Table1[[#This Row],[My Rating]])</f>
        <v>94</v>
      </c>
      <c r="AA1112" s="37">
        <v>2033</v>
      </c>
      <c r="AB1112" s="129">
        <v>35.85</v>
      </c>
      <c r="AC1112" s="2">
        <f t="shared" si="55"/>
        <v>35.85</v>
      </c>
      <c r="AD1112" s="8">
        <v>1</v>
      </c>
      <c r="AE1112" s="10">
        <f>IF(Table1[[#This Row],[P/750]]&lt;20,1,IF(Table1[[#This Row],[P/750]]&lt;50,2,3))</f>
        <v>2</v>
      </c>
      <c r="AF1112" s="10">
        <f>IF(Table1[[#This Row],[P/750]]&lt;Expenses!$C$30,1,IF(Table1[[#This Row],[P/750]]&lt;Expenses!$C$31,2,IF(Table1[[#This Row],[P/750]]&lt;Expenses!$C$32,3,4)))</f>
        <v>3</v>
      </c>
      <c r="AH1112" s="37" t="s">
        <v>1128</v>
      </c>
      <c r="AI1112" s="11">
        <f>Table1[[#This Row],[Price]]/Table1[[#This Row],[Size (ml)]]*750</f>
        <v>35.85</v>
      </c>
      <c r="AJ1112" s="37">
        <v>96</v>
      </c>
      <c r="AK1112" s="10">
        <f>COUNTIF(UniqueID!A:A,Table1[[#This Row],[ID]])</f>
        <v>1</v>
      </c>
      <c r="AL1112" s="10" t="str">
        <f>VLOOKUP(Table1[[#This Row],[Cellar Location]],Location!A:F,6,FALSE)</f>
        <v>S</v>
      </c>
      <c r="AN1112" s="1">
        <v>44070</v>
      </c>
      <c r="AO1112" s="10" t="str">
        <f>TEXT(Table1[[#This Row],[Purchased]],"mmmm")</f>
        <v>August</v>
      </c>
      <c r="AP1112" s="10" t="str">
        <f>TEXT(Table1[[#This Row],[Purchased]],"yyyy")</f>
        <v>2020</v>
      </c>
      <c r="AQ1112" s="1"/>
    </row>
    <row r="1113" spans="1:43" s="37" customFormat="1" x14ac:dyDescent="0.25">
      <c r="A1113" s="37" t="str">
        <f t="shared" si="54"/>
        <v>1998Raymond-LafonRaymond-Lafon</v>
      </c>
      <c r="B1113" s="8">
        <v>1998</v>
      </c>
      <c r="C1113" s="37" t="s">
        <v>197</v>
      </c>
      <c r="D1113" s="37" t="s">
        <v>197</v>
      </c>
      <c r="E1113" s="69" t="s">
        <v>1215</v>
      </c>
      <c r="F1113" s="37" t="s">
        <v>742</v>
      </c>
      <c r="G1113" s="37" t="s">
        <v>748</v>
      </c>
      <c r="H1113" s="37" t="s">
        <v>260</v>
      </c>
      <c r="I1113" s="107">
        <v>1</v>
      </c>
      <c r="J1113" s="37">
        <v>375</v>
      </c>
      <c r="K1113" s="107" t="s">
        <v>629</v>
      </c>
      <c r="L1113" s="37">
        <f>COUNTIF(Drank!A:A,Table1[[#This Row],[ID]])</f>
        <v>3</v>
      </c>
      <c r="M1113" s="37" t="s">
        <v>201</v>
      </c>
      <c r="N1113" s="37" t="s">
        <v>206</v>
      </c>
      <c r="O1113" s="37">
        <v>1</v>
      </c>
      <c r="P1113" s="37">
        <v>2018</v>
      </c>
      <c r="Q1113" s="37">
        <v>2025</v>
      </c>
      <c r="R1113" s="10" t="str">
        <f>IF(IFERROR(VLOOKUP(A1113,Drank!A:S,15,FALSE),"")=0,"",IFERROR(VLOOKUP(A1113,Drank!A:S,15,FALSE),""))</f>
        <v/>
      </c>
      <c r="S1113" s="10">
        <f>IF(IFERROR(VLOOKUP(A1113,Drank!A:S,16,FALSE),"")=0,"",IFERROR(VLOOKUP(A1113,Drank!A:S,16,FALSE),""))</f>
        <v>2030</v>
      </c>
      <c r="T1113" s="10"/>
      <c r="U1113" s="37">
        <v>93</v>
      </c>
      <c r="V1113" s="18">
        <f>IF(IFERROR(VLOOKUP(A1113,Drank!A:T,19,FALSE),"")=0,"",IFERROR(VLOOKUP(A1113,Drank!A:T,19,FALSE),""))</f>
        <v>92.666666666666671</v>
      </c>
      <c r="W1113" s="1">
        <f>IF(IFERROR(VLOOKUP(A1113,Drank!A:T,20,FALSE),"")=0,"",IFERROR(VLOOKUP(A1113,Drank!A:T,20,FALSE),""))</f>
        <v>44002</v>
      </c>
      <c r="X1113" s="10">
        <f>SUMIF(A:A,A1113,I:I)</f>
        <v>7</v>
      </c>
      <c r="Y1113" s="37">
        <f>IF(Table1[[#This Row],[Drank]]&gt;0,VLOOKUP(Table1[[#This Row],[ID]],Drank!A:P,16,FALSE),IF(Table1[[#This Row],[WALDD]]&gt;0,VLOOKUP(Table1[[#This Row],[ID]],Wine1!A:Q,17,FALSE),Table1[[#This Row],[EP]]))</f>
        <v>2030</v>
      </c>
      <c r="Z1113" s="18">
        <f>IF(Table1[[#This Row],[My Rating]]="",IF(Table1[[#This Row],[WA Rating Clean]]="","",Table1[[#This Row],[WA Rating Clean]]),Table1[[#This Row],[My Rating]])</f>
        <v>92.666666666666671</v>
      </c>
      <c r="AA1113" s="37">
        <v>2033</v>
      </c>
      <c r="AB1113" s="4">
        <v>16.989999999999998</v>
      </c>
      <c r="AC1113" s="2">
        <f t="shared" si="55"/>
        <v>16.989999999999998</v>
      </c>
      <c r="AD1113" s="8">
        <v>2</v>
      </c>
      <c r="AE1113" s="37">
        <f>IF(Table1[[#This Row],[P/750]]&lt;20,1,IF(Table1[[#This Row],[P/750]]&lt;50,2,3))</f>
        <v>2</v>
      </c>
      <c r="AF1113" s="37">
        <f>IF(Table1[[#This Row],[P/750]]&lt;Expenses!$C$30,1,IF(Table1[[#This Row],[P/750]]&lt;Expenses!$C$31,2,IF(Table1[[#This Row],[P/750]]&lt;Expenses!$C$32,3,4)))</f>
        <v>3</v>
      </c>
      <c r="AH1113" s="37" t="s">
        <v>385</v>
      </c>
      <c r="AI1113" s="11">
        <f>Table1[[#This Row],[Price]]/Table1[[#This Row],[Size (ml)]]*750</f>
        <v>33.979999999999997</v>
      </c>
      <c r="AJ1113" s="37">
        <v>93</v>
      </c>
      <c r="AK1113" s="37">
        <f>COUNTIF(UniqueID!A:A,Table1[[#This Row],[ID]])</f>
        <v>1</v>
      </c>
      <c r="AL1113" s="37" t="str">
        <f>VLOOKUP(Table1[[#This Row],[Cellar Location]],Location!A:F,6,FALSE)</f>
        <v>S</v>
      </c>
      <c r="AO1113" s="37" t="str">
        <f>TEXT(Table1[[#This Row],[Purchased]],"mmmm")</f>
        <v>January</v>
      </c>
      <c r="AP1113" s="10" t="str">
        <f>TEXT(Table1[[#This Row],[Purchased]],"yyyy")</f>
        <v>1900</v>
      </c>
      <c r="AQ1113" s="10"/>
    </row>
    <row r="1114" spans="1:43" s="37" customFormat="1" x14ac:dyDescent="0.25">
      <c r="A1114" s="37" t="str">
        <f t="shared" si="54"/>
        <v>2016Tenuta di NozzoleChianti Classico Riserva Nozzole</v>
      </c>
      <c r="B1114" s="37">
        <v>2016</v>
      </c>
      <c r="C1114" s="37" t="s">
        <v>100</v>
      </c>
      <c r="D1114" s="37" t="s">
        <v>101</v>
      </c>
      <c r="E1114" s="64" t="s">
        <v>399</v>
      </c>
      <c r="F1114" s="37" t="s">
        <v>728</v>
      </c>
      <c r="G1114" s="37" t="s">
        <v>790</v>
      </c>
      <c r="H1114" s="37" t="s">
        <v>792</v>
      </c>
      <c r="I1114" s="107">
        <v>1</v>
      </c>
      <c r="J1114" s="37">
        <v>750</v>
      </c>
      <c r="K1114" s="107" t="s">
        <v>1407</v>
      </c>
      <c r="L1114" s="37">
        <f>COUNTIF(Drank!A:A,Table1[[#This Row],[ID]])</f>
        <v>3</v>
      </c>
      <c r="M1114" s="37" t="s">
        <v>202</v>
      </c>
      <c r="N1114" s="37" t="s">
        <v>207</v>
      </c>
      <c r="O1114" s="37">
        <v>1</v>
      </c>
      <c r="P1114" s="37">
        <v>2019</v>
      </c>
      <c r="Q1114" s="37">
        <v>2027</v>
      </c>
      <c r="R1114" s="10">
        <f>IF(IFERROR(VLOOKUP(A1114,Drank!A:S,15,FALSE),"")=0,"",IFERROR(VLOOKUP(A1114,Drank!A:S,15,FALSE),""))</f>
        <v>2024</v>
      </c>
      <c r="S1114" s="10">
        <f>IF(IFERROR(VLOOKUP(A1114,Drank!A:S,16,FALSE),"")=0,"",IFERROR(VLOOKUP(A1114,Drank!A:S,16,FALSE),""))</f>
        <v>2030</v>
      </c>
      <c r="T1114" s="10"/>
      <c r="U1114" s="37">
        <v>92</v>
      </c>
      <c r="V1114" s="18">
        <f>IF(IFERROR(VLOOKUP(A1114,Drank!A:T,19,FALSE),"")=0,"",IFERROR(VLOOKUP(A1114,Drank!A:T,19,FALSE),""))</f>
        <v>91.333333333333329</v>
      </c>
      <c r="W1114" s="1">
        <f>IF(IFERROR(VLOOKUP(A1114,Drank!A:T,20,FALSE),"")=0,"",IFERROR(VLOOKUP(A1114,Drank!A:T,20,FALSE),""))</f>
        <v>44058</v>
      </c>
      <c r="X1114" s="10">
        <f>SUMIF(A:A,A1114,I:I)</f>
        <v>6</v>
      </c>
      <c r="Y1114" s="37">
        <f>IF(Table1[[#This Row],[Drank]]&gt;0,VLOOKUP(Table1[[#This Row],[ID]],Drank!A:P,16,FALSE),IF(Table1[[#This Row],[WALDD]]&gt;0,VLOOKUP(Table1[[#This Row],[ID]],Wine1!A:Q,17,FALSE),Table1[[#This Row],[EP]]))</f>
        <v>2030</v>
      </c>
      <c r="Z1114" s="18">
        <f>IF(Table1[[#This Row],[My Rating]]="",IF(Table1[[#This Row],[WA Rating Clean]]="","",Table1[[#This Row],[WA Rating Clean]]),Table1[[#This Row],[My Rating]])</f>
        <v>91.333333333333329</v>
      </c>
      <c r="AA1114" s="8">
        <v>2033</v>
      </c>
      <c r="AB1114" s="4">
        <v>21.51</v>
      </c>
      <c r="AC1114" s="2">
        <f t="shared" si="55"/>
        <v>21.51</v>
      </c>
      <c r="AD1114" s="8">
        <v>2</v>
      </c>
      <c r="AE1114" s="37">
        <f>IF(Table1[[#This Row],[P/750]]&lt;20,1,IF(Table1[[#This Row],[P/750]]&lt;50,2,3))</f>
        <v>2</v>
      </c>
      <c r="AF1114" s="37">
        <f>IF(Table1[[#This Row],[P/750]]&lt;Expenses!$C$30,1,IF(Table1[[#This Row],[P/750]]&lt;Expenses!$C$31,2,IF(Table1[[#This Row],[P/750]]&lt;Expenses!$C$32,3,4)))</f>
        <v>2</v>
      </c>
      <c r="AH1114" s="25" t="s">
        <v>1128</v>
      </c>
      <c r="AI1114" s="11">
        <f>Table1[[#This Row],[Price]]/Table1[[#This Row],[Size (ml)]]*750</f>
        <v>21.51</v>
      </c>
      <c r="AJ1114" s="37">
        <v>92</v>
      </c>
      <c r="AK1114" s="37">
        <f>COUNTIF(UniqueID!A:A,Table1[[#This Row],[ID]])</f>
        <v>1</v>
      </c>
      <c r="AL1114" s="37" t="str">
        <f>VLOOKUP(Table1[[#This Row],[Cellar Location]],Location!A:F,6,FALSE)</f>
        <v>S</v>
      </c>
      <c r="AN1114" s="1">
        <v>43966</v>
      </c>
      <c r="AO1114" s="37" t="str">
        <f>TEXT(Table1[[#This Row],[Purchased]],"mmmm")</f>
        <v>May</v>
      </c>
      <c r="AP1114" s="10" t="str">
        <f>TEXT(Table1[[#This Row],[Purchased]],"yyyy")</f>
        <v>2020</v>
      </c>
      <c r="AQ1114" s="10"/>
    </row>
    <row r="1115" spans="1:43" s="37" customFormat="1" x14ac:dyDescent="0.25">
      <c r="A1115" s="37" t="str">
        <f t="shared" si="54"/>
        <v>2016FontanabiancaBarbaresco</v>
      </c>
      <c r="B1115" s="37">
        <v>2016</v>
      </c>
      <c r="C1115" s="9" t="s">
        <v>1312</v>
      </c>
      <c r="D1115" s="9" t="s">
        <v>249</v>
      </c>
      <c r="E1115" s="67" t="s">
        <v>1206</v>
      </c>
      <c r="F1115" s="37" t="s">
        <v>728</v>
      </c>
      <c r="G1115" s="37" t="s">
        <v>778</v>
      </c>
      <c r="H1115" s="37" t="s">
        <v>249</v>
      </c>
      <c r="I1115" s="107">
        <v>1</v>
      </c>
      <c r="J1115" s="37">
        <v>750</v>
      </c>
      <c r="K1115" s="107" t="s">
        <v>1406</v>
      </c>
      <c r="L1115" s="10">
        <f>COUNTIF(Drank!A:A,Table1[[#This Row],[ID]])</f>
        <v>2</v>
      </c>
      <c r="M1115" s="37" t="s">
        <v>202</v>
      </c>
      <c r="N1115" s="37" t="s">
        <v>207</v>
      </c>
      <c r="O1115" s="37">
        <v>1</v>
      </c>
      <c r="P1115" s="37">
        <v>2020</v>
      </c>
      <c r="Q1115" s="37">
        <v>2033</v>
      </c>
      <c r="R1115" s="10">
        <f>IF(IFERROR(VLOOKUP(A1115,Drank!A:S,15,FALSE),"")=0,"",IFERROR(VLOOKUP(A1115,Drank!A:S,15,FALSE),""))</f>
        <v>2022</v>
      </c>
      <c r="S1115" s="10">
        <f>IF(IFERROR(VLOOKUP(A1115,Drank!A:S,16,FALSE),"")=0,"",IFERROR(VLOOKUP(A1115,Drank!A:S,16,FALSE),""))</f>
        <v>2032</v>
      </c>
      <c r="T1115" s="10"/>
      <c r="U1115" s="37">
        <v>93</v>
      </c>
      <c r="V1115" s="18">
        <f>IF(IFERROR(VLOOKUP(A1115,Drank!A:T,19,FALSE),"")=0,"",IFERROR(VLOOKUP(A1115,Drank!A:T,19,FALSE),""))</f>
        <v>93.5</v>
      </c>
      <c r="W1115" s="1">
        <f>IF(IFERROR(VLOOKUP(A1115,Drank!A:T,20,FALSE),"")=0,"",IFERROR(VLOOKUP(A1115,Drank!A:T,20,FALSE),""))</f>
        <v>44059</v>
      </c>
      <c r="X1115" s="10">
        <f>SUMIF(A:A,A1115,I:I)</f>
        <v>3</v>
      </c>
      <c r="Y1115" s="10">
        <f>IF(Table1[[#This Row],[Drank]]&gt;0,VLOOKUP(Table1[[#This Row],[ID]],Drank!A:P,16,FALSE),IF(Table1[[#This Row],[WALDD]]&gt;0,VLOOKUP(Table1[[#This Row],[ID]],Wine1!A:Q,17,FALSE),Table1[[#This Row],[EP]]))</f>
        <v>2032</v>
      </c>
      <c r="Z1115" s="18">
        <f>IF(Table1[[#This Row],[My Rating]]="",IF(Table1[[#This Row],[WA Rating Clean]]="","",Table1[[#This Row],[WA Rating Clean]]),Table1[[#This Row],[My Rating]])</f>
        <v>93.5</v>
      </c>
      <c r="AA1115" s="8">
        <v>2033</v>
      </c>
      <c r="AB1115" s="4">
        <v>41.07</v>
      </c>
      <c r="AC1115" s="2">
        <f t="shared" si="55"/>
        <v>41.07</v>
      </c>
      <c r="AD1115" s="8">
        <v>2</v>
      </c>
      <c r="AE1115" s="10">
        <f>IF(Table1[[#This Row],[P/750]]&lt;20,1,IF(Table1[[#This Row],[P/750]]&lt;50,2,3))</f>
        <v>2</v>
      </c>
      <c r="AF1115" s="10">
        <f>IF(Table1[[#This Row],[P/750]]&lt;Expenses!$C$30,1,IF(Table1[[#This Row],[P/750]]&lt;Expenses!$C$31,2,IF(Table1[[#This Row],[P/750]]&lt;Expenses!$C$32,3,4)))</f>
        <v>3</v>
      </c>
      <c r="AH1115" s="37" t="s">
        <v>1128</v>
      </c>
      <c r="AI1115" s="11">
        <f>Table1[[#This Row],[Price]]/Table1[[#This Row],[Size (ml)]]*750</f>
        <v>41.07</v>
      </c>
      <c r="AJ1115" s="37">
        <v>93</v>
      </c>
      <c r="AK1115" s="10">
        <f>COUNTIF(UniqueID!A:A,Table1[[#This Row],[ID]])</f>
        <v>0</v>
      </c>
      <c r="AL1115" s="10" t="str">
        <f>VLOOKUP(Table1[[#This Row],[Cellar Location]],Location!A:F,6,FALSE)</f>
        <v>S</v>
      </c>
      <c r="AN1115" s="1">
        <v>43966</v>
      </c>
      <c r="AO1115" s="10" t="str">
        <f>TEXT(Table1[[#This Row],[Purchased]],"mmmm")</f>
        <v>May</v>
      </c>
      <c r="AP1115" s="10" t="str">
        <f>TEXT(Table1[[#This Row],[Purchased]],"yyyy")</f>
        <v>2020</v>
      </c>
      <c r="AQ1115" s="10"/>
    </row>
    <row r="1116" spans="1:43" s="37" customFormat="1" x14ac:dyDescent="0.25">
      <c r="A1116" s="37" t="str">
        <f t="shared" si="54"/>
        <v>2014Casanova di NeriBrunello di Montalcino</v>
      </c>
      <c r="B1116" s="37">
        <v>2014</v>
      </c>
      <c r="C1116" s="37" t="s">
        <v>18</v>
      </c>
      <c r="D1116" s="37" t="s">
        <v>19</v>
      </c>
      <c r="E1116" s="64" t="s">
        <v>280</v>
      </c>
      <c r="F1116" s="37" t="s">
        <v>728</v>
      </c>
      <c r="G1116" s="37" t="s">
        <v>790</v>
      </c>
      <c r="H1116" s="37" t="s">
        <v>19</v>
      </c>
      <c r="I1116" s="107">
        <v>1</v>
      </c>
      <c r="J1116" s="37">
        <v>750</v>
      </c>
      <c r="K1116" s="107" t="s">
        <v>619</v>
      </c>
      <c r="L1116" s="10">
        <f>COUNTIF(Drank!A:A,Table1[[#This Row],[ID]])</f>
        <v>0</v>
      </c>
      <c r="M1116" s="37" t="s">
        <v>202</v>
      </c>
      <c r="N1116" s="37" t="s">
        <v>207</v>
      </c>
      <c r="O1116" s="37">
        <v>1</v>
      </c>
      <c r="P1116" s="10">
        <v>2020</v>
      </c>
      <c r="Q1116" s="37">
        <v>2033</v>
      </c>
      <c r="R1116" s="10" t="str">
        <f>IF(IFERROR(VLOOKUP(A1116,Drank!A:S,15,FALSE),"")=0,"",IFERROR(VLOOKUP(A1116,Drank!A:S,15,FALSE),""))</f>
        <v/>
      </c>
      <c r="S1116" s="10" t="str">
        <f>IF(IFERROR(VLOOKUP(A1116,Drank!A:S,16,FALSE),"")=0,"",IFERROR(VLOOKUP(A1116,Drank!A:S,16,FALSE),""))</f>
        <v/>
      </c>
      <c r="T1116" s="10"/>
      <c r="U1116" s="37">
        <v>92</v>
      </c>
      <c r="V1116" s="18" t="str">
        <f>IF(IFERROR(VLOOKUP(A1116,Drank!A:T,19,FALSE),"")=0,"",IFERROR(VLOOKUP(A1116,Drank!A:T,19,FALSE),""))</f>
        <v/>
      </c>
      <c r="W1116" s="1" t="str">
        <f>IF(IFERROR(VLOOKUP(A1116,Drank!A:T,20,FALSE),"")=0,"",IFERROR(VLOOKUP(A1116,Drank!A:T,20,FALSE),""))</f>
        <v/>
      </c>
      <c r="X1116" s="10">
        <f>SUMIF(A:A,A1116,I:I)</f>
        <v>4</v>
      </c>
      <c r="Y1116" s="10">
        <f>IF(Table1[[#This Row],[Drank]]&gt;0,VLOOKUP(Table1[[#This Row],[ID]],Drank!A:P,16,FALSE),IF(Table1[[#This Row],[WALDD]]&gt;0,VLOOKUP(Table1[[#This Row],[ID]],Wine1!A:Q,17,FALSE),Table1[[#This Row],[EP]]))</f>
        <v>2033</v>
      </c>
      <c r="Z1116" s="18">
        <f>IF(Table1[[#This Row],[My Rating]]="",IF(Table1[[#This Row],[WA Rating Clean]]="","",Table1[[#This Row],[WA Rating Clean]]),Table1[[#This Row],[My Rating]])</f>
        <v>92</v>
      </c>
      <c r="AA1116" s="37">
        <v>2033</v>
      </c>
      <c r="AB1116" s="4">
        <v>58.49</v>
      </c>
      <c r="AC1116" s="2">
        <f t="shared" si="55"/>
        <v>58.49</v>
      </c>
      <c r="AD1116" s="8">
        <v>2</v>
      </c>
      <c r="AE1116" s="10">
        <f>IF(Table1[[#This Row],[P/750]]&lt;20,1,IF(Table1[[#This Row],[P/750]]&lt;50,2,3))</f>
        <v>3</v>
      </c>
      <c r="AF1116" s="10">
        <f>IF(Table1[[#This Row],[P/750]]&lt;Expenses!$C$30,1,IF(Table1[[#This Row],[P/750]]&lt;Expenses!$C$31,2,IF(Table1[[#This Row],[P/750]]&lt;Expenses!$C$32,3,4)))</f>
        <v>3</v>
      </c>
      <c r="AH1116" s="37" t="s">
        <v>1128</v>
      </c>
      <c r="AI1116" s="11">
        <f>Table1[[#This Row],[Price]]/Table1[[#This Row],[Size (ml)]]*750</f>
        <v>58.489999999999995</v>
      </c>
      <c r="AJ1116" s="37">
        <v>92</v>
      </c>
      <c r="AK1116" s="37">
        <f>COUNTIF(UniqueID!A:A,Table1[[#This Row],[ID]])</f>
        <v>1</v>
      </c>
      <c r="AL1116" s="37" t="str">
        <f>VLOOKUP(Table1[[#This Row],[Cellar Location]],Location!A:F,6,FALSE)</f>
        <v>S</v>
      </c>
      <c r="AO1116" s="37" t="str">
        <f>TEXT(Table1[[#This Row],[Purchased]],"mmmm")</f>
        <v>January</v>
      </c>
      <c r="AP1116" s="10" t="str">
        <f>TEXT(Table1[[#This Row],[Purchased]],"yyyy")</f>
        <v>1900</v>
      </c>
      <c r="AQ1116" s="10"/>
    </row>
    <row r="1117" spans="1:43" s="37" customFormat="1" x14ac:dyDescent="0.25">
      <c r="A1117" s="37" t="str">
        <f t="shared" ref="A1117:A1180" si="56">CONCATENATE(B1117,C1117,D1117)</f>
        <v>2014Castellare di CastellinaI Sodi di S. NiccolÃ²</v>
      </c>
      <c r="B1117" s="37">
        <v>2014</v>
      </c>
      <c r="C1117" s="37" t="s">
        <v>403</v>
      </c>
      <c r="D1117" s="25" t="s">
        <v>404</v>
      </c>
      <c r="E1117" s="67" t="s">
        <v>1260</v>
      </c>
      <c r="F1117" s="37" t="s">
        <v>728</v>
      </c>
      <c r="G1117" s="37" t="s">
        <v>790</v>
      </c>
      <c r="H1117" s="37" t="s">
        <v>796</v>
      </c>
      <c r="I1117" s="107">
        <v>1</v>
      </c>
      <c r="J1117" s="37">
        <v>750</v>
      </c>
      <c r="K1117" s="107" t="s">
        <v>646</v>
      </c>
      <c r="L1117" s="37">
        <f>COUNTIF(Drank!A:A,Table1[[#This Row],[ID]])</f>
        <v>0</v>
      </c>
      <c r="M1117" s="37" t="s">
        <v>202</v>
      </c>
      <c r="N1117" s="37" t="s">
        <v>207</v>
      </c>
      <c r="O1117" s="37">
        <v>1</v>
      </c>
      <c r="P1117" s="37">
        <v>2019</v>
      </c>
      <c r="Q1117" s="37">
        <v>2033</v>
      </c>
      <c r="R1117" s="10" t="str">
        <f>IF(IFERROR(VLOOKUP(A1117,Drank!A:S,15,FALSE),"")=0,"",IFERROR(VLOOKUP(A1117,Drank!A:S,15,FALSE),""))</f>
        <v/>
      </c>
      <c r="S1117" s="10" t="str">
        <f>IF(IFERROR(VLOOKUP(A1117,Drank!A:S,16,FALSE),"")=0,"",IFERROR(VLOOKUP(A1117,Drank!A:S,16,FALSE),""))</f>
        <v/>
      </c>
      <c r="T1117" s="10"/>
      <c r="U1117" s="37" t="s">
        <v>17</v>
      </c>
      <c r="V1117" s="18" t="str">
        <f>IF(IFERROR(VLOOKUP(A1117,Drank!A:T,19,FALSE),"")=0,"",IFERROR(VLOOKUP(A1117,Drank!A:T,19,FALSE),""))</f>
        <v/>
      </c>
      <c r="W1117" s="1" t="str">
        <f>IF(IFERROR(VLOOKUP(A1117,Drank!A:T,20,FALSE),"")=0,"",IFERROR(VLOOKUP(A1117,Drank!A:T,20,FALSE),""))</f>
        <v/>
      </c>
      <c r="X1117" s="10">
        <f>SUMIF(A:A,A1117,I:I)</f>
        <v>4</v>
      </c>
      <c r="Y1117" s="37">
        <f>IF(Table1[[#This Row],[Drank]]&gt;0,VLOOKUP(Table1[[#This Row],[ID]],Drank!A:P,16,FALSE),IF(Table1[[#This Row],[WALDD]]&gt;0,VLOOKUP(Table1[[#This Row],[ID]],Wine1!A:Q,17,FALSE),Table1[[#This Row],[EP]]))</f>
        <v>2033</v>
      </c>
      <c r="Z1117" s="18">
        <f>IF(Table1[[#This Row],[My Rating]]="",IF(Table1[[#This Row],[WA Rating Clean]]="","",Table1[[#This Row],[WA Rating Clean]]),Table1[[#This Row],[My Rating]])</f>
        <v>94</v>
      </c>
      <c r="AA1117" s="6">
        <v>2033</v>
      </c>
      <c r="AB1117" s="4">
        <v>52</v>
      </c>
      <c r="AC1117" s="2">
        <f t="shared" ref="AC1117:AC1180" si="57">AB1117*I1117</f>
        <v>52</v>
      </c>
      <c r="AD1117" s="8">
        <v>2</v>
      </c>
      <c r="AE1117" s="37">
        <f>IF(Table1[[#This Row],[P/750]]&lt;20,1,IF(Table1[[#This Row],[P/750]]&lt;50,2,3))</f>
        <v>3</v>
      </c>
      <c r="AF1117" s="37">
        <f>IF(Table1[[#This Row],[P/750]]&lt;Expenses!$C$30,1,IF(Table1[[#This Row],[P/750]]&lt;Expenses!$C$31,2,IF(Table1[[#This Row],[P/750]]&lt;Expenses!$C$32,3,4)))</f>
        <v>3</v>
      </c>
      <c r="AH1117" s="37" t="s">
        <v>385</v>
      </c>
      <c r="AI1117" s="11">
        <f>Table1[[#This Row],[Price]]/Table1[[#This Row],[Size (ml)]]*750</f>
        <v>52</v>
      </c>
      <c r="AJ1117" s="37">
        <v>94</v>
      </c>
      <c r="AK1117" s="37">
        <f>COUNTIF(UniqueID!A:A,Table1[[#This Row],[ID]])</f>
        <v>1</v>
      </c>
      <c r="AL1117" s="37" t="str">
        <f>VLOOKUP(Table1[[#This Row],[Cellar Location]],Location!A:F,6,FALSE)</f>
        <v>S</v>
      </c>
      <c r="AO1117" s="37" t="str">
        <f>TEXT(Table1[[#This Row],[Purchased]],"mmmm")</f>
        <v>January</v>
      </c>
      <c r="AP1117" s="10" t="str">
        <f>TEXT(Table1[[#This Row],[Purchased]],"yyyy")</f>
        <v>1900</v>
      </c>
      <c r="AQ1117" s="10"/>
    </row>
    <row r="1118" spans="1:43" s="37" customFormat="1" x14ac:dyDescent="0.25">
      <c r="A1118" s="37" t="str">
        <f t="shared" si="56"/>
        <v>2015CortonesiBrunello di Montalcino La Mannella</v>
      </c>
      <c r="B1118" s="37">
        <v>2015</v>
      </c>
      <c r="C1118" s="37" t="s">
        <v>72</v>
      </c>
      <c r="D1118" s="25" t="s">
        <v>73</v>
      </c>
      <c r="E1118" s="67" t="s">
        <v>1250</v>
      </c>
      <c r="F1118" s="37" t="s">
        <v>728</v>
      </c>
      <c r="G1118" s="37" t="s">
        <v>790</v>
      </c>
      <c r="H1118" s="37" t="s">
        <v>19</v>
      </c>
      <c r="I1118" s="107">
        <v>1</v>
      </c>
      <c r="J1118" s="37">
        <v>750</v>
      </c>
      <c r="K1118" s="107" t="s">
        <v>1195</v>
      </c>
      <c r="L1118" s="10">
        <f>COUNTIF(Drank!A:A,Table1[[#This Row],[ID]])</f>
        <v>1</v>
      </c>
      <c r="M1118" s="37" t="s">
        <v>202</v>
      </c>
      <c r="N1118" s="37" t="s">
        <v>207</v>
      </c>
      <c r="O1118" s="37">
        <v>1</v>
      </c>
      <c r="P1118" s="37">
        <v>2021</v>
      </c>
      <c r="Q1118" s="37">
        <v>2035</v>
      </c>
      <c r="R1118" s="10">
        <f>IF(IFERROR(VLOOKUP(A1118,Drank!A:S,15,FALSE),"")=0,"",IFERROR(VLOOKUP(A1118,Drank!A:S,15,FALSE),""))</f>
        <v>2026</v>
      </c>
      <c r="S1118" s="10">
        <f>IF(IFERROR(VLOOKUP(A1118,Drank!A:S,16,FALSE),"")=0,"",IFERROR(VLOOKUP(A1118,Drank!A:S,16,FALSE),""))</f>
        <v>2033</v>
      </c>
      <c r="T1118" s="10"/>
      <c r="U1118" s="37">
        <v>94</v>
      </c>
      <c r="V1118" s="18">
        <f>IF(IFERROR(VLOOKUP(A1118,Drank!A:T,19,FALSE),"")=0,"",IFERROR(VLOOKUP(A1118,Drank!A:T,19,FALSE),""))</f>
        <v>94</v>
      </c>
      <c r="W1118" s="1">
        <f>IF(IFERROR(VLOOKUP(A1118,Drank!A:T,20,FALSE),"")=0,"",IFERROR(VLOOKUP(A1118,Drank!A:T,20,FALSE),""))</f>
        <v>43995</v>
      </c>
      <c r="X1118" s="10">
        <f>SUMIF(A:A,A1118,I:I)</f>
        <v>23</v>
      </c>
      <c r="Y1118" s="10">
        <f>IF(Table1[[#This Row],[Drank]]&gt;0,VLOOKUP(Table1[[#This Row],[ID]],Drank!A:P,16,FALSE),IF(Table1[[#This Row],[WALDD]]&gt;0,VLOOKUP(Table1[[#This Row],[ID]],Wine1!A:Q,17,FALSE),Table1[[#This Row],[EP]]))</f>
        <v>2033</v>
      </c>
      <c r="Z1118" s="18">
        <f>IF(Table1[[#This Row],[My Rating]]="",IF(Table1[[#This Row],[WA Rating Clean]]="","",Table1[[#This Row],[WA Rating Clean]]),Table1[[#This Row],[My Rating]])</f>
        <v>94</v>
      </c>
      <c r="AA1118" s="37">
        <v>2033</v>
      </c>
      <c r="AB1118" s="4">
        <v>36.92</v>
      </c>
      <c r="AC1118" s="2">
        <f t="shared" si="57"/>
        <v>36.92</v>
      </c>
      <c r="AD1118" s="8">
        <v>2</v>
      </c>
      <c r="AE1118" s="10">
        <f>IF(Table1[[#This Row],[P/750]]&lt;20,1,IF(Table1[[#This Row],[P/750]]&lt;50,2,3))</f>
        <v>2</v>
      </c>
      <c r="AF1118" s="10">
        <f>IF(Table1[[#This Row],[P/750]]&lt;Expenses!$C$30,1,IF(Table1[[#This Row],[P/750]]&lt;Expenses!$C$31,2,IF(Table1[[#This Row],[P/750]]&lt;Expenses!$C$32,3,4)))</f>
        <v>3</v>
      </c>
      <c r="AH1118" s="37" t="s">
        <v>384</v>
      </c>
      <c r="AI1118" s="11">
        <f>Table1[[#This Row],[Price]]/Table1[[#This Row],[Size (ml)]]*750</f>
        <v>36.92</v>
      </c>
      <c r="AJ1118" s="37">
        <v>94</v>
      </c>
      <c r="AK1118" s="10">
        <f>COUNTIF(UniqueID!A:A,Table1[[#This Row],[ID]])</f>
        <v>0</v>
      </c>
      <c r="AL1118" s="10" t="str">
        <f>VLOOKUP(Table1[[#This Row],[Cellar Location]],Location!A:F,6,FALSE)</f>
        <v>S</v>
      </c>
      <c r="AN1118" s="1">
        <v>43984</v>
      </c>
      <c r="AO1118" s="10" t="str">
        <f>TEXT(Table1[[#This Row],[Purchased]],"mmmm")</f>
        <v>June</v>
      </c>
      <c r="AP1118" s="10" t="str">
        <f>TEXT(Table1[[#This Row],[Purchased]],"yyyy")</f>
        <v>2020</v>
      </c>
      <c r="AQ1118" s="10"/>
    </row>
    <row r="1119" spans="1:43" s="37" customFormat="1" x14ac:dyDescent="0.25">
      <c r="A1119" s="37" t="str">
        <f t="shared" si="56"/>
        <v>2013FontanafreddaBarolo Serralunga</v>
      </c>
      <c r="B1119" s="37">
        <v>2013</v>
      </c>
      <c r="C1119" s="37" t="s">
        <v>428</v>
      </c>
      <c r="D1119" s="37" t="s">
        <v>429</v>
      </c>
      <c r="E1119" s="67" t="s">
        <v>1206</v>
      </c>
      <c r="F1119" s="37" t="s">
        <v>728</v>
      </c>
      <c r="G1119" s="37" t="s">
        <v>778</v>
      </c>
      <c r="H1119" s="37" t="s">
        <v>783</v>
      </c>
      <c r="I1119" s="107">
        <v>1</v>
      </c>
      <c r="J1119" s="37">
        <v>1000</v>
      </c>
      <c r="K1119" s="107" t="s">
        <v>625</v>
      </c>
      <c r="L1119" s="37">
        <f>COUNTIF(Drank!A:A,Table1[[#This Row],[ID]])</f>
        <v>2</v>
      </c>
      <c r="M1119" s="37" t="s">
        <v>202</v>
      </c>
      <c r="N1119" s="37" t="s">
        <v>207</v>
      </c>
      <c r="O1119" s="37">
        <v>1</v>
      </c>
      <c r="P1119" s="37">
        <v>2018</v>
      </c>
      <c r="Q1119" s="37">
        <v>2030</v>
      </c>
      <c r="R1119" s="10">
        <f>IF(IFERROR(VLOOKUP(A1119,Drank!A:S,15,FALSE),"")=0,"",IFERROR(VLOOKUP(A1119,Drank!A:S,15,FALSE),""))</f>
        <v>2025</v>
      </c>
      <c r="S1119" s="10">
        <f>IF(IFERROR(VLOOKUP(A1119,Drank!A:S,16,FALSE),"")=0,"",IFERROR(VLOOKUP(A1119,Drank!A:S,16,FALSE),""))</f>
        <v>2033</v>
      </c>
      <c r="T1119" s="10"/>
      <c r="U1119" s="37">
        <v>92</v>
      </c>
      <c r="V1119" s="18">
        <f>IF(IFERROR(VLOOKUP(A1119,Drank!A:T,19,FALSE),"")=0,"",IFERROR(VLOOKUP(A1119,Drank!A:T,19,FALSE),""))</f>
        <v>91.5</v>
      </c>
      <c r="W1119" s="1">
        <f>IF(IFERROR(VLOOKUP(A1119,Drank!A:T,20,FALSE),"")=0,"",IFERROR(VLOOKUP(A1119,Drank!A:T,20,FALSE),""))</f>
        <v>44057</v>
      </c>
      <c r="X1119" s="10">
        <f>SUMIF(A:A,A1119,I:I)</f>
        <v>7</v>
      </c>
      <c r="Y1119" s="37">
        <f>IF(Table1[[#This Row],[Drank]]&gt;0,VLOOKUP(Table1[[#This Row],[ID]],Drank!A:P,16,FALSE),IF(Table1[[#This Row],[WALDD]]&gt;0,VLOOKUP(Table1[[#This Row],[ID]],Wine1!A:Q,17,FALSE),Table1[[#This Row],[EP]]))</f>
        <v>2033</v>
      </c>
      <c r="Z1119" s="18">
        <f>IF(Table1[[#This Row],[My Rating]]="",IF(Table1[[#This Row],[WA Rating Clean]]="","",Table1[[#This Row],[WA Rating Clean]]),Table1[[#This Row],[My Rating]])</f>
        <v>91.5</v>
      </c>
      <c r="AA1119" s="8">
        <v>2033</v>
      </c>
      <c r="AB1119" s="4">
        <v>32.99</v>
      </c>
      <c r="AC1119" s="2">
        <f t="shared" si="57"/>
        <v>32.99</v>
      </c>
      <c r="AD1119" s="8">
        <v>2</v>
      </c>
      <c r="AE1119" s="37">
        <f>IF(Table1[[#This Row],[P/750]]&lt;20,1,IF(Table1[[#This Row],[P/750]]&lt;50,2,3))</f>
        <v>2</v>
      </c>
      <c r="AF1119" s="37">
        <f>IF(Table1[[#This Row],[P/750]]&lt;Expenses!$C$30,1,IF(Table1[[#This Row],[P/750]]&lt;Expenses!$C$31,2,IF(Table1[[#This Row],[P/750]]&lt;Expenses!$C$32,3,4)))</f>
        <v>2</v>
      </c>
      <c r="AH1119" s="37" t="s">
        <v>384</v>
      </c>
      <c r="AI1119" s="11">
        <f>Table1[[#This Row],[Price]]/Table1[[#This Row],[Size (ml)]]*750</f>
        <v>24.742500000000003</v>
      </c>
      <c r="AJ1119" s="37">
        <v>92</v>
      </c>
      <c r="AK1119" s="37">
        <f>COUNTIF(UniqueID!A:A,Table1[[#This Row],[ID]])</f>
        <v>1</v>
      </c>
      <c r="AL1119" s="37" t="str">
        <f>VLOOKUP(Table1[[#This Row],[Cellar Location]],Location!A:F,6,FALSE)</f>
        <v>S</v>
      </c>
      <c r="AN1119" s="1">
        <v>43806</v>
      </c>
      <c r="AO1119" s="37" t="str">
        <f>TEXT(Table1[[#This Row],[Purchased]],"mmmm")</f>
        <v>December</v>
      </c>
      <c r="AP1119" s="10" t="str">
        <f>TEXT(Table1[[#This Row],[Purchased]],"yyyy")</f>
        <v>2019</v>
      </c>
      <c r="AQ1119" s="10"/>
    </row>
    <row r="1120" spans="1:43" s="37" customFormat="1" x14ac:dyDescent="0.25">
      <c r="A1120" s="37" t="str">
        <f t="shared" si="56"/>
        <v>2015CamiglianoBrunello di Montalcino</v>
      </c>
      <c r="B1120" s="37">
        <v>2015</v>
      </c>
      <c r="C1120" s="37" t="s">
        <v>1693</v>
      </c>
      <c r="D1120" s="37" t="s">
        <v>19</v>
      </c>
      <c r="E1120" s="67" t="s">
        <v>1250</v>
      </c>
      <c r="F1120" s="37" t="s">
        <v>728</v>
      </c>
      <c r="G1120" s="37" t="s">
        <v>790</v>
      </c>
      <c r="H1120" s="37" t="s">
        <v>19</v>
      </c>
      <c r="I1120" s="8">
        <v>1</v>
      </c>
      <c r="J1120" s="38">
        <v>750</v>
      </c>
      <c r="K1120" s="38" t="s">
        <v>1687</v>
      </c>
      <c r="L1120" s="10">
        <f>COUNTIF(Drank!A:A,Table1[[#This Row],[ID]])</f>
        <v>0</v>
      </c>
      <c r="M1120" s="37" t="s">
        <v>202</v>
      </c>
      <c r="N1120" s="37" t="s">
        <v>207</v>
      </c>
      <c r="O1120" s="37">
        <v>1</v>
      </c>
      <c r="P1120" s="37">
        <v>2021</v>
      </c>
      <c r="Q1120" s="37">
        <v>2033</v>
      </c>
      <c r="R1120" s="10" t="str">
        <f>IF(IFERROR(VLOOKUP(A1120,Drank!A:S,15,FALSE),"")=0,"",IFERROR(VLOOKUP(A1120,Drank!A:S,15,FALSE),""))</f>
        <v/>
      </c>
      <c r="S1120" s="10" t="str">
        <f>IF(IFERROR(VLOOKUP(A1120,Drank!A:S,16,FALSE),"")=0,"",IFERROR(VLOOKUP(A1120,Drank!A:S,16,FALSE),""))</f>
        <v/>
      </c>
      <c r="T1120" s="10"/>
      <c r="U1120" s="37">
        <v>94</v>
      </c>
      <c r="V1120" s="18" t="str">
        <f>IF(IFERROR(VLOOKUP(A1120,Drank!A:T,19,FALSE),"")=0,"",IFERROR(VLOOKUP(A1120,Drank!A:T,19,FALSE),""))</f>
        <v/>
      </c>
      <c r="W1120" s="1" t="str">
        <f>IF(IFERROR(VLOOKUP(A1120,Drank!A:T,20,FALSE),"")=0,"",IFERROR(VLOOKUP(A1120,Drank!A:T,20,FALSE),""))</f>
        <v/>
      </c>
      <c r="X1120" s="10">
        <f>SUMIF(A:A,A1120,I:I)</f>
        <v>3</v>
      </c>
      <c r="Y1120" s="10">
        <f>IF(Table1[[#This Row],[Drank]]&gt;0,VLOOKUP(Table1[[#This Row],[ID]],Drank!A:P,16,FALSE),IF(Table1[[#This Row],[WALDD]]&gt;0,VLOOKUP(Table1[[#This Row],[ID]],Wine1!A:Q,17,FALSE),Table1[[#This Row],[EP]]))</f>
        <v>2033</v>
      </c>
      <c r="Z1120" s="18">
        <f>IF(Table1[[#This Row],[My Rating]]="",IF(Table1[[#This Row],[WA Rating Clean]]="","",Table1[[#This Row],[WA Rating Clean]]),Table1[[#This Row],[My Rating]])</f>
        <v>94</v>
      </c>
      <c r="AA1120" s="8">
        <v>2033</v>
      </c>
      <c r="AB1120" s="4">
        <v>36.51</v>
      </c>
      <c r="AC1120" s="2">
        <f t="shared" si="57"/>
        <v>36.51</v>
      </c>
      <c r="AD1120" s="8">
        <v>1</v>
      </c>
      <c r="AE1120" s="10">
        <f>IF(Table1[[#This Row],[P/750]]&lt;20,1,IF(Table1[[#This Row],[P/750]]&lt;50,2,3))</f>
        <v>2</v>
      </c>
      <c r="AF1120" s="10">
        <f>IF(Table1[[#This Row],[P/750]]&lt;Expenses!$C$30,1,IF(Table1[[#This Row],[P/750]]&lt;Expenses!$C$31,2,IF(Table1[[#This Row],[P/750]]&lt;Expenses!$C$32,3,4)))</f>
        <v>3</v>
      </c>
      <c r="AH1120" s="37" t="s">
        <v>1189</v>
      </c>
      <c r="AI1120" s="11">
        <f>Table1[[#This Row],[Price]]/Table1[[#This Row],[Size (ml)]]*750</f>
        <v>36.51</v>
      </c>
      <c r="AJ1120" s="37">
        <v>94</v>
      </c>
      <c r="AK1120" s="10">
        <f>COUNTIF(UniqueID!A:A,Table1[[#This Row],[ID]])</f>
        <v>0</v>
      </c>
      <c r="AL1120" s="10" t="str">
        <f>VLOOKUP(Table1[[#This Row],[Cellar Location]],Location!A:F,6,FALSE)</f>
        <v>W</v>
      </c>
      <c r="AN1120" s="1">
        <v>44061</v>
      </c>
      <c r="AO1120" s="10" t="str">
        <f>TEXT(Table1[[#This Row],[Purchased]],"mmmm")</f>
        <v>August</v>
      </c>
      <c r="AP1120" s="10" t="str">
        <f>TEXT(Table1[[#This Row],[Purchased]],"yyyy")</f>
        <v>2020</v>
      </c>
      <c r="AQ1120" s="1">
        <v>44137</v>
      </c>
    </row>
    <row r="1121" spans="1:43" s="37" customFormat="1" x14ac:dyDescent="0.25">
      <c r="A1121" s="37" t="str">
        <f t="shared" si="56"/>
        <v>2016Produttori del BarbarescoBarbaresco</v>
      </c>
      <c r="B1121" s="37">
        <v>2016</v>
      </c>
      <c r="C1121" s="37" t="s">
        <v>248</v>
      </c>
      <c r="D1121" s="37" t="s">
        <v>249</v>
      </c>
      <c r="E1121" s="67" t="s">
        <v>1206</v>
      </c>
      <c r="F1121" s="37" t="s">
        <v>728</v>
      </c>
      <c r="G1121" s="37" t="s">
        <v>778</v>
      </c>
      <c r="H1121" s="37" t="s">
        <v>249</v>
      </c>
      <c r="I1121" s="37">
        <v>1</v>
      </c>
      <c r="J1121" s="107">
        <v>750</v>
      </c>
      <c r="K1121" s="8" t="s">
        <v>1850</v>
      </c>
      <c r="L1121" s="10">
        <f>COUNTIF(Drank!A:A,Table1[[#This Row],[ID]])</f>
        <v>2</v>
      </c>
      <c r="M1121" s="37" t="s">
        <v>202</v>
      </c>
      <c r="N1121" s="37" t="s">
        <v>207</v>
      </c>
      <c r="O1121" s="37">
        <v>1</v>
      </c>
      <c r="P1121" s="37">
        <v>2022</v>
      </c>
      <c r="Q1121" s="37">
        <v>2040</v>
      </c>
      <c r="R1121" s="10">
        <f>IF(IFERROR(VLOOKUP(A1121,Drank!A:S,15,FALSE),"")=0,"",IFERROR(VLOOKUP(A1121,Drank!A:S,15,FALSE),""))</f>
        <v>2021</v>
      </c>
      <c r="S1121" s="10">
        <f>IF(IFERROR(VLOOKUP(A1121,Drank!A:S,16,FALSE),"")=0,"",IFERROR(VLOOKUP(A1121,Drank!A:S,16,FALSE),""))</f>
        <v>2032</v>
      </c>
      <c r="T1121" s="10"/>
      <c r="U1121" s="37">
        <v>95</v>
      </c>
      <c r="V1121" s="18">
        <f>IF(IFERROR(VLOOKUP(A1121,Drank!A:T,19,FALSE),"")=0,"",IFERROR(VLOOKUP(A1121,Drank!A:T,19,FALSE),""))</f>
        <v>95.5</v>
      </c>
      <c r="W1121" s="1">
        <f>IF(IFERROR(VLOOKUP(A1121,Drank!A:T,20,FALSE),"")=0,"",IFERROR(VLOOKUP(A1121,Drank!A:T,20,FALSE),""))</f>
        <v>44079</v>
      </c>
      <c r="X1121" s="10">
        <f>SUMIF(A:A,A1121,I:I)</f>
        <v>41</v>
      </c>
      <c r="Y1121" s="10">
        <f>IF(Table1[[#This Row],[Drank]]&gt;0,VLOOKUP(Table1[[#This Row],[ID]],Drank!A:P,16,FALSE),IF(Table1[[#This Row],[WALDD]]&gt;0,VLOOKUP(Table1[[#This Row],[ID]],Wine1!A:Q,17,FALSE),Table1[[#This Row],[EP]]))</f>
        <v>2032</v>
      </c>
      <c r="Z1121" s="18">
        <f>IF(Table1[[#This Row],[My Rating]]="",IF(Table1[[#This Row],[WA Rating Clean]]="","",Table1[[#This Row],[WA Rating Clean]]),Table1[[#This Row],[My Rating]])</f>
        <v>95.5</v>
      </c>
      <c r="AA1121" s="37">
        <v>2033</v>
      </c>
      <c r="AB1121" s="129">
        <v>42.36</v>
      </c>
      <c r="AC1121" s="2">
        <f t="shared" si="57"/>
        <v>42.36</v>
      </c>
      <c r="AD1121" s="8">
        <v>1</v>
      </c>
      <c r="AE1121" s="10">
        <f>IF(Table1[[#This Row],[P/750]]&lt;20,1,IF(Table1[[#This Row],[P/750]]&lt;50,2,3))</f>
        <v>2</v>
      </c>
      <c r="AF1121" s="10">
        <f>IF(Table1[[#This Row],[P/750]]&lt;Expenses!$C$30,1,IF(Table1[[#This Row],[P/750]]&lt;Expenses!$C$31,2,IF(Table1[[#This Row],[P/750]]&lt;Expenses!$C$32,3,4)))</f>
        <v>3</v>
      </c>
      <c r="AH1121" s="37" t="s">
        <v>1128</v>
      </c>
      <c r="AI1121" s="11">
        <f>Table1[[#This Row],[Price]]/Table1[[#This Row],[Size (ml)]]*750</f>
        <v>42.36</v>
      </c>
      <c r="AJ1121" s="37">
        <v>95</v>
      </c>
      <c r="AK1121" s="10">
        <f>COUNTIF(UniqueID!A:A,Table1[[#This Row],[ID]])</f>
        <v>1</v>
      </c>
      <c r="AL1121" s="10" t="str">
        <f>VLOOKUP(Table1[[#This Row],[Cellar Location]],Location!A:F,6,FALSE)</f>
        <v>S</v>
      </c>
      <c r="AN1121" s="1">
        <v>44070</v>
      </c>
      <c r="AO1121" s="10" t="str">
        <f>TEXT(Table1[[#This Row],[Purchased]],"mmmm")</f>
        <v>August</v>
      </c>
      <c r="AP1121" s="10" t="str">
        <f>TEXT(Table1[[#This Row],[Purchased]],"yyyy")</f>
        <v>2020</v>
      </c>
      <c r="AQ1121" s="1"/>
    </row>
    <row r="1122" spans="1:43" s="37" customFormat="1" x14ac:dyDescent="0.25">
      <c r="A1122" s="37" t="str">
        <f t="shared" si="56"/>
        <v>2016Produttori del BarbarescoBarbaresco</v>
      </c>
      <c r="B1122" s="37">
        <v>2016</v>
      </c>
      <c r="C1122" s="37" t="s">
        <v>248</v>
      </c>
      <c r="D1122" s="37" t="s">
        <v>249</v>
      </c>
      <c r="E1122" s="67" t="s">
        <v>1206</v>
      </c>
      <c r="F1122" s="37" t="s">
        <v>728</v>
      </c>
      <c r="G1122" s="37" t="s">
        <v>778</v>
      </c>
      <c r="H1122" s="37" t="s">
        <v>249</v>
      </c>
      <c r="I1122" s="37">
        <v>1</v>
      </c>
      <c r="J1122" s="107">
        <v>750</v>
      </c>
      <c r="K1122" s="8" t="s">
        <v>1851</v>
      </c>
      <c r="L1122" s="10">
        <f>COUNTIF(Drank!A:A,Table1[[#This Row],[ID]])</f>
        <v>2</v>
      </c>
      <c r="M1122" s="37" t="s">
        <v>202</v>
      </c>
      <c r="N1122" s="37" t="s">
        <v>207</v>
      </c>
      <c r="O1122" s="37">
        <v>1</v>
      </c>
      <c r="P1122" s="37">
        <v>2022</v>
      </c>
      <c r="Q1122" s="37">
        <v>2040</v>
      </c>
      <c r="R1122" s="10">
        <f>IF(IFERROR(VLOOKUP(A1122,Drank!A:S,15,FALSE),"")=0,"",IFERROR(VLOOKUP(A1122,Drank!A:S,15,FALSE),""))</f>
        <v>2021</v>
      </c>
      <c r="S1122" s="10">
        <f>IF(IFERROR(VLOOKUP(A1122,Drank!A:S,16,FALSE),"")=0,"",IFERROR(VLOOKUP(A1122,Drank!A:S,16,FALSE),""))</f>
        <v>2032</v>
      </c>
      <c r="T1122" s="10"/>
      <c r="U1122" s="37">
        <v>95</v>
      </c>
      <c r="V1122" s="18">
        <f>IF(IFERROR(VLOOKUP(A1122,Drank!A:T,19,FALSE),"")=0,"",IFERROR(VLOOKUP(A1122,Drank!A:T,19,FALSE),""))</f>
        <v>95.5</v>
      </c>
      <c r="W1122" s="1">
        <f>IF(IFERROR(VLOOKUP(A1122,Drank!A:T,20,FALSE),"")=0,"",IFERROR(VLOOKUP(A1122,Drank!A:T,20,FALSE),""))</f>
        <v>44079</v>
      </c>
      <c r="X1122" s="10">
        <f>SUMIF(A:A,A1122,I:I)</f>
        <v>41</v>
      </c>
      <c r="Y1122" s="10">
        <f>IF(Table1[[#This Row],[Drank]]&gt;0,VLOOKUP(Table1[[#This Row],[ID]],Drank!A:P,16,FALSE),IF(Table1[[#This Row],[WALDD]]&gt;0,VLOOKUP(Table1[[#This Row],[ID]],Wine1!A:Q,17,FALSE),Table1[[#This Row],[EP]]))</f>
        <v>2032</v>
      </c>
      <c r="Z1122" s="18">
        <f>IF(Table1[[#This Row],[My Rating]]="",IF(Table1[[#This Row],[WA Rating Clean]]="","",Table1[[#This Row],[WA Rating Clean]]),Table1[[#This Row],[My Rating]])</f>
        <v>95.5</v>
      </c>
      <c r="AA1122" s="37">
        <v>2033</v>
      </c>
      <c r="AB1122" s="129">
        <v>42.36</v>
      </c>
      <c r="AC1122" s="2">
        <f t="shared" si="57"/>
        <v>42.36</v>
      </c>
      <c r="AD1122" s="8">
        <v>1</v>
      </c>
      <c r="AE1122" s="10">
        <f>IF(Table1[[#This Row],[P/750]]&lt;20,1,IF(Table1[[#This Row],[P/750]]&lt;50,2,3))</f>
        <v>2</v>
      </c>
      <c r="AF1122" s="10">
        <f>IF(Table1[[#This Row],[P/750]]&lt;Expenses!$C$30,1,IF(Table1[[#This Row],[P/750]]&lt;Expenses!$C$31,2,IF(Table1[[#This Row],[P/750]]&lt;Expenses!$C$32,3,4)))</f>
        <v>3</v>
      </c>
      <c r="AH1122" s="37" t="s">
        <v>1128</v>
      </c>
      <c r="AI1122" s="11">
        <f>Table1[[#This Row],[Price]]/Table1[[#This Row],[Size (ml)]]*750</f>
        <v>42.36</v>
      </c>
      <c r="AJ1122" s="37">
        <v>95</v>
      </c>
      <c r="AK1122" s="10">
        <f>COUNTIF(UniqueID!A:A,Table1[[#This Row],[ID]])</f>
        <v>1</v>
      </c>
      <c r="AL1122" s="10" t="str">
        <f>VLOOKUP(Table1[[#This Row],[Cellar Location]],Location!A:F,6,FALSE)</f>
        <v>S</v>
      </c>
      <c r="AN1122" s="1">
        <v>44070</v>
      </c>
      <c r="AO1122" s="10" t="str">
        <f>TEXT(Table1[[#This Row],[Purchased]],"mmmm")</f>
        <v>August</v>
      </c>
      <c r="AP1122" s="10" t="str">
        <f>TEXT(Table1[[#This Row],[Purchased]],"yyyy")</f>
        <v>2020</v>
      </c>
      <c r="AQ1122" s="1"/>
    </row>
    <row r="1123" spans="1:43" s="37" customFormat="1" x14ac:dyDescent="0.25">
      <c r="A1123" s="37" t="str">
        <f t="shared" si="56"/>
        <v>2010La Rioja AltaGran Reserva 904</v>
      </c>
      <c r="B1123" s="37">
        <v>2010</v>
      </c>
      <c r="C1123" s="37" t="s">
        <v>221</v>
      </c>
      <c r="D1123" s="37" t="s">
        <v>222</v>
      </c>
      <c r="E1123" s="67" t="s">
        <v>1296</v>
      </c>
      <c r="F1123" s="37" t="s">
        <v>729</v>
      </c>
      <c r="G1123" s="37" t="s">
        <v>823</v>
      </c>
      <c r="H1123" s="37" t="s">
        <v>824</v>
      </c>
      <c r="I1123" s="37">
        <v>1</v>
      </c>
      <c r="J1123" s="38">
        <v>750</v>
      </c>
      <c r="K1123" s="38" t="s">
        <v>1564</v>
      </c>
      <c r="L1123" s="10">
        <f>COUNTIF(Drank!A:A,Table1[[#This Row],[ID]])</f>
        <v>0</v>
      </c>
      <c r="M1123" s="37" t="s">
        <v>202</v>
      </c>
      <c r="N1123" s="37" t="s">
        <v>207</v>
      </c>
      <c r="O1123" s="37">
        <v>1</v>
      </c>
      <c r="P1123" s="10">
        <v>2019</v>
      </c>
      <c r="Q1123" s="37">
        <v>2035</v>
      </c>
      <c r="R1123" s="10" t="str">
        <f>IF(IFERROR(VLOOKUP(A1123,Drank!A:S,15,FALSE),"")=0,"",IFERROR(VLOOKUP(A1123,Drank!A:S,15,FALSE),""))</f>
        <v/>
      </c>
      <c r="S1123" s="10" t="str">
        <f>IF(IFERROR(VLOOKUP(A1123,Drank!A:S,16,FALSE),"")=0,"",IFERROR(VLOOKUP(A1123,Drank!A:S,16,FALSE),""))</f>
        <v/>
      </c>
      <c r="T1123" s="10"/>
      <c r="U1123" s="37" t="s">
        <v>1180</v>
      </c>
      <c r="V1123" s="18" t="str">
        <f>IF(IFERROR(VLOOKUP(A1123,Drank!A:T,19,FALSE),"")=0,"",IFERROR(VLOOKUP(A1123,Drank!A:T,19,FALSE),""))</f>
        <v/>
      </c>
      <c r="W1123" s="1" t="str">
        <f>IF(IFERROR(VLOOKUP(A1123,Drank!A:T,20,FALSE),"")=0,"",IFERROR(VLOOKUP(A1123,Drank!A:T,20,FALSE),""))</f>
        <v/>
      </c>
      <c r="X1123" s="10">
        <f>SUMIF(A:A,A1123,I:I)</f>
        <v>9</v>
      </c>
      <c r="Y1123" s="10">
        <f>IF(Table1[[#This Row],[Drank]]&gt;0,VLOOKUP(Table1[[#This Row],[ID]],Drank!A:P,16,FALSE),IF(Table1[[#This Row],[WALDD]]&gt;0,VLOOKUP(Table1[[#This Row],[ID]],Wine1!A:Q,17,FALSE),Table1[[#This Row],[EP]]))</f>
        <v>2035</v>
      </c>
      <c r="Z1123" s="18">
        <f>IF(Table1[[#This Row],[My Rating]]="",IF(Table1[[#This Row],[WA Rating Clean]]="","",Table1[[#This Row],[WA Rating Clean]]),Table1[[#This Row],[My Rating]])</f>
        <v>96</v>
      </c>
      <c r="AA1123" s="37">
        <v>2033</v>
      </c>
      <c r="AB1123" s="127">
        <v>64.08</v>
      </c>
      <c r="AC1123" s="2">
        <f t="shared" si="57"/>
        <v>64.08</v>
      </c>
      <c r="AD1123" s="8">
        <v>1</v>
      </c>
      <c r="AE1123" s="10">
        <f>IF(Table1[[#This Row],[P/750]]&lt;20,1,IF(Table1[[#This Row],[P/750]]&lt;50,2,3))</f>
        <v>3</v>
      </c>
      <c r="AF1123" s="10">
        <f>IF(Table1[[#This Row],[P/750]]&lt;Expenses!$C$30,1,IF(Table1[[#This Row],[P/750]]&lt;Expenses!$C$31,2,IF(Table1[[#This Row],[P/750]]&lt;Expenses!$C$32,3,4)))</f>
        <v>3</v>
      </c>
      <c r="AH1123" s="25" t="s">
        <v>1564</v>
      </c>
      <c r="AI1123" s="11">
        <f>Table1[[#This Row],[Price]]/Table1[[#This Row],[Size (ml)]]*750</f>
        <v>64.08</v>
      </c>
      <c r="AJ1123" s="37">
        <v>96</v>
      </c>
      <c r="AK1123" s="10">
        <f>COUNTIF(UniqueID!A:A,Table1[[#This Row],[ID]])</f>
        <v>0</v>
      </c>
      <c r="AL1123" s="10" t="str">
        <f>VLOOKUP(Table1[[#This Row],[Cellar Location]],Location!A:F,6,FALSE)</f>
        <v>W</v>
      </c>
      <c r="AN1123" s="1">
        <v>44064</v>
      </c>
      <c r="AO1123" s="10" t="str">
        <f>TEXT(Table1[[#This Row],[Purchased]],"mmmm")</f>
        <v>August</v>
      </c>
      <c r="AP1123" s="10" t="str">
        <f>TEXT(Table1[[#This Row],[Purchased]],"yyyy")</f>
        <v>2020</v>
      </c>
      <c r="AQ1123" s="1">
        <v>44114</v>
      </c>
    </row>
    <row r="1124" spans="1:43" s="37" customFormat="1" x14ac:dyDescent="0.25">
      <c r="A1124" s="37" t="str">
        <f t="shared" si="56"/>
        <v>2017Chateau de Saint CosmeChateauneuf du Pape</v>
      </c>
      <c r="B1124" s="37">
        <v>2017</v>
      </c>
      <c r="C1124" s="37" t="s">
        <v>1643</v>
      </c>
      <c r="D1124" s="21" t="s">
        <v>1106</v>
      </c>
      <c r="E1124" s="67" t="s">
        <v>1644</v>
      </c>
      <c r="F1124" s="37" t="s">
        <v>742</v>
      </c>
      <c r="G1124" s="37" t="s">
        <v>759</v>
      </c>
      <c r="H1124" s="37" t="s">
        <v>762</v>
      </c>
      <c r="I1124" s="37">
        <v>1</v>
      </c>
      <c r="J1124" s="107">
        <v>750</v>
      </c>
      <c r="K1124" s="8" t="s">
        <v>1850</v>
      </c>
      <c r="L1124" s="10">
        <f>COUNTIF(Drank!A:A,Table1[[#This Row],[ID]])</f>
        <v>0</v>
      </c>
      <c r="M1124" s="37" t="s">
        <v>202</v>
      </c>
      <c r="N1124" s="37" t="s">
        <v>207</v>
      </c>
      <c r="O1124" s="37">
        <v>1</v>
      </c>
      <c r="P1124" s="37">
        <v>2020</v>
      </c>
      <c r="Q1124" s="37">
        <v>2035</v>
      </c>
      <c r="R1124" s="10" t="str">
        <f>IF(IFERROR(VLOOKUP(A1124,Drank!A:S,15,FALSE),"")=0,"",IFERROR(VLOOKUP(A1124,Drank!A:S,15,FALSE),""))</f>
        <v/>
      </c>
      <c r="S1124" s="10" t="str">
        <f>IF(IFERROR(VLOOKUP(A1124,Drank!A:S,16,FALSE),"")=0,"",IFERROR(VLOOKUP(A1124,Drank!A:S,16,FALSE),""))</f>
        <v/>
      </c>
      <c r="T1124" s="10"/>
      <c r="U1124" s="37" t="s">
        <v>1629</v>
      </c>
      <c r="V1124" s="18" t="str">
        <f>IF(IFERROR(VLOOKUP(A1124,Drank!A:T,19,FALSE),"")=0,"",IFERROR(VLOOKUP(A1124,Drank!A:T,19,FALSE),""))</f>
        <v/>
      </c>
      <c r="W1124" s="1" t="str">
        <f>IF(IFERROR(VLOOKUP(A1124,Drank!A:T,20,FALSE),"")=0,"",IFERROR(VLOOKUP(A1124,Drank!A:T,20,FALSE),""))</f>
        <v/>
      </c>
      <c r="X1124" s="10">
        <f>SUMIF(A:A,A1124,I:I)</f>
        <v>2</v>
      </c>
      <c r="Y1124" s="10">
        <f>IF(Table1[[#This Row],[Drank]]&gt;0,VLOOKUP(Table1[[#This Row],[ID]],Drank!A:P,16,FALSE),IF(Table1[[#This Row],[WALDD]]&gt;0,VLOOKUP(Table1[[#This Row],[ID]],Wine1!A:Q,17,FALSE),Table1[[#This Row],[EP]]))</f>
        <v>2035</v>
      </c>
      <c r="Z1124" s="18">
        <f>IF(Table1[[#This Row],[My Rating]]="",IF(Table1[[#This Row],[WA Rating Clean]]="","",Table1[[#This Row],[WA Rating Clean]]),Table1[[#This Row],[My Rating]])</f>
        <v>95</v>
      </c>
      <c r="AA1124" s="8">
        <v>2033</v>
      </c>
      <c r="AB1124" s="4">
        <v>54.97</v>
      </c>
      <c r="AC1124" s="2">
        <f t="shared" si="57"/>
        <v>54.97</v>
      </c>
      <c r="AD1124" s="8">
        <v>0</v>
      </c>
      <c r="AE1124" s="10">
        <f>IF(Table1[[#This Row],[P/750]]&lt;20,1,IF(Table1[[#This Row],[P/750]]&lt;50,2,3))</f>
        <v>3</v>
      </c>
      <c r="AF1124" s="10">
        <f>IF(Table1[[#This Row],[P/750]]&lt;Expenses!$C$30,1,IF(Table1[[#This Row],[P/750]]&lt;Expenses!$C$31,2,IF(Table1[[#This Row],[P/750]]&lt;Expenses!$C$32,3,4)))</f>
        <v>3</v>
      </c>
      <c r="AH1124" s="37" t="s">
        <v>1645</v>
      </c>
      <c r="AI1124" s="11">
        <f>Table1[[#This Row],[Price]]/Table1[[#This Row],[Size (ml)]]*750</f>
        <v>54.97</v>
      </c>
      <c r="AJ1124" s="37">
        <v>95</v>
      </c>
      <c r="AK1124" s="10">
        <f>COUNTIF(UniqueID!A:A,Table1[[#This Row],[ID]])</f>
        <v>0</v>
      </c>
      <c r="AL1124" s="10" t="str">
        <f>VLOOKUP(Table1[[#This Row],[Cellar Location]],Location!A:F,6,FALSE)</f>
        <v>S</v>
      </c>
      <c r="AN1124" s="1">
        <v>44060</v>
      </c>
      <c r="AO1124" s="10" t="str">
        <f>TEXT(Table1[[#This Row],[Purchased]],"mmmm")</f>
        <v>August</v>
      </c>
      <c r="AP1124" s="10" t="str">
        <f>TEXT(Table1[[#This Row],[Purchased]],"yyyy")</f>
        <v>2020</v>
      </c>
      <c r="AQ1124" s="10"/>
    </row>
    <row r="1125" spans="1:43" s="37" customFormat="1" x14ac:dyDescent="0.25">
      <c r="A1125" s="37" t="str">
        <f t="shared" si="56"/>
        <v>2016Paul Jaboulet AineCrozes Hermitage Domaine de Thalabert</v>
      </c>
      <c r="B1125" s="37">
        <v>2016</v>
      </c>
      <c r="C1125" s="37" t="s">
        <v>1656</v>
      </c>
      <c r="D1125" s="21" t="s">
        <v>1657</v>
      </c>
      <c r="E1125" s="67" t="s">
        <v>1431</v>
      </c>
      <c r="F1125" s="37" t="s">
        <v>742</v>
      </c>
      <c r="G1125" s="37" t="s">
        <v>759</v>
      </c>
      <c r="H1125" s="37" t="s">
        <v>1626</v>
      </c>
      <c r="I1125" s="37">
        <v>1</v>
      </c>
      <c r="J1125" s="107">
        <v>750</v>
      </c>
      <c r="K1125" s="8" t="s">
        <v>1850</v>
      </c>
      <c r="L1125" s="10">
        <f>COUNTIF(Drank!A:A,Table1[[#This Row],[ID]])</f>
        <v>1</v>
      </c>
      <c r="M1125" s="37" t="s">
        <v>202</v>
      </c>
      <c r="N1125" s="37" t="s">
        <v>207</v>
      </c>
      <c r="O1125" s="37">
        <v>1</v>
      </c>
      <c r="P1125" s="37">
        <v>2018</v>
      </c>
      <c r="Q1125" s="37">
        <v>2035</v>
      </c>
      <c r="R1125" s="10">
        <f>IF(IFERROR(VLOOKUP(A1125,Drank!A:S,15,FALSE),"")=0,"",IFERROR(VLOOKUP(A1125,Drank!A:S,15,FALSE),""))</f>
        <v>2027</v>
      </c>
      <c r="S1125" s="10">
        <f>IF(IFERROR(VLOOKUP(A1125,Drank!A:S,16,FALSE),"")=0,"",IFERROR(VLOOKUP(A1125,Drank!A:S,16,FALSE),""))</f>
        <v>2030</v>
      </c>
      <c r="T1125" s="10">
        <v>93</v>
      </c>
      <c r="V1125" s="18">
        <f>IF(IFERROR(VLOOKUP(A1125,Drank!A:T,19,FALSE),"")=0,"",IFERROR(VLOOKUP(A1125,Drank!A:T,19,FALSE),""))</f>
        <v>93</v>
      </c>
      <c r="W1125" s="1">
        <f>IF(IFERROR(VLOOKUP(A1125,Drank!A:T,20,FALSE),"")=0,"",IFERROR(VLOOKUP(A1125,Drank!A:T,20,FALSE),""))</f>
        <v>44072</v>
      </c>
      <c r="X1125" s="10">
        <f>SUMIF(A:A,A1125,I:I)</f>
        <v>1</v>
      </c>
      <c r="Y1125" s="10">
        <f>IF(Table1[[#This Row],[Drank]]&gt;0,VLOOKUP(Table1[[#This Row],[ID]],Drank!A:P,16,FALSE),IF(Table1[[#This Row],[WALDD]]&gt;0,VLOOKUP(Table1[[#This Row],[ID]],Wine1!A:Q,17,FALSE),Table1[[#This Row],[EP]]))</f>
        <v>2030</v>
      </c>
      <c r="Z1125" s="18">
        <f>IF(Table1[[#This Row],[My Rating]]="",IF(Table1[[#This Row],[WA Rating Clean]]="","",Table1[[#This Row],[WA Rating Clean]]),Table1[[#This Row],[My Rating]])</f>
        <v>93</v>
      </c>
      <c r="AA1125" s="8">
        <v>2033</v>
      </c>
      <c r="AB1125" s="4">
        <v>31.97</v>
      </c>
      <c r="AC1125" s="2">
        <f t="shared" si="57"/>
        <v>31.97</v>
      </c>
      <c r="AD1125" s="8">
        <v>0</v>
      </c>
      <c r="AE1125" s="10">
        <f>IF(Table1[[#This Row],[P/750]]&lt;20,1,IF(Table1[[#This Row],[P/750]]&lt;50,2,3))</f>
        <v>2</v>
      </c>
      <c r="AF1125" s="10">
        <f>IF(Table1[[#This Row],[P/750]]&lt;Expenses!$C$30,1,IF(Table1[[#This Row],[P/750]]&lt;Expenses!$C$31,2,IF(Table1[[#This Row],[P/750]]&lt;Expenses!$C$32,3,4)))</f>
        <v>3</v>
      </c>
      <c r="AH1125" s="37" t="s">
        <v>1645</v>
      </c>
      <c r="AI1125" s="11">
        <f>Table1[[#This Row],[Price]]/Table1[[#This Row],[Size (ml)]]*750</f>
        <v>31.97</v>
      </c>
      <c r="AJ1125" s="37">
        <v>93</v>
      </c>
      <c r="AK1125" s="10">
        <f>COUNTIF(UniqueID!A:A,Table1[[#This Row],[ID]])</f>
        <v>0</v>
      </c>
      <c r="AL1125" s="10" t="str">
        <f>VLOOKUP(Table1[[#This Row],[Cellar Location]],Location!A:F,6,FALSE)</f>
        <v>S</v>
      </c>
      <c r="AN1125" s="1">
        <v>44060</v>
      </c>
      <c r="AO1125" s="10" t="str">
        <f>TEXT(Table1[[#This Row],[Purchased]],"mmmm")</f>
        <v>August</v>
      </c>
      <c r="AP1125" s="10" t="str">
        <f>TEXT(Table1[[#This Row],[Purchased]],"yyyy")</f>
        <v>2020</v>
      </c>
      <c r="AQ1125" s="10"/>
    </row>
    <row r="1126" spans="1:43" s="37" customFormat="1" x14ac:dyDescent="0.25">
      <c r="A1126" s="37" t="str">
        <f t="shared" si="56"/>
        <v>2016G.D. VajraBarolo Albe</v>
      </c>
      <c r="B1126" s="37">
        <v>2016</v>
      </c>
      <c r="C1126" s="37" t="s">
        <v>81</v>
      </c>
      <c r="D1126" s="37" t="s">
        <v>82</v>
      </c>
      <c r="E1126" s="67" t="s">
        <v>1206</v>
      </c>
      <c r="F1126" s="37" t="s">
        <v>728</v>
      </c>
      <c r="G1126" s="37" t="s">
        <v>778</v>
      </c>
      <c r="H1126" s="37" t="s">
        <v>268</v>
      </c>
      <c r="I1126" s="8">
        <v>1</v>
      </c>
      <c r="J1126" s="38">
        <v>750</v>
      </c>
      <c r="K1126" s="38" t="s">
        <v>1139</v>
      </c>
      <c r="L1126" s="10">
        <f>COUNTIF(Drank!A:A,Table1[[#This Row],[ID]])</f>
        <v>0</v>
      </c>
      <c r="M1126" s="37" t="s">
        <v>202</v>
      </c>
      <c r="N1126" s="37" t="s">
        <v>207</v>
      </c>
      <c r="O1126" s="37">
        <v>1</v>
      </c>
      <c r="P1126" s="10">
        <v>2022</v>
      </c>
      <c r="Q1126" s="37">
        <v>2035</v>
      </c>
      <c r="R1126" s="10" t="str">
        <f>IF(IFERROR(VLOOKUP(A1126,Drank!A:S,15,FALSE),"")=0,"",IFERROR(VLOOKUP(A1126,Drank!A:S,15,FALSE),""))</f>
        <v/>
      </c>
      <c r="S1126" s="10" t="str">
        <f>IF(IFERROR(VLOOKUP(A1126,Drank!A:S,16,FALSE),"")=0,"",IFERROR(VLOOKUP(A1126,Drank!A:S,16,FALSE),""))</f>
        <v/>
      </c>
      <c r="T1126" s="10"/>
      <c r="U1126" s="37">
        <v>94</v>
      </c>
      <c r="V1126" s="18" t="str">
        <f>IF(IFERROR(VLOOKUP(A1126,Drank!A:T,19,FALSE),"")=0,"",IFERROR(VLOOKUP(A1126,Drank!A:T,19,FALSE),""))</f>
        <v/>
      </c>
      <c r="W1126" s="1" t="str">
        <f>IF(IFERROR(VLOOKUP(A1126,Drank!A:T,20,FALSE),"")=0,"",IFERROR(VLOOKUP(A1126,Drank!A:T,20,FALSE),""))</f>
        <v/>
      </c>
      <c r="X1126" s="10">
        <f>SUMIF(A:A,A1126,I:I)</f>
        <v>6</v>
      </c>
      <c r="Y1126" s="10">
        <f>IF(Table1[[#This Row],[Drank]]&gt;0,VLOOKUP(Table1[[#This Row],[ID]],Drank!A:P,16,FALSE),IF(Table1[[#This Row],[WALDD]]&gt;0,VLOOKUP(Table1[[#This Row],[ID]],Wine1!A:Q,17,FALSE),Table1[[#This Row],[EP]]))</f>
        <v>2035</v>
      </c>
      <c r="Z1126" s="18">
        <f>IF(Table1[[#This Row],[My Rating]]="",IF(Table1[[#This Row],[WA Rating Clean]]="","",Table1[[#This Row],[WA Rating Clean]]),Table1[[#This Row],[My Rating]])</f>
        <v>94</v>
      </c>
      <c r="AA1126" s="37">
        <v>2033</v>
      </c>
      <c r="AB1126" s="4">
        <v>37.14</v>
      </c>
      <c r="AC1126" s="2">
        <f t="shared" si="57"/>
        <v>37.14</v>
      </c>
      <c r="AD1126" s="8">
        <v>1</v>
      </c>
      <c r="AE1126" s="10">
        <f>IF(Table1[[#This Row],[P/750]]&lt;20,1,IF(Table1[[#This Row],[P/750]]&lt;50,2,3))</f>
        <v>2</v>
      </c>
      <c r="AF1126" s="10">
        <f>IF(Table1[[#This Row],[P/750]]&lt;Expenses!$C$30,1,IF(Table1[[#This Row],[P/750]]&lt;Expenses!$C$31,2,IF(Table1[[#This Row],[P/750]]&lt;Expenses!$C$32,3,4)))</f>
        <v>3</v>
      </c>
      <c r="AH1126" s="37" t="s">
        <v>1139</v>
      </c>
      <c r="AI1126" s="11">
        <f>Table1[[#This Row],[Price]]/Table1[[#This Row],[Size (ml)]]*750</f>
        <v>37.14</v>
      </c>
      <c r="AJ1126" s="37">
        <v>94</v>
      </c>
      <c r="AK1126" s="10">
        <f>COUNTIF(UniqueID!A:A,Table1[[#This Row],[ID]])</f>
        <v>0</v>
      </c>
      <c r="AL1126" s="10" t="str">
        <f>VLOOKUP(Table1[[#This Row],[Cellar Location]],Location!A:F,6,FALSE)</f>
        <v>W</v>
      </c>
      <c r="AN1126" s="1">
        <v>44058</v>
      </c>
      <c r="AO1126" s="10" t="str">
        <f>TEXT(Table1[[#This Row],[Purchased]],"mmmm")</f>
        <v>August</v>
      </c>
      <c r="AP1126" s="10" t="str">
        <f>TEXT(Table1[[#This Row],[Purchased]],"yyyy")</f>
        <v>2020</v>
      </c>
      <c r="AQ1126" s="1">
        <v>44132</v>
      </c>
    </row>
    <row r="1127" spans="1:43" s="37" customFormat="1" x14ac:dyDescent="0.25">
      <c r="A1127" s="37" t="str">
        <f t="shared" si="56"/>
        <v>2015Siro PacentiBrunello di Montalcino Pelagrilli</v>
      </c>
      <c r="B1127" s="37">
        <v>2015</v>
      </c>
      <c r="C1127" s="37" t="s">
        <v>1609</v>
      </c>
      <c r="D1127" s="37" t="s">
        <v>1610</v>
      </c>
      <c r="E1127" s="67" t="s">
        <v>1250</v>
      </c>
      <c r="F1127" s="37" t="s">
        <v>728</v>
      </c>
      <c r="G1127" s="37" t="s">
        <v>790</v>
      </c>
      <c r="H1127" s="37" t="s">
        <v>19</v>
      </c>
      <c r="I1127" s="8">
        <v>1</v>
      </c>
      <c r="J1127" s="38">
        <v>750</v>
      </c>
      <c r="K1127" s="38" t="s">
        <v>1139</v>
      </c>
      <c r="L1127" s="10">
        <f>COUNTIF(Drank!A:A,Table1[[#This Row],[ID]])</f>
        <v>0</v>
      </c>
      <c r="M1127" s="37" t="s">
        <v>202</v>
      </c>
      <c r="N1127" s="37" t="s">
        <v>207</v>
      </c>
      <c r="O1127" s="37">
        <v>1</v>
      </c>
      <c r="P1127" s="10">
        <v>2021</v>
      </c>
      <c r="Q1127" s="37">
        <v>2035</v>
      </c>
      <c r="R1127" s="10" t="str">
        <f>IF(IFERROR(VLOOKUP(A1127,Drank!A:S,15,FALSE),"")=0,"",IFERROR(VLOOKUP(A1127,Drank!A:S,15,FALSE),""))</f>
        <v/>
      </c>
      <c r="S1127" s="10" t="str">
        <f>IF(IFERROR(VLOOKUP(A1127,Drank!A:S,16,FALSE),"")=0,"",IFERROR(VLOOKUP(A1127,Drank!A:S,16,FALSE),""))</f>
        <v/>
      </c>
      <c r="T1127" s="10"/>
      <c r="U1127" s="37">
        <v>95</v>
      </c>
      <c r="V1127" s="18" t="str">
        <f>IF(IFERROR(VLOOKUP(A1127,Drank!A:T,19,FALSE),"")=0,"",IFERROR(VLOOKUP(A1127,Drank!A:T,19,FALSE),""))</f>
        <v/>
      </c>
      <c r="W1127" s="1" t="str">
        <f>IF(IFERROR(VLOOKUP(A1127,Drank!A:T,20,FALSE),"")=0,"",IFERROR(VLOOKUP(A1127,Drank!A:T,20,FALSE),""))</f>
        <v/>
      </c>
      <c r="X1127" s="10">
        <f>SUMIF(A:A,A1127,I:I)</f>
        <v>4</v>
      </c>
      <c r="Y1127" s="10">
        <f>IF(Table1[[#This Row],[Drank]]&gt;0,VLOOKUP(Table1[[#This Row],[ID]],Drank!A:P,16,FALSE),IF(Table1[[#This Row],[WALDD]]&gt;0,VLOOKUP(Table1[[#This Row],[ID]],Wine1!A:Q,17,FALSE),Table1[[#This Row],[EP]]))</f>
        <v>2035</v>
      </c>
      <c r="Z1127" s="18">
        <f>IF(Table1[[#This Row],[My Rating]]="",IF(Table1[[#This Row],[WA Rating Clean]]="","",Table1[[#This Row],[WA Rating Clean]]),Table1[[#This Row],[My Rating]])</f>
        <v>95</v>
      </c>
      <c r="AA1127" s="37">
        <v>2033</v>
      </c>
      <c r="AB1127" s="4">
        <v>58.65</v>
      </c>
      <c r="AC1127" s="2">
        <f t="shared" si="57"/>
        <v>58.65</v>
      </c>
      <c r="AD1127" s="8">
        <v>1</v>
      </c>
      <c r="AE1127" s="10">
        <f>IF(Table1[[#This Row],[P/750]]&lt;20,1,IF(Table1[[#This Row],[P/750]]&lt;50,2,3))</f>
        <v>3</v>
      </c>
      <c r="AF1127" s="10">
        <f>IF(Table1[[#This Row],[P/750]]&lt;Expenses!$C$30,1,IF(Table1[[#This Row],[P/750]]&lt;Expenses!$C$31,2,IF(Table1[[#This Row],[P/750]]&lt;Expenses!$C$32,3,4)))</f>
        <v>3</v>
      </c>
      <c r="AH1127" s="37" t="s">
        <v>1139</v>
      </c>
      <c r="AI1127" s="11">
        <f>Table1[[#This Row],[Price]]/Table1[[#This Row],[Size (ml)]]*750</f>
        <v>58.649999999999991</v>
      </c>
      <c r="AJ1127" s="37">
        <v>95</v>
      </c>
      <c r="AK1127" s="10">
        <f>COUNTIF(UniqueID!A:A,Table1[[#This Row],[ID]])</f>
        <v>0</v>
      </c>
      <c r="AL1127" s="10" t="str">
        <f>VLOOKUP(Table1[[#This Row],[Cellar Location]],Location!A:F,6,FALSE)</f>
        <v>W</v>
      </c>
      <c r="AN1127" s="1">
        <v>44058</v>
      </c>
      <c r="AO1127" s="10" t="str">
        <f>TEXT(Table1[[#This Row],[Purchased]],"mmmm")</f>
        <v>August</v>
      </c>
      <c r="AP1127" s="10" t="str">
        <f>TEXT(Table1[[#This Row],[Purchased]],"yyyy")</f>
        <v>2020</v>
      </c>
      <c r="AQ1127" s="1">
        <v>44132</v>
      </c>
    </row>
    <row r="1128" spans="1:43" s="37" customFormat="1" x14ac:dyDescent="0.25">
      <c r="A1128" s="37" t="str">
        <f t="shared" si="56"/>
        <v>2017Domaine Roger SabonChateauneuf du Pape Reserve</v>
      </c>
      <c r="B1128" s="37">
        <v>2017</v>
      </c>
      <c r="C1128" s="37" t="s">
        <v>359</v>
      </c>
      <c r="D1128" s="25" t="s">
        <v>360</v>
      </c>
      <c r="E1128" s="67" t="s">
        <v>1222</v>
      </c>
      <c r="F1128" s="37" t="s">
        <v>742</v>
      </c>
      <c r="G1128" s="37" t="s">
        <v>759</v>
      </c>
      <c r="H1128" s="9" t="s">
        <v>762</v>
      </c>
      <c r="I1128" s="107">
        <v>1</v>
      </c>
      <c r="J1128" s="37">
        <v>750</v>
      </c>
      <c r="K1128" s="107" t="s">
        <v>656</v>
      </c>
      <c r="L1128" s="37">
        <f>COUNTIF(Drank!A:A,Table1[[#This Row],[ID]])</f>
        <v>0</v>
      </c>
      <c r="M1128" s="37" t="s">
        <v>202</v>
      </c>
      <c r="N1128" s="37" t="s">
        <v>207</v>
      </c>
      <c r="O1128" s="37">
        <v>1</v>
      </c>
      <c r="P1128" s="37">
        <v>2020</v>
      </c>
      <c r="Q1128" s="37">
        <v>2035</v>
      </c>
      <c r="R1128" s="10" t="str">
        <f>IF(IFERROR(VLOOKUP(A1128,Drank!A:S,15,FALSE),"")=0,"",IFERROR(VLOOKUP(A1128,Drank!A:S,15,FALSE),""))</f>
        <v/>
      </c>
      <c r="S1128" s="10" t="str">
        <f>IF(IFERROR(VLOOKUP(A1128,Drank!A:S,16,FALSE),"")=0,"",IFERROR(VLOOKUP(A1128,Drank!A:S,16,FALSE),""))</f>
        <v/>
      </c>
      <c r="T1128" s="10"/>
      <c r="U1128" s="37">
        <v>95</v>
      </c>
      <c r="V1128" s="18" t="str">
        <f>IF(IFERROR(VLOOKUP(A1128,Drank!A:T,19,FALSE),"")=0,"",IFERROR(VLOOKUP(A1128,Drank!A:T,19,FALSE),""))</f>
        <v/>
      </c>
      <c r="W1128" s="1" t="str">
        <f>IF(IFERROR(VLOOKUP(A1128,Drank!A:T,20,FALSE),"")=0,"",IFERROR(VLOOKUP(A1128,Drank!A:T,20,FALSE),""))</f>
        <v/>
      </c>
      <c r="X1128" s="10">
        <f>SUMIF(A:A,A1128,I:I)</f>
        <v>4</v>
      </c>
      <c r="Y1128" s="37">
        <f>IF(Table1[[#This Row],[Drank]]&gt;0,VLOOKUP(Table1[[#This Row],[ID]],Drank!A:P,16,FALSE),IF(Table1[[#This Row],[WALDD]]&gt;0,VLOOKUP(Table1[[#This Row],[ID]],Wine1!A:Q,17,FALSE),Table1[[#This Row],[EP]]))</f>
        <v>2035</v>
      </c>
      <c r="Z1128" s="18">
        <f>IF(Table1[[#This Row],[My Rating]]="",IF(Table1[[#This Row],[WA Rating Clean]]="","",Table1[[#This Row],[WA Rating Clean]]),Table1[[#This Row],[My Rating]])</f>
        <v>95</v>
      </c>
      <c r="AA1128" s="6">
        <v>2033</v>
      </c>
      <c r="AB1128" s="4">
        <v>39.99</v>
      </c>
      <c r="AC1128" s="2">
        <f t="shared" si="57"/>
        <v>39.99</v>
      </c>
      <c r="AD1128" s="8">
        <v>2</v>
      </c>
      <c r="AE1128" s="37">
        <f>IF(Table1[[#This Row],[P/750]]&lt;20,1,IF(Table1[[#This Row],[P/750]]&lt;50,2,3))</f>
        <v>2</v>
      </c>
      <c r="AF1128" s="37">
        <f>IF(Table1[[#This Row],[P/750]]&lt;Expenses!$C$30,1,IF(Table1[[#This Row],[P/750]]&lt;Expenses!$C$31,2,IF(Table1[[#This Row],[P/750]]&lt;Expenses!$C$32,3,4)))</f>
        <v>3</v>
      </c>
      <c r="AH1128" s="37" t="s">
        <v>384</v>
      </c>
      <c r="AI1128" s="11">
        <f>Table1[[#This Row],[Price]]/Table1[[#This Row],[Size (ml)]]*750</f>
        <v>39.99</v>
      </c>
      <c r="AJ1128" s="37">
        <v>95</v>
      </c>
      <c r="AK1128" s="37">
        <f>COUNTIF(UniqueID!A:A,Table1[[#This Row],[ID]])</f>
        <v>1</v>
      </c>
      <c r="AL1128" s="37" t="str">
        <f>VLOOKUP(Table1[[#This Row],[Cellar Location]],Location!A:F,6,FALSE)</f>
        <v>S</v>
      </c>
      <c r="AO1128" s="37" t="str">
        <f>TEXT(Table1[[#This Row],[Purchased]],"mmmm")</f>
        <v>January</v>
      </c>
      <c r="AP1128" s="10" t="str">
        <f>TEXT(Table1[[#This Row],[Purchased]],"yyyy")</f>
        <v>1900</v>
      </c>
      <c r="AQ1128" s="10"/>
    </row>
    <row r="1129" spans="1:43" s="37" customFormat="1" x14ac:dyDescent="0.25">
      <c r="A1129" s="37" t="str">
        <f t="shared" si="56"/>
        <v>2016GrattamaccoBolgheri Superiore l'Alberello</v>
      </c>
      <c r="B1129" s="37">
        <v>2016</v>
      </c>
      <c r="C1129" s="37" t="s">
        <v>1802</v>
      </c>
      <c r="D1129" s="37" t="s">
        <v>1334</v>
      </c>
      <c r="E1129" s="67" t="s">
        <v>1335</v>
      </c>
      <c r="F1129" s="67" t="s">
        <v>728</v>
      </c>
      <c r="G1129" s="37" t="s">
        <v>790</v>
      </c>
      <c r="H1129" s="37" t="s">
        <v>1336</v>
      </c>
      <c r="I1129" s="8">
        <v>1</v>
      </c>
      <c r="J1129" s="38">
        <v>750</v>
      </c>
      <c r="K1129" s="38" t="s">
        <v>1572</v>
      </c>
      <c r="L1129" s="10">
        <f>COUNTIF(Drank!A:A,Table1[[#This Row],[ID]])</f>
        <v>0</v>
      </c>
      <c r="M1129" s="37" t="s">
        <v>202</v>
      </c>
      <c r="N1129" s="37" t="s">
        <v>207</v>
      </c>
      <c r="O1129" s="37">
        <v>1</v>
      </c>
      <c r="P1129" s="10">
        <v>2020</v>
      </c>
      <c r="Q1129" s="37">
        <v>2035</v>
      </c>
      <c r="R1129" s="10" t="str">
        <f>IF(IFERROR(VLOOKUP(A1129,Drank!A:S,15,FALSE),"")=0,"",IFERROR(VLOOKUP(A1129,Drank!A:S,15,FALSE),""))</f>
        <v/>
      </c>
      <c r="S1129" s="10" t="str">
        <f>IF(IFERROR(VLOOKUP(A1129,Drank!A:S,16,FALSE),"")=0,"",IFERROR(VLOOKUP(A1129,Drank!A:S,16,FALSE),""))</f>
        <v/>
      </c>
      <c r="T1129" s="10"/>
      <c r="U1129" s="37">
        <v>96</v>
      </c>
      <c r="V1129" s="18" t="str">
        <f>IF(IFERROR(VLOOKUP(A1129,Drank!A:T,19,FALSE),"")=0,"",IFERROR(VLOOKUP(A1129,Drank!A:T,19,FALSE),""))</f>
        <v/>
      </c>
      <c r="W1129" s="1" t="str">
        <f>IF(IFERROR(VLOOKUP(A1129,Drank!A:T,20,FALSE),"")=0,"",IFERROR(VLOOKUP(A1129,Drank!A:T,20,FALSE),""))</f>
        <v/>
      </c>
      <c r="X1129" s="10">
        <f>SUMIF(A:A,A1129,I:I)</f>
        <v>9</v>
      </c>
      <c r="Y1129" s="10">
        <f>IF(Table1[[#This Row],[Drank]]&gt;0,VLOOKUP(Table1[[#This Row],[ID]],Drank!A:P,16,FALSE),IF(Table1[[#This Row],[WALDD]]&gt;0,VLOOKUP(Table1[[#This Row],[ID]],Wine1!A:Q,17,FALSE),Table1[[#This Row],[EP]]))</f>
        <v>2035</v>
      </c>
      <c r="Z1129" s="18">
        <f>IF(Table1[[#This Row],[My Rating]]="",IF(Table1[[#This Row],[WA Rating Clean]]="","",Table1[[#This Row],[WA Rating Clean]]),Table1[[#This Row],[My Rating]])</f>
        <v>96</v>
      </c>
      <c r="AA1129" s="8">
        <v>2033</v>
      </c>
      <c r="AB1129" s="4">
        <v>60.08</v>
      </c>
      <c r="AC1129" s="2">
        <f t="shared" si="57"/>
        <v>60.08</v>
      </c>
      <c r="AD1129" s="8">
        <v>1</v>
      </c>
      <c r="AE1129" s="10">
        <f>IF(Table1[[#This Row],[P/750]]&lt;20,1,IF(Table1[[#This Row],[P/750]]&lt;50,2,3))</f>
        <v>3</v>
      </c>
      <c r="AF1129" s="10">
        <f>IF(Table1[[#This Row],[P/750]]&lt;Expenses!$C$30,1,IF(Table1[[#This Row],[P/750]]&lt;Expenses!$C$31,2,IF(Table1[[#This Row],[P/750]]&lt;Expenses!$C$32,3,4)))</f>
        <v>3</v>
      </c>
      <c r="AH1129" s="37" t="s">
        <v>1572</v>
      </c>
      <c r="AI1129" s="11">
        <f>Table1[[#This Row],[Price]]/Table1[[#This Row],[Size (ml)]]*750</f>
        <v>60.079999999999991</v>
      </c>
      <c r="AJ1129" s="37">
        <v>96</v>
      </c>
      <c r="AK1129" s="10">
        <f>COUNTIF(UniqueID!A:A,Table1[[#This Row],[ID]])</f>
        <v>0</v>
      </c>
      <c r="AL1129" s="10" t="str">
        <f>VLOOKUP(Table1[[#This Row],[Cellar Location]],Location!A:F,6,FALSE)</f>
        <v>W</v>
      </c>
      <c r="AN1129" s="1">
        <v>44055</v>
      </c>
      <c r="AO1129" s="10" t="str">
        <f>TEXT(Table1[[#This Row],[Purchased]],"mmmm")</f>
        <v>August</v>
      </c>
      <c r="AP1129" s="10" t="str">
        <f>TEXT(Table1[[#This Row],[Purchased]],"yyyy")</f>
        <v>2020</v>
      </c>
      <c r="AQ1129" s="1">
        <v>44114</v>
      </c>
    </row>
    <row r="1130" spans="1:43" s="37" customFormat="1" x14ac:dyDescent="0.25">
      <c r="A1130" s="37" t="str">
        <f t="shared" si="56"/>
        <v>2016FelsinaChianti Classico Riserva Rancia</v>
      </c>
      <c r="B1130" s="37">
        <v>2016</v>
      </c>
      <c r="C1130" s="37" t="s">
        <v>795</v>
      </c>
      <c r="D1130" s="37" t="s">
        <v>845</v>
      </c>
      <c r="E1130" s="67" t="s">
        <v>1250</v>
      </c>
      <c r="F1130" s="37" t="s">
        <v>728</v>
      </c>
      <c r="G1130" s="37" t="s">
        <v>790</v>
      </c>
      <c r="H1130" s="37" t="s">
        <v>792</v>
      </c>
      <c r="I1130" s="107">
        <v>1</v>
      </c>
      <c r="J1130" s="37">
        <v>750</v>
      </c>
      <c r="K1130" s="107" t="s">
        <v>928</v>
      </c>
      <c r="L1130" s="10">
        <f>COUNTIF(Drank!A:A,Table1[[#This Row],[ID]])</f>
        <v>1</v>
      </c>
      <c r="M1130" s="37" t="s">
        <v>202</v>
      </c>
      <c r="N1130" s="37" t="s">
        <v>207</v>
      </c>
      <c r="O1130" s="37">
        <v>1</v>
      </c>
      <c r="P1130" s="10">
        <v>2020</v>
      </c>
      <c r="Q1130" s="37">
        <v>2040</v>
      </c>
      <c r="R1130" s="10">
        <f>IF(IFERROR(VLOOKUP(A1130,Drank!A:S,15,FALSE),"")=0,"",IFERROR(VLOOKUP(A1130,Drank!A:S,15,FALSE),""))</f>
        <v>2027</v>
      </c>
      <c r="S1130" s="10">
        <f>IF(IFERROR(VLOOKUP(A1130,Drank!A:S,16,FALSE),"")=0,"",IFERROR(VLOOKUP(A1130,Drank!A:S,16,FALSE),""))</f>
        <v>2037</v>
      </c>
      <c r="T1130" s="10"/>
      <c r="U1130" s="37">
        <v>96</v>
      </c>
      <c r="V1130" s="18">
        <f>IF(IFERROR(VLOOKUP(A1130,Drank!A:T,19,FALSE),"")=0,"",IFERROR(VLOOKUP(A1130,Drank!A:T,19,FALSE),""))</f>
        <v>96</v>
      </c>
      <c r="W1130" s="1">
        <f>IF(IFERROR(VLOOKUP(A1130,Drank!A:T,20,FALSE),"")=0,"",IFERROR(VLOOKUP(A1130,Drank!A:T,20,FALSE),""))</f>
        <v>43897</v>
      </c>
      <c r="X1130" s="10">
        <f>SUMIF(A:A,A1130,I:I)</f>
        <v>5</v>
      </c>
      <c r="Y1130" s="10">
        <f>IF(Table1[[#This Row],[Drank]]&gt;0,VLOOKUP(Table1[[#This Row],[ID]],Drank!A:P,16,FALSE),IF(Table1[[#This Row],[WALDD]]&gt;0,VLOOKUP(Table1[[#This Row],[ID]],Wine1!A:Q,17,FALSE),Table1[[#This Row],[EP]]))</f>
        <v>2037</v>
      </c>
      <c r="Z1130" s="18">
        <f>IF(Table1[[#This Row],[My Rating]]="",IF(Table1[[#This Row],[WA Rating Clean]]="","",Table1[[#This Row],[WA Rating Clean]]),Table1[[#This Row],[My Rating]])</f>
        <v>96</v>
      </c>
      <c r="AA1130" s="37">
        <v>2033</v>
      </c>
      <c r="AB1130" s="4">
        <v>54.99</v>
      </c>
      <c r="AC1130" s="2">
        <f t="shared" si="57"/>
        <v>54.99</v>
      </c>
      <c r="AD1130" s="8">
        <v>2</v>
      </c>
      <c r="AE1130" s="10">
        <f>IF(Table1[[#This Row],[P/750]]&lt;20,1,IF(Table1[[#This Row],[P/750]]&lt;50,2,3))</f>
        <v>3</v>
      </c>
      <c r="AF1130" s="10">
        <f>IF(Table1[[#This Row],[P/750]]&lt;Expenses!$C$30,1,IF(Table1[[#This Row],[P/750]]&lt;Expenses!$C$31,2,IF(Table1[[#This Row],[P/750]]&lt;Expenses!$C$32,3,4)))</f>
        <v>3</v>
      </c>
      <c r="AH1130" s="37" t="s">
        <v>1139</v>
      </c>
      <c r="AI1130" s="11">
        <f>Table1[[#This Row],[Price]]/Table1[[#This Row],[Size (ml)]]*750</f>
        <v>54.989999999999995</v>
      </c>
      <c r="AJ1130" s="37">
        <v>96</v>
      </c>
      <c r="AK1130" s="10">
        <f>COUNTIF(UniqueID!A:A,Table1[[#This Row],[ID]])</f>
        <v>0</v>
      </c>
      <c r="AL1130" s="37" t="str">
        <f>VLOOKUP(Table1[[#This Row],[Cellar Location]],Location!A:F,6,FALSE)</f>
        <v>S</v>
      </c>
      <c r="AO1130" s="37" t="str">
        <f>TEXT(Table1[[#This Row],[Purchased]],"mmmm")</f>
        <v>January</v>
      </c>
      <c r="AP1130" s="10" t="str">
        <f>TEXT(Table1[[#This Row],[Purchased]],"yyyy")</f>
        <v>1900</v>
      </c>
      <c r="AQ1130" s="10"/>
    </row>
    <row r="1131" spans="1:43" s="37" customFormat="1" x14ac:dyDescent="0.25">
      <c r="A1131" s="37" t="str">
        <f t="shared" si="56"/>
        <v>2016Quinta do ValladoField Blend Reserva</v>
      </c>
      <c r="B1131" s="8">
        <v>2016</v>
      </c>
      <c r="C1131" s="30" t="s">
        <v>210</v>
      </c>
      <c r="D1131" s="9" t="s">
        <v>1423</v>
      </c>
      <c r="E1131" s="65" t="s">
        <v>274</v>
      </c>
      <c r="F1131" s="37" t="s">
        <v>804</v>
      </c>
      <c r="G1131" s="37" t="s">
        <v>1422</v>
      </c>
      <c r="H1131" s="9"/>
      <c r="I1131" s="107">
        <v>1</v>
      </c>
      <c r="J1131" s="37">
        <v>750</v>
      </c>
      <c r="K1131" s="107" t="s">
        <v>1195</v>
      </c>
      <c r="L1131" s="10">
        <f>COUNTIF(Drank!A:A,Table1[[#This Row],[ID]])</f>
        <v>1</v>
      </c>
      <c r="M1131" s="37" t="s">
        <v>202</v>
      </c>
      <c r="N1131" s="37" t="s">
        <v>207</v>
      </c>
      <c r="O1131" s="37">
        <v>1</v>
      </c>
      <c r="P1131" s="37">
        <v>2021</v>
      </c>
      <c r="Q1131" s="37">
        <v>2041</v>
      </c>
      <c r="R1131" s="10">
        <f>IF(IFERROR(VLOOKUP(A1131,Drank!A:S,15,FALSE),"")=0,"",IFERROR(VLOOKUP(A1131,Drank!A:S,15,FALSE),""))</f>
        <v>2025</v>
      </c>
      <c r="S1131" s="10">
        <f>IF(IFERROR(VLOOKUP(A1131,Drank!A:S,16,FALSE),"")=0,"",IFERROR(VLOOKUP(A1131,Drank!A:S,16,FALSE),""))</f>
        <v>2037</v>
      </c>
      <c r="T1131" s="10"/>
      <c r="U1131" s="37">
        <v>95</v>
      </c>
      <c r="V1131" s="18">
        <f>IF(IFERROR(VLOOKUP(A1131,Drank!A:T,19,FALSE),"")=0,"",IFERROR(VLOOKUP(A1131,Drank!A:T,19,FALSE),""))</f>
        <v>92</v>
      </c>
      <c r="W1131" s="1">
        <f>IF(IFERROR(VLOOKUP(A1131,Drank!A:T,20,FALSE),"")=0,"",IFERROR(VLOOKUP(A1131,Drank!A:T,20,FALSE),""))</f>
        <v>43987</v>
      </c>
      <c r="X1131" s="10">
        <f>SUMIF(A:A,A1131,I:I)</f>
        <v>5</v>
      </c>
      <c r="Y1131" s="10">
        <f>IF(Table1[[#This Row],[Drank]]&gt;0,VLOOKUP(Table1[[#This Row],[ID]],Drank!A:P,16,FALSE),IF(Table1[[#This Row],[WALDD]]&gt;0,VLOOKUP(Table1[[#This Row],[ID]],Wine1!A:Q,17,FALSE),Table1[[#This Row],[EP]]))</f>
        <v>2037</v>
      </c>
      <c r="Z1131" s="18">
        <f>IF(Table1[[#This Row],[My Rating]]="",IF(Table1[[#This Row],[WA Rating Clean]]="","",Table1[[#This Row],[WA Rating Clean]]),Table1[[#This Row],[My Rating]])</f>
        <v>92</v>
      </c>
      <c r="AA1131" s="37">
        <v>2033</v>
      </c>
      <c r="AB1131" s="4">
        <v>32.58</v>
      </c>
      <c r="AC1131" s="2">
        <f t="shared" si="57"/>
        <v>32.58</v>
      </c>
      <c r="AD1131" s="8">
        <v>2</v>
      </c>
      <c r="AE1131" s="10">
        <f>IF(Table1[[#This Row],[P/750]]&lt;20,1,IF(Table1[[#This Row],[P/750]]&lt;50,2,3))</f>
        <v>2</v>
      </c>
      <c r="AF1131" s="10">
        <f>IF(Table1[[#This Row],[P/750]]&lt;Expenses!$C$30,1,IF(Table1[[#This Row],[P/750]]&lt;Expenses!$C$31,2,IF(Table1[[#This Row],[P/750]]&lt;Expenses!$C$32,3,4)))</f>
        <v>3</v>
      </c>
      <c r="AH1131" s="37" t="s">
        <v>384</v>
      </c>
      <c r="AI1131" s="11">
        <f>Table1[[#This Row],[Price]]/Table1[[#This Row],[Size (ml)]]*750</f>
        <v>32.58</v>
      </c>
      <c r="AJ1131" s="37">
        <v>95</v>
      </c>
      <c r="AK1131" s="10">
        <f>COUNTIF(UniqueID!A:A,Table1[[#This Row],[ID]])</f>
        <v>0</v>
      </c>
      <c r="AL1131" s="10" t="str">
        <f>VLOOKUP(Table1[[#This Row],[Cellar Location]],Location!A:F,6,FALSE)</f>
        <v>S</v>
      </c>
      <c r="AN1131" s="1">
        <v>43984</v>
      </c>
      <c r="AO1131" s="10" t="str">
        <f>TEXT(Table1[[#This Row],[Purchased]],"mmmm")</f>
        <v>June</v>
      </c>
      <c r="AP1131" s="10" t="str">
        <f>TEXT(Table1[[#This Row],[Purchased]],"yyyy")</f>
        <v>2020</v>
      </c>
      <c r="AQ1131" s="10"/>
    </row>
    <row r="1132" spans="1:43" s="37" customFormat="1" x14ac:dyDescent="0.25">
      <c r="A1132" s="37" t="str">
        <f t="shared" si="56"/>
        <v>2015Castello RomitorioBrunello di Montalcino</v>
      </c>
      <c r="B1132" s="37">
        <v>2015</v>
      </c>
      <c r="C1132" s="37" t="s">
        <v>689</v>
      </c>
      <c r="D1132" s="37" t="s">
        <v>19</v>
      </c>
      <c r="E1132" s="67" t="s">
        <v>1250</v>
      </c>
      <c r="F1132" s="37" t="s">
        <v>728</v>
      </c>
      <c r="G1132" s="37" t="s">
        <v>790</v>
      </c>
      <c r="H1132" s="37" t="s">
        <v>19</v>
      </c>
      <c r="I1132" s="8">
        <v>1</v>
      </c>
      <c r="J1132" s="38">
        <v>750</v>
      </c>
      <c r="K1132" s="38" t="s">
        <v>1139</v>
      </c>
      <c r="L1132" s="10">
        <f>COUNTIF(Drank!A:A,Table1[[#This Row],[ID]])</f>
        <v>0</v>
      </c>
      <c r="M1132" s="37" t="s">
        <v>202</v>
      </c>
      <c r="N1132" s="37" t="s">
        <v>207</v>
      </c>
      <c r="O1132" s="37">
        <v>1</v>
      </c>
      <c r="P1132" s="10">
        <v>2021</v>
      </c>
      <c r="Q1132" s="37">
        <v>2038</v>
      </c>
      <c r="R1132" s="10" t="str">
        <f>IF(IFERROR(VLOOKUP(A1132,Drank!A:S,15,FALSE),"")=0,"",IFERROR(VLOOKUP(A1132,Drank!A:S,15,FALSE),""))</f>
        <v/>
      </c>
      <c r="S1132" s="10" t="str">
        <f>IF(IFERROR(VLOOKUP(A1132,Drank!A:S,16,FALSE),"")=0,"",IFERROR(VLOOKUP(A1132,Drank!A:S,16,FALSE),""))</f>
        <v/>
      </c>
      <c r="T1132" s="10"/>
      <c r="U1132" s="37">
        <v>95</v>
      </c>
      <c r="V1132" s="18" t="str">
        <f>IF(IFERROR(VLOOKUP(A1132,Drank!A:T,19,FALSE),"")=0,"",IFERROR(VLOOKUP(A1132,Drank!A:T,19,FALSE),""))</f>
        <v/>
      </c>
      <c r="W1132" s="1" t="str">
        <f>IF(IFERROR(VLOOKUP(A1132,Drank!A:T,20,FALSE),"")=0,"",IFERROR(VLOOKUP(A1132,Drank!A:T,20,FALSE),""))</f>
        <v/>
      </c>
      <c r="X1132" s="10">
        <f>SUMIF(A:A,A1132,I:I)</f>
        <v>4</v>
      </c>
      <c r="Y1132" s="10">
        <f>IF(Table1[[#This Row],[Drank]]&gt;0,VLOOKUP(Table1[[#This Row],[ID]],Drank!A:P,16,FALSE),IF(Table1[[#This Row],[WALDD]]&gt;0,VLOOKUP(Table1[[#This Row],[ID]],Wine1!A:Q,17,FALSE),Table1[[#This Row],[EP]]))</f>
        <v>2038</v>
      </c>
      <c r="Z1132" s="18">
        <f>IF(Table1[[#This Row],[My Rating]]="",IF(Table1[[#This Row],[WA Rating Clean]]="","",Table1[[#This Row],[WA Rating Clean]]),Table1[[#This Row],[My Rating]])</f>
        <v>95</v>
      </c>
      <c r="AA1132" s="37">
        <v>2033</v>
      </c>
      <c r="AB1132" s="4">
        <v>58.65</v>
      </c>
      <c r="AC1132" s="2">
        <f t="shared" si="57"/>
        <v>58.65</v>
      </c>
      <c r="AD1132" s="8">
        <v>1</v>
      </c>
      <c r="AE1132" s="10">
        <f>IF(Table1[[#This Row],[P/750]]&lt;20,1,IF(Table1[[#This Row],[P/750]]&lt;50,2,3))</f>
        <v>3</v>
      </c>
      <c r="AF1132" s="10">
        <f>IF(Table1[[#This Row],[P/750]]&lt;Expenses!$C$30,1,IF(Table1[[#This Row],[P/750]]&lt;Expenses!$C$31,2,IF(Table1[[#This Row],[P/750]]&lt;Expenses!$C$32,3,4)))</f>
        <v>3</v>
      </c>
      <c r="AH1132" s="37" t="s">
        <v>1139</v>
      </c>
      <c r="AI1132" s="11">
        <f>Table1[[#This Row],[Price]]/Table1[[#This Row],[Size (ml)]]*750</f>
        <v>58.649999999999991</v>
      </c>
      <c r="AJ1132" s="37">
        <v>95</v>
      </c>
      <c r="AK1132" s="10">
        <f>COUNTIF(UniqueID!A:A,Table1[[#This Row],[ID]])</f>
        <v>0</v>
      </c>
      <c r="AL1132" s="10" t="str">
        <f>VLOOKUP(Table1[[#This Row],[Cellar Location]],Location!A:F,6,FALSE)</f>
        <v>W</v>
      </c>
      <c r="AN1132" s="1">
        <v>44058</v>
      </c>
      <c r="AO1132" s="10" t="str">
        <f>TEXT(Table1[[#This Row],[Purchased]],"mmmm")</f>
        <v>August</v>
      </c>
      <c r="AP1132" s="10" t="str">
        <f>TEXT(Table1[[#This Row],[Purchased]],"yyyy")</f>
        <v>2020</v>
      </c>
      <c r="AQ1132" s="1">
        <v>44132</v>
      </c>
    </row>
    <row r="1133" spans="1:43" s="37" customFormat="1" x14ac:dyDescent="0.25">
      <c r="A1133" s="37" t="str">
        <f t="shared" si="56"/>
        <v>2016Paolo ScavinoBarolo</v>
      </c>
      <c r="B1133" s="37">
        <v>2016</v>
      </c>
      <c r="C1133" s="37" t="s">
        <v>1796</v>
      </c>
      <c r="D1133" s="9" t="s">
        <v>268</v>
      </c>
      <c r="E1133" s="67" t="s">
        <v>1206</v>
      </c>
      <c r="F1133" s="37" t="s">
        <v>728</v>
      </c>
      <c r="G1133" s="37" t="s">
        <v>778</v>
      </c>
      <c r="H1133" s="37" t="s">
        <v>268</v>
      </c>
      <c r="I1133" s="37">
        <v>1</v>
      </c>
      <c r="J1133" s="107">
        <v>750</v>
      </c>
      <c r="K1133" s="8" t="s">
        <v>1814</v>
      </c>
      <c r="L1133" s="10">
        <f>COUNTIF(Drank!A:A,Table1[[#This Row],[ID]])</f>
        <v>0</v>
      </c>
      <c r="M1133" s="37" t="s">
        <v>202</v>
      </c>
      <c r="N1133" s="37" t="s">
        <v>207</v>
      </c>
      <c r="O1133" s="37">
        <v>1</v>
      </c>
      <c r="P1133" s="10">
        <v>2023</v>
      </c>
      <c r="Q1133" s="37">
        <v>2040</v>
      </c>
      <c r="R1133" s="10" t="str">
        <f>IF(IFERROR(VLOOKUP(A1133,Drank!A:S,15,FALSE),"")=0,"",IFERROR(VLOOKUP(A1133,Drank!A:S,15,FALSE),""))</f>
        <v/>
      </c>
      <c r="S1133" s="10" t="str">
        <f>IF(IFERROR(VLOOKUP(A1133,Drank!A:S,16,FALSE),"")=0,"",IFERROR(VLOOKUP(A1133,Drank!A:S,16,FALSE),""))</f>
        <v/>
      </c>
      <c r="T1133" s="10"/>
      <c r="U1133" s="37">
        <v>95</v>
      </c>
      <c r="V1133" s="18" t="str">
        <f>IF(IFERROR(VLOOKUP(A1133,Drank!A:T,19,FALSE),"")=0,"",IFERROR(VLOOKUP(A1133,Drank!A:T,19,FALSE),""))</f>
        <v/>
      </c>
      <c r="W1133" s="1" t="str">
        <f>IF(IFERROR(VLOOKUP(A1133,Drank!A:T,20,FALSE),"")=0,"",IFERROR(VLOOKUP(A1133,Drank!A:T,20,FALSE),""))</f>
        <v/>
      </c>
      <c r="X1133" s="10">
        <f>SUMIF(A:A,A1133,I:I)</f>
        <v>6</v>
      </c>
      <c r="Y1133" s="10">
        <f>IF(Table1[[#This Row],[Drank]]&gt;0,VLOOKUP(Table1[[#This Row],[ID]],Drank!A:P,16,FALSE),IF(Table1[[#This Row],[WALDD]]&gt;0,VLOOKUP(Table1[[#This Row],[ID]],Wine1!A:Q,17,FALSE),Table1[[#This Row],[EP]]))</f>
        <v>2040</v>
      </c>
      <c r="Z1133" s="18">
        <f>IF(Table1[[#This Row],[My Rating]]="",IF(Table1[[#This Row],[WA Rating Clean]]="","",Table1[[#This Row],[WA Rating Clean]]),Table1[[#This Row],[My Rating]])</f>
        <v>95</v>
      </c>
      <c r="AA1133" s="37">
        <v>2033</v>
      </c>
      <c r="AB1133" s="128">
        <v>44.77</v>
      </c>
      <c r="AC1133" s="2">
        <f t="shared" si="57"/>
        <v>44.77</v>
      </c>
      <c r="AD1133" s="8">
        <v>1</v>
      </c>
      <c r="AE1133" s="10">
        <f>IF(Table1[[#This Row],[P/750]]&lt;20,1,IF(Table1[[#This Row],[P/750]]&lt;50,2,3))</f>
        <v>2</v>
      </c>
      <c r="AF1133" s="10">
        <f>IF(Table1[[#This Row],[P/750]]&lt;Expenses!$C$30,1,IF(Table1[[#This Row],[P/750]]&lt;Expenses!$C$31,2,IF(Table1[[#This Row],[P/750]]&lt;Expenses!$C$32,3,4)))</f>
        <v>3</v>
      </c>
      <c r="AH1133" s="25" t="s">
        <v>1803</v>
      </c>
      <c r="AI1133" s="11">
        <f>Table1[[#This Row],[Price]]/Table1[[#This Row],[Size (ml)]]*750</f>
        <v>44.77</v>
      </c>
      <c r="AJ1133" s="37">
        <v>95</v>
      </c>
      <c r="AK1133" s="10">
        <f>COUNTIF(UniqueID!A:A,Table1[[#This Row],[ID]])</f>
        <v>0</v>
      </c>
      <c r="AL1133" s="10" t="str">
        <f>VLOOKUP(Table1[[#This Row],[Cellar Location]],Location!A:F,6,FALSE)</f>
        <v>S</v>
      </c>
      <c r="AN1133" s="1">
        <v>44065</v>
      </c>
      <c r="AO1133" s="10" t="str">
        <f>TEXT(Table1[[#This Row],[Purchased]],"mmmm")</f>
        <v>August</v>
      </c>
      <c r="AP1133" s="10" t="str">
        <f>TEXT(Table1[[#This Row],[Purchased]],"yyyy")</f>
        <v>2020</v>
      </c>
      <c r="AQ1133" s="10"/>
    </row>
    <row r="1134" spans="1:43" s="37" customFormat="1" x14ac:dyDescent="0.25">
      <c r="A1134" s="37" t="str">
        <f t="shared" si="56"/>
        <v>2015Quinta do ValladoField Blend Reserva</v>
      </c>
      <c r="B1134" s="8">
        <v>2015</v>
      </c>
      <c r="C1134" s="30" t="s">
        <v>210</v>
      </c>
      <c r="D1134" s="9" t="s">
        <v>1423</v>
      </c>
      <c r="E1134" s="65" t="s">
        <v>274</v>
      </c>
      <c r="F1134" s="37" t="s">
        <v>804</v>
      </c>
      <c r="G1134" s="37" t="s">
        <v>1422</v>
      </c>
      <c r="H1134" s="9"/>
      <c r="I1134" s="37">
        <v>1</v>
      </c>
      <c r="J1134" s="38">
        <v>750</v>
      </c>
      <c r="K1134" s="38" t="s">
        <v>384</v>
      </c>
      <c r="L1134" s="10">
        <f>COUNTIF(Drank!A:A,Table1[[#This Row],[ID]])</f>
        <v>0</v>
      </c>
      <c r="M1134" s="37" t="s">
        <v>202</v>
      </c>
      <c r="N1134" s="37" t="s">
        <v>207</v>
      </c>
      <c r="O1134" s="37">
        <v>1</v>
      </c>
      <c r="P1134" s="37">
        <v>2019</v>
      </c>
      <c r="Q1134" s="37">
        <v>2040</v>
      </c>
      <c r="R1134" s="10" t="str">
        <f>IF(IFERROR(VLOOKUP(A1134,Drank!A:S,15,FALSE),"")=0,"",IFERROR(VLOOKUP(A1134,Drank!A:S,15,FALSE),""))</f>
        <v/>
      </c>
      <c r="S1134" s="10" t="str">
        <f>IF(IFERROR(VLOOKUP(A1134,Drank!A:S,16,FALSE),"")=0,"",IFERROR(VLOOKUP(A1134,Drank!A:S,16,FALSE),""))</f>
        <v/>
      </c>
      <c r="T1134" s="10"/>
      <c r="U1134" s="37">
        <v>93</v>
      </c>
      <c r="V1134" s="18" t="str">
        <f>IF(IFERROR(VLOOKUP(A1134,Drank!A:T,19,FALSE),"")=0,"",IFERROR(VLOOKUP(A1134,Drank!A:T,19,FALSE),""))</f>
        <v/>
      </c>
      <c r="W1134" s="1" t="str">
        <f>IF(IFERROR(VLOOKUP(A1134,Drank!A:T,20,FALSE),"")=0,"",IFERROR(VLOOKUP(A1134,Drank!A:T,20,FALSE),""))</f>
        <v/>
      </c>
      <c r="X1134" s="10">
        <f>SUMIF(A:A,A1134,I:I)</f>
        <v>4</v>
      </c>
      <c r="Y1134" s="10">
        <f>IF(Table1[[#This Row],[Drank]]&gt;0,VLOOKUP(Table1[[#This Row],[ID]],Drank!A:P,16,FALSE),IF(Table1[[#This Row],[WALDD]]&gt;0,VLOOKUP(Table1[[#This Row],[ID]],Wine1!A:Q,17,FALSE),Table1[[#This Row],[EP]]))</f>
        <v>2040</v>
      </c>
      <c r="Z1134" s="18">
        <f>IF(Table1[[#This Row],[My Rating]]="",IF(Table1[[#This Row],[WA Rating Clean]]="","",Table1[[#This Row],[WA Rating Clean]]),Table1[[#This Row],[My Rating]])</f>
        <v>93</v>
      </c>
      <c r="AA1134" s="37">
        <v>2033</v>
      </c>
      <c r="AB1134" s="4">
        <v>32.58</v>
      </c>
      <c r="AC1134" s="2">
        <f t="shared" si="57"/>
        <v>32.58</v>
      </c>
      <c r="AD1134" s="8">
        <v>1</v>
      </c>
      <c r="AE1134" s="10">
        <f>IF(Table1[[#This Row],[P/750]]&lt;20,1,IF(Table1[[#This Row],[P/750]]&lt;50,2,3))</f>
        <v>2</v>
      </c>
      <c r="AF1134" s="10">
        <f>IF(Table1[[#This Row],[P/750]]&lt;Expenses!$C$30,1,IF(Table1[[#This Row],[P/750]]&lt;Expenses!$C$31,2,IF(Table1[[#This Row],[P/750]]&lt;Expenses!$C$32,3,4)))</f>
        <v>3</v>
      </c>
      <c r="AH1134" s="37" t="s">
        <v>384</v>
      </c>
      <c r="AI1134" s="11">
        <f>Table1[[#This Row],[Price]]/Table1[[#This Row],[Size (ml)]]*750</f>
        <v>32.58</v>
      </c>
      <c r="AJ1134" s="37">
        <v>93</v>
      </c>
      <c r="AK1134" s="10">
        <f>COUNTIF(UniqueID!A:A,Table1[[#This Row],[ID]])</f>
        <v>0</v>
      </c>
      <c r="AL1134" s="10" t="str">
        <f>VLOOKUP(Table1[[#This Row],[Cellar Location]],Location!A:F,6,FALSE)</f>
        <v>W</v>
      </c>
      <c r="AN1134" s="1">
        <v>44027</v>
      </c>
      <c r="AO1134" s="10" t="str">
        <f>TEXT(Table1[[#This Row],[Purchased]],"mmmm")</f>
        <v>July</v>
      </c>
      <c r="AP1134" s="10" t="str">
        <f>TEXT(Table1[[#This Row],[Purchased]],"yyyy")</f>
        <v>2020</v>
      </c>
      <c r="AQ1134" s="1">
        <v>44138</v>
      </c>
    </row>
    <row r="1135" spans="1:43" s="37" customFormat="1" x14ac:dyDescent="0.25">
      <c r="A1135" s="37" t="str">
        <f t="shared" si="56"/>
        <v>2016Tua RitaGiusto di Notri</v>
      </c>
      <c r="B1135" s="37">
        <v>2016</v>
      </c>
      <c r="C1135" s="37" t="s">
        <v>859</v>
      </c>
      <c r="D1135" s="37" t="s">
        <v>860</v>
      </c>
      <c r="E1135" s="67" t="s">
        <v>1266</v>
      </c>
      <c r="F1135" s="37" t="s">
        <v>728</v>
      </c>
      <c r="G1135" s="37" t="s">
        <v>790</v>
      </c>
      <c r="H1135" s="37" t="s">
        <v>796</v>
      </c>
      <c r="I1135" s="107">
        <v>1</v>
      </c>
      <c r="J1135" s="37">
        <v>750</v>
      </c>
      <c r="K1135" s="107" t="s">
        <v>928</v>
      </c>
      <c r="L1135" s="10">
        <f>COUNTIF(Drank!A:A,Table1[[#This Row],[ID]])</f>
        <v>0</v>
      </c>
      <c r="M1135" s="37" t="s">
        <v>202</v>
      </c>
      <c r="N1135" s="37" t="s">
        <v>207</v>
      </c>
      <c r="O1135" s="37">
        <v>1</v>
      </c>
      <c r="P1135" s="10">
        <v>2020</v>
      </c>
      <c r="Q1135" s="37">
        <v>2040</v>
      </c>
      <c r="R1135" s="10" t="str">
        <f>IF(IFERROR(VLOOKUP(A1135,Drank!A:S,15,FALSE),"")=0,"",IFERROR(VLOOKUP(A1135,Drank!A:S,15,FALSE),""))</f>
        <v/>
      </c>
      <c r="S1135" s="10" t="str">
        <f>IF(IFERROR(VLOOKUP(A1135,Drank!A:S,16,FALSE),"")=0,"",IFERROR(VLOOKUP(A1135,Drank!A:S,16,FALSE),""))</f>
        <v/>
      </c>
      <c r="T1135" s="10"/>
      <c r="U1135" s="37">
        <v>97</v>
      </c>
      <c r="V1135" s="18" t="str">
        <f>IF(IFERROR(VLOOKUP(A1135,Drank!A:T,19,FALSE),"")=0,"",IFERROR(VLOOKUP(A1135,Drank!A:T,19,FALSE),""))</f>
        <v/>
      </c>
      <c r="W1135" s="1" t="str">
        <f>IF(IFERROR(VLOOKUP(A1135,Drank!A:T,20,FALSE),"")=0,"",IFERROR(VLOOKUP(A1135,Drank!A:T,20,FALSE),""))</f>
        <v/>
      </c>
      <c r="X1135" s="10">
        <f>SUMIF(A:A,A1135,I:I)</f>
        <v>4</v>
      </c>
      <c r="Y1135" s="10">
        <f>IF(Table1[[#This Row],[Drank]]&gt;0,VLOOKUP(Table1[[#This Row],[ID]],Drank!A:P,16,FALSE),IF(Table1[[#This Row],[WALDD]]&gt;0,VLOOKUP(Table1[[#This Row],[ID]],Wine1!A:Q,17,FALSE),Table1[[#This Row],[EP]]))</f>
        <v>2040</v>
      </c>
      <c r="Z1135" s="18">
        <f>IF(Table1[[#This Row],[My Rating]]="",IF(Table1[[#This Row],[WA Rating Clean]]="","",Table1[[#This Row],[WA Rating Clean]]),Table1[[#This Row],[My Rating]])</f>
        <v>97</v>
      </c>
      <c r="AA1135" s="6">
        <v>2033</v>
      </c>
      <c r="AB1135" s="4">
        <v>59.99</v>
      </c>
      <c r="AC1135" s="2">
        <f t="shared" si="57"/>
        <v>59.99</v>
      </c>
      <c r="AD1135" s="8">
        <v>2</v>
      </c>
      <c r="AE1135" s="10">
        <f>IF(Table1[[#This Row],[P/750]]&lt;20,1,IF(Table1[[#This Row],[P/750]]&lt;50,2,3))</f>
        <v>3</v>
      </c>
      <c r="AF1135" s="10">
        <f>IF(Table1[[#This Row],[P/750]]&lt;Expenses!$C$30,1,IF(Table1[[#This Row],[P/750]]&lt;Expenses!$C$31,2,IF(Table1[[#This Row],[P/750]]&lt;Expenses!$C$32,3,4)))</f>
        <v>3</v>
      </c>
      <c r="AH1135" s="37" t="s">
        <v>384</v>
      </c>
      <c r="AI1135" s="11">
        <f>Table1[[#This Row],[Price]]/Table1[[#This Row],[Size (ml)]]*750</f>
        <v>59.989999999999995</v>
      </c>
      <c r="AJ1135" s="37">
        <v>97</v>
      </c>
      <c r="AK1135" s="10">
        <f>COUNTIF(UniqueID!A:A,Table1[[#This Row],[ID]])</f>
        <v>1</v>
      </c>
      <c r="AL1135" s="37" t="str">
        <f>VLOOKUP(Table1[[#This Row],[Cellar Location]],Location!A:F,6,FALSE)</f>
        <v>S</v>
      </c>
      <c r="AN1135" s="1">
        <v>43825</v>
      </c>
      <c r="AO1135" s="37" t="str">
        <f>TEXT(Table1[[#This Row],[Purchased]],"mmmm")</f>
        <v>December</v>
      </c>
      <c r="AP1135" s="10" t="str">
        <f>TEXT(Table1[[#This Row],[Purchased]],"yyyy")</f>
        <v>2019</v>
      </c>
      <c r="AQ1135" s="10"/>
    </row>
    <row r="1136" spans="1:43" s="37" customFormat="1" x14ac:dyDescent="0.25">
      <c r="A1136" s="37" t="str">
        <f t="shared" si="56"/>
        <v>2016Clos du RoyClos du Roy</v>
      </c>
      <c r="B1136" s="37">
        <v>2016</v>
      </c>
      <c r="C1136" s="37" t="s">
        <v>854</v>
      </c>
      <c r="D1136" s="37" t="s">
        <v>854</v>
      </c>
      <c r="E1136" s="37" t="s">
        <v>1198</v>
      </c>
      <c r="F1136" s="37" t="s">
        <v>742</v>
      </c>
      <c r="G1136" s="37" t="s">
        <v>748</v>
      </c>
      <c r="H1136" s="37" t="s">
        <v>856</v>
      </c>
      <c r="I1136" s="107">
        <v>1</v>
      </c>
      <c r="J1136" s="37">
        <v>750</v>
      </c>
      <c r="K1136" s="107" t="s">
        <v>1145</v>
      </c>
      <c r="L1136" s="10">
        <f>COUNTIF(Drank!A:A,Table1[[#This Row],[ID]])</f>
        <v>1</v>
      </c>
      <c r="M1136" s="37" t="s">
        <v>202</v>
      </c>
      <c r="N1136" s="37" t="s">
        <v>207</v>
      </c>
      <c r="O1136" s="37">
        <v>1</v>
      </c>
      <c r="P1136" s="10">
        <v>2021</v>
      </c>
      <c r="Q1136" s="37">
        <v>2038</v>
      </c>
      <c r="R1136" s="10" t="str">
        <f>IF(IFERROR(VLOOKUP(A1136,Drank!A:S,15,FALSE),"")=0,"",IFERROR(VLOOKUP(A1136,Drank!A:S,15,FALSE),""))</f>
        <v/>
      </c>
      <c r="S1136" s="10">
        <f>IF(IFERROR(VLOOKUP(A1136,Drank!A:S,16,FALSE),"")=0,"",IFERROR(VLOOKUP(A1136,Drank!A:S,16,FALSE),""))</f>
        <v>2045</v>
      </c>
      <c r="T1136" s="10"/>
      <c r="U1136" s="37" t="s">
        <v>855</v>
      </c>
      <c r="V1136" s="18">
        <f>IF(IFERROR(VLOOKUP(A1136,Drank!A:T,19,FALSE),"")=0,"",IFERROR(VLOOKUP(A1136,Drank!A:T,19,FALSE),""))</f>
        <v>91</v>
      </c>
      <c r="W1136" s="1">
        <f>IF(IFERROR(VLOOKUP(A1136,Drank!A:T,20,FALSE),"")=0,"",IFERROR(VLOOKUP(A1136,Drank!A:T,20,FALSE),""))</f>
        <v>43830</v>
      </c>
      <c r="X1136" s="10">
        <f>SUMIF(A:A,A1136,I:I)</f>
        <v>15</v>
      </c>
      <c r="Y1136" s="10">
        <f>IF(Table1[[#This Row],[Drank]]&gt;0,VLOOKUP(Table1[[#This Row],[ID]],Drank!A:P,16,FALSE),IF(Table1[[#This Row],[WALDD]]&gt;0,VLOOKUP(Table1[[#This Row],[ID]],Wine1!A:Q,17,FALSE),Table1[[#This Row],[EP]]))</f>
        <v>2045</v>
      </c>
      <c r="Z1136" s="18">
        <f>IF(Table1[[#This Row],[My Rating]]="",IF(Table1[[#This Row],[WA Rating Clean]]="","",Table1[[#This Row],[WA Rating Clean]]),Table1[[#This Row],[My Rating]])</f>
        <v>91</v>
      </c>
      <c r="AA1136" s="37">
        <v>2033</v>
      </c>
      <c r="AB1136" s="4">
        <v>17.91</v>
      </c>
      <c r="AC1136" s="2">
        <f t="shared" si="57"/>
        <v>17.91</v>
      </c>
      <c r="AD1136" s="8">
        <v>2</v>
      </c>
      <c r="AE1136" s="10">
        <f>IF(Table1[[#This Row],[P/750]]&lt;20,1,IF(Table1[[#This Row],[P/750]]&lt;50,2,3))</f>
        <v>1</v>
      </c>
      <c r="AF1136" s="10">
        <f>IF(Table1[[#This Row],[P/750]]&lt;Expenses!$C$30,1,IF(Table1[[#This Row],[P/750]]&lt;Expenses!$C$31,2,IF(Table1[[#This Row],[P/750]]&lt;Expenses!$C$32,3,4)))</f>
        <v>2</v>
      </c>
      <c r="AH1136" s="37" t="s">
        <v>1128</v>
      </c>
      <c r="AI1136" s="11">
        <f>Table1[[#This Row],[Price]]/Table1[[#This Row],[Size (ml)]]*750</f>
        <v>17.91</v>
      </c>
      <c r="AJ1136" s="37">
        <v>92</v>
      </c>
      <c r="AK1136" s="10">
        <f>COUNTIF(UniqueID!A:A,Table1[[#This Row],[ID]])</f>
        <v>1</v>
      </c>
      <c r="AL1136" s="37" t="str">
        <f>VLOOKUP(Table1[[#This Row],[Cellar Location]],Location!A:F,6,FALSE)</f>
        <v>S</v>
      </c>
      <c r="AN1136" s="1">
        <v>43830</v>
      </c>
      <c r="AO1136" s="37" t="str">
        <f>TEXT(Table1[[#This Row],[Purchased]],"mmmm")</f>
        <v>December</v>
      </c>
      <c r="AP1136" s="10" t="str">
        <f>TEXT(Table1[[#This Row],[Purchased]],"yyyy")</f>
        <v>2019</v>
      </c>
      <c r="AQ1136" s="10"/>
    </row>
    <row r="1137" spans="1:43" s="37" customFormat="1" x14ac:dyDescent="0.25">
      <c r="A1137" s="37" t="str">
        <f t="shared" si="56"/>
        <v>2016FelsinaFontalloro</v>
      </c>
      <c r="B1137" s="37">
        <v>2016</v>
      </c>
      <c r="C1137" s="37" t="s">
        <v>795</v>
      </c>
      <c r="D1137" s="37" t="s">
        <v>387</v>
      </c>
      <c r="E1137" s="67" t="s">
        <v>1250</v>
      </c>
      <c r="F1137" s="37" t="s">
        <v>728</v>
      </c>
      <c r="G1137" s="37" t="s">
        <v>790</v>
      </c>
      <c r="H1137" s="37" t="s">
        <v>796</v>
      </c>
      <c r="I1137" s="107">
        <v>1</v>
      </c>
      <c r="J1137" s="37">
        <v>750</v>
      </c>
      <c r="K1137" s="107" t="s">
        <v>928</v>
      </c>
      <c r="L1137" s="10">
        <f>COUNTIF(Drank!A:A,Table1[[#This Row],[ID]])</f>
        <v>1</v>
      </c>
      <c r="M1137" s="37" t="s">
        <v>202</v>
      </c>
      <c r="N1137" s="37" t="s">
        <v>207</v>
      </c>
      <c r="O1137" s="37">
        <v>1</v>
      </c>
      <c r="P1137" s="10">
        <v>2021</v>
      </c>
      <c r="Q1137" s="37">
        <v>2045</v>
      </c>
      <c r="R1137" s="10" t="str">
        <f>IF(IFERROR(VLOOKUP(A1137,Drank!A:S,15,FALSE),"")=0,"",IFERROR(VLOOKUP(A1137,Drank!A:S,15,FALSE),""))</f>
        <v/>
      </c>
      <c r="S1137" s="10" t="str">
        <f>IF(IFERROR(VLOOKUP(A1137,Drank!A:S,16,FALSE),"")=0,"",IFERROR(VLOOKUP(A1137,Drank!A:S,16,FALSE),""))</f>
        <v/>
      </c>
      <c r="T1137" s="10"/>
      <c r="U1137" s="37" t="s">
        <v>852</v>
      </c>
      <c r="V1137" s="18">
        <f>IF(IFERROR(VLOOKUP(A1137,Drank!A:T,19,FALSE),"")=0,"",IFERROR(VLOOKUP(A1137,Drank!A:T,19,FALSE),""))</f>
        <v>94</v>
      </c>
      <c r="W1137" s="1">
        <f>IF(IFERROR(VLOOKUP(A1137,Drank!A:T,20,FALSE),"")=0,"",IFERROR(VLOOKUP(A1137,Drank!A:T,20,FALSE),""))</f>
        <v>44074</v>
      </c>
      <c r="X1137" s="10">
        <f>SUMIF(A:A,A1137,I:I)</f>
        <v>6</v>
      </c>
      <c r="Y1137" s="10">
        <f>IF(Table1[[#This Row],[Drank]]&gt;0,VLOOKUP(Table1[[#This Row],[ID]],Drank!A:P,16,FALSE),IF(Table1[[#This Row],[WALDD]]&gt;0,VLOOKUP(Table1[[#This Row],[ID]],Wine1!A:Q,17,FALSE),Table1[[#This Row],[EP]]))</f>
        <v>0</v>
      </c>
      <c r="Z1137" s="18">
        <f>IF(Table1[[#This Row],[My Rating]]="",IF(Table1[[#This Row],[WA Rating Clean]]="","",Table1[[#This Row],[WA Rating Clean]]),Table1[[#This Row],[My Rating]])</f>
        <v>94</v>
      </c>
      <c r="AA1137" s="6">
        <v>2033</v>
      </c>
      <c r="AB1137" s="4">
        <v>69.989999999999995</v>
      </c>
      <c r="AC1137" s="2">
        <f t="shared" si="57"/>
        <v>69.989999999999995</v>
      </c>
      <c r="AD1137" s="8">
        <v>2</v>
      </c>
      <c r="AE1137" s="10">
        <f>IF(Table1[[#This Row],[P/750]]&lt;20,1,IF(Table1[[#This Row],[P/750]]&lt;50,2,3))</f>
        <v>3</v>
      </c>
      <c r="AF1137" s="10">
        <f>IF(Table1[[#This Row],[P/750]]&lt;Expenses!$C$30,1,IF(Table1[[#This Row],[P/750]]&lt;Expenses!$C$31,2,IF(Table1[[#This Row],[P/750]]&lt;Expenses!$C$32,3,4)))</f>
        <v>4</v>
      </c>
      <c r="AH1137" s="37" t="s">
        <v>1139</v>
      </c>
      <c r="AI1137" s="11">
        <f>Table1[[#This Row],[Price]]/Table1[[#This Row],[Size (ml)]]*750</f>
        <v>69.989999999999995</v>
      </c>
      <c r="AJ1137" s="37">
        <v>98</v>
      </c>
      <c r="AK1137" s="10">
        <f>COUNTIF(UniqueID!A:A,Table1[[#This Row],[ID]])</f>
        <v>0</v>
      </c>
      <c r="AL1137" s="37" t="str">
        <f>VLOOKUP(Table1[[#This Row],[Cellar Location]],Location!A:F,6,FALSE)</f>
        <v>S</v>
      </c>
      <c r="AO1137" s="37" t="str">
        <f>TEXT(Table1[[#This Row],[Purchased]],"mmmm")</f>
        <v>January</v>
      </c>
      <c r="AP1137" s="10" t="str">
        <f>TEXT(Table1[[#This Row],[Purchased]],"yyyy")</f>
        <v>1900</v>
      </c>
      <c r="AQ1137" s="10"/>
    </row>
    <row r="1138" spans="1:43" s="37" customFormat="1" x14ac:dyDescent="0.25">
      <c r="A1138" s="37" t="str">
        <f t="shared" si="56"/>
        <v>2016Lafaurie-PeyragueyLafaurie-Peyraguey</v>
      </c>
      <c r="B1138" s="37">
        <v>2016</v>
      </c>
      <c r="C1138" s="37" t="s">
        <v>125</v>
      </c>
      <c r="D1138" s="37" t="s">
        <v>125</v>
      </c>
      <c r="E1138" s="67" t="s">
        <v>1205</v>
      </c>
      <c r="F1138" s="37" t="s">
        <v>742</v>
      </c>
      <c r="G1138" s="37" t="s">
        <v>748</v>
      </c>
      <c r="H1138" s="37" t="s">
        <v>260</v>
      </c>
      <c r="I1138" s="107">
        <v>1</v>
      </c>
      <c r="J1138" s="37">
        <v>375</v>
      </c>
      <c r="K1138" s="107" t="s">
        <v>629</v>
      </c>
      <c r="L1138" s="37">
        <f>COUNTIF(Drank!A:A,Table1[[#This Row],[ID]])</f>
        <v>0</v>
      </c>
      <c r="M1138" s="37" t="s">
        <v>201</v>
      </c>
      <c r="N1138" s="37" t="s">
        <v>206</v>
      </c>
      <c r="O1138" s="37">
        <v>1</v>
      </c>
      <c r="P1138" s="10">
        <v>2021</v>
      </c>
      <c r="Q1138" s="37">
        <v>2060</v>
      </c>
      <c r="R1138" s="10" t="str">
        <f>IF(IFERROR(VLOOKUP(A1138,Drank!A:S,15,FALSE),"")=0,"",IFERROR(VLOOKUP(A1138,Drank!A:S,15,FALSE),""))</f>
        <v/>
      </c>
      <c r="S1138" s="10" t="str">
        <f>IF(IFERROR(VLOOKUP(A1138,Drank!A:S,16,FALSE),"")=0,"",IFERROR(VLOOKUP(A1138,Drank!A:S,16,FALSE),""))</f>
        <v/>
      </c>
      <c r="T1138" s="10"/>
      <c r="U1138" s="37" t="s">
        <v>441</v>
      </c>
      <c r="V1138" s="18" t="str">
        <f>IF(IFERROR(VLOOKUP(A1138,Drank!A:T,19,FALSE),"")=0,"",IFERROR(VLOOKUP(A1138,Drank!A:T,19,FALSE),""))</f>
        <v/>
      </c>
      <c r="W1138" s="1" t="str">
        <f>IF(IFERROR(VLOOKUP(A1138,Drank!A:T,20,FALSE),"")=0,"",IFERROR(VLOOKUP(A1138,Drank!A:T,20,FALSE),""))</f>
        <v/>
      </c>
      <c r="X1138" s="10">
        <f>SUMIF(A:A,A1138,I:I)</f>
        <v>12</v>
      </c>
      <c r="Y1138" s="10">
        <f>IF(Table1[[#This Row],[Drank]]&gt;0,VLOOKUP(Table1[[#This Row],[ID]],Drank!A:P,16,FALSE),IF(Table1[[#This Row],[WALDD]]&gt;0,VLOOKUP(Table1[[#This Row],[ID]],Wine1!A:Q,17,FALSE),Table1[[#This Row],[EP]]))</f>
        <v>2060</v>
      </c>
      <c r="Z1138" s="18">
        <f>IF(Table1[[#This Row],[My Rating]]="",IF(Table1[[#This Row],[WA Rating Clean]]="","",Table1[[#This Row],[WA Rating Clean]]),Table1[[#This Row],[My Rating]])</f>
        <v>95</v>
      </c>
      <c r="AA1138" s="37">
        <v>2033</v>
      </c>
      <c r="AB1138" s="4">
        <v>16</v>
      </c>
      <c r="AC1138" s="2">
        <f t="shared" si="57"/>
        <v>16</v>
      </c>
      <c r="AD1138" s="8">
        <v>2</v>
      </c>
      <c r="AE1138" s="37">
        <f>IF(Table1[[#This Row],[P/750]]&lt;20,1,IF(Table1[[#This Row],[P/750]]&lt;50,2,3))</f>
        <v>2</v>
      </c>
      <c r="AF1138" s="37">
        <f>IF(Table1[[#This Row],[P/750]]&lt;Expenses!$C$30,1,IF(Table1[[#This Row],[P/750]]&lt;Expenses!$C$31,2,IF(Table1[[#This Row],[P/750]]&lt;Expenses!$C$32,3,4)))</f>
        <v>3</v>
      </c>
      <c r="AH1138" s="37" t="s">
        <v>385</v>
      </c>
      <c r="AI1138" s="11">
        <f>Table1[[#This Row],[Price]]/Table1[[#This Row],[Size (ml)]]*750</f>
        <v>32</v>
      </c>
      <c r="AJ1138" s="37">
        <v>95</v>
      </c>
      <c r="AK1138" s="37">
        <f>COUNTIF(UniqueID!A:A,Table1[[#This Row],[ID]])</f>
        <v>1</v>
      </c>
      <c r="AL1138" s="37" t="str">
        <f>VLOOKUP(Table1[[#This Row],[Cellar Location]],Location!A:F,6,FALSE)</f>
        <v>S</v>
      </c>
      <c r="AO1138" s="37" t="str">
        <f>TEXT(Table1[[#This Row],[Purchased]],"mmmm")</f>
        <v>January</v>
      </c>
      <c r="AP1138" s="10" t="str">
        <f>TEXT(Table1[[#This Row],[Purchased]],"yyyy")</f>
        <v>1900</v>
      </c>
      <c r="AQ1138" s="10"/>
    </row>
    <row r="1139" spans="1:43" s="37" customFormat="1" x14ac:dyDescent="0.25">
      <c r="A1139" s="37" t="str">
        <f t="shared" si="56"/>
        <v>2017Altos Las HormigasMalbec Appellation Gualtallary</v>
      </c>
      <c r="B1139" s="37">
        <v>2017</v>
      </c>
      <c r="C1139" s="37" t="s">
        <v>232</v>
      </c>
      <c r="D1139" s="9" t="s">
        <v>233</v>
      </c>
      <c r="E1139" s="67" t="s">
        <v>1207</v>
      </c>
      <c r="F1139" s="37" t="s">
        <v>731</v>
      </c>
      <c r="G1139" s="37" t="s">
        <v>732</v>
      </c>
      <c r="H1139" s="37" t="s">
        <v>1190</v>
      </c>
      <c r="I1139" s="8">
        <v>1</v>
      </c>
      <c r="J1139" s="107">
        <v>750</v>
      </c>
      <c r="K1139" s="8" t="s">
        <v>1849</v>
      </c>
      <c r="L1139" s="10">
        <f>COUNTIF(Drank!A:A,Table1[[#This Row],[ID]])</f>
        <v>1</v>
      </c>
      <c r="M1139" s="37" t="s">
        <v>202</v>
      </c>
      <c r="N1139" s="37" t="s">
        <v>207</v>
      </c>
      <c r="O1139" s="37">
        <v>1</v>
      </c>
      <c r="P1139" s="10">
        <v>2019</v>
      </c>
      <c r="Q1139" s="37">
        <v>2030</v>
      </c>
      <c r="R1139" s="10">
        <f>IF(IFERROR(VLOOKUP(A1139,Drank!A:S,15,FALSE),"")=0,"",IFERROR(VLOOKUP(A1139,Drank!A:S,15,FALSE),""))</f>
        <v>2022</v>
      </c>
      <c r="S1139" s="10">
        <f>IF(IFERROR(VLOOKUP(A1139,Drank!A:S,16,FALSE),"")=0,"",IFERROR(VLOOKUP(A1139,Drank!A:S,16,FALSE),""))</f>
        <v>2030</v>
      </c>
      <c r="T1139" s="10"/>
      <c r="U1139" s="37" t="s">
        <v>1180</v>
      </c>
      <c r="V1139" s="18">
        <f>IF(IFERROR(VLOOKUP(A1139,Drank!A:T,19,FALSE),"")=0,"",IFERROR(VLOOKUP(A1139,Drank!A:T,19,FALSE),""))</f>
        <v>94</v>
      </c>
      <c r="W1139" s="1">
        <f>IF(IFERROR(VLOOKUP(A1139,Drank!A:T,20,FALSE),"")=0,"",IFERROR(VLOOKUP(A1139,Drank!A:T,20,FALSE),""))</f>
        <v>43953</v>
      </c>
      <c r="X1139" s="10">
        <f>SUMIF(A:A,A1139,I:I)</f>
        <v>38</v>
      </c>
      <c r="Y1139" s="10">
        <f>IF(Table1[[#This Row],[Drank]]&gt;0,VLOOKUP(Table1[[#This Row],[ID]],Drank!A:P,16,FALSE),IF(Table1[[#This Row],[WALDD]]&gt;0,VLOOKUP(Table1[[#This Row],[ID]],Wine1!A:Q,17,FALSE),Table1[[#This Row],[EP]]))</f>
        <v>2030</v>
      </c>
      <c r="Z1139" s="18">
        <f>IF(Table1[[#This Row],[My Rating]]="",IF(Table1[[#This Row],[WA Rating Clean]]="","",Table1[[#This Row],[WA Rating Clean]]),Table1[[#This Row],[My Rating]])</f>
        <v>94</v>
      </c>
      <c r="AA1139" s="37">
        <v>2034</v>
      </c>
      <c r="AB1139" s="129">
        <v>35.85</v>
      </c>
      <c r="AC1139" s="2">
        <f t="shared" si="57"/>
        <v>35.85</v>
      </c>
      <c r="AD1139" s="8">
        <v>1</v>
      </c>
      <c r="AE1139" s="10">
        <f>IF(Table1[[#This Row],[P/750]]&lt;20,1,IF(Table1[[#This Row],[P/750]]&lt;50,2,3))</f>
        <v>2</v>
      </c>
      <c r="AF1139" s="10">
        <f>IF(Table1[[#This Row],[P/750]]&lt;Expenses!$C$30,1,IF(Table1[[#This Row],[P/750]]&lt;Expenses!$C$31,2,IF(Table1[[#This Row],[P/750]]&lt;Expenses!$C$32,3,4)))</f>
        <v>3</v>
      </c>
      <c r="AH1139" s="37" t="s">
        <v>1128</v>
      </c>
      <c r="AI1139" s="11">
        <f>Table1[[#This Row],[Price]]/Table1[[#This Row],[Size (ml)]]*750</f>
        <v>35.85</v>
      </c>
      <c r="AJ1139" s="37">
        <v>96</v>
      </c>
      <c r="AK1139" s="10">
        <f>COUNTIF(UniqueID!A:A,Table1[[#This Row],[ID]])</f>
        <v>1</v>
      </c>
      <c r="AL1139" s="10" t="str">
        <f>VLOOKUP(Table1[[#This Row],[Cellar Location]],Location!A:F,6,FALSE)</f>
        <v>S</v>
      </c>
      <c r="AN1139" s="1">
        <v>44070</v>
      </c>
      <c r="AO1139" s="10" t="str">
        <f>TEXT(Table1[[#This Row],[Purchased]],"mmmm")</f>
        <v>August</v>
      </c>
      <c r="AP1139" s="10" t="str">
        <f>TEXT(Table1[[#This Row],[Purchased]],"yyyy")</f>
        <v>2020</v>
      </c>
      <c r="AQ1139" s="1"/>
    </row>
    <row r="1140" spans="1:43" s="37" customFormat="1" x14ac:dyDescent="0.25">
      <c r="A1140" s="37" t="str">
        <f t="shared" si="56"/>
        <v>2017Altos Las HormigasMalbec Appellation Gualtallary</v>
      </c>
      <c r="B1140" s="37">
        <v>2017</v>
      </c>
      <c r="C1140" s="37" t="s">
        <v>232</v>
      </c>
      <c r="D1140" s="37" t="s">
        <v>233</v>
      </c>
      <c r="E1140" s="67" t="s">
        <v>1207</v>
      </c>
      <c r="F1140" s="37" t="s">
        <v>731</v>
      </c>
      <c r="G1140" s="37" t="s">
        <v>732</v>
      </c>
      <c r="H1140" s="37" t="s">
        <v>1190</v>
      </c>
      <c r="I1140" s="107">
        <v>1</v>
      </c>
      <c r="J1140" s="37">
        <v>750</v>
      </c>
      <c r="K1140" s="107" t="s">
        <v>643</v>
      </c>
      <c r="L1140" s="10">
        <f>COUNTIF(Drank!A:A,Table1[[#This Row],[ID]])</f>
        <v>1</v>
      </c>
      <c r="M1140" s="37" t="s">
        <v>202</v>
      </c>
      <c r="N1140" s="37" t="s">
        <v>207</v>
      </c>
      <c r="O1140" s="37">
        <v>1</v>
      </c>
      <c r="P1140" s="10">
        <v>2019</v>
      </c>
      <c r="Q1140" s="37">
        <v>2030</v>
      </c>
      <c r="R1140" s="10">
        <f>IF(IFERROR(VLOOKUP(A1140,Drank!A:S,15,FALSE),"")=0,"",IFERROR(VLOOKUP(A1140,Drank!A:S,15,FALSE),""))</f>
        <v>2022</v>
      </c>
      <c r="S1140" s="10">
        <f>IF(IFERROR(VLOOKUP(A1140,Drank!A:S,16,FALSE),"")=0,"",IFERROR(VLOOKUP(A1140,Drank!A:S,16,FALSE),""))</f>
        <v>2030</v>
      </c>
      <c r="T1140" s="10"/>
      <c r="U1140" s="37" t="s">
        <v>1180</v>
      </c>
      <c r="V1140" s="18">
        <f>IF(IFERROR(VLOOKUP(A1140,Drank!A:T,19,FALSE),"")=0,"",IFERROR(VLOOKUP(A1140,Drank!A:T,19,FALSE),""))</f>
        <v>94</v>
      </c>
      <c r="W1140" s="1">
        <f>IF(IFERROR(VLOOKUP(A1140,Drank!A:T,20,FALSE),"")=0,"",IFERROR(VLOOKUP(A1140,Drank!A:T,20,FALSE),""))</f>
        <v>43953</v>
      </c>
      <c r="X1140" s="10">
        <f>SUMIF(A:A,A1140,I:I)</f>
        <v>38</v>
      </c>
      <c r="Y1140" s="10">
        <f>IF(Table1[[#This Row],[Drank]]&gt;0,VLOOKUP(Table1[[#This Row],[ID]],Drank!A:P,16,FALSE),IF(Table1[[#This Row],[WALDD]]&gt;0,VLOOKUP(Table1[[#This Row],[ID]],Wine1!A:Q,17,FALSE),Table1[[#This Row],[EP]]))</f>
        <v>2030</v>
      </c>
      <c r="Z1140" s="18">
        <f>IF(Table1[[#This Row],[My Rating]]="",IF(Table1[[#This Row],[WA Rating Clean]]="","",Table1[[#This Row],[WA Rating Clean]]),Table1[[#This Row],[My Rating]])</f>
        <v>94</v>
      </c>
      <c r="AA1140" s="37">
        <v>2034</v>
      </c>
      <c r="AB1140" s="4">
        <v>39.97</v>
      </c>
      <c r="AC1140" s="2">
        <f t="shared" si="57"/>
        <v>39.97</v>
      </c>
      <c r="AD1140" s="8">
        <v>2</v>
      </c>
      <c r="AE1140" s="10">
        <f>IF(Table1[[#This Row],[P/750]]&lt;20,1,IF(Table1[[#This Row],[P/750]]&lt;50,2,3))</f>
        <v>2</v>
      </c>
      <c r="AF1140" s="10">
        <f>IF(Table1[[#This Row],[P/750]]&lt;Expenses!$C$30,1,IF(Table1[[#This Row],[P/750]]&lt;Expenses!$C$31,2,IF(Table1[[#This Row],[P/750]]&lt;Expenses!$C$32,3,4)))</f>
        <v>3</v>
      </c>
      <c r="AH1140" s="37" t="s">
        <v>1188</v>
      </c>
      <c r="AI1140" s="11">
        <f>Table1[[#This Row],[Price]]/Table1[[#This Row],[Size (ml)]]*750</f>
        <v>39.97</v>
      </c>
      <c r="AJ1140" s="37">
        <v>96</v>
      </c>
      <c r="AK1140" s="10">
        <f>COUNTIF(UniqueID!A:A,Table1[[#This Row],[ID]])</f>
        <v>1</v>
      </c>
      <c r="AL1140" s="10" t="str">
        <f>VLOOKUP(Table1[[#This Row],[Cellar Location]],Location!A:F,6,FALSE)</f>
        <v>S</v>
      </c>
      <c r="AN1140" s="1">
        <v>43860</v>
      </c>
      <c r="AO1140" s="37" t="str">
        <f>TEXT(Table1[[#This Row],[Purchased]],"mmmm")</f>
        <v>January</v>
      </c>
      <c r="AP1140" s="10" t="str">
        <f>TEXT(Table1[[#This Row],[Purchased]],"yyyy")</f>
        <v>2020</v>
      </c>
      <c r="AQ1140" s="10"/>
    </row>
    <row r="1141" spans="1:43" s="37" customFormat="1" x14ac:dyDescent="0.25">
      <c r="A1141" s="37" t="str">
        <f t="shared" si="56"/>
        <v>2013FontanafreddaBarolo Serralunga</v>
      </c>
      <c r="B1141" s="37">
        <v>2013</v>
      </c>
      <c r="C1141" s="37" t="s">
        <v>428</v>
      </c>
      <c r="D1141" s="37" t="s">
        <v>429</v>
      </c>
      <c r="E1141" s="67" t="s">
        <v>1206</v>
      </c>
      <c r="F1141" s="37" t="s">
        <v>728</v>
      </c>
      <c r="G1141" s="37" t="s">
        <v>778</v>
      </c>
      <c r="H1141" s="37" t="s">
        <v>783</v>
      </c>
      <c r="I1141" s="107">
        <v>1</v>
      </c>
      <c r="J1141" s="37">
        <v>1000</v>
      </c>
      <c r="K1141" s="107" t="s">
        <v>619</v>
      </c>
      <c r="L1141" s="37">
        <f>COUNTIF(Drank!A:A,Table1[[#This Row],[ID]])</f>
        <v>2</v>
      </c>
      <c r="M1141" s="37" t="s">
        <v>202</v>
      </c>
      <c r="N1141" s="37" t="s">
        <v>207</v>
      </c>
      <c r="O1141" s="37">
        <v>1</v>
      </c>
      <c r="P1141" s="37">
        <v>2018</v>
      </c>
      <c r="Q1141" s="37">
        <v>2030</v>
      </c>
      <c r="R1141" s="10">
        <f>IF(IFERROR(VLOOKUP(A1141,Drank!A:S,15,FALSE),"")=0,"",IFERROR(VLOOKUP(A1141,Drank!A:S,15,FALSE),""))</f>
        <v>2025</v>
      </c>
      <c r="S1141" s="10">
        <f>IF(IFERROR(VLOOKUP(A1141,Drank!A:S,16,FALSE),"")=0,"",IFERROR(VLOOKUP(A1141,Drank!A:S,16,FALSE),""))</f>
        <v>2033</v>
      </c>
      <c r="T1141" s="10"/>
      <c r="U1141" s="37">
        <v>92</v>
      </c>
      <c r="V1141" s="18">
        <f>IF(IFERROR(VLOOKUP(A1141,Drank!A:T,19,FALSE),"")=0,"",IFERROR(VLOOKUP(A1141,Drank!A:T,19,FALSE),""))</f>
        <v>91.5</v>
      </c>
      <c r="W1141" s="1">
        <f>IF(IFERROR(VLOOKUP(A1141,Drank!A:T,20,FALSE),"")=0,"",IFERROR(VLOOKUP(A1141,Drank!A:T,20,FALSE),""))</f>
        <v>44057</v>
      </c>
      <c r="X1141" s="10">
        <f>SUMIF(A:A,A1141,I:I)</f>
        <v>7</v>
      </c>
      <c r="Y1141" s="37">
        <f>IF(Table1[[#This Row],[Drank]]&gt;0,VLOOKUP(Table1[[#This Row],[ID]],Drank!A:P,16,FALSE),IF(Table1[[#This Row],[WALDD]]&gt;0,VLOOKUP(Table1[[#This Row],[ID]],Wine1!A:Q,17,FALSE),Table1[[#This Row],[EP]]))</f>
        <v>2033</v>
      </c>
      <c r="Z1141" s="18">
        <f>IF(Table1[[#This Row],[My Rating]]="",IF(Table1[[#This Row],[WA Rating Clean]]="","",Table1[[#This Row],[WA Rating Clean]]),Table1[[#This Row],[My Rating]])</f>
        <v>91.5</v>
      </c>
      <c r="AA1141" s="8">
        <v>2034</v>
      </c>
      <c r="AB1141" s="4">
        <v>32.99</v>
      </c>
      <c r="AC1141" s="2">
        <f t="shared" si="57"/>
        <v>32.99</v>
      </c>
      <c r="AD1141" s="8">
        <v>2</v>
      </c>
      <c r="AE1141" s="37">
        <f>IF(Table1[[#This Row],[P/750]]&lt;20,1,IF(Table1[[#This Row],[P/750]]&lt;50,2,3))</f>
        <v>2</v>
      </c>
      <c r="AF1141" s="37">
        <f>IF(Table1[[#This Row],[P/750]]&lt;Expenses!$C$30,1,IF(Table1[[#This Row],[P/750]]&lt;Expenses!$C$31,2,IF(Table1[[#This Row],[P/750]]&lt;Expenses!$C$32,3,4)))</f>
        <v>2</v>
      </c>
      <c r="AH1141" s="37" t="s">
        <v>384</v>
      </c>
      <c r="AI1141" s="11">
        <f>Table1[[#This Row],[Price]]/Table1[[#This Row],[Size (ml)]]*750</f>
        <v>24.742500000000003</v>
      </c>
      <c r="AJ1141" s="37">
        <v>92</v>
      </c>
      <c r="AK1141" s="37">
        <f>COUNTIF(UniqueID!A:A,Table1[[#This Row],[ID]])</f>
        <v>1</v>
      </c>
      <c r="AL1141" s="37" t="str">
        <f>VLOOKUP(Table1[[#This Row],[Cellar Location]],Location!A:F,6,FALSE)</f>
        <v>S</v>
      </c>
      <c r="AN1141" s="1">
        <v>43806</v>
      </c>
      <c r="AO1141" s="37" t="str">
        <f>TEXT(Table1[[#This Row],[Purchased]],"mmmm")</f>
        <v>December</v>
      </c>
      <c r="AP1141" s="10" t="str">
        <f>TEXT(Table1[[#This Row],[Purchased]],"yyyy")</f>
        <v>2019</v>
      </c>
      <c r="AQ1141" s="10"/>
    </row>
    <row r="1142" spans="1:43" s="37" customFormat="1" x14ac:dyDescent="0.25">
      <c r="A1142" s="37" t="str">
        <f t="shared" si="56"/>
        <v>2016MontepelosoEneo</v>
      </c>
      <c r="B1142" s="37">
        <v>2016</v>
      </c>
      <c r="C1142" s="37" t="s">
        <v>1799</v>
      </c>
      <c r="D1142" s="9" t="s">
        <v>1800</v>
      </c>
      <c r="E1142" s="67" t="s">
        <v>1801</v>
      </c>
      <c r="F1142" s="37" t="s">
        <v>728</v>
      </c>
      <c r="G1142" s="37" t="s">
        <v>790</v>
      </c>
      <c r="H1142" s="37" t="s">
        <v>796</v>
      </c>
      <c r="I1142" s="78">
        <v>1</v>
      </c>
      <c r="J1142" s="37">
        <v>750</v>
      </c>
      <c r="K1142" s="78" t="s">
        <v>1545</v>
      </c>
      <c r="L1142" s="10">
        <f>COUNTIF(Drank!A:A,Table1[[#This Row],[ID]])</f>
        <v>1</v>
      </c>
      <c r="M1142" s="37" t="s">
        <v>202</v>
      </c>
      <c r="N1142" s="37" t="s">
        <v>207</v>
      </c>
      <c r="O1142" s="37">
        <v>1</v>
      </c>
      <c r="P1142" s="10"/>
      <c r="R1142" s="10" t="str">
        <f>IF(IFERROR(VLOOKUP(A1142,Drank!A:S,15,FALSE),"")=0,"",IFERROR(VLOOKUP(A1142,Drank!A:S,15,FALSE),""))</f>
        <v/>
      </c>
      <c r="S1142" s="10" t="str">
        <f>IF(IFERROR(VLOOKUP(A1142,Drank!A:S,16,FALSE),"")=0,"",IFERROR(VLOOKUP(A1142,Drank!A:S,16,FALSE),""))</f>
        <v/>
      </c>
      <c r="T1142" s="10">
        <v>2034</v>
      </c>
      <c r="V1142" s="18">
        <f>IF(IFERROR(VLOOKUP(A1142,Drank!A:T,19,FALSE),"")=0,"",IFERROR(VLOOKUP(A1142,Drank!A:T,19,FALSE),""))</f>
        <v>93</v>
      </c>
      <c r="W1142" s="1">
        <f>IF(IFERROR(VLOOKUP(A1142,Drank!A:T,20,FALSE),"")=0,"",IFERROR(VLOOKUP(A1142,Drank!A:T,20,FALSE),""))</f>
        <v>44074</v>
      </c>
      <c r="X1142" s="10">
        <f>SUMIF(A:A,A1142,I:I)</f>
        <v>7</v>
      </c>
      <c r="Y1142" s="10">
        <f>IF(Table1[[#This Row],[Drank]]&gt;0,VLOOKUP(Table1[[#This Row],[ID]],Drank!A:P,16,FALSE),IF(Table1[[#This Row],[WALDD]]&gt;0,VLOOKUP(Table1[[#This Row],[ID]],Wine1!A:Q,17,FALSE),Table1[[#This Row],[EP]]))</f>
        <v>0</v>
      </c>
      <c r="Z1142" s="18">
        <f>IF(Table1[[#This Row],[My Rating]]="",IF(Table1[[#This Row],[WA Rating Clean]]="","",Table1[[#This Row],[WA Rating Clean]]),Table1[[#This Row],[My Rating]])</f>
        <v>93</v>
      </c>
      <c r="AA1142" s="37">
        <v>2034</v>
      </c>
      <c r="AB1142" s="128">
        <v>43.87</v>
      </c>
      <c r="AC1142" s="2">
        <f t="shared" si="57"/>
        <v>43.87</v>
      </c>
      <c r="AD1142" s="8"/>
      <c r="AE1142" s="10">
        <f>IF(Table1[[#This Row],[P/750]]&lt;20,1,IF(Table1[[#This Row],[P/750]]&lt;50,2,3))</f>
        <v>2</v>
      </c>
      <c r="AF1142" s="10">
        <f>IF(Table1[[#This Row],[P/750]]&lt;Expenses!$C$30,1,IF(Table1[[#This Row],[P/750]]&lt;Expenses!$C$31,2,IF(Table1[[#This Row],[P/750]]&lt;Expenses!$C$32,3,4)))</f>
        <v>3</v>
      </c>
      <c r="AH1142" s="37" t="s">
        <v>1545</v>
      </c>
      <c r="AI1142" s="11">
        <f>Table1[[#This Row],[Price]]/Table1[[#This Row],[Size (ml)]]*750</f>
        <v>43.87</v>
      </c>
      <c r="AK1142" s="10">
        <f>COUNTIF(UniqueID!A:A,Table1[[#This Row],[ID]])</f>
        <v>0</v>
      </c>
      <c r="AL1142" s="10" t="str">
        <f>VLOOKUP(Table1[[#This Row],[Cellar Location]],Location!A:F,6,FALSE)</f>
        <v>W</v>
      </c>
      <c r="AN1142" s="1">
        <v>44065</v>
      </c>
      <c r="AO1142" s="10" t="str">
        <f>TEXT(Table1[[#This Row],[Purchased]],"mmmm")</f>
        <v>August</v>
      </c>
      <c r="AP1142" s="10" t="str">
        <f>TEXT(Table1[[#This Row],[Purchased]],"yyyy")</f>
        <v>2020</v>
      </c>
      <c r="AQ1142" s="10"/>
    </row>
    <row r="1143" spans="1:43" s="37" customFormat="1" x14ac:dyDescent="0.25">
      <c r="A1143" s="37" t="str">
        <f t="shared" si="56"/>
        <v>2016Produttori del BarbarescoBarbaresco</v>
      </c>
      <c r="B1143" s="37">
        <v>2016</v>
      </c>
      <c r="C1143" s="37" t="s">
        <v>248</v>
      </c>
      <c r="D1143" s="37" t="s">
        <v>249</v>
      </c>
      <c r="E1143" s="67" t="s">
        <v>1206</v>
      </c>
      <c r="F1143" s="37" t="s">
        <v>728</v>
      </c>
      <c r="G1143" s="37" t="s">
        <v>778</v>
      </c>
      <c r="H1143" s="37" t="s">
        <v>249</v>
      </c>
      <c r="I1143" s="37">
        <v>1</v>
      </c>
      <c r="J1143" s="107">
        <v>750</v>
      </c>
      <c r="K1143" s="8" t="s">
        <v>1851</v>
      </c>
      <c r="L1143" s="10">
        <f>COUNTIF(Drank!A:A,Table1[[#This Row],[ID]])</f>
        <v>2</v>
      </c>
      <c r="M1143" s="37" t="s">
        <v>202</v>
      </c>
      <c r="N1143" s="37" t="s">
        <v>207</v>
      </c>
      <c r="O1143" s="37">
        <v>1</v>
      </c>
      <c r="P1143" s="37">
        <v>2022</v>
      </c>
      <c r="Q1143" s="37">
        <v>2040</v>
      </c>
      <c r="R1143" s="10">
        <f>IF(IFERROR(VLOOKUP(A1143,Drank!A:S,15,FALSE),"")=0,"",IFERROR(VLOOKUP(A1143,Drank!A:S,15,FALSE),""))</f>
        <v>2021</v>
      </c>
      <c r="S1143" s="10">
        <f>IF(IFERROR(VLOOKUP(A1143,Drank!A:S,16,FALSE),"")=0,"",IFERROR(VLOOKUP(A1143,Drank!A:S,16,FALSE),""))</f>
        <v>2032</v>
      </c>
      <c r="T1143" s="10"/>
      <c r="U1143" s="37">
        <v>95</v>
      </c>
      <c r="V1143" s="18">
        <f>IF(IFERROR(VLOOKUP(A1143,Drank!A:T,19,FALSE),"")=0,"",IFERROR(VLOOKUP(A1143,Drank!A:T,19,FALSE),""))</f>
        <v>95.5</v>
      </c>
      <c r="W1143" s="1">
        <f>IF(IFERROR(VLOOKUP(A1143,Drank!A:T,20,FALSE),"")=0,"",IFERROR(VLOOKUP(A1143,Drank!A:T,20,FALSE),""))</f>
        <v>44079</v>
      </c>
      <c r="X1143" s="10">
        <f>SUMIF(A:A,A1143,I:I)</f>
        <v>41</v>
      </c>
      <c r="Y1143" s="10">
        <f>IF(Table1[[#This Row],[Drank]]&gt;0,VLOOKUP(Table1[[#This Row],[ID]],Drank!A:P,16,FALSE),IF(Table1[[#This Row],[WALDD]]&gt;0,VLOOKUP(Table1[[#This Row],[ID]],Wine1!A:Q,17,FALSE),Table1[[#This Row],[EP]]))</f>
        <v>2032</v>
      </c>
      <c r="Z1143" s="18">
        <f>IF(Table1[[#This Row],[My Rating]]="",IF(Table1[[#This Row],[WA Rating Clean]]="","",Table1[[#This Row],[WA Rating Clean]]),Table1[[#This Row],[My Rating]])</f>
        <v>95.5</v>
      </c>
      <c r="AA1143" s="37">
        <v>2034</v>
      </c>
      <c r="AB1143" s="129">
        <v>42.36</v>
      </c>
      <c r="AC1143" s="2">
        <f t="shared" si="57"/>
        <v>42.36</v>
      </c>
      <c r="AD1143" s="8">
        <v>1</v>
      </c>
      <c r="AE1143" s="10">
        <f>IF(Table1[[#This Row],[P/750]]&lt;20,1,IF(Table1[[#This Row],[P/750]]&lt;50,2,3))</f>
        <v>2</v>
      </c>
      <c r="AF1143" s="10">
        <f>IF(Table1[[#This Row],[P/750]]&lt;Expenses!$C$30,1,IF(Table1[[#This Row],[P/750]]&lt;Expenses!$C$31,2,IF(Table1[[#This Row],[P/750]]&lt;Expenses!$C$32,3,4)))</f>
        <v>3</v>
      </c>
      <c r="AH1143" s="37" t="s">
        <v>1128</v>
      </c>
      <c r="AI1143" s="11">
        <f>Table1[[#This Row],[Price]]/Table1[[#This Row],[Size (ml)]]*750</f>
        <v>42.36</v>
      </c>
      <c r="AJ1143" s="37">
        <v>95</v>
      </c>
      <c r="AK1143" s="10">
        <f>COUNTIF(UniqueID!A:A,Table1[[#This Row],[ID]])</f>
        <v>1</v>
      </c>
      <c r="AL1143" s="10" t="str">
        <f>VLOOKUP(Table1[[#This Row],[Cellar Location]],Location!A:F,6,FALSE)</f>
        <v>S</v>
      </c>
      <c r="AN1143" s="1">
        <v>44070</v>
      </c>
      <c r="AO1143" s="10" t="str">
        <f>TEXT(Table1[[#This Row],[Purchased]],"mmmm")</f>
        <v>August</v>
      </c>
      <c r="AP1143" s="10" t="str">
        <f>TEXT(Table1[[#This Row],[Purchased]],"yyyy")</f>
        <v>2020</v>
      </c>
      <c r="AQ1143" s="1"/>
    </row>
    <row r="1144" spans="1:43" s="37" customFormat="1" x14ac:dyDescent="0.25">
      <c r="A1144" s="37" t="str">
        <f t="shared" si="56"/>
        <v>2016Castello di AmaChianti Classico Gran Selezione San Lorenzo</v>
      </c>
      <c r="B1144" s="37">
        <v>2016</v>
      </c>
      <c r="C1144" s="37" t="s">
        <v>75</v>
      </c>
      <c r="D1144" s="9" t="s">
        <v>76</v>
      </c>
      <c r="E1144" s="67" t="s">
        <v>1620</v>
      </c>
      <c r="F1144" s="37" t="s">
        <v>728</v>
      </c>
      <c r="G1144" s="37" t="s">
        <v>790</v>
      </c>
      <c r="H1144" s="37" t="s">
        <v>1619</v>
      </c>
      <c r="I1144" s="37">
        <v>1</v>
      </c>
      <c r="J1144" s="107">
        <v>750</v>
      </c>
      <c r="K1144" s="8" t="s">
        <v>1830</v>
      </c>
      <c r="L1144" s="10">
        <f>COUNTIF(Drank!A:A,Table1[[#This Row],[ID]])</f>
        <v>1</v>
      </c>
      <c r="M1144" s="37" t="s">
        <v>202</v>
      </c>
      <c r="N1144" s="37" t="s">
        <v>207</v>
      </c>
      <c r="O1144" s="37">
        <v>1</v>
      </c>
      <c r="P1144" s="10">
        <v>2020</v>
      </c>
      <c r="Q1144" s="37">
        <v>2038</v>
      </c>
      <c r="R1144" s="10" t="str">
        <f>IF(IFERROR(VLOOKUP(A1144,Drank!A:S,15,FALSE),"")=0,"",IFERROR(VLOOKUP(A1144,Drank!A:S,15,FALSE),""))</f>
        <v/>
      </c>
      <c r="S1144" s="10">
        <f>IF(IFERROR(VLOOKUP(A1144,Drank!A:S,16,FALSE),"")=0,"",IFERROR(VLOOKUP(A1144,Drank!A:S,16,FALSE),""))</f>
        <v>2035</v>
      </c>
      <c r="T1144" s="10"/>
      <c r="U1144" s="37">
        <v>95</v>
      </c>
      <c r="V1144" s="18">
        <f>IF(IFERROR(VLOOKUP(A1144,Drank!A:T,19,FALSE),"")=0,"",IFERROR(VLOOKUP(A1144,Drank!A:T,19,FALSE),""))</f>
        <v>94</v>
      </c>
      <c r="W1144" s="1">
        <f>IF(IFERROR(VLOOKUP(A1144,Drank!A:T,20,FALSE),"")=0,"",IFERROR(VLOOKUP(A1144,Drank!A:T,20,FALSE),""))</f>
        <v>44061</v>
      </c>
      <c r="X1144" s="10">
        <f>SUMIF(A:A,A1144,I:I)</f>
        <v>4</v>
      </c>
      <c r="Y1144" s="10">
        <f>IF(Table1[[#This Row],[Drank]]&gt;0,VLOOKUP(Table1[[#This Row],[ID]],Drank!A:P,16,FALSE),IF(Table1[[#This Row],[WALDD]]&gt;0,VLOOKUP(Table1[[#This Row],[ID]],Wine1!A:Q,17,FALSE),Table1[[#This Row],[EP]]))</f>
        <v>2035</v>
      </c>
      <c r="Z1144" s="18">
        <f>IF(Table1[[#This Row],[My Rating]]="",IF(Table1[[#This Row],[WA Rating Clean]]="","",Table1[[#This Row],[WA Rating Clean]]),Table1[[#This Row],[My Rating]])</f>
        <v>94</v>
      </c>
      <c r="AA1144" s="37">
        <v>2034</v>
      </c>
      <c r="AB1144" s="129">
        <v>48.87</v>
      </c>
      <c r="AC1144" s="2">
        <f t="shared" si="57"/>
        <v>48.87</v>
      </c>
      <c r="AD1144" s="8">
        <v>1</v>
      </c>
      <c r="AE1144" s="10">
        <f>IF(Table1[[#This Row],[P/750]]&lt;20,1,IF(Table1[[#This Row],[P/750]]&lt;50,2,3))</f>
        <v>2</v>
      </c>
      <c r="AF1144" s="10">
        <f>IF(Table1[[#This Row],[P/750]]&lt;Expenses!$C$30,1,IF(Table1[[#This Row],[P/750]]&lt;Expenses!$C$31,2,IF(Table1[[#This Row],[P/750]]&lt;Expenses!$C$32,3,4)))</f>
        <v>3</v>
      </c>
      <c r="AH1144" s="25" t="s">
        <v>1128</v>
      </c>
      <c r="AI1144" s="11">
        <f>Table1[[#This Row],[Price]]/Table1[[#This Row],[Size (ml)]]*750</f>
        <v>48.87</v>
      </c>
      <c r="AJ1144" s="37">
        <v>95</v>
      </c>
      <c r="AK1144" s="10">
        <f>COUNTIF(UniqueID!A:A,Table1[[#This Row],[ID]])</f>
        <v>0</v>
      </c>
      <c r="AL1144" s="10" t="str">
        <f>VLOOKUP(Table1[[#This Row],[Cellar Location]],Location!A:F,6,FALSE)</f>
        <v>S</v>
      </c>
      <c r="AN1144" s="1">
        <v>44070</v>
      </c>
      <c r="AO1144" s="10" t="str">
        <f>TEXT(Table1[[#This Row],[Purchased]],"mmmm")</f>
        <v>August</v>
      </c>
      <c r="AP1144" s="10" t="str">
        <f>TEXT(Table1[[#This Row],[Purchased]],"yyyy")</f>
        <v>2020</v>
      </c>
      <c r="AQ1144" s="1"/>
    </row>
    <row r="1145" spans="1:43" s="37" customFormat="1" x14ac:dyDescent="0.25">
      <c r="A1145" s="37" t="str">
        <f t="shared" si="56"/>
        <v>2016GrattamaccoBolgheri Superiore l'Alberello</v>
      </c>
      <c r="B1145" s="37">
        <v>2016</v>
      </c>
      <c r="C1145" s="37" t="s">
        <v>1802</v>
      </c>
      <c r="D1145" s="37" t="s">
        <v>1334</v>
      </c>
      <c r="E1145" s="67" t="s">
        <v>1335</v>
      </c>
      <c r="F1145" s="67" t="s">
        <v>728</v>
      </c>
      <c r="G1145" s="37" t="s">
        <v>790</v>
      </c>
      <c r="H1145" s="37" t="s">
        <v>1336</v>
      </c>
      <c r="I1145" s="8">
        <v>1</v>
      </c>
      <c r="J1145" s="38">
        <v>750</v>
      </c>
      <c r="K1145" s="38" t="s">
        <v>1572</v>
      </c>
      <c r="L1145" s="10">
        <f>COUNTIF(Drank!A:A,Table1[[#This Row],[ID]])</f>
        <v>0</v>
      </c>
      <c r="M1145" s="37" t="s">
        <v>202</v>
      </c>
      <c r="N1145" s="37" t="s">
        <v>207</v>
      </c>
      <c r="O1145" s="37">
        <v>1</v>
      </c>
      <c r="P1145" s="10">
        <v>2020</v>
      </c>
      <c r="Q1145" s="37">
        <v>2035</v>
      </c>
      <c r="R1145" s="10" t="str">
        <f>IF(IFERROR(VLOOKUP(A1145,Drank!A:S,15,FALSE),"")=0,"",IFERROR(VLOOKUP(A1145,Drank!A:S,15,FALSE),""))</f>
        <v/>
      </c>
      <c r="S1145" s="10" t="str">
        <f>IF(IFERROR(VLOOKUP(A1145,Drank!A:S,16,FALSE),"")=0,"",IFERROR(VLOOKUP(A1145,Drank!A:S,16,FALSE),""))</f>
        <v/>
      </c>
      <c r="T1145" s="10"/>
      <c r="U1145" s="37">
        <v>96</v>
      </c>
      <c r="V1145" s="18" t="str">
        <f>IF(IFERROR(VLOOKUP(A1145,Drank!A:T,19,FALSE),"")=0,"",IFERROR(VLOOKUP(A1145,Drank!A:T,19,FALSE),""))</f>
        <v/>
      </c>
      <c r="W1145" s="1" t="str">
        <f>IF(IFERROR(VLOOKUP(A1145,Drank!A:T,20,FALSE),"")=0,"",IFERROR(VLOOKUP(A1145,Drank!A:T,20,FALSE),""))</f>
        <v/>
      </c>
      <c r="X1145" s="10">
        <f>SUMIF(A:A,A1145,I:I)</f>
        <v>9</v>
      </c>
      <c r="Y1145" s="10">
        <f>IF(Table1[[#This Row],[Drank]]&gt;0,VLOOKUP(Table1[[#This Row],[ID]],Drank!A:P,16,FALSE),IF(Table1[[#This Row],[WALDD]]&gt;0,VLOOKUP(Table1[[#This Row],[ID]],Wine1!A:Q,17,FALSE),Table1[[#This Row],[EP]]))</f>
        <v>2035</v>
      </c>
      <c r="Z1145" s="18">
        <f>IF(Table1[[#This Row],[My Rating]]="",IF(Table1[[#This Row],[WA Rating Clean]]="","",Table1[[#This Row],[WA Rating Clean]]),Table1[[#This Row],[My Rating]])</f>
        <v>96</v>
      </c>
      <c r="AA1145" s="8">
        <v>2034</v>
      </c>
      <c r="AB1145" s="4">
        <v>60.09</v>
      </c>
      <c r="AC1145" s="2">
        <f t="shared" si="57"/>
        <v>60.09</v>
      </c>
      <c r="AD1145" s="8">
        <v>1</v>
      </c>
      <c r="AE1145" s="10">
        <f>IF(Table1[[#This Row],[P/750]]&lt;20,1,IF(Table1[[#This Row],[P/750]]&lt;50,2,3))</f>
        <v>3</v>
      </c>
      <c r="AF1145" s="10">
        <f>IF(Table1[[#This Row],[P/750]]&lt;Expenses!$C$30,1,IF(Table1[[#This Row],[P/750]]&lt;Expenses!$C$31,2,IF(Table1[[#This Row],[P/750]]&lt;Expenses!$C$32,3,4)))</f>
        <v>3</v>
      </c>
      <c r="AH1145" s="37" t="s">
        <v>1572</v>
      </c>
      <c r="AI1145" s="11">
        <f>Table1[[#This Row],[Price]]/Table1[[#This Row],[Size (ml)]]*750</f>
        <v>60.090000000000011</v>
      </c>
      <c r="AJ1145" s="37">
        <v>96</v>
      </c>
      <c r="AK1145" s="10">
        <f>COUNTIF(UniqueID!A:A,Table1[[#This Row],[ID]])</f>
        <v>0</v>
      </c>
      <c r="AL1145" s="10" t="str">
        <f>VLOOKUP(Table1[[#This Row],[Cellar Location]],Location!A:F,6,FALSE)</f>
        <v>W</v>
      </c>
      <c r="AN1145" s="1">
        <v>44064</v>
      </c>
      <c r="AO1145" s="10" t="str">
        <f>TEXT(Table1[[#This Row],[Purchased]],"mmmm")</f>
        <v>August</v>
      </c>
      <c r="AP1145" s="10" t="str">
        <f>TEXT(Table1[[#This Row],[Purchased]],"yyyy")</f>
        <v>2020</v>
      </c>
      <c r="AQ1145" s="1">
        <v>44114</v>
      </c>
    </row>
    <row r="1146" spans="1:43" s="37" customFormat="1" x14ac:dyDescent="0.25">
      <c r="A1146" s="37" t="str">
        <f t="shared" si="56"/>
        <v>2016G.D. VajraBarolo Albe</v>
      </c>
      <c r="B1146" s="37">
        <v>2016</v>
      </c>
      <c r="C1146" s="37" t="s">
        <v>81</v>
      </c>
      <c r="D1146" s="37" t="s">
        <v>82</v>
      </c>
      <c r="E1146" s="67" t="s">
        <v>1206</v>
      </c>
      <c r="F1146" s="37" t="s">
        <v>728</v>
      </c>
      <c r="G1146" s="37" t="s">
        <v>778</v>
      </c>
      <c r="H1146" s="37" t="s">
        <v>268</v>
      </c>
      <c r="I1146" s="8">
        <v>1</v>
      </c>
      <c r="J1146" s="38">
        <v>750</v>
      </c>
      <c r="K1146" s="38" t="s">
        <v>1139</v>
      </c>
      <c r="L1146" s="10">
        <f>COUNTIF(Drank!A:A,Table1[[#This Row],[ID]])</f>
        <v>0</v>
      </c>
      <c r="M1146" s="37" t="s">
        <v>202</v>
      </c>
      <c r="N1146" s="37" t="s">
        <v>207</v>
      </c>
      <c r="O1146" s="37">
        <v>1</v>
      </c>
      <c r="P1146" s="10">
        <v>2022</v>
      </c>
      <c r="Q1146" s="37">
        <v>2035</v>
      </c>
      <c r="R1146" s="10" t="str">
        <f>IF(IFERROR(VLOOKUP(A1146,Drank!A:S,15,FALSE),"")=0,"",IFERROR(VLOOKUP(A1146,Drank!A:S,15,FALSE),""))</f>
        <v/>
      </c>
      <c r="S1146" s="10" t="str">
        <f>IF(IFERROR(VLOOKUP(A1146,Drank!A:S,16,FALSE),"")=0,"",IFERROR(VLOOKUP(A1146,Drank!A:S,16,FALSE),""))</f>
        <v/>
      </c>
      <c r="T1146" s="10"/>
      <c r="U1146" s="37">
        <v>94</v>
      </c>
      <c r="V1146" s="18" t="str">
        <f>IF(IFERROR(VLOOKUP(A1146,Drank!A:T,19,FALSE),"")=0,"",IFERROR(VLOOKUP(A1146,Drank!A:T,19,FALSE),""))</f>
        <v/>
      </c>
      <c r="W1146" s="1" t="str">
        <f>IF(IFERROR(VLOOKUP(A1146,Drank!A:T,20,FALSE),"")=0,"",IFERROR(VLOOKUP(A1146,Drank!A:T,20,FALSE),""))</f>
        <v/>
      </c>
      <c r="X1146" s="10">
        <f>SUMIF(A:A,A1146,I:I)</f>
        <v>6</v>
      </c>
      <c r="Y1146" s="10">
        <f>IF(Table1[[#This Row],[Drank]]&gt;0,VLOOKUP(Table1[[#This Row],[ID]],Drank!A:P,16,FALSE),IF(Table1[[#This Row],[WALDD]]&gt;0,VLOOKUP(Table1[[#This Row],[ID]],Wine1!A:Q,17,FALSE),Table1[[#This Row],[EP]]))</f>
        <v>2035</v>
      </c>
      <c r="Z1146" s="18">
        <f>IF(Table1[[#This Row],[My Rating]]="",IF(Table1[[#This Row],[WA Rating Clean]]="","",Table1[[#This Row],[WA Rating Clean]]),Table1[[#This Row],[My Rating]])</f>
        <v>94</v>
      </c>
      <c r="AA1146" s="37">
        <v>2034</v>
      </c>
      <c r="AB1146" s="4">
        <v>37.14</v>
      </c>
      <c r="AC1146" s="2">
        <f t="shared" si="57"/>
        <v>37.14</v>
      </c>
      <c r="AD1146" s="8">
        <v>1</v>
      </c>
      <c r="AE1146" s="10">
        <f>IF(Table1[[#This Row],[P/750]]&lt;20,1,IF(Table1[[#This Row],[P/750]]&lt;50,2,3))</f>
        <v>2</v>
      </c>
      <c r="AF1146" s="10">
        <f>IF(Table1[[#This Row],[P/750]]&lt;Expenses!$C$30,1,IF(Table1[[#This Row],[P/750]]&lt;Expenses!$C$31,2,IF(Table1[[#This Row],[P/750]]&lt;Expenses!$C$32,3,4)))</f>
        <v>3</v>
      </c>
      <c r="AH1146" s="37" t="s">
        <v>1139</v>
      </c>
      <c r="AI1146" s="11">
        <f>Table1[[#This Row],[Price]]/Table1[[#This Row],[Size (ml)]]*750</f>
        <v>37.14</v>
      </c>
      <c r="AJ1146" s="37">
        <v>94</v>
      </c>
      <c r="AK1146" s="10">
        <f>COUNTIF(UniqueID!A:A,Table1[[#This Row],[ID]])</f>
        <v>0</v>
      </c>
      <c r="AL1146" s="10" t="str">
        <f>VLOOKUP(Table1[[#This Row],[Cellar Location]],Location!A:F,6,FALSE)</f>
        <v>W</v>
      </c>
      <c r="AN1146" s="1">
        <v>44058</v>
      </c>
      <c r="AO1146" s="10" t="str">
        <f>TEXT(Table1[[#This Row],[Purchased]],"mmmm")</f>
        <v>August</v>
      </c>
      <c r="AP1146" s="10" t="str">
        <f>TEXT(Table1[[#This Row],[Purchased]],"yyyy")</f>
        <v>2020</v>
      </c>
      <c r="AQ1146" s="1">
        <v>44132</v>
      </c>
    </row>
    <row r="1147" spans="1:43" s="37" customFormat="1" x14ac:dyDescent="0.25">
      <c r="A1147" s="37" t="str">
        <f t="shared" si="56"/>
        <v>2013FelsinaFontalloro</v>
      </c>
      <c r="B1147" s="37">
        <v>2013</v>
      </c>
      <c r="C1147" s="8" t="s">
        <v>795</v>
      </c>
      <c r="D1147" s="25" t="s">
        <v>387</v>
      </c>
      <c r="E1147" s="64" t="s">
        <v>280</v>
      </c>
      <c r="F1147" s="37" t="s">
        <v>728</v>
      </c>
      <c r="G1147" s="37" t="s">
        <v>790</v>
      </c>
      <c r="H1147" s="37" t="s">
        <v>794</v>
      </c>
      <c r="I1147" s="107">
        <v>1</v>
      </c>
      <c r="J1147" s="37">
        <v>750</v>
      </c>
      <c r="K1147" s="107" t="s">
        <v>656</v>
      </c>
      <c r="L1147" s="37">
        <f>COUNTIF(Drank!A:A,Table1[[#This Row],[ID]])</f>
        <v>0</v>
      </c>
      <c r="M1147" s="37" t="s">
        <v>202</v>
      </c>
      <c r="N1147" s="37" t="s">
        <v>207</v>
      </c>
      <c r="O1147" s="37">
        <v>1</v>
      </c>
      <c r="P1147" s="37">
        <v>2018</v>
      </c>
      <c r="Q1147" s="37">
        <v>2035</v>
      </c>
      <c r="R1147" s="10" t="str">
        <f>IF(IFERROR(VLOOKUP(A1147,Drank!A:S,15,FALSE),"")=0,"",IFERROR(VLOOKUP(A1147,Drank!A:S,15,FALSE),""))</f>
        <v/>
      </c>
      <c r="S1147" s="10" t="str">
        <f>IF(IFERROR(VLOOKUP(A1147,Drank!A:S,16,FALSE),"")=0,"",IFERROR(VLOOKUP(A1147,Drank!A:S,16,FALSE),""))</f>
        <v/>
      </c>
      <c r="T1147" s="10"/>
      <c r="U1147" s="37">
        <v>96</v>
      </c>
      <c r="V1147" s="18" t="str">
        <f>IF(IFERROR(VLOOKUP(A1147,Drank!A:T,19,FALSE),"")=0,"",IFERROR(VLOOKUP(A1147,Drank!A:T,19,FALSE),""))</f>
        <v/>
      </c>
      <c r="W1147" s="1" t="str">
        <f>IF(IFERROR(VLOOKUP(A1147,Drank!A:T,20,FALSE),"")=0,"",IFERROR(VLOOKUP(A1147,Drank!A:T,20,FALSE),""))</f>
        <v/>
      </c>
      <c r="X1147" s="10">
        <f>SUMIF(A:A,A1147,I:I)</f>
        <v>3</v>
      </c>
      <c r="Y1147" s="37">
        <f>IF(Table1[[#This Row],[Drank]]&gt;0,VLOOKUP(Table1[[#This Row],[ID]],Drank!A:P,16,FALSE),IF(Table1[[#This Row],[WALDD]]&gt;0,VLOOKUP(Table1[[#This Row],[ID]],Wine1!A:Q,17,FALSE),Table1[[#This Row],[EP]]))</f>
        <v>2035</v>
      </c>
      <c r="Z1147" s="18">
        <f>IF(Table1[[#This Row],[My Rating]]="",IF(Table1[[#This Row],[WA Rating Clean]]="","",Table1[[#This Row],[WA Rating Clean]]),Table1[[#This Row],[My Rating]])</f>
        <v>96</v>
      </c>
      <c r="AA1147" s="6">
        <v>2034</v>
      </c>
      <c r="AB1147" s="4">
        <v>45</v>
      </c>
      <c r="AC1147" s="2">
        <f t="shared" si="57"/>
        <v>45</v>
      </c>
      <c r="AD1147" s="8">
        <v>2</v>
      </c>
      <c r="AE1147" s="37">
        <f>IF(Table1[[#This Row],[P/750]]&lt;20,1,IF(Table1[[#This Row],[P/750]]&lt;50,2,3))</f>
        <v>2</v>
      </c>
      <c r="AF1147" s="37">
        <f>IF(Table1[[#This Row],[P/750]]&lt;Expenses!$C$30,1,IF(Table1[[#This Row],[P/750]]&lt;Expenses!$C$31,2,IF(Table1[[#This Row],[P/750]]&lt;Expenses!$C$32,3,4)))</f>
        <v>3</v>
      </c>
      <c r="AH1147" s="37" t="s">
        <v>385</v>
      </c>
      <c r="AI1147" s="11">
        <f>Table1[[#This Row],[Price]]/Table1[[#This Row],[Size (ml)]]*750</f>
        <v>45</v>
      </c>
      <c r="AJ1147" s="37">
        <v>96</v>
      </c>
      <c r="AK1147" s="37">
        <f>COUNTIF(UniqueID!A:A,Table1[[#This Row],[ID]])</f>
        <v>1</v>
      </c>
      <c r="AL1147" s="37" t="str">
        <f>VLOOKUP(Table1[[#This Row],[Cellar Location]],Location!A:F,6,FALSE)</f>
        <v>S</v>
      </c>
      <c r="AO1147" s="37" t="str">
        <f>TEXT(Table1[[#This Row],[Purchased]],"mmmm")</f>
        <v>January</v>
      </c>
      <c r="AP1147" s="10" t="str">
        <f>TEXT(Table1[[#This Row],[Purchased]],"yyyy")</f>
        <v>1900</v>
      </c>
      <c r="AQ1147" s="10"/>
    </row>
    <row r="1148" spans="1:43" s="37" customFormat="1" x14ac:dyDescent="0.25">
      <c r="A1148" s="37" t="str">
        <f t="shared" si="56"/>
        <v>2016Kay BrothersShiraz Block 6</v>
      </c>
      <c r="B1148" s="37">
        <v>2016</v>
      </c>
      <c r="C1148" s="8" t="s">
        <v>392</v>
      </c>
      <c r="D1148" s="37" t="s">
        <v>393</v>
      </c>
      <c r="E1148" s="64" t="s">
        <v>400</v>
      </c>
      <c r="F1148" s="37" t="s">
        <v>736</v>
      </c>
      <c r="G1148" s="37" t="s">
        <v>737</v>
      </c>
      <c r="H1148" s="37" t="s">
        <v>738</v>
      </c>
      <c r="I1148" s="107">
        <v>1</v>
      </c>
      <c r="J1148" s="37">
        <v>750</v>
      </c>
      <c r="K1148" s="107" t="s">
        <v>641</v>
      </c>
      <c r="L1148" s="37">
        <f>COUNTIF(Drank!A:A,Table1[[#This Row],[ID]])</f>
        <v>0</v>
      </c>
      <c r="M1148" s="37" t="s">
        <v>202</v>
      </c>
      <c r="N1148" s="37" t="s">
        <v>207</v>
      </c>
      <c r="O1148" s="37">
        <v>1</v>
      </c>
      <c r="P1148" s="37">
        <v>2020</v>
      </c>
      <c r="Q1148" s="37">
        <v>2035</v>
      </c>
      <c r="R1148" s="10" t="str">
        <f>IF(IFERROR(VLOOKUP(A1148,Drank!A:S,15,FALSE),"")=0,"",IFERROR(VLOOKUP(A1148,Drank!A:S,15,FALSE),""))</f>
        <v/>
      </c>
      <c r="S1148" s="10" t="str">
        <f>IF(IFERROR(VLOOKUP(A1148,Drank!A:S,16,FALSE),"")=0,"",IFERROR(VLOOKUP(A1148,Drank!A:S,16,FALSE),""))</f>
        <v/>
      </c>
      <c r="T1148" s="10"/>
      <c r="U1148" s="37">
        <v>96</v>
      </c>
      <c r="V1148" s="18" t="str">
        <f>IF(IFERROR(VLOOKUP(A1148,Drank!A:T,19,FALSE),"")=0,"",IFERROR(VLOOKUP(A1148,Drank!A:T,19,FALSE),""))</f>
        <v/>
      </c>
      <c r="W1148" s="1" t="str">
        <f>IF(IFERROR(VLOOKUP(A1148,Drank!A:T,20,FALSE),"")=0,"",IFERROR(VLOOKUP(A1148,Drank!A:T,20,FALSE),""))</f>
        <v/>
      </c>
      <c r="X1148" s="10">
        <f>SUMIF(A:A,A1148,I:I)</f>
        <v>3</v>
      </c>
      <c r="Y1148" s="37">
        <f>IF(Table1[[#This Row],[Drank]]&gt;0,VLOOKUP(Table1[[#This Row],[ID]],Drank!A:P,16,FALSE),IF(Table1[[#This Row],[WALDD]]&gt;0,VLOOKUP(Table1[[#This Row],[ID]],Wine1!A:Q,17,FALSE),Table1[[#This Row],[EP]]))</f>
        <v>2035</v>
      </c>
      <c r="Z1148" s="18">
        <f>IF(Table1[[#This Row],[My Rating]]="",IF(Table1[[#This Row],[WA Rating Clean]]="","",Table1[[#This Row],[WA Rating Clean]]),Table1[[#This Row],[My Rating]])</f>
        <v>96</v>
      </c>
      <c r="AA1148" s="6">
        <v>2034</v>
      </c>
      <c r="AB1148" s="4">
        <v>59</v>
      </c>
      <c r="AC1148" s="2">
        <f t="shared" si="57"/>
        <v>59</v>
      </c>
      <c r="AD1148" s="8">
        <v>2</v>
      </c>
      <c r="AE1148" s="37">
        <f>IF(Table1[[#This Row],[P/750]]&lt;20,1,IF(Table1[[#This Row],[P/750]]&lt;50,2,3))</f>
        <v>3</v>
      </c>
      <c r="AF1148" s="37">
        <f>IF(Table1[[#This Row],[P/750]]&lt;Expenses!$C$30,1,IF(Table1[[#This Row],[P/750]]&lt;Expenses!$C$31,2,IF(Table1[[#This Row],[P/750]]&lt;Expenses!$C$32,3,4)))</f>
        <v>3</v>
      </c>
      <c r="AH1148" s="37" t="s">
        <v>384</v>
      </c>
      <c r="AI1148" s="11">
        <f>Table1[[#This Row],[Price]]/Table1[[#This Row],[Size (ml)]]*750</f>
        <v>59</v>
      </c>
      <c r="AJ1148" s="37">
        <v>96</v>
      </c>
      <c r="AK1148" s="37">
        <f>COUNTIF(UniqueID!A:A,Table1[[#This Row],[ID]])</f>
        <v>1</v>
      </c>
      <c r="AL1148" s="37" t="str">
        <f>VLOOKUP(Table1[[#This Row],[Cellar Location]],Location!A:F,6,FALSE)</f>
        <v>S</v>
      </c>
      <c r="AO1148" s="37" t="str">
        <f>TEXT(Table1[[#This Row],[Purchased]],"mmmm")</f>
        <v>January</v>
      </c>
      <c r="AP1148" s="10" t="str">
        <f>TEXT(Table1[[#This Row],[Purchased]],"yyyy")</f>
        <v>1900</v>
      </c>
      <c r="AQ1148" s="10"/>
    </row>
    <row r="1149" spans="1:43" s="37" customFormat="1" x14ac:dyDescent="0.25">
      <c r="A1149" s="37" t="str">
        <f t="shared" si="56"/>
        <v>2010La Rioja AltaViña Ardanza Selección Especial</v>
      </c>
      <c r="B1149" s="37">
        <v>2010</v>
      </c>
      <c r="C1149" s="37" t="s">
        <v>221</v>
      </c>
      <c r="D1149" s="37" t="s">
        <v>1274</v>
      </c>
      <c r="E1149" s="67" t="s">
        <v>1467</v>
      </c>
      <c r="F1149" s="37" t="s">
        <v>729</v>
      </c>
      <c r="G1149" s="37" t="s">
        <v>823</v>
      </c>
      <c r="I1149" s="107">
        <v>1</v>
      </c>
      <c r="J1149" s="37">
        <v>750</v>
      </c>
      <c r="K1149" s="107" t="s">
        <v>928</v>
      </c>
      <c r="L1149" s="10">
        <f>COUNTIF(Drank!A:A,Table1[[#This Row],[ID]])</f>
        <v>1</v>
      </c>
      <c r="M1149" s="37" t="s">
        <v>202</v>
      </c>
      <c r="N1149" s="37" t="s">
        <v>207</v>
      </c>
      <c r="O1149" s="37">
        <v>1</v>
      </c>
      <c r="P1149" s="10">
        <v>2019</v>
      </c>
      <c r="Q1149" s="37">
        <v>2035</v>
      </c>
      <c r="R1149" s="10">
        <f>IF(IFERROR(VLOOKUP(A1149,Drank!A:S,15,FALSE),"")=0,"",IFERROR(VLOOKUP(A1149,Drank!A:S,15,FALSE),""))</f>
        <v>2024</v>
      </c>
      <c r="S1149" s="10">
        <f>IF(IFERROR(VLOOKUP(A1149,Drank!A:S,16,FALSE),"")=0,"",IFERROR(VLOOKUP(A1149,Drank!A:S,16,FALSE),""))</f>
        <v>2035</v>
      </c>
      <c r="T1149" s="10"/>
      <c r="U1149" s="37">
        <v>95</v>
      </c>
      <c r="V1149" s="18">
        <f>IF(IFERROR(VLOOKUP(A1149,Drank!A:T,19,FALSE),"")=0,"",IFERROR(VLOOKUP(A1149,Drank!A:T,19,FALSE),""))</f>
        <v>91</v>
      </c>
      <c r="W1149" s="1">
        <f>IF(IFERROR(VLOOKUP(A1149,Drank!A:T,20,FALSE),"")=0,"",IFERROR(VLOOKUP(A1149,Drank!A:T,20,FALSE),""))</f>
        <v>43855</v>
      </c>
      <c r="X1149" s="10">
        <f>SUMIF(A:A,A1149,I:I)</f>
        <v>3</v>
      </c>
      <c r="Y1149" s="10">
        <f>IF(Table1[[#This Row],[Drank]]&gt;0,VLOOKUP(Table1[[#This Row],[ID]],Drank!A:P,16,FALSE),IF(Table1[[#This Row],[WALDD]]&gt;0,VLOOKUP(Table1[[#This Row],[ID]],Wine1!A:Q,17,FALSE),Table1[[#This Row],[EP]]))</f>
        <v>2035</v>
      </c>
      <c r="Z1149" s="18">
        <f>IF(Table1[[#This Row],[My Rating]]="",IF(Table1[[#This Row],[WA Rating Clean]]="","",Table1[[#This Row],[WA Rating Clean]]),Table1[[#This Row],[My Rating]])</f>
        <v>91</v>
      </c>
      <c r="AA1149" s="37">
        <v>2034</v>
      </c>
      <c r="AB1149" s="4">
        <v>32.99</v>
      </c>
      <c r="AC1149" s="2">
        <f t="shared" si="57"/>
        <v>32.99</v>
      </c>
      <c r="AD1149" s="8">
        <v>2</v>
      </c>
      <c r="AE1149" s="10">
        <f>IF(Table1[[#This Row],[P/750]]&lt;20,1,IF(Table1[[#This Row],[P/750]]&lt;50,2,3))</f>
        <v>2</v>
      </c>
      <c r="AF1149" s="10">
        <f>IF(Table1[[#This Row],[P/750]]&lt;Expenses!$C$30,1,IF(Table1[[#This Row],[P/750]]&lt;Expenses!$C$31,2,IF(Table1[[#This Row],[P/750]]&lt;Expenses!$C$32,3,4)))</f>
        <v>3</v>
      </c>
      <c r="AH1149" s="37" t="s">
        <v>1139</v>
      </c>
      <c r="AI1149" s="11">
        <f>Table1[[#This Row],[Price]]/Table1[[#This Row],[Size (ml)]]*750</f>
        <v>32.99</v>
      </c>
      <c r="AJ1149" s="37">
        <v>95</v>
      </c>
      <c r="AK1149" s="10">
        <f>COUNTIF(UniqueID!A:A,Table1[[#This Row],[ID]])</f>
        <v>1</v>
      </c>
      <c r="AL1149" s="37" t="str">
        <f>VLOOKUP(Table1[[#This Row],[Cellar Location]],Location!A:F,6,FALSE)</f>
        <v>S</v>
      </c>
      <c r="AO1149" s="37" t="str">
        <f>TEXT(Table1[[#This Row],[Purchased]],"mmmm")</f>
        <v>January</v>
      </c>
      <c r="AP1149" s="10" t="str">
        <f>TEXT(Table1[[#This Row],[Purchased]],"yyyy")</f>
        <v>1900</v>
      </c>
      <c r="AQ1149" s="10"/>
    </row>
    <row r="1150" spans="1:43" s="37" customFormat="1" x14ac:dyDescent="0.25">
      <c r="A1150" s="37" t="str">
        <f t="shared" si="56"/>
        <v>2015OdderoBarolo</v>
      </c>
      <c r="B1150" s="37">
        <v>2015</v>
      </c>
      <c r="C1150" s="37" t="s">
        <v>1173</v>
      </c>
      <c r="D1150" s="37" t="s">
        <v>268</v>
      </c>
      <c r="E1150" s="37" t="s">
        <v>1206</v>
      </c>
      <c r="F1150" s="37" t="s">
        <v>728</v>
      </c>
      <c r="G1150" s="37" t="s">
        <v>778</v>
      </c>
      <c r="H1150" s="37" t="s">
        <v>268</v>
      </c>
      <c r="I1150" s="107">
        <v>1</v>
      </c>
      <c r="J1150" s="37">
        <v>375</v>
      </c>
      <c r="K1150" s="107" t="s">
        <v>1234</v>
      </c>
      <c r="L1150" s="10">
        <f>COUNTIF(Drank!A:A,Table1[[#This Row],[ID]])</f>
        <v>2</v>
      </c>
      <c r="M1150" s="37" t="s">
        <v>202</v>
      </c>
      <c r="N1150" s="37" t="s">
        <v>207</v>
      </c>
      <c r="O1150" s="37">
        <v>1</v>
      </c>
      <c r="P1150" s="37">
        <v>2020</v>
      </c>
      <c r="Q1150" s="37">
        <v>2035</v>
      </c>
      <c r="R1150" s="10">
        <f>IF(IFERROR(VLOOKUP(A1150,Drank!A:S,15,FALSE),"")=0,"",IFERROR(VLOOKUP(A1150,Drank!A:S,15,FALSE),""))</f>
        <v>2022</v>
      </c>
      <c r="S1150" s="10">
        <f>IF(IFERROR(VLOOKUP(A1150,Drank!A:S,16,FALSE),"")=0,"",IFERROR(VLOOKUP(A1150,Drank!A:S,16,FALSE),""))</f>
        <v>2035</v>
      </c>
      <c r="T1150" s="10"/>
      <c r="U1150" s="37" t="s">
        <v>74</v>
      </c>
      <c r="V1150" s="18">
        <f>IF(IFERROR(VLOOKUP(A1150,Drank!A:T,19,FALSE),"")=0,"",IFERROR(VLOOKUP(A1150,Drank!A:T,19,FALSE),""))</f>
        <v>93</v>
      </c>
      <c r="W1150" s="1">
        <f>IF(IFERROR(VLOOKUP(A1150,Drank!A:T,20,FALSE),"")=0,"",IFERROR(VLOOKUP(A1150,Drank!A:T,20,FALSE),""))</f>
        <v>43905</v>
      </c>
      <c r="X1150" s="10">
        <f>SUMIF(A:A,A1150,I:I)</f>
        <v>22</v>
      </c>
      <c r="Y1150" s="10">
        <f>IF(Table1[[#This Row],[Drank]]&gt;0,VLOOKUP(Table1[[#This Row],[ID]],Drank!A:P,16,FALSE),IF(Table1[[#This Row],[WALDD]]&gt;0,VLOOKUP(Table1[[#This Row],[ID]],Wine1!A:Q,17,FALSE),Table1[[#This Row],[EP]]))</f>
        <v>2035</v>
      </c>
      <c r="Z1150" s="18">
        <f>IF(Table1[[#This Row],[My Rating]]="",IF(Table1[[#This Row],[WA Rating Clean]]="","",Table1[[#This Row],[WA Rating Clean]]),Table1[[#This Row],[My Rating]])</f>
        <v>93</v>
      </c>
      <c r="AA1150" s="8">
        <v>2034</v>
      </c>
      <c r="AB1150" s="4">
        <v>26.48</v>
      </c>
      <c r="AC1150" s="2">
        <f t="shared" si="57"/>
        <v>26.48</v>
      </c>
      <c r="AD1150" s="8">
        <v>2</v>
      </c>
      <c r="AE1150" s="10">
        <f>IF(Table1[[#This Row],[P/750]]&lt;20,1,IF(Table1[[#This Row],[P/750]]&lt;50,2,3))</f>
        <v>3</v>
      </c>
      <c r="AF1150" s="10">
        <f>IF(Table1[[#This Row],[P/750]]&lt;Expenses!$C$30,1,IF(Table1[[#This Row],[P/750]]&lt;Expenses!$C$31,2,IF(Table1[[#This Row],[P/750]]&lt;Expenses!$C$32,3,4)))</f>
        <v>3</v>
      </c>
      <c r="AH1150" s="37" t="s">
        <v>1175</v>
      </c>
      <c r="AI1150" s="11">
        <f>Table1[[#This Row],[Price]]/Table1[[#This Row],[Size (ml)]]*750</f>
        <v>52.96</v>
      </c>
      <c r="AJ1150" s="37">
        <v>93</v>
      </c>
      <c r="AK1150" s="10">
        <f>COUNTIF(UniqueID!A:A,Table1[[#This Row],[ID]])</f>
        <v>1</v>
      </c>
      <c r="AL1150" s="10" t="str">
        <f>VLOOKUP(Table1[[#This Row],[Cellar Location]],Location!A:F,6,FALSE)</f>
        <v>S</v>
      </c>
      <c r="AN1150" s="1">
        <v>43858</v>
      </c>
      <c r="AO1150" s="37" t="str">
        <f>TEXT(Table1[[#This Row],[Purchased]],"mmmm")</f>
        <v>January</v>
      </c>
      <c r="AP1150" s="10" t="str">
        <f>TEXT(Table1[[#This Row],[Purchased]],"yyyy")</f>
        <v>2020</v>
      </c>
      <c r="AQ1150" s="10"/>
    </row>
    <row r="1151" spans="1:43" s="37" customFormat="1" x14ac:dyDescent="0.25">
      <c r="A1151" s="37" t="str">
        <f t="shared" si="56"/>
        <v>2015OdderoBarolo</v>
      </c>
      <c r="B1151" s="37">
        <v>2015</v>
      </c>
      <c r="C1151" s="37" t="s">
        <v>1173</v>
      </c>
      <c r="D1151" s="37" t="s">
        <v>268</v>
      </c>
      <c r="E1151" s="37" t="s">
        <v>1206</v>
      </c>
      <c r="F1151" s="37" t="s">
        <v>728</v>
      </c>
      <c r="G1151" s="37" t="s">
        <v>778</v>
      </c>
      <c r="H1151" s="37" t="s">
        <v>268</v>
      </c>
      <c r="I1151" s="107">
        <v>1</v>
      </c>
      <c r="J1151" s="37">
        <v>750</v>
      </c>
      <c r="K1151" s="107" t="s">
        <v>1235</v>
      </c>
      <c r="L1151" s="10">
        <f>COUNTIF(Drank!A:A,Table1[[#This Row],[ID]])</f>
        <v>2</v>
      </c>
      <c r="M1151" s="37" t="s">
        <v>202</v>
      </c>
      <c r="N1151" s="37" t="s">
        <v>207</v>
      </c>
      <c r="O1151" s="37">
        <v>1</v>
      </c>
      <c r="P1151" s="37">
        <v>2020</v>
      </c>
      <c r="Q1151" s="37">
        <v>2035</v>
      </c>
      <c r="R1151" s="10">
        <f>IF(IFERROR(VLOOKUP(A1151,Drank!A:S,15,FALSE),"")=0,"",IFERROR(VLOOKUP(A1151,Drank!A:S,15,FALSE),""))</f>
        <v>2022</v>
      </c>
      <c r="S1151" s="10">
        <f>IF(IFERROR(VLOOKUP(A1151,Drank!A:S,16,FALSE),"")=0,"",IFERROR(VLOOKUP(A1151,Drank!A:S,16,FALSE),""))</f>
        <v>2035</v>
      </c>
      <c r="T1151" s="10"/>
      <c r="U1151" s="37" t="s">
        <v>74</v>
      </c>
      <c r="V1151" s="18">
        <f>IF(IFERROR(VLOOKUP(A1151,Drank!A:T,19,FALSE),"")=0,"",IFERROR(VLOOKUP(A1151,Drank!A:T,19,FALSE),""))</f>
        <v>93</v>
      </c>
      <c r="W1151" s="1">
        <f>IF(IFERROR(VLOOKUP(A1151,Drank!A:T,20,FALSE),"")=0,"",IFERROR(VLOOKUP(A1151,Drank!A:T,20,FALSE),""))</f>
        <v>43905</v>
      </c>
      <c r="X1151" s="10">
        <f>SUMIF(A:A,A1151,I:I)</f>
        <v>22</v>
      </c>
      <c r="Y1151" s="10">
        <f>IF(Table1[[#This Row],[Drank]]&gt;0,VLOOKUP(Table1[[#This Row],[ID]],Drank!A:P,16,FALSE),IF(Table1[[#This Row],[WALDD]]&gt;0,VLOOKUP(Table1[[#This Row],[ID]],Wine1!A:Q,17,FALSE),Table1[[#This Row],[EP]]))</f>
        <v>2035</v>
      </c>
      <c r="Z1151" s="18">
        <f>IF(Table1[[#This Row],[My Rating]]="",IF(Table1[[#This Row],[WA Rating Clean]]="","",Table1[[#This Row],[WA Rating Clean]]),Table1[[#This Row],[My Rating]])</f>
        <v>93</v>
      </c>
      <c r="AA1151" s="8">
        <v>2034</v>
      </c>
      <c r="AB1151" s="4">
        <v>40.229999999999997</v>
      </c>
      <c r="AC1151" s="2">
        <f t="shared" si="57"/>
        <v>40.229999999999997</v>
      </c>
      <c r="AD1151" s="8">
        <v>2</v>
      </c>
      <c r="AE1151" s="10">
        <f>IF(Table1[[#This Row],[P/750]]&lt;20,1,IF(Table1[[#This Row],[P/750]]&lt;50,2,3))</f>
        <v>2</v>
      </c>
      <c r="AF1151" s="10">
        <f>IF(Table1[[#This Row],[P/750]]&lt;Expenses!$C$30,1,IF(Table1[[#This Row],[P/750]]&lt;Expenses!$C$31,2,IF(Table1[[#This Row],[P/750]]&lt;Expenses!$C$32,3,4)))</f>
        <v>3</v>
      </c>
      <c r="AH1151" s="37" t="s">
        <v>1174</v>
      </c>
      <c r="AI1151" s="11">
        <f>Table1[[#This Row],[Price]]/Table1[[#This Row],[Size (ml)]]*750</f>
        <v>40.229999999999997</v>
      </c>
      <c r="AJ1151" s="37">
        <v>93</v>
      </c>
      <c r="AK1151" s="10">
        <f>COUNTIF(UniqueID!A:A,Table1[[#This Row],[ID]])</f>
        <v>1</v>
      </c>
      <c r="AL1151" s="10" t="str">
        <f>VLOOKUP(Table1[[#This Row],[Cellar Location]],Location!A:F,6,FALSE)</f>
        <v>S</v>
      </c>
      <c r="AN1151" s="1">
        <v>43858</v>
      </c>
      <c r="AO1151" s="37" t="str">
        <f>TEXT(Table1[[#This Row],[Purchased]],"mmmm")</f>
        <v>January</v>
      </c>
      <c r="AP1151" s="10" t="str">
        <f>TEXT(Table1[[#This Row],[Purchased]],"yyyy")</f>
        <v>2020</v>
      </c>
      <c r="AQ1151" s="10"/>
    </row>
    <row r="1152" spans="1:43" s="37" customFormat="1" x14ac:dyDescent="0.25">
      <c r="A1152" s="37" t="str">
        <f t="shared" si="56"/>
        <v>2017Orin Swift CellarsPapillon Proprietary Red</v>
      </c>
      <c r="B1152" s="37">
        <v>2017</v>
      </c>
      <c r="C1152" s="9" t="s">
        <v>120</v>
      </c>
      <c r="D1152" s="9" t="s">
        <v>121</v>
      </c>
      <c r="E1152" s="64" t="s">
        <v>1443</v>
      </c>
      <c r="F1152" s="37" t="s">
        <v>727</v>
      </c>
      <c r="G1152" s="37" t="s">
        <v>806</v>
      </c>
      <c r="H1152" s="37" t="s">
        <v>832</v>
      </c>
      <c r="I1152" s="107">
        <v>1</v>
      </c>
      <c r="J1152" s="37">
        <v>750</v>
      </c>
      <c r="K1152" s="107" t="s">
        <v>1313</v>
      </c>
      <c r="L1152" s="37">
        <f>COUNTIF(Drank!A:A,Table1[[#This Row],[ID]])</f>
        <v>0</v>
      </c>
      <c r="M1152" s="37" t="s">
        <v>202</v>
      </c>
      <c r="N1152" s="37" t="s">
        <v>207</v>
      </c>
      <c r="O1152" s="37">
        <v>1</v>
      </c>
      <c r="R1152" s="37" t="str">
        <f>IF(IFERROR(VLOOKUP(A1152,Drank!A:S,15,FALSE),"")=0,"",IFERROR(VLOOKUP(A1152,Drank!A:S,15,FALSE),""))</f>
        <v/>
      </c>
      <c r="S1152" s="37" t="str">
        <f>IF(IFERROR(VLOOKUP(A1152,Drank!A:S,16,FALSE),"")=0,"",IFERROR(VLOOKUP(A1152,Drank!A:S,16,FALSE),""))</f>
        <v/>
      </c>
      <c r="T1152" s="37">
        <v>2035</v>
      </c>
      <c r="V1152" s="18" t="str">
        <f>IF(IFERROR(VLOOKUP(A1152,Drank!A:T,19,FALSE),"")=0,"",IFERROR(VLOOKUP(A1152,Drank!A:T,19,FALSE),""))</f>
        <v/>
      </c>
      <c r="W1152" s="1" t="str">
        <f>IF(IFERROR(VLOOKUP(A1152,Drank!A:T,20,FALSE),"")=0,"",IFERROR(VLOOKUP(A1152,Drank!A:T,20,FALSE),""))</f>
        <v/>
      </c>
      <c r="X1152" s="37">
        <f>SUMIF(A:A,A1152,I:I)</f>
        <v>3</v>
      </c>
      <c r="Y1152" s="37">
        <f>IF(Table1[[#This Row],[Drank]]&gt;0,VLOOKUP(Table1[[#This Row],[ID]],Drank!A:P,16,FALSE),IF(Table1[[#This Row],[WALDD]]&gt;0,VLOOKUP(Table1[[#This Row],[ID]],Wine1!A:Q,17,FALSE),Table1[[#This Row],[EP]]))</f>
        <v>2035</v>
      </c>
      <c r="Z1152" s="18">
        <f>IF(Table1[[#This Row],[My Rating]]="",IF(Table1[[#This Row],[WA Rating Clean]]="","",Table1[[#This Row],[WA Rating Clean]]),Table1[[#This Row],[My Rating]])</f>
        <v>94</v>
      </c>
      <c r="AA1152" s="37">
        <v>2034</v>
      </c>
      <c r="AB1152" s="4">
        <v>61.99</v>
      </c>
      <c r="AC1152" s="2">
        <f t="shared" si="57"/>
        <v>61.99</v>
      </c>
      <c r="AD1152" s="8">
        <v>2</v>
      </c>
      <c r="AE1152" s="37">
        <f>IF(Table1[[#This Row],[P/750]]&lt;20,1,IF(Table1[[#This Row],[P/750]]&lt;50,2,3))</f>
        <v>3</v>
      </c>
      <c r="AF1152" s="37">
        <f>IF(Table1[[#This Row],[P/750]]&lt;Expenses!$C$30,1,IF(Table1[[#This Row],[P/750]]&lt;Expenses!$C$31,2,IF(Table1[[#This Row],[P/750]]&lt;Expenses!$C$32,3,4)))</f>
        <v>3</v>
      </c>
      <c r="AH1152" s="37" t="s">
        <v>1128</v>
      </c>
      <c r="AI1152" s="11">
        <f>Table1[[#This Row],[Price]]/Table1[[#This Row],[Size (ml)]]*750</f>
        <v>61.990000000000009</v>
      </c>
      <c r="AJ1152" s="37">
        <v>94</v>
      </c>
      <c r="AK1152" s="37">
        <f>COUNTIF(UniqueID!A:A,Table1[[#This Row],[ID]])</f>
        <v>0</v>
      </c>
      <c r="AL1152" s="37" t="str">
        <f>VLOOKUP(Table1[[#This Row],[Cellar Location]],Location!A:F,6,FALSE)</f>
        <v>S</v>
      </c>
      <c r="AN1152" s="1">
        <v>43879</v>
      </c>
      <c r="AO1152" s="37" t="str">
        <f>TEXT(Table1[[#This Row],[Purchased]],"mmmm")</f>
        <v>February</v>
      </c>
      <c r="AP1152" s="10" t="str">
        <f>TEXT(Table1[[#This Row],[Purchased]],"yyyy")</f>
        <v>2020</v>
      </c>
      <c r="AQ1152" s="10"/>
    </row>
    <row r="1153" spans="1:43" s="37" customFormat="1" x14ac:dyDescent="0.25">
      <c r="A1153" s="37" t="str">
        <f t="shared" si="56"/>
        <v>2016Produttori del BarbarescoBarbaresco</v>
      </c>
      <c r="B1153" s="37">
        <v>2016</v>
      </c>
      <c r="C1153" s="37" t="s">
        <v>248</v>
      </c>
      <c r="D1153" s="37" t="s">
        <v>249</v>
      </c>
      <c r="E1153" s="67" t="s">
        <v>1206</v>
      </c>
      <c r="F1153" s="37" t="s">
        <v>728</v>
      </c>
      <c r="G1153" s="37" t="s">
        <v>778</v>
      </c>
      <c r="H1153" s="37" t="s">
        <v>249</v>
      </c>
      <c r="I1153" s="107">
        <v>1</v>
      </c>
      <c r="J1153" s="37">
        <v>750</v>
      </c>
      <c r="K1153" s="107" t="s">
        <v>644</v>
      </c>
      <c r="L1153" s="37">
        <f>COUNTIF(Drank!A:A,Table1[[#This Row],[ID]])</f>
        <v>2</v>
      </c>
      <c r="M1153" s="37" t="s">
        <v>202</v>
      </c>
      <c r="N1153" s="37" t="s">
        <v>207</v>
      </c>
      <c r="O1153" s="37">
        <v>1</v>
      </c>
      <c r="P1153" s="37">
        <v>2022</v>
      </c>
      <c r="Q1153" s="37">
        <v>2040</v>
      </c>
      <c r="R1153" s="10">
        <f>IF(IFERROR(VLOOKUP(A1153,Drank!A:S,15,FALSE),"")=0,"",IFERROR(VLOOKUP(A1153,Drank!A:S,15,FALSE),""))</f>
        <v>2021</v>
      </c>
      <c r="S1153" s="10">
        <f>IF(IFERROR(VLOOKUP(A1153,Drank!A:S,16,FALSE),"")=0,"",IFERROR(VLOOKUP(A1153,Drank!A:S,16,FALSE),""))</f>
        <v>2032</v>
      </c>
      <c r="T1153" s="10"/>
      <c r="U1153" s="37">
        <v>95</v>
      </c>
      <c r="V1153" s="18">
        <f>IF(IFERROR(VLOOKUP(A1153,Drank!A:T,19,FALSE),"")=0,"",IFERROR(VLOOKUP(A1153,Drank!A:T,19,FALSE),""))</f>
        <v>95.5</v>
      </c>
      <c r="W1153" s="1">
        <f>IF(IFERROR(VLOOKUP(A1153,Drank!A:T,20,FALSE),"")=0,"",IFERROR(VLOOKUP(A1153,Drank!A:T,20,FALSE),""))</f>
        <v>44079</v>
      </c>
      <c r="X1153" s="10">
        <f>SUMIF(A:A,A1153,I:I)</f>
        <v>41</v>
      </c>
      <c r="Y1153" s="37">
        <f>IF(Table1[[#This Row],[Drank]]&gt;0,VLOOKUP(Table1[[#This Row],[ID]],Drank!A:P,16,FALSE),IF(Table1[[#This Row],[WALDD]]&gt;0,VLOOKUP(Table1[[#This Row],[ID]],Wine1!A:Q,17,FALSE),Table1[[#This Row],[EP]]))</f>
        <v>2032</v>
      </c>
      <c r="Z1153" s="18">
        <f>IF(Table1[[#This Row],[My Rating]]="",IF(Table1[[#This Row],[WA Rating Clean]]="","",Table1[[#This Row],[WA Rating Clean]]),Table1[[#This Row],[My Rating]])</f>
        <v>95.5</v>
      </c>
      <c r="AA1153" s="8">
        <v>2034</v>
      </c>
      <c r="AB1153" s="4">
        <v>43.19</v>
      </c>
      <c r="AC1153" s="2">
        <f t="shared" si="57"/>
        <v>43.19</v>
      </c>
      <c r="AD1153" s="8">
        <v>2</v>
      </c>
      <c r="AE1153" s="37">
        <f>IF(Table1[[#This Row],[P/750]]&lt;20,1,IF(Table1[[#This Row],[P/750]]&lt;50,2,3))</f>
        <v>2</v>
      </c>
      <c r="AF1153" s="37">
        <f>IF(Table1[[#This Row],[P/750]]&lt;Expenses!$C$30,1,IF(Table1[[#This Row],[P/750]]&lt;Expenses!$C$31,2,IF(Table1[[#This Row],[P/750]]&lt;Expenses!$C$32,3,4)))</f>
        <v>3</v>
      </c>
      <c r="AH1153" s="37" t="s">
        <v>1128</v>
      </c>
      <c r="AI1153" s="11">
        <f>Table1[[#This Row],[Price]]/Table1[[#This Row],[Size (ml)]]*750</f>
        <v>43.19</v>
      </c>
      <c r="AJ1153" s="37">
        <v>95</v>
      </c>
      <c r="AK1153" s="37">
        <f>COUNTIF(UniqueID!A:A,Table1[[#This Row],[ID]])</f>
        <v>1</v>
      </c>
      <c r="AL1153" s="37" t="str">
        <f>VLOOKUP(Table1[[#This Row],[Cellar Location]],Location!A:F,6,FALSE)</f>
        <v>S</v>
      </c>
      <c r="AO1153" s="37" t="str">
        <f>TEXT(Table1[[#This Row],[Purchased]],"mmmm")</f>
        <v>January</v>
      </c>
      <c r="AP1153" s="10" t="str">
        <f>TEXT(Table1[[#This Row],[Purchased]],"yyyy")</f>
        <v>1900</v>
      </c>
      <c r="AQ1153" s="10"/>
    </row>
    <row r="1154" spans="1:43" s="37" customFormat="1" x14ac:dyDescent="0.25">
      <c r="A1154" s="37" t="str">
        <f t="shared" si="56"/>
        <v>2010Raymond-LafonRaymond-Lafon</v>
      </c>
      <c r="B1154" s="37">
        <v>2010</v>
      </c>
      <c r="C1154" s="9" t="s">
        <v>197</v>
      </c>
      <c r="D1154" s="9" t="s">
        <v>197</v>
      </c>
      <c r="E1154" s="69" t="s">
        <v>274</v>
      </c>
      <c r="F1154" s="37" t="s">
        <v>742</v>
      </c>
      <c r="G1154" s="37" t="s">
        <v>748</v>
      </c>
      <c r="H1154" s="37" t="s">
        <v>260</v>
      </c>
      <c r="I1154" s="37">
        <v>1</v>
      </c>
      <c r="J1154" s="37">
        <v>375</v>
      </c>
      <c r="K1154" s="8" t="s">
        <v>8</v>
      </c>
      <c r="L1154" s="37">
        <f>COUNTIF(Drank!A:A,Table1[[#This Row],[ID]])</f>
        <v>5</v>
      </c>
      <c r="M1154" s="37" t="s">
        <v>201</v>
      </c>
      <c r="N1154" s="37" t="s">
        <v>206</v>
      </c>
      <c r="O1154" s="37">
        <v>1</v>
      </c>
      <c r="R1154" s="37">
        <f>IF(IFERROR(VLOOKUP(A1154,Drank!A:S,15,FALSE),"")=0,"",IFERROR(VLOOKUP(A1154,Drank!A:S,15,FALSE),""))</f>
        <v>2024</v>
      </c>
      <c r="S1154" s="37">
        <f>IF(IFERROR(VLOOKUP(A1154,Drank!A:S,16,FALSE),"")=0,"",IFERROR(VLOOKUP(A1154,Drank!A:S,16,FALSE),""))</f>
        <v>2035</v>
      </c>
      <c r="U1154" s="37">
        <v>93</v>
      </c>
      <c r="V1154" s="18">
        <f>IF(IFERROR(VLOOKUP(A1154,Drank!A:T,19,FALSE),"")=0,"",IFERROR(VLOOKUP(A1154,Drank!A:T,19,FALSE),""))</f>
        <v>92.8</v>
      </c>
      <c r="W1154" s="1">
        <f>IF(IFERROR(VLOOKUP(A1154,Drank!A:T,20,FALSE),"")=0,"",IFERROR(VLOOKUP(A1154,Drank!A:T,20,FALSE),""))</f>
        <v>43708</v>
      </c>
      <c r="X1154" s="37">
        <f>SUMIF(A:A,A1154,I:I)</f>
        <v>4</v>
      </c>
      <c r="Y1154" s="37">
        <f>IF(Table1[[#This Row],[Drank]]&gt;0,VLOOKUP(Table1[[#This Row],[ID]],Drank!A:P,16,FALSE),IF(Table1[[#This Row],[WALDD]]&gt;0,VLOOKUP(Table1[[#This Row],[ID]],Wine1!A:Q,17,FALSE),Table1[[#This Row],[EP]]))</f>
        <v>2035</v>
      </c>
      <c r="Z1154" s="18">
        <f>IF(Table1[[#This Row],[My Rating]]="",IF(Table1[[#This Row],[WA Rating Clean]]="","",Table1[[#This Row],[WA Rating Clean]]),Table1[[#This Row],[My Rating]])</f>
        <v>92.8</v>
      </c>
      <c r="AA1154" s="37">
        <v>2034</v>
      </c>
      <c r="AB1154" s="4">
        <v>22.99</v>
      </c>
      <c r="AC1154" s="2">
        <f t="shared" si="57"/>
        <v>22.99</v>
      </c>
      <c r="AD1154" s="8">
        <v>0</v>
      </c>
      <c r="AE1154" s="37">
        <f>IF(Table1[[#This Row],[P/750]]&lt;20,1,IF(Table1[[#This Row],[P/750]]&lt;50,2,3))</f>
        <v>2</v>
      </c>
      <c r="AF1154" s="37">
        <f>IF(Table1[[#This Row],[P/750]]&lt;Expenses!$C$30,1,IF(Table1[[#This Row],[P/750]]&lt;Expenses!$C$31,2,IF(Table1[[#This Row],[P/750]]&lt;Expenses!$C$32,3,4)))</f>
        <v>3</v>
      </c>
      <c r="AH1154" s="37" t="s">
        <v>384</v>
      </c>
      <c r="AI1154" s="11">
        <f>Table1[[#This Row],[Price]]/Table1[[#This Row],[Size (ml)]]*750</f>
        <v>45.98</v>
      </c>
      <c r="AJ1154" s="37">
        <v>93</v>
      </c>
      <c r="AK1154" s="37">
        <f>COUNTIF(UniqueID!A:A,Table1[[#This Row],[ID]])</f>
        <v>1</v>
      </c>
      <c r="AL1154" s="37" t="str">
        <f>VLOOKUP(Table1[[#This Row],[Cellar Location]],Location!A:F,6,FALSE)</f>
        <v>K</v>
      </c>
      <c r="AO1154" s="37" t="str">
        <f>TEXT(Table1[[#This Row],[Purchased]],"mmmm")</f>
        <v>January</v>
      </c>
      <c r="AP1154" s="10" t="str">
        <f>TEXT(Table1[[#This Row],[Purchased]],"yyyy")</f>
        <v>1900</v>
      </c>
      <c r="AQ1154" s="10"/>
    </row>
    <row r="1155" spans="1:43" s="37" customFormat="1" x14ac:dyDescent="0.25">
      <c r="A1155" s="37" t="str">
        <f t="shared" si="56"/>
        <v>2016Xavier VignonChateauneuf du Pape Cuvee Anonyme</v>
      </c>
      <c r="B1155" s="37">
        <v>2016</v>
      </c>
      <c r="C1155" s="37" t="s">
        <v>405</v>
      </c>
      <c r="D1155" s="37" t="s">
        <v>454</v>
      </c>
      <c r="E1155" s="69" t="s">
        <v>1267</v>
      </c>
      <c r="F1155" s="37" t="s">
        <v>742</v>
      </c>
      <c r="G1155" s="37" t="s">
        <v>759</v>
      </c>
      <c r="H1155" s="9" t="s">
        <v>762</v>
      </c>
      <c r="I1155" s="107">
        <v>1</v>
      </c>
      <c r="J1155" s="37">
        <v>750</v>
      </c>
      <c r="K1155" s="107" t="s">
        <v>641</v>
      </c>
      <c r="L1155" s="10">
        <f>COUNTIF(Drank!A:A,Table1[[#This Row],[ID]])</f>
        <v>0</v>
      </c>
      <c r="M1155" s="37" t="s">
        <v>202</v>
      </c>
      <c r="N1155" s="37" t="s">
        <v>207</v>
      </c>
      <c r="O1155" s="37">
        <v>1</v>
      </c>
      <c r="P1155" s="10">
        <v>2020</v>
      </c>
      <c r="Q1155" s="37">
        <v>2035</v>
      </c>
      <c r="R1155" s="10" t="str">
        <f>IF(IFERROR(VLOOKUP(A1155,Drank!A:S,15,FALSE),"")=0,"",IFERROR(VLOOKUP(A1155,Drank!A:S,15,FALSE),""))</f>
        <v/>
      </c>
      <c r="S1155" s="10" t="str">
        <f>IF(IFERROR(VLOOKUP(A1155,Drank!A:S,16,FALSE),"")=0,"",IFERROR(VLOOKUP(A1155,Drank!A:S,16,FALSE),""))</f>
        <v/>
      </c>
      <c r="T1155" s="10"/>
      <c r="U1155" s="37">
        <v>95</v>
      </c>
      <c r="V1155" s="18" t="str">
        <f>IF(IFERROR(VLOOKUP(A1155,Drank!A:T,19,FALSE),"")=0,"",IFERROR(VLOOKUP(A1155,Drank!A:T,19,FALSE),""))</f>
        <v/>
      </c>
      <c r="W1155" s="1" t="str">
        <f>IF(IFERROR(VLOOKUP(A1155,Drank!A:T,20,FALSE),"")=0,"",IFERROR(VLOOKUP(A1155,Drank!A:T,20,FALSE),""))</f>
        <v/>
      </c>
      <c r="X1155" s="10">
        <f>SUMIF(A:A,A1155,I:I)</f>
        <v>4</v>
      </c>
      <c r="Y1155" s="10">
        <f>IF(Table1[[#This Row],[Drank]]&gt;0,VLOOKUP(Table1[[#This Row],[ID]],Drank!A:P,16,FALSE),IF(Table1[[#This Row],[WALDD]]&gt;0,VLOOKUP(Table1[[#This Row],[ID]],Wine1!A:Q,17,FALSE),Table1[[#This Row],[EP]]))</f>
        <v>2035</v>
      </c>
      <c r="Z1155" s="18">
        <f>IF(Table1[[#This Row],[My Rating]]="",IF(Table1[[#This Row],[WA Rating Clean]]="","",Table1[[#This Row],[WA Rating Clean]]),Table1[[#This Row],[My Rating]])</f>
        <v>95</v>
      </c>
      <c r="AA1155" s="37">
        <v>2034</v>
      </c>
      <c r="AB1155" s="4">
        <v>39.99</v>
      </c>
      <c r="AC1155" s="2">
        <f t="shared" si="57"/>
        <v>39.99</v>
      </c>
      <c r="AD1155" s="8">
        <v>2</v>
      </c>
      <c r="AE1155" s="10">
        <f>IF(Table1[[#This Row],[P/750]]&lt;20,1,IF(Table1[[#This Row],[P/750]]&lt;50,2,3))</f>
        <v>2</v>
      </c>
      <c r="AF1155" s="10">
        <f>IF(Table1[[#This Row],[P/750]]&lt;Expenses!$C$30,1,IF(Table1[[#This Row],[P/750]]&lt;Expenses!$C$31,2,IF(Table1[[#This Row],[P/750]]&lt;Expenses!$C$32,3,4)))</f>
        <v>3</v>
      </c>
      <c r="AH1155" s="37" t="s">
        <v>385</v>
      </c>
      <c r="AI1155" s="11">
        <f>Table1[[#This Row],[Price]]/Table1[[#This Row],[Size (ml)]]*750</f>
        <v>39.99</v>
      </c>
      <c r="AJ1155" s="37">
        <v>95</v>
      </c>
      <c r="AK1155" s="37">
        <f>COUNTIF(UniqueID!A:A,Table1[[#This Row],[ID]])</f>
        <v>1</v>
      </c>
      <c r="AL1155" s="37" t="str">
        <f>VLOOKUP(Table1[[#This Row],[Cellar Location]],Location!A:F,6,FALSE)</f>
        <v>S</v>
      </c>
      <c r="AO1155" s="37" t="str">
        <f>TEXT(Table1[[#This Row],[Purchased]],"mmmm")</f>
        <v>January</v>
      </c>
      <c r="AP1155" s="10" t="str">
        <f>TEXT(Table1[[#This Row],[Purchased]],"yyyy")</f>
        <v>1900</v>
      </c>
      <c r="AQ1155" s="10"/>
    </row>
    <row r="1156" spans="1:43" s="37" customFormat="1" x14ac:dyDescent="0.25">
      <c r="A1156" s="37" t="str">
        <f t="shared" si="56"/>
        <v>2015Poggio AnticoBrunello di Montalcino</v>
      </c>
      <c r="B1156" s="37">
        <v>2015</v>
      </c>
      <c r="C1156" s="37" t="s">
        <v>223</v>
      </c>
      <c r="D1156" s="37" t="s">
        <v>19</v>
      </c>
      <c r="E1156" s="37" t="s">
        <v>1250</v>
      </c>
      <c r="F1156" s="37" t="s">
        <v>728</v>
      </c>
      <c r="G1156" s="37" t="s">
        <v>790</v>
      </c>
      <c r="H1156" s="37" t="s">
        <v>19</v>
      </c>
      <c r="I1156" s="8">
        <v>1</v>
      </c>
      <c r="J1156" s="38">
        <v>750</v>
      </c>
      <c r="K1156" s="38" t="s">
        <v>1687</v>
      </c>
      <c r="L1156" s="10">
        <f>COUNTIF(Drank!A:A,Table1[[#This Row],[ID]])</f>
        <v>0</v>
      </c>
      <c r="M1156" s="37" t="s">
        <v>202</v>
      </c>
      <c r="N1156" s="37" t="s">
        <v>207</v>
      </c>
      <c r="O1156" s="37">
        <v>1</v>
      </c>
      <c r="P1156" s="37">
        <v>2021</v>
      </c>
      <c r="Q1156" s="37">
        <v>2035</v>
      </c>
      <c r="R1156" s="10" t="str">
        <f>IF(IFERROR(VLOOKUP(A1156,Drank!A:S,15,FALSE),"")=0,"",IFERROR(VLOOKUP(A1156,Drank!A:S,15,FALSE),""))</f>
        <v/>
      </c>
      <c r="S1156" s="10" t="str">
        <f>IF(IFERROR(VLOOKUP(A1156,Drank!A:S,16,FALSE),"")=0,"",IFERROR(VLOOKUP(A1156,Drank!A:S,16,FALSE),""))</f>
        <v/>
      </c>
      <c r="T1156" s="10"/>
      <c r="U1156" s="37">
        <v>95</v>
      </c>
      <c r="V1156" s="18" t="str">
        <f>IF(IFERROR(VLOOKUP(A1156,Drank!A:T,19,FALSE),"")=0,"",IFERROR(VLOOKUP(A1156,Drank!A:T,19,FALSE),""))</f>
        <v/>
      </c>
      <c r="W1156" s="1" t="str">
        <f>IF(IFERROR(VLOOKUP(A1156,Drank!A:T,20,FALSE),"")=0,"",IFERROR(VLOOKUP(A1156,Drank!A:T,20,FALSE),""))</f>
        <v/>
      </c>
      <c r="X1156" s="10">
        <f>SUMIF(A:A,A1156,I:I)</f>
        <v>4</v>
      </c>
      <c r="Y1156" s="10">
        <f>IF(Table1[[#This Row],[Drank]]&gt;0,VLOOKUP(Table1[[#This Row],[ID]],Drank!A:P,16,FALSE),IF(Table1[[#This Row],[WALDD]]&gt;0,VLOOKUP(Table1[[#This Row],[ID]],Wine1!A:Q,17,FALSE),Table1[[#This Row],[EP]]))</f>
        <v>2035</v>
      </c>
      <c r="Z1156" s="18">
        <f>IF(Table1[[#This Row],[My Rating]]="",IF(Table1[[#This Row],[WA Rating Clean]]="","",Table1[[#This Row],[WA Rating Clean]]),Table1[[#This Row],[My Rating]])</f>
        <v>95</v>
      </c>
      <c r="AA1156" s="8">
        <v>2034</v>
      </c>
      <c r="AB1156" s="4">
        <v>66.930000000000007</v>
      </c>
      <c r="AC1156" s="2">
        <f t="shared" si="57"/>
        <v>66.930000000000007</v>
      </c>
      <c r="AD1156" s="8">
        <v>1</v>
      </c>
      <c r="AE1156" s="10">
        <f>IF(Table1[[#This Row],[P/750]]&lt;20,1,IF(Table1[[#This Row],[P/750]]&lt;50,2,3))</f>
        <v>3</v>
      </c>
      <c r="AF1156" s="10">
        <f>IF(Table1[[#This Row],[P/750]]&lt;Expenses!$C$30,1,IF(Table1[[#This Row],[P/750]]&lt;Expenses!$C$31,2,IF(Table1[[#This Row],[P/750]]&lt;Expenses!$C$32,3,4)))</f>
        <v>4</v>
      </c>
      <c r="AH1156" s="37" t="s">
        <v>1189</v>
      </c>
      <c r="AI1156" s="11">
        <f>Table1[[#This Row],[Price]]/Table1[[#This Row],[Size (ml)]]*750</f>
        <v>66.930000000000007</v>
      </c>
      <c r="AJ1156" s="37">
        <v>95</v>
      </c>
      <c r="AK1156" s="10">
        <f>COUNTIF(UniqueID!A:A,Table1[[#This Row],[ID]])</f>
        <v>0</v>
      </c>
      <c r="AL1156" s="10" t="str">
        <f>VLOOKUP(Table1[[#This Row],[Cellar Location]],Location!A:F,6,FALSE)</f>
        <v>W</v>
      </c>
      <c r="AN1156" s="1">
        <v>44061</v>
      </c>
      <c r="AO1156" s="10" t="str">
        <f>TEXT(Table1[[#This Row],[Purchased]],"mmmm")</f>
        <v>August</v>
      </c>
      <c r="AP1156" s="10" t="str">
        <f>TEXT(Table1[[#This Row],[Purchased]],"yyyy")</f>
        <v>2020</v>
      </c>
      <c r="AQ1156" s="1">
        <v>44137</v>
      </c>
    </row>
    <row r="1157" spans="1:43" s="37" customFormat="1" x14ac:dyDescent="0.25">
      <c r="A1157" s="37" t="str">
        <f t="shared" si="56"/>
        <v>2015FombraugeFombrauge</v>
      </c>
      <c r="B1157" s="37">
        <v>2015</v>
      </c>
      <c r="C1157" s="37" t="s">
        <v>126</v>
      </c>
      <c r="D1157" s="37" t="s">
        <v>126</v>
      </c>
      <c r="E1157" s="64" t="s">
        <v>274</v>
      </c>
      <c r="F1157" s="37" t="s">
        <v>742</v>
      </c>
      <c r="G1157" s="37" t="s">
        <v>748</v>
      </c>
      <c r="H1157" s="37" t="s">
        <v>751</v>
      </c>
      <c r="I1157" s="37">
        <v>1</v>
      </c>
      <c r="J1157" s="37">
        <v>750</v>
      </c>
      <c r="K1157" s="8" t="s">
        <v>8</v>
      </c>
      <c r="L1157" s="37">
        <f>COUNTIF(Drank!A:A,Table1[[#This Row],[ID]])</f>
        <v>0</v>
      </c>
      <c r="M1157" s="37" t="s">
        <v>202</v>
      </c>
      <c r="N1157" s="37" t="s">
        <v>207</v>
      </c>
      <c r="O1157" s="37">
        <v>1</v>
      </c>
      <c r="P1157" s="37">
        <v>2019</v>
      </c>
      <c r="Q1157" s="37">
        <v>2036</v>
      </c>
      <c r="R1157" s="37" t="str">
        <f>IF(IFERROR(VLOOKUP(A1157,Drank!A:S,15,FALSE),"")=0,"",IFERROR(VLOOKUP(A1157,Drank!A:S,15,FALSE),""))</f>
        <v/>
      </c>
      <c r="S1157" s="37" t="str">
        <f>IF(IFERROR(VLOOKUP(A1157,Drank!A:S,16,FALSE),"")=0,"",IFERROR(VLOOKUP(A1157,Drank!A:S,16,FALSE),""))</f>
        <v/>
      </c>
      <c r="U1157" s="37">
        <v>92</v>
      </c>
      <c r="V1157" s="18" t="str">
        <f>IF(IFERROR(VLOOKUP(A1157,Drank!A:T,19,FALSE),"")=0,"",IFERROR(VLOOKUP(A1157,Drank!A:T,19,FALSE),""))</f>
        <v/>
      </c>
      <c r="W1157" s="1" t="str">
        <f>IF(IFERROR(VLOOKUP(A1157,Drank!A:T,20,FALSE),"")=0,"",IFERROR(VLOOKUP(A1157,Drank!A:T,20,FALSE),""))</f>
        <v/>
      </c>
      <c r="X1157" s="37">
        <f>SUMIF(A:A,A1157,I:I)</f>
        <v>1</v>
      </c>
      <c r="Y1157" s="37">
        <f>IF(Table1[[#This Row],[Drank]]&gt;0,VLOOKUP(Table1[[#This Row],[ID]],Drank!A:P,16,FALSE),IF(Table1[[#This Row],[WALDD]]&gt;0,VLOOKUP(Table1[[#This Row],[ID]],Wine1!A:Q,17,FALSE),Table1[[#This Row],[EP]]))</f>
        <v>2036</v>
      </c>
      <c r="Z1157" s="18">
        <f>IF(Table1[[#This Row],[My Rating]]="",IF(Table1[[#This Row],[WA Rating Clean]]="","",Table1[[#This Row],[WA Rating Clean]]),Table1[[#This Row],[My Rating]])</f>
        <v>92</v>
      </c>
      <c r="AA1157" s="37">
        <v>2034</v>
      </c>
      <c r="AB1157" s="3">
        <v>37</v>
      </c>
      <c r="AC1157" s="2">
        <f t="shared" si="57"/>
        <v>37</v>
      </c>
      <c r="AD1157" s="8">
        <v>0</v>
      </c>
      <c r="AE1157" s="37">
        <f>IF(Table1[[#This Row],[P/750]]&lt;20,1,IF(Table1[[#This Row],[P/750]]&lt;50,2,3))</f>
        <v>2</v>
      </c>
      <c r="AF1157" s="37">
        <f>IF(Table1[[#This Row],[P/750]]&lt;Expenses!$C$30,1,IF(Table1[[#This Row],[P/750]]&lt;Expenses!$C$31,2,IF(Table1[[#This Row],[P/750]]&lt;Expenses!$C$32,3,4)))</f>
        <v>3</v>
      </c>
      <c r="AH1157" s="37" t="s">
        <v>1131</v>
      </c>
      <c r="AI1157" s="11">
        <f>Table1[[#This Row],[Price]]/Table1[[#This Row],[Size (ml)]]*750</f>
        <v>37</v>
      </c>
      <c r="AJ1157" s="37">
        <v>92</v>
      </c>
      <c r="AK1157" s="37">
        <f>COUNTIF(UniqueID!A:A,Table1[[#This Row],[ID]])</f>
        <v>1</v>
      </c>
      <c r="AL1157" s="37" t="str">
        <f>VLOOKUP(Table1[[#This Row],[Cellar Location]],Location!A:F,6,FALSE)</f>
        <v>K</v>
      </c>
      <c r="AO1157" s="37" t="str">
        <f>TEXT(Table1[[#This Row],[Purchased]],"mmmm")</f>
        <v>January</v>
      </c>
      <c r="AP1157" s="10" t="str">
        <f>TEXT(Table1[[#This Row],[Purchased]],"yyyy")</f>
        <v>1900</v>
      </c>
      <c r="AQ1157" s="10"/>
    </row>
    <row r="1158" spans="1:43" s="37" customFormat="1" x14ac:dyDescent="0.25">
      <c r="A1158" s="37" t="str">
        <f t="shared" si="56"/>
        <v>2006FontodiFlaccianello della Pieve</v>
      </c>
      <c r="B1158" s="37">
        <v>2006</v>
      </c>
      <c r="C1158" s="37" t="s">
        <v>20</v>
      </c>
      <c r="D1158" s="37" t="s">
        <v>21</v>
      </c>
      <c r="E1158" s="67" t="s">
        <v>1250</v>
      </c>
      <c r="F1158" s="37" t="s">
        <v>728</v>
      </c>
      <c r="G1158" s="37" t="s">
        <v>790</v>
      </c>
      <c r="H1158" s="37" t="s">
        <v>836</v>
      </c>
      <c r="I1158" s="37">
        <v>1</v>
      </c>
      <c r="J1158" s="37">
        <v>750</v>
      </c>
      <c r="K1158" s="8" t="s">
        <v>11</v>
      </c>
      <c r="L1158" s="37">
        <f>COUNTIF(Drank!A:A,Table1[[#This Row],[ID]])</f>
        <v>0</v>
      </c>
      <c r="M1158" s="37" t="s">
        <v>202</v>
      </c>
      <c r="N1158" s="37" t="s">
        <v>207</v>
      </c>
      <c r="O1158" s="37">
        <v>1</v>
      </c>
      <c r="P1158" s="37">
        <v>2016</v>
      </c>
      <c r="Q1158" s="37">
        <v>2036</v>
      </c>
      <c r="R1158" s="37" t="str">
        <f>IF(IFERROR(VLOOKUP(A1158,Drank!A:S,15,FALSE),"")=0,"",IFERROR(VLOOKUP(A1158,Drank!A:S,15,FALSE),""))</f>
        <v/>
      </c>
      <c r="S1158" s="37" t="str">
        <f>IF(IFERROR(VLOOKUP(A1158,Drank!A:S,16,FALSE),"")=0,"",IFERROR(VLOOKUP(A1158,Drank!A:S,16,FALSE),""))</f>
        <v/>
      </c>
      <c r="U1158" s="37">
        <v>97</v>
      </c>
      <c r="V1158" s="18" t="str">
        <f>IF(IFERROR(VLOOKUP(A1158,Drank!A:T,19,FALSE),"")=0,"",IFERROR(VLOOKUP(A1158,Drank!A:T,19,FALSE),""))</f>
        <v/>
      </c>
      <c r="W1158" s="1" t="str">
        <f>IF(IFERROR(VLOOKUP(A1158,Drank!A:T,20,FALSE),"")=0,"",IFERROR(VLOOKUP(A1158,Drank!A:T,20,FALSE),""))</f>
        <v/>
      </c>
      <c r="X1158" s="37">
        <f>SUMIF(A:A,A1158,I:I)</f>
        <v>1</v>
      </c>
      <c r="Y1158" s="37">
        <f>IF(Table1[[#This Row],[Drank]]&gt;0,VLOOKUP(Table1[[#This Row],[ID]],Drank!A:P,16,FALSE),IF(Table1[[#This Row],[WALDD]]&gt;0,VLOOKUP(Table1[[#This Row],[ID]],Wine1!A:Q,17,FALSE),Table1[[#This Row],[EP]]))</f>
        <v>2036</v>
      </c>
      <c r="Z1158" s="18">
        <f>IF(Table1[[#This Row],[My Rating]]="",IF(Table1[[#This Row],[WA Rating Clean]]="","",Table1[[#This Row],[WA Rating Clean]]),Table1[[#This Row],[My Rating]])</f>
        <v>97</v>
      </c>
      <c r="AA1158" s="37">
        <v>2034</v>
      </c>
      <c r="AB1158" s="3">
        <v>165</v>
      </c>
      <c r="AC1158" s="2">
        <f t="shared" si="57"/>
        <v>165</v>
      </c>
      <c r="AD1158" s="8">
        <v>0</v>
      </c>
      <c r="AE1158" s="37">
        <f>IF(Table1[[#This Row],[P/750]]&lt;20,1,IF(Table1[[#This Row],[P/750]]&lt;50,2,3))</f>
        <v>3</v>
      </c>
      <c r="AF1158" s="37">
        <f>IF(Table1[[#This Row],[P/750]]&lt;Expenses!$C$30,1,IF(Table1[[#This Row],[P/750]]&lt;Expenses!$C$31,2,IF(Table1[[#This Row],[P/750]]&lt;Expenses!$C$32,3,4)))</f>
        <v>4</v>
      </c>
      <c r="AH1158" s="37" t="s">
        <v>1131</v>
      </c>
      <c r="AI1158" s="11">
        <f>Table1[[#This Row],[Price]]/Table1[[#This Row],[Size (ml)]]*750</f>
        <v>165</v>
      </c>
      <c r="AJ1158" s="37">
        <v>97</v>
      </c>
      <c r="AK1158" s="37">
        <f>COUNTIF(UniqueID!A:A,Table1[[#This Row],[ID]])</f>
        <v>1</v>
      </c>
      <c r="AL1158" s="37" t="str">
        <f>VLOOKUP(Table1[[#This Row],[Cellar Location]],Location!A:F,6,FALSE)</f>
        <v>K</v>
      </c>
      <c r="AO1158" s="37" t="str">
        <f>TEXT(Table1[[#This Row],[Purchased]],"mmmm")</f>
        <v>January</v>
      </c>
      <c r="AP1158" s="10" t="str">
        <f>TEXT(Table1[[#This Row],[Purchased]],"yyyy")</f>
        <v>1900</v>
      </c>
      <c r="AQ1158" s="10"/>
    </row>
    <row r="1159" spans="1:43" s="37" customFormat="1" x14ac:dyDescent="0.25">
      <c r="A1159" s="37" t="str">
        <f t="shared" si="56"/>
        <v>2016ViettiBarolo Castiglione</v>
      </c>
      <c r="B1159" s="37">
        <v>2016</v>
      </c>
      <c r="C1159" s="37" t="s">
        <v>1186</v>
      </c>
      <c r="D1159" s="9" t="s">
        <v>1794</v>
      </c>
      <c r="E1159" s="67" t="s">
        <v>1206</v>
      </c>
      <c r="F1159" s="37" t="s">
        <v>728</v>
      </c>
      <c r="G1159" s="37" t="s">
        <v>778</v>
      </c>
      <c r="H1159" s="37" t="s">
        <v>1692</v>
      </c>
      <c r="I1159" s="37">
        <v>1</v>
      </c>
      <c r="J1159" s="107">
        <v>750</v>
      </c>
      <c r="K1159" s="8" t="s">
        <v>1831</v>
      </c>
      <c r="L1159" s="10">
        <f>COUNTIF(Drank!A:A,Table1[[#This Row],[ID]])</f>
        <v>0</v>
      </c>
      <c r="M1159" s="37" t="s">
        <v>202</v>
      </c>
      <c r="N1159" s="37" t="s">
        <v>207</v>
      </c>
      <c r="O1159" s="37">
        <v>1</v>
      </c>
      <c r="P1159" s="10">
        <v>2022</v>
      </c>
      <c r="Q1159" s="37">
        <v>2040</v>
      </c>
      <c r="R1159" s="10" t="str">
        <f>IF(IFERROR(VLOOKUP(A1159,Drank!A:S,15,FALSE),"")=0,"",IFERROR(VLOOKUP(A1159,Drank!A:S,15,FALSE),""))</f>
        <v/>
      </c>
      <c r="S1159" s="10" t="str">
        <f>IF(IFERROR(VLOOKUP(A1159,Drank!A:S,16,FALSE),"")=0,"",IFERROR(VLOOKUP(A1159,Drank!A:S,16,FALSE),""))</f>
        <v/>
      </c>
      <c r="T1159" s="10"/>
      <c r="U1159" s="37" t="s">
        <v>17</v>
      </c>
      <c r="V1159" s="18" t="str">
        <f>IF(IFERROR(VLOOKUP(A1159,Drank!A:T,19,FALSE),"")=0,"",IFERROR(VLOOKUP(A1159,Drank!A:T,19,FALSE),""))</f>
        <v/>
      </c>
      <c r="W1159" s="1" t="str">
        <f>IF(IFERROR(VLOOKUP(A1159,Drank!A:T,20,FALSE),"")=0,"",IFERROR(VLOOKUP(A1159,Drank!A:T,20,FALSE),""))</f>
        <v/>
      </c>
      <c r="X1159" s="10">
        <f>SUMIF(A:A,A1159,I:I)</f>
        <v>6</v>
      </c>
      <c r="Y1159" s="10">
        <f>IF(Table1[[#This Row],[Drank]]&gt;0,VLOOKUP(Table1[[#This Row],[ID]],Drank!A:P,16,FALSE),IF(Table1[[#This Row],[WALDD]]&gt;0,VLOOKUP(Table1[[#This Row],[ID]],Wine1!A:Q,17,FALSE),Table1[[#This Row],[EP]]))</f>
        <v>2040</v>
      </c>
      <c r="Z1159" s="18" t="str">
        <f>IF(Table1[[#This Row],[My Rating]]="",IF(Table1[[#This Row],[WA Rating Clean]]="","",Table1[[#This Row],[WA Rating Clean]]),Table1[[#This Row],[My Rating]])</f>
        <v>94+</v>
      </c>
      <c r="AA1159" s="37">
        <v>2034</v>
      </c>
      <c r="AB1159" s="129">
        <v>52.14</v>
      </c>
      <c r="AC1159" s="2">
        <f t="shared" si="57"/>
        <v>52.14</v>
      </c>
      <c r="AD1159" s="8">
        <v>1</v>
      </c>
      <c r="AE1159" s="10">
        <f>IF(Table1[[#This Row],[P/750]]&lt;20,1,IF(Table1[[#This Row],[P/750]]&lt;50,2,3))</f>
        <v>3</v>
      </c>
      <c r="AF1159" s="10">
        <f>IF(Table1[[#This Row],[P/750]]&lt;Expenses!$C$30,1,IF(Table1[[#This Row],[P/750]]&lt;Expenses!$C$31,2,IF(Table1[[#This Row],[P/750]]&lt;Expenses!$C$32,3,4)))</f>
        <v>3</v>
      </c>
      <c r="AH1159" s="25" t="s">
        <v>1128</v>
      </c>
      <c r="AI1159" s="11">
        <f>Table1[[#This Row],[Price]]/Table1[[#This Row],[Size (ml)]]*750</f>
        <v>52.14</v>
      </c>
      <c r="AJ1159" s="37" t="s">
        <v>17</v>
      </c>
      <c r="AK1159" s="10">
        <f>COUNTIF(UniqueID!A:A,Table1[[#This Row],[ID]])</f>
        <v>0</v>
      </c>
      <c r="AL1159" s="10" t="str">
        <f>VLOOKUP(Table1[[#This Row],[Cellar Location]],Location!A:F,6,FALSE)</f>
        <v>S</v>
      </c>
      <c r="AN1159" s="1">
        <v>44070</v>
      </c>
      <c r="AO1159" s="10" t="str">
        <f>TEXT(Table1[[#This Row],[Purchased]],"mmmm")</f>
        <v>August</v>
      </c>
      <c r="AP1159" s="10" t="str">
        <f>TEXT(Table1[[#This Row],[Purchased]],"yyyy")</f>
        <v>2020</v>
      </c>
      <c r="AQ1159" s="1"/>
    </row>
    <row r="1160" spans="1:43" s="37" customFormat="1" x14ac:dyDescent="0.25">
      <c r="A1160" s="37" t="str">
        <f t="shared" si="56"/>
        <v>2009Chateau La Tour BlancheLa Tour Blanche</v>
      </c>
      <c r="B1160" s="37">
        <v>2009</v>
      </c>
      <c r="C1160" s="37" t="s">
        <v>1208</v>
      </c>
      <c r="D1160" s="37" t="s">
        <v>216</v>
      </c>
      <c r="E1160" s="69" t="s">
        <v>1215</v>
      </c>
      <c r="F1160" s="37" t="s">
        <v>742</v>
      </c>
      <c r="G1160" s="37" t="s">
        <v>748</v>
      </c>
      <c r="H1160" s="37" t="s">
        <v>260</v>
      </c>
      <c r="I1160" s="107">
        <v>1</v>
      </c>
      <c r="J1160" s="37">
        <v>375</v>
      </c>
      <c r="K1160" s="107" t="s">
        <v>1504</v>
      </c>
      <c r="L1160" s="37">
        <f>COUNTIF(Drank!A:A,Table1[[#This Row],[ID]])</f>
        <v>4</v>
      </c>
      <c r="M1160" s="37" t="s">
        <v>201</v>
      </c>
      <c r="N1160" s="37" t="s">
        <v>206</v>
      </c>
      <c r="O1160" s="37">
        <v>1</v>
      </c>
      <c r="P1160" s="37">
        <v>2019</v>
      </c>
      <c r="Q1160" s="37">
        <v>2042</v>
      </c>
      <c r="R1160" s="37">
        <f>IF(IFERROR(VLOOKUP(A1160,Drank!A:S,15,FALSE),"")=0,"",IFERROR(VLOOKUP(A1160,Drank!A:S,15,FALSE),""))</f>
        <v>2020</v>
      </c>
      <c r="S1160" s="37">
        <f>IF(IFERROR(VLOOKUP(A1160,Drank!A:S,16,FALSE),"")=0,"",IFERROR(VLOOKUP(A1160,Drank!A:S,16,FALSE),""))</f>
        <v>2040</v>
      </c>
      <c r="U1160" s="37">
        <v>93</v>
      </c>
      <c r="V1160" s="18">
        <f>IF(IFERROR(VLOOKUP(A1160,Drank!A:T,19,FALSE),"")=0,"",IFERROR(VLOOKUP(A1160,Drank!A:T,19,FALSE),""))</f>
        <v>92.25</v>
      </c>
      <c r="W1160" s="1">
        <f>IF(IFERROR(VLOOKUP(A1160,Drank!A:T,20,FALSE),"")=0,"",IFERROR(VLOOKUP(A1160,Drank!A:T,20,FALSE),""))</f>
        <v>43646</v>
      </c>
      <c r="X1160" s="37">
        <f>SUMIF(A:A,A1160,I:I)</f>
        <v>9</v>
      </c>
      <c r="Y1160" s="37">
        <f>IF(Table1[[#This Row],[Drank]]&gt;0,VLOOKUP(Table1[[#This Row],[ID]],Drank!A:P,16,FALSE),IF(Table1[[#This Row],[WALDD]]&gt;0,VLOOKUP(Table1[[#This Row],[ID]],Wine1!A:Q,17,FALSE),Table1[[#This Row],[EP]]))</f>
        <v>2040</v>
      </c>
      <c r="Z1160" s="18">
        <f>IF(Table1[[#This Row],[My Rating]]="",IF(Table1[[#This Row],[WA Rating Clean]]="","",Table1[[#This Row],[WA Rating Clean]]),Table1[[#This Row],[My Rating]])</f>
        <v>92.25</v>
      </c>
      <c r="AA1160" s="37">
        <v>2034</v>
      </c>
      <c r="AB1160" s="4">
        <v>20.99</v>
      </c>
      <c r="AC1160" s="2">
        <f t="shared" si="57"/>
        <v>20.99</v>
      </c>
      <c r="AD1160" s="8">
        <v>2</v>
      </c>
      <c r="AE1160" s="37">
        <f>IF(Table1[[#This Row],[P/750]]&lt;20,1,IF(Table1[[#This Row],[P/750]]&lt;50,2,3))</f>
        <v>2</v>
      </c>
      <c r="AF1160" s="37">
        <f>IF(Table1[[#This Row],[P/750]]&lt;Expenses!$C$30,1,IF(Table1[[#This Row],[P/750]]&lt;Expenses!$C$31,2,IF(Table1[[#This Row],[P/750]]&lt;Expenses!$C$32,3,4)))</f>
        <v>3</v>
      </c>
      <c r="AH1160" s="37" t="s">
        <v>385</v>
      </c>
      <c r="AI1160" s="11">
        <f>Table1[[#This Row],[Price]]/Table1[[#This Row],[Size (ml)]]*750</f>
        <v>41.98</v>
      </c>
      <c r="AJ1160" s="37">
        <v>93</v>
      </c>
      <c r="AK1160" s="37">
        <f>COUNTIF(UniqueID!A:A,Table1[[#This Row],[ID]])</f>
        <v>1</v>
      </c>
      <c r="AL1160" s="37" t="str">
        <f>VLOOKUP(Table1[[#This Row],[Cellar Location]],Location!A:F,6,FALSE)</f>
        <v>S</v>
      </c>
      <c r="AN1160" s="1">
        <v>43846</v>
      </c>
      <c r="AO1160" s="37" t="str">
        <f>TEXT(Table1[[#This Row],[Purchased]],"mmmm")</f>
        <v>January</v>
      </c>
      <c r="AP1160" s="10" t="str">
        <f>TEXT(Table1[[#This Row],[Purchased]],"yyyy")</f>
        <v>2020</v>
      </c>
      <c r="AQ1160" s="10"/>
    </row>
    <row r="1161" spans="1:43" s="37" customFormat="1" x14ac:dyDescent="0.25">
      <c r="A1161" s="37" t="str">
        <f t="shared" si="56"/>
        <v>2015Doisy-VedrinesDoisy-Vedrines</v>
      </c>
      <c r="B1161" s="37">
        <v>2015</v>
      </c>
      <c r="C1161" s="37" t="s">
        <v>843</v>
      </c>
      <c r="D1161" s="37" t="s">
        <v>843</v>
      </c>
      <c r="E1161" s="69" t="s">
        <v>1261</v>
      </c>
      <c r="F1161" s="37" t="s">
        <v>742</v>
      </c>
      <c r="G1161" s="37" t="s">
        <v>748</v>
      </c>
      <c r="H1161" s="37" t="s">
        <v>753</v>
      </c>
      <c r="I1161" s="37">
        <v>1</v>
      </c>
      <c r="J1161" s="37">
        <v>375</v>
      </c>
      <c r="K1161" s="8" t="s">
        <v>658</v>
      </c>
      <c r="L1161" s="10">
        <f>COUNTIF(Drank!A:A,Table1[[#This Row],[ID]])</f>
        <v>0</v>
      </c>
      <c r="M1161" s="37" t="s">
        <v>201</v>
      </c>
      <c r="N1161" s="37" t="s">
        <v>206</v>
      </c>
      <c r="O1161" s="37">
        <v>1</v>
      </c>
      <c r="P1161" s="10">
        <v>2019</v>
      </c>
      <c r="Q1161" s="37">
        <v>2040</v>
      </c>
      <c r="R1161" s="10" t="str">
        <f>IF(IFERROR(VLOOKUP(A1161,Drank!A:S,15,FALSE),"")=0,"",IFERROR(VLOOKUP(A1161,Drank!A:S,15,FALSE),""))</f>
        <v/>
      </c>
      <c r="S1161" s="10" t="str">
        <f>IF(IFERROR(VLOOKUP(A1161,Drank!A:S,16,FALSE),"")=0,"",IFERROR(VLOOKUP(A1161,Drank!A:S,16,FALSE),""))</f>
        <v/>
      </c>
      <c r="T1161" s="10"/>
      <c r="U1161" s="37" t="s">
        <v>853</v>
      </c>
      <c r="V1161" s="18" t="str">
        <f>IF(IFERROR(VLOOKUP(A1161,Drank!A:T,19,FALSE),"")=0,"",IFERROR(VLOOKUP(A1161,Drank!A:T,19,FALSE),""))</f>
        <v/>
      </c>
      <c r="W1161" s="1" t="str">
        <f>IF(IFERROR(VLOOKUP(A1161,Drank!A:T,20,FALSE),"")=0,"",IFERROR(VLOOKUP(A1161,Drank!A:T,20,FALSE),""))</f>
        <v/>
      </c>
      <c r="X1161" s="10">
        <f>SUMIF(A:A,A1161,I:I)</f>
        <v>4</v>
      </c>
      <c r="Y1161" s="10">
        <f>IF(Table1[[#This Row],[Drank]]&gt;0,VLOOKUP(Table1[[#This Row],[ID]],Drank!A:P,16,FALSE),IF(Table1[[#This Row],[WALDD]]&gt;0,VLOOKUP(Table1[[#This Row],[ID]],Wine1!A:Q,17,FALSE),Table1[[#This Row],[EP]]))</f>
        <v>2040</v>
      </c>
      <c r="Z1161" s="18">
        <f>IF(Table1[[#This Row],[My Rating]]="",IF(Table1[[#This Row],[WA Rating Clean]]="","",Table1[[#This Row],[WA Rating Clean]]),Table1[[#This Row],[My Rating]])</f>
        <v>94</v>
      </c>
      <c r="AA1161" s="37">
        <v>2034</v>
      </c>
      <c r="AB1161" s="4">
        <v>22.99</v>
      </c>
      <c r="AC1161" s="2">
        <f t="shared" si="57"/>
        <v>22.99</v>
      </c>
      <c r="AD1161" s="8">
        <v>0</v>
      </c>
      <c r="AE1161" s="10">
        <f>IF(Table1[[#This Row],[P/750]]&lt;20,1,IF(Table1[[#This Row],[P/750]]&lt;50,2,3))</f>
        <v>2</v>
      </c>
      <c r="AF1161" s="10">
        <f>IF(Table1[[#This Row],[P/750]]&lt;Expenses!$C$30,1,IF(Table1[[#This Row],[P/750]]&lt;Expenses!$C$31,2,IF(Table1[[#This Row],[P/750]]&lt;Expenses!$C$32,3,4)))</f>
        <v>3</v>
      </c>
      <c r="AH1161" s="37" t="s">
        <v>1139</v>
      </c>
      <c r="AI1161" s="11">
        <f>Table1[[#This Row],[Price]]/Table1[[#This Row],[Size (ml)]]*750</f>
        <v>45.98</v>
      </c>
      <c r="AJ1161" s="37">
        <v>94</v>
      </c>
      <c r="AK1161" s="10">
        <f>COUNTIF(UniqueID!A:A,Table1[[#This Row],[ID]])</f>
        <v>1</v>
      </c>
      <c r="AL1161" s="37" t="str">
        <f>VLOOKUP(Table1[[#This Row],[Cellar Location]],Location!A:F,6,FALSE)</f>
        <v>C</v>
      </c>
      <c r="AO1161" s="37" t="str">
        <f>TEXT(Table1[[#This Row],[Purchased]],"mmmm")</f>
        <v>January</v>
      </c>
      <c r="AP1161" s="10" t="str">
        <f>TEXT(Table1[[#This Row],[Purchased]],"yyyy")</f>
        <v>1900</v>
      </c>
      <c r="AQ1161" s="10"/>
    </row>
    <row r="1162" spans="1:43" s="37" customFormat="1" x14ac:dyDescent="0.25">
      <c r="A1162" s="37" t="str">
        <f t="shared" si="56"/>
        <v>2016Clos du RoyClos du Roy</v>
      </c>
      <c r="B1162" s="37">
        <v>2016</v>
      </c>
      <c r="C1162" s="37" t="s">
        <v>854</v>
      </c>
      <c r="D1162" s="37" t="s">
        <v>854</v>
      </c>
      <c r="E1162" s="37" t="s">
        <v>1198</v>
      </c>
      <c r="F1162" s="37" t="s">
        <v>742</v>
      </c>
      <c r="G1162" s="37" t="s">
        <v>748</v>
      </c>
      <c r="H1162" s="37" t="s">
        <v>856</v>
      </c>
      <c r="I1162" s="107">
        <v>1</v>
      </c>
      <c r="J1162" s="37">
        <v>750</v>
      </c>
      <c r="K1162" s="107" t="s">
        <v>1145</v>
      </c>
      <c r="L1162" s="10">
        <f>COUNTIF(Drank!A:A,Table1[[#This Row],[ID]])</f>
        <v>1</v>
      </c>
      <c r="M1162" s="37" t="s">
        <v>202</v>
      </c>
      <c r="N1162" s="37" t="s">
        <v>207</v>
      </c>
      <c r="O1162" s="37">
        <v>1</v>
      </c>
      <c r="P1162" s="10">
        <v>2021</v>
      </c>
      <c r="Q1162" s="37">
        <v>2038</v>
      </c>
      <c r="R1162" s="10" t="str">
        <f>IF(IFERROR(VLOOKUP(A1162,Drank!A:S,15,FALSE),"")=0,"",IFERROR(VLOOKUP(A1162,Drank!A:S,15,FALSE),""))</f>
        <v/>
      </c>
      <c r="S1162" s="10">
        <f>IF(IFERROR(VLOOKUP(A1162,Drank!A:S,16,FALSE),"")=0,"",IFERROR(VLOOKUP(A1162,Drank!A:S,16,FALSE),""))</f>
        <v>2045</v>
      </c>
      <c r="T1162" s="10"/>
      <c r="U1162" s="37" t="s">
        <v>855</v>
      </c>
      <c r="V1162" s="18">
        <f>IF(IFERROR(VLOOKUP(A1162,Drank!A:T,19,FALSE),"")=0,"",IFERROR(VLOOKUP(A1162,Drank!A:T,19,FALSE),""))</f>
        <v>91</v>
      </c>
      <c r="W1162" s="1">
        <f>IF(IFERROR(VLOOKUP(A1162,Drank!A:T,20,FALSE),"")=0,"",IFERROR(VLOOKUP(A1162,Drank!A:T,20,FALSE),""))</f>
        <v>43830</v>
      </c>
      <c r="X1162" s="10">
        <f>SUMIF(A:A,A1162,I:I)</f>
        <v>15</v>
      </c>
      <c r="Y1162" s="10">
        <f>IF(Table1[[#This Row],[Drank]]&gt;0,VLOOKUP(Table1[[#This Row],[ID]],Drank!A:P,16,FALSE),IF(Table1[[#This Row],[WALDD]]&gt;0,VLOOKUP(Table1[[#This Row],[ID]],Wine1!A:Q,17,FALSE),Table1[[#This Row],[EP]]))</f>
        <v>2045</v>
      </c>
      <c r="Z1162" s="18">
        <f>IF(Table1[[#This Row],[My Rating]]="",IF(Table1[[#This Row],[WA Rating Clean]]="","",Table1[[#This Row],[WA Rating Clean]]),Table1[[#This Row],[My Rating]])</f>
        <v>91</v>
      </c>
      <c r="AA1162" s="37">
        <v>2034</v>
      </c>
      <c r="AB1162" s="4">
        <v>17.91</v>
      </c>
      <c r="AC1162" s="2">
        <f t="shared" si="57"/>
        <v>17.91</v>
      </c>
      <c r="AD1162" s="8">
        <v>2</v>
      </c>
      <c r="AE1162" s="10">
        <f>IF(Table1[[#This Row],[P/750]]&lt;20,1,IF(Table1[[#This Row],[P/750]]&lt;50,2,3))</f>
        <v>1</v>
      </c>
      <c r="AF1162" s="10">
        <f>IF(Table1[[#This Row],[P/750]]&lt;Expenses!$C$30,1,IF(Table1[[#This Row],[P/750]]&lt;Expenses!$C$31,2,IF(Table1[[#This Row],[P/750]]&lt;Expenses!$C$32,3,4)))</f>
        <v>2</v>
      </c>
      <c r="AH1162" s="37" t="s">
        <v>1128</v>
      </c>
      <c r="AI1162" s="11">
        <f>Table1[[#This Row],[Price]]/Table1[[#This Row],[Size (ml)]]*750</f>
        <v>17.91</v>
      </c>
      <c r="AJ1162" s="37">
        <v>92</v>
      </c>
      <c r="AK1162" s="10">
        <f>COUNTIF(UniqueID!A:A,Table1[[#This Row],[ID]])</f>
        <v>1</v>
      </c>
      <c r="AL1162" s="37" t="str">
        <f>VLOOKUP(Table1[[#This Row],[Cellar Location]],Location!A:F,6,FALSE)</f>
        <v>S</v>
      </c>
      <c r="AN1162" s="1">
        <v>43830</v>
      </c>
      <c r="AO1162" s="37" t="str">
        <f>TEXT(Table1[[#This Row],[Purchased]],"mmmm")</f>
        <v>December</v>
      </c>
      <c r="AP1162" s="10" t="str">
        <f>TEXT(Table1[[#This Row],[Purchased]],"yyyy")</f>
        <v>2019</v>
      </c>
      <c r="AQ1162" s="10"/>
    </row>
    <row r="1163" spans="1:43" s="37" customFormat="1" x14ac:dyDescent="0.25">
      <c r="A1163" s="37" t="str">
        <f t="shared" si="56"/>
        <v>2014Produttori del BarbarescoBarbaresco Riserva RabajÃ </v>
      </c>
      <c r="B1163" s="37">
        <v>2014</v>
      </c>
      <c r="C1163" s="37" t="s">
        <v>248</v>
      </c>
      <c r="D1163" s="37" t="s">
        <v>720</v>
      </c>
      <c r="E1163" s="67" t="s">
        <v>1206</v>
      </c>
      <c r="F1163" s="37" t="s">
        <v>728</v>
      </c>
      <c r="G1163" s="37" t="s">
        <v>778</v>
      </c>
      <c r="H1163" s="37" t="s">
        <v>249</v>
      </c>
      <c r="I1163" s="107">
        <v>1</v>
      </c>
      <c r="J1163" s="37">
        <v>750</v>
      </c>
      <c r="K1163" s="107" t="s">
        <v>927</v>
      </c>
      <c r="L1163" s="10">
        <f>COUNTIF(Drank!A:A,Table1[[#This Row],[ID]])</f>
        <v>0</v>
      </c>
      <c r="M1163" s="37" t="s">
        <v>202</v>
      </c>
      <c r="N1163" s="37" t="s">
        <v>207</v>
      </c>
      <c r="O1163" s="37">
        <v>1</v>
      </c>
      <c r="P1163" s="10">
        <v>2022</v>
      </c>
      <c r="Q1163" s="37">
        <v>2045</v>
      </c>
      <c r="R1163" s="10" t="str">
        <f>IF(IFERROR(VLOOKUP(A1163,Drank!A:S,15,FALSE),"")=0,"",IFERROR(VLOOKUP(A1163,Drank!A:S,15,FALSE),""))</f>
        <v/>
      </c>
      <c r="S1163" s="10" t="str">
        <f>IF(IFERROR(VLOOKUP(A1163,Drank!A:S,16,FALSE),"")=0,"",IFERROR(VLOOKUP(A1163,Drank!A:S,16,FALSE),""))</f>
        <v/>
      </c>
      <c r="T1163" s="10"/>
      <c r="U1163" s="37">
        <v>96</v>
      </c>
      <c r="V1163" s="18" t="str">
        <f>IF(IFERROR(VLOOKUP(A1163,Drank!A:T,19,FALSE),"")=0,"",IFERROR(VLOOKUP(A1163,Drank!A:T,19,FALSE),""))</f>
        <v/>
      </c>
      <c r="W1163" s="1" t="str">
        <f>IF(IFERROR(VLOOKUP(A1163,Drank!A:T,20,FALSE),"")=0,"",IFERROR(VLOOKUP(A1163,Drank!A:T,20,FALSE),""))</f>
        <v/>
      </c>
      <c r="X1163" s="10">
        <f>SUMIF(A:A,A1163,I:I)</f>
        <v>3</v>
      </c>
      <c r="Y1163" s="10">
        <f>IF(Table1[[#This Row],[Drank]]&gt;0,VLOOKUP(Table1[[#This Row],[ID]],Drank!A:P,16,FALSE),IF(Table1[[#This Row],[WALDD]]&gt;0,VLOOKUP(Table1[[#This Row],[ID]],Wine1!A:Q,17,FALSE),Table1[[#This Row],[EP]]))</f>
        <v>2045</v>
      </c>
      <c r="Z1163" s="18">
        <f>IF(Table1[[#This Row],[My Rating]]="",IF(Table1[[#This Row],[WA Rating Clean]]="","",Table1[[#This Row],[WA Rating Clean]]),Table1[[#This Row],[My Rating]])</f>
        <v>96</v>
      </c>
      <c r="AA1163" s="37">
        <v>2034</v>
      </c>
      <c r="AB1163" s="4">
        <v>59</v>
      </c>
      <c r="AC1163" s="2">
        <f t="shared" si="57"/>
        <v>59</v>
      </c>
      <c r="AD1163" s="8">
        <v>2</v>
      </c>
      <c r="AE1163" s="10">
        <f>IF(Table1[[#This Row],[P/750]]&lt;20,1,IF(Table1[[#This Row],[P/750]]&lt;50,2,3))</f>
        <v>3</v>
      </c>
      <c r="AF1163" s="10">
        <f>IF(Table1[[#This Row],[P/750]]&lt;Expenses!$C$30,1,IF(Table1[[#This Row],[P/750]]&lt;Expenses!$C$31,2,IF(Table1[[#This Row],[P/750]]&lt;Expenses!$C$32,3,4)))</f>
        <v>3</v>
      </c>
      <c r="AH1163" s="37" t="s">
        <v>1132</v>
      </c>
      <c r="AI1163" s="11">
        <f>Table1[[#This Row],[Price]]/Table1[[#This Row],[Size (ml)]]*750</f>
        <v>59</v>
      </c>
      <c r="AJ1163" s="37">
        <v>96</v>
      </c>
      <c r="AK1163" s="10">
        <f>COUNTIF(UniqueID!A:A,Table1[[#This Row],[ID]])</f>
        <v>1</v>
      </c>
      <c r="AL1163" s="37" t="str">
        <f>VLOOKUP(Table1[[#This Row],[Cellar Location]],Location!A:F,6,FALSE)</f>
        <v>S</v>
      </c>
      <c r="AN1163" s="1"/>
      <c r="AO1163" s="37" t="str">
        <f>TEXT(Table1[[#This Row],[Purchased]],"mmmm")</f>
        <v>January</v>
      </c>
      <c r="AP1163" s="10" t="str">
        <f>TEXT(Table1[[#This Row],[Purchased]],"yyyy")</f>
        <v>1900</v>
      </c>
      <c r="AQ1163" s="10"/>
    </row>
    <row r="1164" spans="1:43" s="37" customFormat="1" x14ac:dyDescent="0.25">
      <c r="A1164" s="37" t="str">
        <f t="shared" si="56"/>
        <v>2015FontodiFlaccianello della Pieve</v>
      </c>
      <c r="B1164" s="37">
        <v>2015</v>
      </c>
      <c r="C1164" s="37" t="s">
        <v>20</v>
      </c>
      <c r="D1164" s="37" t="s">
        <v>21</v>
      </c>
      <c r="E1164" s="67" t="s">
        <v>1250</v>
      </c>
      <c r="F1164" s="37" t="s">
        <v>728</v>
      </c>
      <c r="G1164" s="37" t="s">
        <v>790</v>
      </c>
      <c r="H1164" s="37" t="s">
        <v>836</v>
      </c>
      <c r="I1164" s="37">
        <v>1</v>
      </c>
      <c r="J1164" s="107">
        <v>750</v>
      </c>
      <c r="K1164" s="8" t="s">
        <v>1812</v>
      </c>
      <c r="L1164" s="10">
        <f>COUNTIF(Drank!A:A,Table1[[#This Row],[ID]])</f>
        <v>0</v>
      </c>
      <c r="M1164" s="37" t="s">
        <v>202</v>
      </c>
      <c r="N1164" s="37" t="s">
        <v>207</v>
      </c>
      <c r="O1164" s="37">
        <v>1</v>
      </c>
      <c r="P1164" s="37">
        <v>2020</v>
      </c>
      <c r="Q1164" s="37">
        <v>2050</v>
      </c>
      <c r="R1164" s="10" t="str">
        <f>IF(IFERROR(VLOOKUP(A1164,Drank!A:S,15,FALSE),"")=0,"",IFERROR(VLOOKUP(A1164,Drank!A:S,15,FALSE),""))</f>
        <v/>
      </c>
      <c r="S1164" s="10" t="str">
        <f>IF(IFERROR(VLOOKUP(A1164,Drank!A:S,16,FALSE),"")=0,"",IFERROR(VLOOKUP(A1164,Drank!A:S,16,FALSE),""))</f>
        <v/>
      </c>
      <c r="T1164" s="10"/>
      <c r="U1164" s="37">
        <v>98</v>
      </c>
      <c r="V1164" s="18" t="str">
        <f>IF(IFERROR(VLOOKUP(A1164,Drank!A:T,19,FALSE),"")=0,"",IFERROR(VLOOKUP(A1164,Drank!A:T,19,FALSE),""))</f>
        <v/>
      </c>
      <c r="W1164" s="1" t="str">
        <f>IF(IFERROR(VLOOKUP(A1164,Drank!A:T,20,FALSE),"")=0,"",IFERROR(VLOOKUP(A1164,Drank!A:T,20,FALSE),""))</f>
        <v/>
      </c>
      <c r="X1164" s="10">
        <f>SUMIF(A:A,A1164,I:I)</f>
        <v>6</v>
      </c>
      <c r="Y1164" s="10">
        <f>IF(Table1[[#This Row],[Drank]]&gt;0,VLOOKUP(Table1[[#This Row],[ID]],Drank!A:P,16,FALSE),IF(Table1[[#This Row],[WALDD]]&gt;0,VLOOKUP(Table1[[#This Row],[ID]],Wine1!A:Q,17,FALSE),Table1[[#This Row],[EP]]))</f>
        <v>2050</v>
      </c>
      <c r="Z1164" s="18">
        <f>IF(Table1[[#This Row],[My Rating]]="",IF(Table1[[#This Row],[WA Rating Clean]]="","",Table1[[#This Row],[WA Rating Clean]]),Table1[[#This Row],[My Rating]])</f>
        <v>98</v>
      </c>
      <c r="AA1164" s="8">
        <v>2034</v>
      </c>
      <c r="AB1164" s="4">
        <v>136.04</v>
      </c>
      <c r="AC1164" s="2">
        <f t="shared" si="57"/>
        <v>136.04</v>
      </c>
      <c r="AD1164" s="8">
        <v>1</v>
      </c>
      <c r="AE1164" s="10">
        <f>IF(Table1[[#This Row],[P/750]]&lt;20,1,IF(Table1[[#This Row],[P/750]]&lt;50,2,3))</f>
        <v>3</v>
      </c>
      <c r="AF1164" s="10">
        <f>IF(Table1[[#This Row],[P/750]]&lt;Expenses!$C$30,1,IF(Table1[[#This Row],[P/750]]&lt;Expenses!$C$31,2,IF(Table1[[#This Row],[P/750]]&lt;Expenses!$C$32,3,4)))</f>
        <v>4</v>
      </c>
      <c r="AH1164" s="37" t="s">
        <v>1749</v>
      </c>
      <c r="AI1164" s="11">
        <f>Table1[[#This Row],[Price]]/Table1[[#This Row],[Size (ml)]]*750</f>
        <v>136.04</v>
      </c>
      <c r="AJ1164" s="37">
        <v>98</v>
      </c>
      <c r="AK1164" s="10">
        <f>COUNTIF(UniqueID!A:A,Table1[[#This Row],[ID]])</f>
        <v>0</v>
      </c>
      <c r="AL1164" s="10" t="str">
        <f>VLOOKUP(Table1[[#This Row],[Cellar Location]],Location!A:F,6,FALSE)</f>
        <v>S</v>
      </c>
      <c r="AN1164" s="1">
        <v>44063</v>
      </c>
      <c r="AO1164" s="10" t="str">
        <f>TEXT(Table1[[#This Row],[Purchased]],"mmmm")</f>
        <v>August</v>
      </c>
      <c r="AP1164" s="10" t="str">
        <f>TEXT(Table1[[#This Row],[Purchased]],"yyyy")</f>
        <v>2020</v>
      </c>
      <c r="AQ1164" s="10"/>
    </row>
    <row r="1165" spans="1:43" s="37" customFormat="1" x14ac:dyDescent="0.25">
      <c r="A1165" s="37" t="str">
        <f t="shared" si="56"/>
        <v>2016FontodiFlaccianello della Pieve</v>
      </c>
      <c r="B1165" s="37">
        <v>2016</v>
      </c>
      <c r="C1165" s="37" t="s">
        <v>20</v>
      </c>
      <c r="D1165" s="37" t="s">
        <v>21</v>
      </c>
      <c r="E1165" s="67" t="s">
        <v>1250</v>
      </c>
      <c r="F1165" s="37" t="s">
        <v>728</v>
      </c>
      <c r="G1165" s="37" t="s">
        <v>790</v>
      </c>
      <c r="H1165" s="37" t="s">
        <v>836</v>
      </c>
      <c r="I1165" s="37">
        <v>1</v>
      </c>
      <c r="J1165" s="107">
        <v>750</v>
      </c>
      <c r="K1165" s="8" t="s">
        <v>1813</v>
      </c>
      <c r="L1165" s="10">
        <f>COUNTIF(Drank!A:A,Table1[[#This Row],[ID]])</f>
        <v>0</v>
      </c>
      <c r="M1165" s="37" t="s">
        <v>202</v>
      </c>
      <c r="N1165" s="37" t="s">
        <v>207</v>
      </c>
      <c r="O1165" s="37">
        <v>1</v>
      </c>
      <c r="P1165" s="37">
        <v>2020</v>
      </c>
      <c r="Q1165" s="37">
        <v>2050</v>
      </c>
      <c r="R1165" s="10" t="str">
        <f>IF(IFERROR(VLOOKUP(A1165,Drank!A:S,15,FALSE),"")=0,"",IFERROR(VLOOKUP(A1165,Drank!A:S,15,FALSE),""))</f>
        <v/>
      </c>
      <c r="S1165" s="10" t="str">
        <f>IF(IFERROR(VLOOKUP(A1165,Drank!A:S,16,FALSE),"")=0,"",IFERROR(VLOOKUP(A1165,Drank!A:S,16,FALSE),""))</f>
        <v/>
      </c>
      <c r="T1165" s="10"/>
      <c r="U1165" s="37">
        <v>100</v>
      </c>
      <c r="V1165" s="18" t="str">
        <f>IF(IFERROR(VLOOKUP(A1165,Drank!A:T,19,FALSE),"")=0,"",IFERROR(VLOOKUP(A1165,Drank!A:T,19,FALSE),""))</f>
        <v/>
      </c>
      <c r="W1165" s="1" t="str">
        <f>IF(IFERROR(VLOOKUP(A1165,Drank!A:T,20,FALSE),"")=0,"",IFERROR(VLOOKUP(A1165,Drank!A:T,20,FALSE),""))</f>
        <v/>
      </c>
      <c r="X1165" s="10">
        <f>SUMIF(A:A,A1165,I:I)</f>
        <v>6</v>
      </c>
      <c r="Y1165" s="10">
        <f>IF(Table1[[#This Row],[Drank]]&gt;0,VLOOKUP(Table1[[#This Row],[ID]],Drank!A:P,16,FALSE),IF(Table1[[#This Row],[WALDD]]&gt;0,VLOOKUP(Table1[[#This Row],[ID]],Wine1!A:Q,17,FALSE),Table1[[#This Row],[EP]]))</f>
        <v>2050</v>
      </c>
      <c r="Z1165" s="18">
        <f>IF(Table1[[#This Row],[My Rating]]="",IF(Table1[[#This Row],[WA Rating Clean]]="","",Table1[[#This Row],[WA Rating Clean]]),Table1[[#This Row],[My Rating]])</f>
        <v>100</v>
      </c>
      <c r="AA1165" s="8">
        <v>2034</v>
      </c>
      <c r="AB1165" s="4">
        <v>183.98</v>
      </c>
      <c r="AC1165" s="2">
        <f t="shared" si="57"/>
        <v>183.98</v>
      </c>
      <c r="AD1165" s="8">
        <v>1</v>
      </c>
      <c r="AE1165" s="10">
        <f>IF(Table1[[#This Row],[P/750]]&lt;20,1,IF(Table1[[#This Row],[P/750]]&lt;50,2,3))</f>
        <v>3</v>
      </c>
      <c r="AF1165" s="10">
        <f>IF(Table1[[#This Row],[P/750]]&lt;Expenses!$C$30,1,IF(Table1[[#This Row],[P/750]]&lt;Expenses!$C$31,2,IF(Table1[[#This Row],[P/750]]&lt;Expenses!$C$32,3,4)))</f>
        <v>4</v>
      </c>
      <c r="AH1165" s="37" t="s">
        <v>1750</v>
      </c>
      <c r="AI1165" s="11">
        <f>Table1[[#This Row],[Price]]/Table1[[#This Row],[Size (ml)]]*750</f>
        <v>183.98</v>
      </c>
      <c r="AJ1165" s="37">
        <v>100</v>
      </c>
      <c r="AK1165" s="10">
        <f>COUNTIF(UniqueID!A:A,Table1[[#This Row],[ID]])</f>
        <v>0</v>
      </c>
      <c r="AL1165" s="10" t="str">
        <f>VLOOKUP(Table1[[#This Row],[Cellar Location]],Location!A:F,6,FALSE)</f>
        <v>S</v>
      </c>
      <c r="AN1165" s="1">
        <v>44063</v>
      </c>
      <c r="AO1165" s="10" t="str">
        <f>TEXT(Table1[[#This Row],[Purchased]],"mmmm")</f>
        <v>August</v>
      </c>
      <c r="AP1165" s="10" t="str">
        <f>TEXT(Table1[[#This Row],[Purchased]],"yyyy")</f>
        <v>2020</v>
      </c>
      <c r="AQ1165" s="10"/>
    </row>
    <row r="1166" spans="1:43" s="37" customFormat="1" x14ac:dyDescent="0.25">
      <c r="A1166" s="37" t="str">
        <f t="shared" si="56"/>
        <v>2016Doisy-VedrinesPetit-Vedrines</v>
      </c>
      <c r="B1166" s="37">
        <v>2016</v>
      </c>
      <c r="C1166" s="37" t="s">
        <v>843</v>
      </c>
      <c r="D1166" s="37" t="s">
        <v>1686</v>
      </c>
      <c r="E1166" s="69" t="s">
        <v>1688</v>
      </c>
      <c r="F1166" s="37" t="s">
        <v>742</v>
      </c>
      <c r="G1166" s="37" t="s">
        <v>748</v>
      </c>
      <c r="H1166" s="37" t="s">
        <v>260</v>
      </c>
      <c r="I1166" s="8">
        <v>1</v>
      </c>
      <c r="J1166" s="38">
        <v>375</v>
      </c>
      <c r="K1166" s="38" t="s">
        <v>1687</v>
      </c>
      <c r="L1166" s="10">
        <f>COUNTIF(Drank!A:A,Table1[[#This Row],[ID]])</f>
        <v>0</v>
      </c>
      <c r="M1166" s="37" t="s">
        <v>201</v>
      </c>
      <c r="N1166" s="37" t="s">
        <v>206</v>
      </c>
      <c r="O1166" s="37">
        <v>0</v>
      </c>
      <c r="R1166" s="10" t="str">
        <f>IF(IFERROR(VLOOKUP(A1166,Drank!A:S,15,FALSE),"")=0,"",IFERROR(VLOOKUP(A1166,Drank!A:S,15,FALSE),""))</f>
        <v/>
      </c>
      <c r="S1166" s="10" t="str">
        <f>IF(IFERROR(VLOOKUP(A1166,Drank!A:S,16,FALSE),"")=0,"",IFERROR(VLOOKUP(A1166,Drank!A:S,16,FALSE),""))</f>
        <v/>
      </c>
      <c r="T1166" s="10"/>
      <c r="V1166" s="18" t="str">
        <f>IF(IFERROR(VLOOKUP(A1166,Drank!A:T,19,FALSE),"")=0,"",IFERROR(VLOOKUP(A1166,Drank!A:T,19,FALSE),""))</f>
        <v/>
      </c>
      <c r="W1166" s="1" t="str">
        <f>IF(IFERROR(VLOOKUP(A1166,Drank!A:T,20,FALSE),"")=0,"",IFERROR(VLOOKUP(A1166,Drank!A:T,20,FALSE),""))</f>
        <v/>
      </c>
      <c r="X1166" s="10">
        <f>SUMIF(A:A,A1166,I:I)</f>
        <v>24</v>
      </c>
      <c r="Y1166" s="10">
        <f>IF(Table1[[#This Row],[Drank]]&gt;0,VLOOKUP(Table1[[#This Row],[ID]],Drank!A:P,16,FALSE),IF(Table1[[#This Row],[WALDD]]&gt;0,VLOOKUP(Table1[[#This Row],[ID]],Wine1!A:Q,17,FALSE),Table1[[#This Row],[EP]]))</f>
        <v>0</v>
      </c>
      <c r="Z1166" s="18" t="str">
        <f>IF(Table1[[#This Row],[My Rating]]="",IF(Table1[[#This Row],[WA Rating Clean]]="","",Table1[[#This Row],[WA Rating Clean]]),Table1[[#This Row],[My Rating]])</f>
        <v/>
      </c>
      <c r="AA1166" s="8">
        <v>2035</v>
      </c>
      <c r="AB1166" s="4">
        <v>16.399999999999999</v>
      </c>
      <c r="AC1166" s="2">
        <f t="shared" si="57"/>
        <v>16.399999999999999</v>
      </c>
      <c r="AD1166" s="8">
        <v>1</v>
      </c>
      <c r="AE1166" s="10">
        <f>IF(Table1[[#This Row],[P/750]]&lt;20,1,IF(Table1[[#This Row],[P/750]]&lt;50,2,3))</f>
        <v>2</v>
      </c>
      <c r="AF1166" s="10">
        <f>IF(Table1[[#This Row],[P/750]]&lt;Expenses!$C$30,1,IF(Table1[[#This Row],[P/750]]&lt;Expenses!$C$31,2,IF(Table1[[#This Row],[P/750]]&lt;Expenses!$C$32,3,4)))</f>
        <v>3</v>
      </c>
      <c r="AH1166" s="37" t="s">
        <v>1189</v>
      </c>
      <c r="AI1166" s="11">
        <f>Table1[[#This Row],[Price]]/Table1[[#This Row],[Size (ml)]]*750</f>
        <v>32.799999999999997</v>
      </c>
      <c r="AK1166" s="10">
        <f>COUNTIF(UniqueID!A:A,Table1[[#This Row],[ID]])</f>
        <v>0</v>
      </c>
      <c r="AL1166" s="10" t="str">
        <f>VLOOKUP(Table1[[#This Row],[Cellar Location]],Location!A:F,6,FALSE)</f>
        <v>W</v>
      </c>
      <c r="AN1166" s="1">
        <v>44061</v>
      </c>
      <c r="AO1166" s="10" t="str">
        <f>TEXT(Table1[[#This Row],[Purchased]],"mmmm")</f>
        <v>August</v>
      </c>
      <c r="AP1166" s="10" t="str">
        <f>TEXT(Table1[[#This Row],[Purchased]],"yyyy")</f>
        <v>2020</v>
      </c>
      <c r="AQ1166" s="1">
        <v>44137</v>
      </c>
    </row>
    <row r="1167" spans="1:43" s="37" customFormat="1" x14ac:dyDescent="0.25">
      <c r="A1167" s="37" t="str">
        <f t="shared" si="56"/>
        <v>2017SichelSichel</v>
      </c>
      <c r="B1167" s="8">
        <v>2017</v>
      </c>
      <c r="C1167" s="37" t="s">
        <v>409</v>
      </c>
      <c r="D1167" s="37" t="s">
        <v>409</v>
      </c>
      <c r="E1167" s="37" t="s">
        <v>1200</v>
      </c>
      <c r="F1167" s="37" t="s">
        <v>742</v>
      </c>
      <c r="G1167" s="37" t="s">
        <v>748</v>
      </c>
      <c r="H1167" s="37" t="s">
        <v>260</v>
      </c>
      <c r="I1167" s="107">
        <v>1</v>
      </c>
      <c r="J1167" s="37">
        <v>375</v>
      </c>
      <c r="K1167" s="107" t="s">
        <v>1504</v>
      </c>
      <c r="L1167" s="37">
        <f>COUNTIF(Drank!A:A,Table1[[#This Row],[ID]])</f>
        <v>10</v>
      </c>
      <c r="M1167" s="37" t="s">
        <v>201</v>
      </c>
      <c r="N1167" s="37" t="s">
        <v>206</v>
      </c>
      <c r="O1167" s="37">
        <v>1</v>
      </c>
      <c r="R1167" s="10">
        <f>IF(IFERROR(VLOOKUP(A1167,Drank!A:S,15,FALSE),"")=0,"",IFERROR(VLOOKUP(A1167,Drank!A:S,15,FALSE),""))</f>
        <v>2020</v>
      </c>
      <c r="S1167" s="10">
        <f>IF(IFERROR(VLOOKUP(A1167,Drank!A:S,16,FALSE),"")=0,"",IFERROR(VLOOKUP(A1167,Drank!A:S,16,FALSE),""))</f>
        <v>2025</v>
      </c>
      <c r="T1167" s="10"/>
      <c r="V1167" s="18">
        <f>IF(IFERROR(VLOOKUP(A1167,Drank!A:T,19,FALSE),"")=0,"",IFERROR(VLOOKUP(A1167,Drank!A:T,19,FALSE),""))</f>
        <v>89.7</v>
      </c>
      <c r="W1167" s="1">
        <f>IF(IFERROR(VLOOKUP(A1167,Drank!A:T,20,FALSE),"")=0,"",IFERROR(VLOOKUP(A1167,Drank!A:T,20,FALSE),""))</f>
        <v>44002</v>
      </c>
      <c r="X1167" s="10">
        <f>SUMIF(A:A,A1167,I:I)</f>
        <v>20</v>
      </c>
      <c r="Y1167" s="37">
        <f>IF(Table1[[#This Row],[Drank]]&gt;0,VLOOKUP(Table1[[#This Row],[ID]],Drank!A:P,16,FALSE),IF(Table1[[#This Row],[WALDD]]&gt;0,VLOOKUP(Table1[[#This Row],[ID]],Wine1!A:Q,17,FALSE),Table1[[#This Row],[EP]]))</f>
        <v>2025</v>
      </c>
      <c r="Z1167" s="18">
        <f>IF(Table1[[#This Row],[My Rating]]="",IF(Table1[[#This Row],[WA Rating Clean]]="","",Table1[[#This Row],[WA Rating Clean]]),Table1[[#This Row],[My Rating]])</f>
        <v>89.7</v>
      </c>
      <c r="AA1167" s="37">
        <v>2035</v>
      </c>
      <c r="AB1167" s="4">
        <v>12</v>
      </c>
      <c r="AC1167" s="2">
        <f t="shared" si="57"/>
        <v>12</v>
      </c>
      <c r="AD1167" s="8">
        <v>2</v>
      </c>
      <c r="AE1167" s="37">
        <f>IF(Table1[[#This Row],[P/750]]&lt;20,1,IF(Table1[[#This Row],[P/750]]&lt;50,2,3))</f>
        <v>2</v>
      </c>
      <c r="AF1167" s="37">
        <f>IF(Table1[[#This Row],[P/750]]&lt;Expenses!$C$30,1,IF(Table1[[#This Row],[P/750]]&lt;Expenses!$C$31,2,IF(Table1[[#This Row],[P/750]]&lt;Expenses!$C$32,3,4)))</f>
        <v>2</v>
      </c>
      <c r="AH1167" s="37" t="s">
        <v>385</v>
      </c>
      <c r="AI1167" s="11">
        <f>Table1[[#This Row],[Price]]/Table1[[#This Row],[Size (ml)]]*750</f>
        <v>24</v>
      </c>
      <c r="AK1167" s="37">
        <f>COUNTIF(UniqueID!A:A,Table1[[#This Row],[ID]])</f>
        <v>1</v>
      </c>
      <c r="AL1167" s="37" t="str">
        <f>VLOOKUP(Table1[[#This Row],[Cellar Location]],Location!A:F,6,FALSE)</f>
        <v>S</v>
      </c>
      <c r="AN1167" s="1">
        <v>43845</v>
      </c>
      <c r="AO1167" s="37" t="str">
        <f>TEXT(Table1[[#This Row],[Purchased]],"mmmm")</f>
        <v>January</v>
      </c>
      <c r="AP1167" s="10" t="str">
        <f>TEXT(Table1[[#This Row],[Purchased]],"yyyy")</f>
        <v>2020</v>
      </c>
      <c r="AQ1167" s="10"/>
    </row>
    <row r="1168" spans="1:43" s="37" customFormat="1" x14ac:dyDescent="0.25">
      <c r="A1168" s="37" t="str">
        <f t="shared" si="56"/>
        <v>2015CortonesiBrunello di Montalcino La Mannella</v>
      </c>
      <c r="B1168" s="37">
        <v>2015</v>
      </c>
      <c r="C1168" s="37" t="s">
        <v>72</v>
      </c>
      <c r="D1168" s="25" t="s">
        <v>73</v>
      </c>
      <c r="E1168" s="67" t="s">
        <v>1250</v>
      </c>
      <c r="F1168" s="37" t="s">
        <v>728</v>
      </c>
      <c r="G1168" s="37" t="s">
        <v>790</v>
      </c>
      <c r="H1168" s="37" t="s">
        <v>19</v>
      </c>
      <c r="I1168" s="107">
        <v>1</v>
      </c>
      <c r="J1168" s="37">
        <v>750</v>
      </c>
      <c r="K1168" s="107" t="s">
        <v>1195</v>
      </c>
      <c r="L1168" s="10">
        <f>COUNTIF(Drank!A:A,Table1[[#This Row],[ID]])</f>
        <v>1</v>
      </c>
      <c r="M1168" s="37" t="s">
        <v>202</v>
      </c>
      <c r="N1168" s="37" t="s">
        <v>207</v>
      </c>
      <c r="O1168" s="37">
        <v>1</v>
      </c>
      <c r="P1168" s="37">
        <v>2021</v>
      </c>
      <c r="Q1168" s="37">
        <v>2035</v>
      </c>
      <c r="R1168" s="10">
        <f>IF(IFERROR(VLOOKUP(A1168,Drank!A:S,15,FALSE),"")=0,"",IFERROR(VLOOKUP(A1168,Drank!A:S,15,FALSE),""))</f>
        <v>2026</v>
      </c>
      <c r="S1168" s="10">
        <f>IF(IFERROR(VLOOKUP(A1168,Drank!A:S,16,FALSE),"")=0,"",IFERROR(VLOOKUP(A1168,Drank!A:S,16,FALSE),""))</f>
        <v>2033</v>
      </c>
      <c r="T1168" s="10"/>
      <c r="U1168" s="37">
        <v>94</v>
      </c>
      <c r="V1168" s="18">
        <f>IF(IFERROR(VLOOKUP(A1168,Drank!A:T,19,FALSE),"")=0,"",IFERROR(VLOOKUP(A1168,Drank!A:T,19,FALSE),""))</f>
        <v>94</v>
      </c>
      <c r="W1168" s="1">
        <f>IF(IFERROR(VLOOKUP(A1168,Drank!A:T,20,FALSE),"")=0,"",IFERROR(VLOOKUP(A1168,Drank!A:T,20,FALSE),""))</f>
        <v>43995</v>
      </c>
      <c r="X1168" s="10">
        <f>SUMIF(A:A,A1168,I:I)</f>
        <v>23</v>
      </c>
      <c r="Y1168" s="10">
        <f>IF(Table1[[#This Row],[Drank]]&gt;0,VLOOKUP(Table1[[#This Row],[ID]],Drank!A:P,16,FALSE),IF(Table1[[#This Row],[WALDD]]&gt;0,VLOOKUP(Table1[[#This Row],[ID]],Wine1!A:Q,17,FALSE),Table1[[#This Row],[EP]]))</f>
        <v>2033</v>
      </c>
      <c r="Z1168" s="18">
        <f>IF(Table1[[#This Row],[My Rating]]="",IF(Table1[[#This Row],[WA Rating Clean]]="","",Table1[[#This Row],[WA Rating Clean]]),Table1[[#This Row],[My Rating]])</f>
        <v>94</v>
      </c>
      <c r="AA1168" s="37">
        <v>2035</v>
      </c>
      <c r="AB1168" s="4">
        <v>36.92</v>
      </c>
      <c r="AC1168" s="2">
        <f t="shared" si="57"/>
        <v>36.92</v>
      </c>
      <c r="AD1168" s="8">
        <v>2</v>
      </c>
      <c r="AE1168" s="10">
        <f>IF(Table1[[#This Row],[P/750]]&lt;20,1,IF(Table1[[#This Row],[P/750]]&lt;50,2,3))</f>
        <v>2</v>
      </c>
      <c r="AF1168" s="10">
        <f>IF(Table1[[#This Row],[P/750]]&lt;Expenses!$C$30,1,IF(Table1[[#This Row],[P/750]]&lt;Expenses!$C$31,2,IF(Table1[[#This Row],[P/750]]&lt;Expenses!$C$32,3,4)))</f>
        <v>3</v>
      </c>
      <c r="AH1168" s="37" t="s">
        <v>384</v>
      </c>
      <c r="AI1168" s="11">
        <f>Table1[[#This Row],[Price]]/Table1[[#This Row],[Size (ml)]]*750</f>
        <v>36.92</v>
      </c>
      <c r="AJ1168" s="37">
        <v>94</v>
      </c>
      <c r="AK1168" s="10">
        <f>COUNTIF(UniqueID!A:A,Table1[[#This Row],[ID]])</f>
        <v>0</v>
      </c>
      <c r="AL1168" s="10" t="str">
        <f>VLOOKUP(Table1[[#This Row],[Cellar Location]],Location!A:F,6,FALSE)</f>
        <v>S</v>
      </c>
      <c r="AN1168" s="1">
        <v>43984</v>
      </c>
      <c r="AO1168" s="10" t="str">
        <f>TEXT(Table1[[#This Row],[Purchased]],"mmmm")</f>
        <v>June</v>
      </c>
      <c r="AP1168" s="10" t="str">
        <f>TEXT(Table1[[#This Row],[Purchased]],"yyyy")</f>
        <v>2020</v>
      </c>
      <c r="AQ1168" s="10"/>
    </row>
    <row r="1169" spans="1:43" s="37" customFormat="1" x14ac:dyDescent="0.25">
      <c r="A1169" s="37" t="str">
        <f t="shared" si="56"/>
        <v>2013FontanafreddaBarolo Serralunga</v>
      </c>
      <c r="B1169" s="37">
        <v>2013</v>
      </c>
      <c r="C1169" s="37" t="s">
        <v>428</v>
      </c>
      <c r="D1169" s="37" t="s">
        <v>429</v>
      </c>
      <c r="E1169" s="67" t="s">
        <v>1206</v>
      </c>
      <c r="F1169" s="37" t="s">
        <v>728</v>
      </c>
      <c r="G1169" s="37" t="s">
        <v>778</v>
      </c>
      <c r="H1169" s="37" t="s">
        <v>783</v>
      </c>
      <c r="I1169" s="107">
        <v>1</v>
      </c>
      <c r="J1169" s="37">
        <v>1000</v>
      </c>
      <c r="K1169" s="107" t="s">
        <v>619</v>
      </c>
      <c r="L1169" s="37">
        <f>COUNTIF(Drank!A:A,Table1[[#This Row],[ID]])</f>
        <v>2</v>
      </c>
      <c r="M1169" s="37" t="s">
        <v>202</v>
      </c>
      <c r="N1169" s="37" t="s">
        <v>207</v>
      </c>
      <c r="O1169" s="37">
        <v>1</v>
      </c>
      <c r="P1169" s="37">
        <v>2018</v>
      </c>
      <c r="Q1169" s="37">
        <v>2030</v>
      </c>
      <c r="R1169" s="10">
        <f>IF(IFERROR(VLOOKUP(A1169,Drank!A:S,15,FALSE),"")=0,"",IFERROR(VLOOKUP(A1169,Drank!A:S,15,FALSE),""))</f>
        <v>2025</v>
      </c>
      <c r="S1169" s="10">
        <f>IF(IFERROR(VLOOKUP(A1169,Drank!A:S,16,FALSE),"")=0,"",IFERROR(VLOOKUP(A1169,Drank!A:S,16,FALSE),""))</f>
        <v>2033</v>
      </c>
      <c r="T1169" s="10"/>
      <c r="U1169" s="37">
        <v>92</v>
      </c>
      <c r="V1169" s="18">
        <f>IF(IFERROR(VLOOKUP(A1169,Drank!A:T,19,FALSE),"")=0,"",IFERROR(VLOOKUP(A1169,Drank!A:T,19,FALSE),""))</f>
        <v>91.5</v>
      </c>
      <c r="W1169" s="1">
        <f>IF(IFERROR(VLOOKUP(A1169,Drank!A:T,20,FALSE),"")=0,"",IFERROR(VLOOKUP(A1169,Drank!A:T,20,FALSE),""))</f>
        <v>44057</v>
      </c>
      <c r="X1169" s="10">
        <f>SUMIF(A:A,A1169,I:I)</f>
        <v>7</v>
      </c>
      <c r="Y1169" s="37">
        <f>IF(Table1[[#This Row],[Drank]]&gt;0,VLOOKUP(Table1[[#This Row],[ID]],Drank!A:P,16,FALSE),IF(Table1[[#This Row],[WALDD]]&gt;0,VLOOKUP(Table1[[#This Row],[ID]],Wine1!A:Q,17,FALSE),Table1[[#This Row],[EP]]))</f>
        <v>2033</v>
      </c>
      <c r="Z1169" s="18">
        <f>IF(Table1[[#This Row],[My Rating]]="",IF(Table1[[#This Row],[WA Rating Clean]]="","",Table1[[#This Row],[WA Rating Clean]]),Table1[[#This Row],[My Rating]])</f>
        <v>91.5</v>
      </c>
      <c r="AA1169" s="8">
        <v>2035</v>
      </c>
      <c r="AB1169" s="4">
        <v>32.99</v>
      </c>
      <c r="AC1169" s="2">
        <f t="shared" si="57"/>
        <v>32.99</v>
      </c>
      <c r="AD1169" s="8">
        <v>2</v>
      </c>
      <c r="AE1169" s="37">
        <f>IF(Table1[[#This Row],[P/750]]&lt;20,1,IF(Table1[[#This Row],[P/750]]&lt;50,2,3))</f>
        <v>2</v>
      </c>
      <c r="AF1169" s="37">
        <f>IF(Table1[[#This Row],[P/750]]&lt;Expenses!$C$30,1,IF(Table1[[#This Row],[P/750]]&lt;Expenses!$C$31,2,IF(Table1[[#This Row],[P/750]]&lt;Expenses!$C$32,3,4)))</f>
        <v>2</v>
      </c>
      <c r="AH1169" s="37" t="s">
        <v>384</v>
      </c>
      <c r="AI1169" s="11">
        <f>Table1[[#This Row],[Price]]/Table1[[#This Row],[Size (ml)]]*750</f>
        <v>24.742500000000003</v>
      </c>
      <c r="AJ1169" s="37">
        <v>92</v>
      </c>
      <c r="AK1169" s="37">
        <f>COUNTIF(UniqueID!A:A,Table1[[#This Row],[ID]])</f>
        <v>1</v>
      </c>
      <c r="AL1169" s="37" t="str">
        <f>VLOOKUP(Table1[[#This Row],[Cellar Location]],Location!A:F,6,FALSE)</f>
        <v>S</v>
      </c>
      <c r="AN1169" s="1">
        <v>43806</v>
      </c>
      <c r="AO1169" s="37" t="str">
        <f>TEXT(Table1[[#This Row],[Purchased]],"mmmm")</f>
        <v>December</v>
      </c>
      <c r="AP1169" s="10" t="str">
        <f>TEXT(Table1[[#This Row],[Purchased]],"yyyy")</f>
        <v>2019</v>
      </c>
      <c r="AQ1169" s="10"/>
    </row>
    <row r="1170" spans="1:43" s="37" customFormat="1" x14ac:dyDescent="0.25">
      <c r="A1170" s="37" t="str">
        <f t="shared" si="56"/>
        <v>2016Doisy DaeneDoisy Daene</v>
      </c>
      <c r="B1170" s="37">
        <v>2016</v>
      </c>
      <c r="C1170" s="37" t="s">
        <v>593</v>
      </c>
      <c r="D1170" s="37" t="s">
        <v>593</v>
      </c>
      <c r="E1170" s="64" t="s">
        <v>260</v>
      </c>
      <c r="F1170" s="37" t="s">
        <v>742</v>
      </c>
      <c r="G1170" s="37" t="s">
        <v>748</v>
      </c>
      <c r="H1170" s="37" t="s">
        <v>753</v>
      </c>
      <c r="I1170" s="107">
        <v>1</v>
      </c>
      <c r="J1170" s="37">
        <v>750</v>
      </c>
      <c r="K1170" s="107" t="s">
        <v>642</v>
      </c>
      <c r="L1170" s="37">
        <f>COUNTIF(Drank!A:A,Table1[[#This Row],[ID]])</f>
        <v>0</v>
      </c>
      <c r="M1170" s="37" t="s">
        <v>201</v>
      </c>
      <c r="N1170" s="37" t="s">
        <v>206</v>
      </c>
      <c r="O1170" s="37">
        <v>1</v>
      </c>
      <c r="P1170" s="10">
        <v>2019</v>
      </c>
      <c r="Q1170" s="37">
        <v>2034</v>
      </c>
      <c r="R1170" s="10" t="str">
        <f>IF(IFERROR(VLOOKUP(A1170,Drank!A:S,15,FALSE),"")=0,"",IFERROR(VLOOKUP(A1170,Drank!A:S,15,FALSE),""))</f>
        <v/>
      </c>
      <c r="S1170" s="10" t="str">
        <f>IF(IFERROR(VLOOKUP(A1170,Drank!A:S,16,FALSE),"")=0,"",IFERROR(VLOOKUP(A1170,Drank!A:S,16,FALSE),""))</f>
        <v/>
      </c>
      <c r="T1170" s="10"/>
      <c r="U1170" s="37">
        <v>94</v>
      </c>
      <c r="V1170" s="18" t="str">
        <f>IF(IFERROR(VLOOKUP(A1170,Drank!A:T,19,FALSE),"")=0,"",IFERROR(VLOOKUP(A1170,Drank!A:T,19,FALSE),""))</f>
        <v/>
      </c>
      <c r="W1170" s="1" t="str">
        <f>IF(IFERROR(VLOOKUP(A1170,Drank!A:T,20,FALSE),"")=0,"",IFERROR(VLOOKUP(A1170,Drank!A:T,20,FALSE),""))</f>
        <v/>
      </c>
      <c r="X1170" s="10">
        <f>SUMIF(A:A,A1170,I:I)</f>
        <v>2</v>
      </c>
      <c r="Y1170" s="10">
        <f>IF(Table1[[#This Row],[Drank]]&gt;0,VLOOKUP(Table1[[#This Row],[ID]],Drank!A:P,16,FALSE),IF(Table1[[#This Row],[WALDD]]&gt;0,VLOOKUP(Table1[[#This Row],[ID]],Wine1!A:Q,17,FALSE),Table1[[#This Row],[EP]]))</f>
        <v>2034</v>
      </c>
      <c r="Z1170" s="18">
        <f>IF(Table1[[#This Row],[My Rating]]="",IF(Table1[[#This Row],[WA Rating Clean]]="","",Table1[[#This Row],[WA Rating Clean]]),Table1[[#This Row],[My Rating]])</f>
        <v>94</v>
      </c>
      <c r="AA1170" s="37">
        <v>2035</v>
      </c>
      <c r="AB1170" s="4">
        <v>42.39</v>
      </c>
      <c r="AC1170" s="2">
        <f t="shared" si="57"/>
        <v>42.39</v>
      </c>
      <c r="AD1170" s="8">
        <v>2</v>
      </c>
      <c r="AE1170" s="10">
        <f>IF(Table1[[#This Row],[P/750]]&lt;20,1,IF(Table1[[#This Row],[P/750]]&lt;50,2,3))</f>
        <v>2</v>
      </c>
      <c r="AF1170" s="10">
        <f>IF(Table1[[#This Row],[P/750]]&lt;Expenses!$C$30,1,IF(Table1[[#This Row],[P/750]]&lt;Expenses!$C$31,2,IF(Table1[[#This Row],[P/750]]&lt;Expenses!$C$32,3,4)))</f>
        <v>3</v>
      </c>
      <c r="AH1170" s="37" t="s">
        <v>1130</v>
      </c>
      <c r="AI1170" s="11">
        <f>Table1[[#This Row],[Price]]/Table1[[#This Row],[Size (ml)]]*750</f>
        <v>42.39</v>
      </c>
      <c r="AJ1170" s="37">
        <v>94</v>
      </c>
      <c r="AK1170" s="37">
        <f>COUNTIF(UniqueID!A:A,Table1[[#This Row],[ID]])</f>
        <v>1</v>
      </c>
      <c r="AL1170" s="37" t="str">
        <f>VLOOKUP(Table1[[#This Row],[Cellar Location]],Location!A:F,6,FALSE)</f>
        <v>S</v>
      </c>
      <c r="AO1170" s="37" t="str">
        <f>TEXT(Table1[[#This Row],[Purchased]],"mmmm")</f>
        <v>January</v>
      </c>
      <c r="AP1170" s="10" t="str">
        <f>TEXT(Table1[[#This Row],[Purchased]],"yyyy")</f>
        <v>1900</v>
      </c>
      <c r="AQ1170" s="10"/>
    </row>
    <row r="1171" spans="1:43" s="37" customFormat="1" x14ac:dyDescent="0.25">
      <c r="A1171" s="37" t="str">
        <f t="shared" si="56"/>
        <v>2016Produttori del BarbarescoBarbaresco</v>
      </c>
      <c r="B1171" s="37">
        <v>2016</v>
      </c>
      <c r="C1171" s="37" t="s">
        <v>248</v>
      </c>
      <c r="D1171" s="37" t="s">
        <v>249</v>
      </c>
      <c r="E1171" s="67" t="s">
        <v>1206</v>
      </c>
      <c r="F1171" s="37" t="s">
        <v>728</v>
      </c>
      <c r="G1171" s="37" t="s">
        <v>778</v>
      </c>
      <c r="H1171" s="37" t="s">
        <v>249</v>
      </c>
      <c r="I1171" s="37">
        <v>1</v>
      </c>
      <c r="J1171" s="107">
        <v>750</v>
      </c>
      <c r="K1171" s="8" t="s">
        <v>1851</v>
      </c>
      <c r="L1171" s="10">
        <f>COUNTIF(Drank!A:A,Table1[[#This Row],[ID]])</f>
        <v>2</v>
      </c>
      <c r="M1171" s="37" t="s">
        <v>202</v>
      </c>
      <c r="N1171" s="37" t="s">
        <v>207</v>
      </c>
      <c r="O1171" s="37">
        <v>1</v>
      </c>
      <c r="P1171" s="37">
        <v>2022</v>
      </c>
      <c r="Q1171" s="37">
        <v>2040</v>
      </c>
      <c r="R1171" s="10">
        <f>IF(IFERROR(VLOOKUP(A1171,Drank!A:S,15,FALSE),"")=0,"",IFERROR(VLOOKUP(A1171,Drank!A:S,15,FALSE),""))</f>
        <v>2021</v>
      </c>
      <c r="S1171" s="10">
        <f>IF(IFERROR(VLOOKUP(A1171,Drank!A:S,16,FALSE),"")=0,"",IFERROR(VLOOKUP(A1171,Drank!A:S,16,FALSE),""))</f>
        <v>2032</v>
      </c>
      <c r="T1171" s="10"/>
      <c r="U1171" s="37">
        <v>95</v>
      </c>
      <c r="V1171" s="18">
        <f>IF(IFERROR(VLOOKUP(A1171,Drank!A:T,19,FALSE),"")=0,"",IFERROR(VLOOKUP(A1171,Drank!A:T,19,FALSE),""))</f>
        <v>95.5</v>
      </c>
      <c r="W1171" s="1">
        <f>IF(IFERROR(VLOOKUP(A1171,Drank!A:T,20,FALSE),"")=0,"",IFERROR(VLOOKUP(A1171,Drank!A:T,20,FALSE),""))</f>
        <v>44079</v>
      </c>
      <c r="X1171" s="10">
        <f>SUMIF(A:A,A1171,I:I)</f>
        <v>41</v>
      </c>
      <c r="Y1171" s="10">
        <f>IF(Table1[[#This Row],[Drank]]&gt;0,VLOOKUP(Table1[[#This Row],[ID]],Drank!A:P,16,FALSE),IF(Table1[[#This Row],[WALDD]]&gt;0,VLOOKUP(Table1[[#This Row],[ID]],Wine1!A:Q,17,FALSE),Table1[[#This Row],[EP]]))</f>
        <v>2032</v>
      </c>
      <c r="Z1171" s="18">
        <f>IF(Table1[[#This Row],[My Rating]]="",IF(Table1[[#This Row],[WA Rating Clean]]="","",Table1[[#This Row],[WA Rating Clean]]),Table1[[#This Row],[My Rating]])</f>
        <v>95.5</v>
      </c>
      <c r="AA1171" s="37">
        <v>2035</v>
      </c>
      <c r="AB1171" s="129">
        <v>42.36</v>
      </c>
      <c r="AC1171" s="2">
        <f t="shared" si="57"/>
        <v>42.36</v>
      </c>
      <c r="AD1171" s="8">
        <v>1</v>
      </c>
      <c r="AE1171" s="10">
        <f>IF(Table1[[#This Row],[P/750]]&lt;20,1,IF(Table1[[#This Row],[P/750]]&lt;50,2,3))</f>
        <v>2</v>
      </c>
      <c r="AF1171" s="10">
        <f>IF(Table1[[#This Row],[P/750]]&lt;Expenses!$C$30,1,IF(Table1[[#This Row],[P/750]]&lt;Expenses!$C$31,2,IF(Table1[[#This Row],[P/750]]&lt;Expenses!$C$32,3,4)))</f>
        <v>3</v>
      </c>
      <c r="AH1171" s="37" t="s">
        <v>1128</v>
      </c>
      <c r="AI1171" s="11">
        <f>Table1[[#This Row],[Price]]/Table1[[#This Row],[Size (ml)]]*750</f>
        <v>42.36</v>
      </c>
      <c r="AJ1171" s="37">
        <v>95</v>
      </c>
      <c r="AK1171" s="10">
        <f>COUNTIF(UniqueID!A:A,Table1[[#This Row],[ID]])</f>
        <v>1</v>
      </c>
      <c r="AL1171" s="10" t="str">
        <f>VLOOKUP(Table1[[#This Row],[Cellar Location]],Location!A:F,6,FALSE)</f>
        <v>S</v>
      </c>
      <c r="AN1171" s="1">
        <v>44070</v>
      </c>
      <c r="AO1171" s="10" t="str">
        <f>TEXT(Table1[[#This Row],[Purchased]],"mmmm")</f>
        <v>August</v>
      </c>
      <c r="AP1171" s="10" t="str">
        <f>TEXT(Table1[[#This Row],[Purchased]],"yyyy")</f>
        <v>2020</v>
      </c>
      <c r="AQ1171" s="1"/>
    </row>
    <row r="1172" spans="1:43" s="37" customFormat="1" x14ac:dyDescent="0.25">
      <c r="A1172" s="37" t="str">
        <f t="shared" si="56"/>
        <v>2016Produttori del BarbarescoBarbaresco</v>
      </c>
      <c r="B1172" s="37">
        <v>2016</v>
      </c>
      <c r="C1172" s="37" t="s">
        <v>248</v>
      </c>
      <c r="D1172" s="37" t="s">
        <v>249</v>
      </c>
      <c r="E1172" s="67" t="s">
        <v>1206</v>
      </c>
      <c r="F1172" s="37" t="s">
        <v>728</v>
      </c>
      <c r="G1172" s="37" t="s">
        <v>778</v>
      </c>
      <c r="H1172" s="37" t="s">
        <v>249</v>
      </c>
      <c r="I1172" s="37">
        <v>1</v>
      </c>
      <c r="J1172" s="107">
        <v>750</v>
      </c>
      <c r="K1172" s="8" t="s">
        <v>1851</v>
      </c>
      <c r="L1172" s="10">
        <f>COUNTIF(Drank!A:A,Table1[[#This Row],[ID]])</f>
        <v>2</v>
      </c>
      <c r="M1172" s="37" t="s">
        <v>202</v>
      </c>
      <c r="N1172" s="37" t="s">
        <v>207</v>
      </c>
      <c r="O1172" s="37">
        <v>1</v>
      </c>
      <c r="P1172" s="37">
        <v>2022</v>
      </c>
      <c r="Q1172" s="37">
        <v>2040</v>
      </c>
      <c r="R1172" s="10">
        <f>IF(IFERROR(VLOOKUP(A1172,Drank!A:S,15,FALSE),"")=0,"",IFERROR(VLOOKUP(A1172,Drank!A:S,15,FALSE),""))</f>
        <v>2021</v>
      </c>
      <c r="S1172" s="10">
        <f>IF(IFERROR(VLOOKUP(A1172,Drank!A:S,16,FALSE),"")=0,"",IFERROR(VLOOKUP(A1172,Drank!A:S,16,FALSE),""))</f>
        <v>2032</v>
      </c>
      <c r="T1172" s="10"/>
      <c r="U1172" s="37">
        <v>95</v>
      </c>
      <c r="V1172" s="18">
        <f>IF(IFERROR(VLOOKUP(A1172,Drank!A:T,19,FALSE),"")=0,"",IFERROR(VLOOKUP(A1172,Drank!A:T,19,FALSE),""))</f>
        <v>95.5</v>
      </c>
      <c r="W1172" s="1">
        <f>IF(IFERROR(VLOOKUP(A1172,Drank!A:T,20,FALSE),"")=0,"",IFERROR(VLOOKUP(A1172,Drank!A:T,20,FALSE),""))</f>
        <v>44079</v>
      </c>
      <c r="X1172" s="10">
        <f>SUMIF(A:A,A1172,I:I)</f>
        <v>41</v>
      </c>
      <c r="Y1172" s="10">
        <f>IF(Table1[[#This Row],[Drank]]&gt;0,VLOOKUP(Table1[[#This Row],[ID]],Drank!A:P,16,FALSE),IF(Table1[[#This Row],[WALDD]]&gt;0,VLOOKUP(Table1[[#This Row],[ID]],Wine1!A:Q,17,FALSE),Table1[[#This Row],[EP]]))</f>
        <v>2032</v>
      </c>
      <c r="Z1172" s="18">
        <f>IF(Table1[[#This Row],[My Rating]]="",IF(Table1[[#This Row],[WA Rating Clean]]="","",Table1[[#This Row],[WA Rating Clean]]),Table1[[#This Row],[My Rating]])</f>
        <v>95.5</v>
      </c>
      <c r="AA1172" s="37">
        <v>2035</v>
      </c>
      <c r="AB1172" s="129">
        <v>42.36</v>
      </c>
      <c r="AC1172" s="2">
        <f t="shared" si="57"/>
        <v>42.36</v>
      </c>
      <c r="AD1172" s="8">
        <v>1</v>
      </c>
      <c r="AE1172" s="10">
        <f>IF(Table1[[#This Row],[P/750]]&lt;20,1,IF(Table1[[#This Row],[P/750]]&lt;50,2,3))</f>
        <v>2</v>
      </c>
      <c r="AF1172" s="10">
        <f>IF(Table1[[#This Row],[P/750]]&lt;Expenses!$C$30,1,IF(Table1[[#This Row],[P/750]]&lt;Expenses!$C$31,2,IF(Table1[[#This Row],[P/750]]&lt;Expenses!$C$32,3,4)))</f>
        <v>3</v>
      </c>
      <c r="AH1172" s="37" t="s">
        <v>1128</v>
      </c>
      <c r="AI1172" s="11">
        <f>Table1[[#This Row],[Price]]/Table1[[#This Row],[Size (ml)]]*750</f>
        <v>42.36</v>
      </c>
      <c r="AJ1172" s="37">
        <v>95</v>
      </c>
      <c r="AK1172" s="10">
        <f>COUNTIF(UniqueID!A:A,Table1[[#This Row],[ID]])</f>
        <v>1</v>
      </c>
      <c r="AL1172" s="10" t="str">
        <f>VLOOKUP(Table1[[#This Row],[Cellar Location]],Location!A:F,6,FALSE)</f>
        <v>S</v>
      </c>
      <c r="AN1172" s="1">
        <v>44070</v>
      </c>
      <c r="AO1172" s="10" t="str">
        <f>TEXT(Table1[[#This Row],[Purchased]],"mmmm")</f>
        <v>August</v>
      </c>
      <c r="AP1172" s="10" t="str">
        <f>TEXT(Table1[[#This Row],[Purchased]],"yyyy")</f>
        <v>2020</v>
      </c>
      <c r="AQ1172" s="1"/>
    </row>
    <row r="1173" spans="1:43" s="37" customFormat="1" x14ac:dyDescent="0.25">
      <c r="A1173" s="37" t="str">
        <f t="shared" si="56"/>
        <v>2016Castello di AmaChianti Classico Gran Selezione San Lorenzo</v>
      </c>
      <c r="B1173" s="37">
        <v>2016</v>
      </c>
      <c r="C1173" s="37" t="s">
        <v>75</v>
      </c>
      <c r="D1173" s="9" t="s">
        <v>76</v>
      </c>
      <c r="E1173" s="67" t="s">
        <v>1620</v>
      </c>
      <c r="F1173" s="37" t="s">
        <v>728</v>
      </c>
      <c r="G1173" s="37" t="s">
        <v>790</v>
      </c>
      <c r="H1173" s="37" t="s">
        <v>1619</v>
      </c>
      <c r="I1173" s="37">
        <v>1</v>
      </c>
      <c r="J1173" s="107">
        <v>750</v>
      </c>
      <c r="K1173" s="8" t="s">
        <v>1830</v>
      </c>
      <c r="L1173" s="10">
        <f>COUNTIF(Drank!A:A,Table1[[#This Row],[ID]])</f>
        <v>1</v>
      </c>
      <c r="M1173" s="37" t="s">
        <v>202</v>
      </c>
      <c r="N1173" s="37" t="s">
        <v>207</v>
      </c>
      <c r="O1173" s="37">
        <v>1</v>
      </c>
      <c r="P1173" s="10">
        <v>2020</v>
      </c>
      <c r="Q1173" s="37">
        <v>2038</v>
      </c>
      <c r="R1173" s="10" t="str">
        <f>IF(IFERROR(VLOOKUP(A1173,Drank!A:S,15,FALSE),"")=0,"",IFERROR(VLOOKUP(A1173,Drank!A:S,15,FALSE),""))</f>
        <v/>
      </c>
      <c r="S1173" s="10">
        <f>IF(IFERROR(VLOOKUP(A1173,Drank!A:S,16,FALSE),"")=0,"",IFERROR(VLOOKUP(A1173,Drank!A:S,16,FALSE),""))</f>
        <v>2035</v>
      </c>
      <c r="T1173" s="10"/>
      <c r="U1173" s="37">
        <v>95</v>
      </c>
      <c r="V1173" s="18">
        <f>IF(IFERROR(VLOOKUP(A1173,Drank!A:T,19,FALSE),"")=0,"",IFERROR(VLOOKUP(A1173,Drank!A:T,19,FALSE),""))</f>
        <v>94</v>
      </c>
      <c r="W1173" s="1">
        <f>IF(IFERROR(VLOOKUP(A1173,Drank!A:T,20,FALSE),"")=0,"",IFERROR(VLOOKUP(A1173,Drank!A:T,20,FALSE),""))</f>
        <v>44061</v>
      </c>
      <c r="X1173" s="10">
        <f>SUMIF(A:A,A1173,I:I)</f>
        <v>4</v>
      </c>
      <c r="Y1173" s="10">
        <f>IF(Table1[[#This Row],[Drank]]&gt;0,VLOOKUP(Table1[[#This Row],[ID]],Drank!A:P,16,FALSE),IF(Table1[[#This Row],[WALDD]]&gt;0,VLOOKUP(Table1[[#This Row],[ID]],Wine1!A:Q,17,FALSE),Table1[[#This Row],[EP]]))</f>
        <v>2035</v>
      </c>
      <c r="Z1173" s="18">
        <f>IF(Table1[[#This Row],[My Rating]]="",IF(Table1[[#This Row],[WA Rating Clean]]="","",Table1[[#This Row],[WA Rating Clean]]),Table1[[#This Row],[My Rating]])</f>
        <v>94</v>
      </c>
      <c r="AA1173" s="37">
        <v>2035</v>
      </c>
      <c r="AB1173" s="129">
        <v>48.87</v>
      </c>
      <c r="AC1173" s="2">
        <f t="shared" si="57"/>
        <v>48.87</v>
      </c>
      <c r="AD1173" s="8">
        <v>1</v>
      </c>
      <c r="AE1173" s="10">
        <f>IF(Table1[[#This Row],[P/750]]&lt;20,1,IF(Table1[[#This Row],[P/750]]&lt;50,2,3))</f>
        <v>2</v>
      </c>
      <c r="AF1173" s="10">
        <f>IF(Table1[[#This Row],[P/750]]&lt;Expenses!$C$30,1,IF(Table1[[#This Row],[P/750]]&lt;Expenses!$C$31,2,IF(Table1[[#This Row],[P/750]]&lt;Expenses!$C$32,3,4)))</f>
        <v>3</v>
      </c>
      <c r="AH1173" s="25" t="s">
        <v>1128</v>
      </c>
      <c r="AI1173" s="11">
        <f>Table1[[#This Row],[Price]]/Table1[[#This Row],[Size (ml)]]*750</f>
        <v>48.87</v>
      </c>
      <c r="AJ1173" s="37">
        <v>95</v>
      </c>
      <c r="AK1173" s="10">
        <f>COUNTIF(UniqueID!A:A,Table1[[#This Row],[ID]])</f>
        <v>0</v>
      </c>
      <c r="AL1173" s="10" t="str">
        <f>VLOOKUP(Table1[[#This Row],[Cellar Location]],Location!A:F,6,FALSE)</f>
        <v>S</v>
      </c>
      <c r="AN1173" s="1">
        <v>44070</v>
      </c>
      <c r="AO1173" s="10" t="str">
        <f>TEXT(Table1[[#This Row],[Purchased]],"mmmm")</f>
        <v>August</v>
      </c>
      <c r="AP1173" s="10" t="str">
        <f>TEXT(Table1[[#This Row],[Purchased]],"yyyy")</f>
        <v>2020</v>
      </c>
      <c r="AQ1173" s="1"/>
    </row>
    <row r="1174" spans="1:43" s="37" customFormat="1" x14ac:dyDescent="0.25">
      <c r="A1174" s="37" t="str">
        <f t="shared" si="56"/>
        <v>2010La Rioja AltaGran Reserva 904</v>
      </c>
      <c r="B1174" s="37">
        <v>2010</v>
      </c>
      <c r="C1174" s="37" t="s">
        <v>221</v>
      </c>
      <c r="D1174" s="37" t="s">
        <v>222</v>
      </c>
      <c r="E1174" s="67" t="s">
        <v>1296</v>
      </c>
      <c r="F1174" s="37" t="s">
        <v>729</v>
      </c>
      <c r="G1174" s="37" t="s">
        <v>823</v>
      </c>
      <c r="H1174" s="37" t="s">
        <v>824</v>
      </c>
      <c r="I1174" s="37">
        <v>1</v>
      </c>
      <c r="J1174" s="38">
        <v>750</v>
      </c>
      <c r="K1174" s="38" t="s">
        <v>1564</v>
      </c>
      <c r="L1174" s="10">
        <f>COUNTIF(Drank!A:A,Table1[[#This Row],[ID]])</f>
        <v>0</v>
      </c>
      <c r="M1174" s="37" t="s">
        <v>202</v>
      </c>
      <c r="N1174" s="37" t="s">
        <v>207</v>
      </c>
      <c r="O1174" s="37">
        <v>1</v>
      </c>
      <c r="P1174" s="10">
        <v>2019</v>
      </c>
      <c r="Q1174" s="37">
        <v>2035</v>
      </c>
      <c r="R1174" s="10" t="str">
        <f>IF(IFERROR(VLOOKUP(A1174,Drank!A:S,15,FALSE),"")=0,"",IFERROR(VLOOKUP(A1174,Drank!A:S,15,FALSE),""))</f>
        <v/>
      </c>
      <c r="S1174" s="10" t="str">
        <f>IF(IFERROR(VLOOKUP(A1174,Drank!A:S,16,FALSE),"")=0,"",IFERROR(VLOOKUP(A1174,Drank!A:S,16,FALSE),""))</f>
        <v/>
      </c>
      <c r="T1174" s="10"/>
      <c r="U1174" s="37" t="s">
        <v>1180</v>
      </c>
      <c r="V1174" s="18" t="str">
        <f>IF(IFERROR(VLOOKUP(A1174,Drank!A:T,19,FALSE),"")=0,"",IFERROR(VLOOKUP(A1174,Drank!A:T,19,FALSE),""))</f>
        <v/>
      </c>
      <c r="W1174" s="1" t="str">
        <f>IF(IFERROR(VLOOKUP(A1174,Drank!A:T,20,FALSE),"")=0,"",IFERROR(VLOOKUP(A1174,Drank!A:T,20,FALSE),""))</f>
        <v/>
      </c>
      <c r="X1174" s="10">
        <f>SUMIF(A:A,A1174,I:I)</f>
        <v>9</v>
      </c>
      <c r="Y1174" s="10">
        <f>IF(Table1[[#This Row],[Drank]]&gt;0,VLOOKUP(Table1[[#This Row],[ID]],Drank!A:P,16,FALSE),IF(Table1[[#This Row],[WALDD]]&gt;0,VLOOKUP(Table1[[#This Row],[ID]],Wine1!A:Q,17,FALSE),Table1[[#This Row],[EP]]))</f>
        <v>2035</v>
      </c>
      <c r="Z1174" s="18">
        <f>IF(Table1[[#This Row],[My Rating]]="",IF(Table1[[#This Row],[WA Rating Clean]]="","",Table1[[#This Row],[WA Rating Clean]]),Table1[[#This Row],[My Rating]])</f>
        <v>96</v>
      </c>
      <c r="AA1174" s="37">
        <v>2035</v>
      </c>
      <c r="AB1174" s="127">
        <v>64.08</v>
      </c>
      <c r="AC1174" s="2">
        <f t="shared" si="57"/>
        <v>64.08</v>
      </c>
      <c r="AD1174" s="8">
        <v>1</v>
      </c>
      <c r="AE1174" s="10">
        <f>IF(Table1[[#This Row],[P/750]]&lt;20,1,IF(Table1[[#This Row],[P/750]]&lt;50,2,3))</f>
        <v>3</v>
      </c>
      <c r="AF1174" s="10">
        <f>IF(Table1[[#This Row],[P/750]]&lt;Expenses!$C$30,1,IF(Table1[[#This Row],[P/750]]&lt;Expenses!$C$31,2,IF(Table1[[#This Row],[P/750]]&lt;Expenses!$C$32,3,4)))</f>
        <v>3</v>
      </c>
      <c r="AH1174" s="25" t="s">
        <v>1564</v>
      </c>
      <c r="AI1174" s="11">
        <f>Table1[[#This Row],[Price]]/Table1[[#This Row],[Size (ml)]]*750</f>
        <v>64.08</v>
      </c>
      <c r="AJ1174" s="37">
        <v>96</v>
      </c>
      <c r="AK1174" s="10">
        <f>COUNTIF(UniqueID!A:A,Table1[[#This Row],[ID]])</f>
        <v>0</v>
      </c>
      <c r="AL1174" s="10" t="str">
        <f>VLOOKUP(Table1[[#This Row],[Cellar Location]],Location!A:F,6,FALSE)</f>
        <v>W</v>
      </c>
      <c r="AN1174" s="1">
        <v>44064</v>
      </c>
      <c r="AO1174" s="10" t="str">
        <f>TEXT(Table1[[#This Row],[Purchased]],"mmmm")</f>
        <v>August</v>
      </c>
      <c r="AP1174" s="10" t="str">
        <f>TEXT(Table1[[#This Row],[Purchased]],"yyyy")</f>
        <v>2020</v>
      </c>
      <c r="AQ1174" s="1">
        <v>44114</v>
      </c>
    </row>
    <row r="1175" spans="1:43" s="37" customFormat="1" x14ac:dyDescent="0.25">
      <c r="A1175" s="37" t="str">
        <f t="shared" si="56"/>
        <v>2016G.D. VajraBarolo Albe</v>
      </c>
      <c r="B1175" s="37">
        <v>2016</v>
      </c>
      <c r="C1175" s="37" t="s">
        <v>81</v>
      </c>
      <c r="D1175" s="37" t="s">
        <v>82</v>
      </c>
      <c r="E1175" s="67" t="s">
        <v>1206</v>
      </c>
      <c r="F1175" s="37" t="s">
        <v>728</v>
      </c>
      <c r="G1175" s="37" t="s">
        <v>778</v>
      </c>
      <c r="H1175" s="37" t="s">
        <v>268</v>
      </c>
      <c r="I1175" s="8">
        <v>1</v>
      </c>
      <c r="J1175" s="38">
        <v>750</v>
      </c>
      <c r="K1175" s="38" t="s">
        <v>1139</v>
      </c>
      <c r="L1175" s="10">
        <f>COUNTIF(Drank!A:A,Table1[[#This Row],[ID]])</f>
        <v>0</v>
      </c>
      <c r="M1175" s="37" t="s">
        <v>202</v>
      </c>
      <c r="N1175" s="37" t="s">
        <v>207</v>
      </c>
      <c r="O1175" s="37">
        <v>1</v>
      </c>
      <c r="P1175" s="10">
        <v>2022</v>
      </c>
      <c r="Q1175" s="37">
        <v>2035</v>
      </c>
      <c r="R1175" s="10" t="str">
        <f>IF(IFERROR(VLOOKUP(A1175,Drank!A:S,15,FALSE),"")=0,"",IFERROR(VLOOKUP(A1175,Drank!A:S,15,FALSE),""))</f>
        <v/>
      </c>
      <c r="S1175" s="10" t="str">
        <f>IF(IFERROR(VLOOKUP(A1175,Drank!A:S,16,FALSE),"")=0,"",IFERROR(VLOOKUP(A1175,Drank!A:S,16,FALSE),""))</f>
        <v/>
      </c>
      <c r="T1175" s="10"/>
      <c r="U1175" s="37">
        <v>94</v>
      </c>
      <c r="V1175" s="18" t="str">
        <f>IF(IFERROR(VLOOKUP(A1175,Drank!A:T,19,FALSE),"")=0,"",IFERROR(VLOOKUP(A1175,Drank!A:T,19,FALSE),""))</f>
        <v/>
      </c>
      <c r="W1175" s="1" t="str">
        <f>IF(IFERROR(VLOOKUP(A1175,Drank!A:T,20,FALSE),"")=0,"",IFERROR(VLOOKUP(A1175,Drank!A:T,20,FALSE),""))</f>
        <v/>
      </c>
      <c r="X1175" s="10">
        <f>SUMIF(A:A,A1175,I:I)</f>
        <v>6</v>
      </c>
      <c r="Y1175" s="10">
        <f>IF(Table1[[#This Row],[Drank]]&gt;0,VLOOKUP(Table1[[#This Row],[ID]],Drank!A:P,16,FALSE),IF(Table1[[#This Row],[WALDD]]&gt;0,VLOOKUP(Table1[[#This Row],[ID]],Wine1!A:Q,17,FALSE),Table1[[#This Row],[EP]]))</f>
        <v>2035</v>
      </c>
      <c r="Z1175" s="18">
        <f>IF(Table1[[#This Row],[My Rating]]="",IF(Table1[[#This Row],[WA Rating Clean]]="","",Table1[[#This Row],[WA Rating Clean]]),Table1[[#This Row],[My Rating]])</f>
        <v>94</v>
      </c>
      <c r="AA1175" s="37">
        <v>2035</v>
      </c>
      <c r="AB1175" s="4">
        <v>37.14</v>
      </c>
      <c r="AC1175" s="2">
        <f t="shared" si="57"/>
        <v>37.14</v>
      </c>
      <c r="AD1175" s="8">
        <v>1</v>
      </c>
      <c r="AE1175" s="10">
        <f>IF(Table1[[#This Row],[P/750]]&lt;20,1,IF(Table1[[#This Row],[P/750]]&lt;50,2,3))</f>
        <v>2</v>
      </c>
      <c r="AF1175" s="10">
        <f>IF(Table1[[#This Row],[P/750]]&lt;Expenses!$C$30,1,IF(Table1[[#This Row],[P/750]]&lt;Expenses!$C$31,2,IF(Table1[[#This Row],[P/750]]&lt;Expenses!$C$32,3,4)))</f>
        <v>3</v>
      </c>
      <c r="AH1175" s="37" t="s">
        <v>1139</v>
      </c>
      <c r="AI1175" s="11">
        <f>Table1[[#This Row],[Price]]/Table1[[#This Row],[Size (ml)]]*750</f>
        <v>37.14</v>
      </c>
      <c r="AJ1175" s="37">
        <v>94</v>
      </c>
      <c r="AK1175" s="10">
        <f>COUNTIF(UniqueID!A:A,Table1[[#This Row],[ID]])</f>
        <v>0</v>
      </c>
      <c r="AL1175" s="10" t="str">
        <f>VLOOKUP(Table1[[#This Row],[Cellar Location]],Location!A:F,6,FALSE)</f>
        <v>W</v>
      </c>
      <c r="AN1175" s="1">
        <v>44058</v>
      </c>
      <c r="AO1175" s="10" t="str">
        <f>TEXT(Table1[[#This Row],[Purchased]],"mmmm")</f>
        <v>August</v>
      </c>
      <c r="AP1175" s="10" t="str">
        <f>TEXT(Table1[[#This Row],[Purchased]],"yyyy")</f>
        <v>2020</v>
      </c>
      <c r="AQ1175" s="1">
        <v>44132</v>
      </c>
    </row>
    <row r="1176" spans="1:43" s="37" customFormat="1" x14ac:dyDescent="0.25">
      <c r="A1176" s="37" t="str">
        <f t="shared" si="56"/>
        <v>2015Siro PacentiBrunello di Montalcino Pelagrilli</v>
      </c>
      <c r="B1176" s="37">
        <v>2015</v>
      </c>
      <c r="C1176" s="37" t="s">
        <v>1609</v>
      </c>
      <c r="D1176" s="37" t="s">
        <v>1610</v>
      </c>
      <c r="E1176" s="67" t="s">
        <v>1250</v>
      </c>
      <c r="F1176" s="37" t="s">
        <v>728</v>
      </c>
      <c r="G1176" s="37" t="s">
        <v>790</v>
      </c>
      <c r="H1176" s="37" t="s">
        <v>19</v>
      </c>
      <c r="I1176" s="8">
        <v>1</v>
      </c>
      <c r="J1176" s="38">
        <v>750</v>
      </c>
      <c r="K1176" s="38" t="s">
        <v>1139</v>
      </c>
      <c r="L1176" s="10">
        <f>COUNTIF(Drank!A:A,Table1[[#This Row],[ID]])</f>
        <v>0</v>
      </c>
      <c r="M1176" s="37" t="s">
        <v>202</v>
      </c>
      <c r="N1176" s="37" t="s">
        <v>207</v>
      </c>
      <c r="O1176" s="37">
        <v>1</v>
      </c>
      <c r="P1176" s="10">
        <v>2021</v>
      </c>
      <c r="Q1176" s="37">
        <v>2035</v>
      </c>
      <c r="R1176" s="10" t="str">
        <f>IF(IFERROR(VLOOKUP(A1176,Drank!A:S,15,FALSE),"")=0,"",IFERROR(VLOOKUP(A1176,Drank!A:S,15,FALSE),""))</f>
        <v/>
      </c>
      <c r="S1176" s="10" t="str">
        <f>IF(IFERROR(VLOOKUP(A1176,Drank!A:S,16,FALSE),"")=0,"",IFERROR(VLOOKUP(A1176,Drank!A:S,16,FALSE),""))</f>
        <v/>
      </c>
      <c r="T1176" s="10"/>
      <c r="U1176" s="37">
        <v>95</v>
      </c>
      <c r="V1176" s="18" t="str">
        <f>IF(IFERROR(VLOOKUP(A1176,Drank!A:T,19,FALSE),"")=0,"",IFERROR(VLOOKUP(A1176,Drank!A:T,19,FALSE),""))</f>
        <v/>
      </c>
      <c r="W1176" s="1" t="str">
        <f>IF(IFERROR(VLOOKUP(A1176,Drank!A:T,20,FALSE),"")=0,"",IFERROR(VLOOKUP(A1176,Drank!A:T,20,FALSE),""))</f>
        <v/>
      </c>
      <c r="X1176" s="10">
        <f>SUMIF(A:A,A1176,I:I)</f>
        <v>4</v>
      </c>
      <c r="Y1176" s="10">
        <f>IF(Table1[[#This Row],[Drank]]&gt;0,VLOOKUP(Table1[[#This Row],[ID]],Drank!A:P,16,FALSE),IF(Table1[[#This Row],[WALDD]]&gt;0,VLOOKUP(Table1[[#This Row],[ID]],Wine1!A:Q,17,FALSE),Table1[[#This Row],[EP]]))</f>
        <v>2035</v>
      </c>
      <c r="Z1176" s="18">
        <f>IF(Table1[[#This Row],[My Rating]]="",IF(Table1[[#This Row],[WA Rating Clean]]="","",Table1[[#This Row],[WA Rating Clean]]),Table1[[#This Row],[My Rating]])</f>
        <v>95</v>
      </c>
      <c r="AA1176" s="37">
        <v>2035</v>
      </c>
      <c r="AB1176" s="4">
        <v>58.65</v>
      </c>
      <c r="AC1176" s="2">
        <f t="shared" si="57"/>
        <v>58.65</v>
      </c>
      <c r="AD1176" s="8">
        <v>1</v>
      </c>
      <c r="AE1176" s="10">
        <f>IF(Table1[[#This Row],[P/750]]&lt;20,1,IF(Table1[[#This Row],[P/750]]&lt;50,2,3))</f>
        <v>3</v>
      </c>
      <c r="AF1176" s="10">
        <f>IF(Table1[[#This Row],[P/750]]&lt;Expenses!$C$30,1,IF(Table1[[#This Row],[P/750]]&lt;Expenses!$C$31,2,IF(Table1[[#This Row],[P/750]]&lt;Expenses!$C$32,3,4)))</f>
        <v>3</v>
      </c>
      <c r="AH1176" s="37" t="s">
        <v>1139</v>
      </c>
      <c r="AI1176" s="11">
        <f>Table1[[#This Row],[Price]]/Table1[[#This Row],[Size (ml)]]*750</f>
        <v>58.649999999999991</v>
      </c>
      <c r="AJ1176" s="37">
        <v>95</v>
      </c>
      <c r="AK1176" s="10">
        <f>COUNTIF(UniqueID!A:A,Table1[[#This Row],[ID]])</f>
        <v>0</v>
      </c>
      <c r="AL1176" s="10" t="str">
        <f>VLOOKUP(Table1[[#This Row],[Cellar Location]],Location!A:F,6,FALSE)</f>
        <v>W</v>
      </c>
      <c r="AN1176" s="1">
        <v>44058</v>
      </c>
      <c r="AO1176" s="10" t="str">
        <f>TEXT(Table1[[#This Row],[Purchased]],"mmmm")</f>
        <v>August</v>
      </c>
      <c r="AP1176" s="10" t="str">
        <f>TEXT(Table1[[#This Row],[Purchased]],"yyyy")</f>
        <v>2020</v>
      </c>
      <c r="AQ1176" s="1">
        <v>44132</v>
      </c>
    </row>
    <row r="1177" spans="1:43" s="37" customFormat="1" x14ac:dyDescent="0.25">
      <c r="A1177" s="37" t="str">
        <f t="shared" si="56"/>
        <v>2015Ciacci Piccolomini d AragonaBrunello di Montalcino</v>
      </c>
      <c r="B1177" s="37">
        <v>2015</v>
      </c>
      <c r="C1177" s="37" t="s">
        <v>1123</v>
      </c>
      <c r="D1177" s="37" t="s">
        <v>19</v>
      </c>
      <c r="E1177" s="9" t="s">
        <v>1250</v>
      </c>
      <c r="F1177" s="37" t="s">
        <v>728</v>
      </c>
      <c r="G1177" s="37" t="s">
        <v>790</v>
      </c>
      <c r="H1177" s="37" t="s">
        <v>19</v>
      </c>
      <c r="I1177" s="37">
        <v>1</v>
      </c>
      <c r="J1177" s="38">
        <v>750</v>
      </c>
      <c r="K1177" s="38" t="s">
        <v>415</v>
      </c>
      <c r="L1177" s="10">
        <f>COUNTIF(Drank!A:A,Table1[[#This Row],[ID]])</f>
        <v>0</v>
      </c>
      <c r="M1177" s="37" t="s">
        <v>202</v>
      </c>
      <c r="N1177" s="37" t="s">
        <v>207</v>
      </c>
      <c r="O1177" s="37">
        <v>1</v>
      </c>
      <c r="P1177" s="10">
        <v>2021</v>
      </c>
      <c r="Q1177" s="37">
        <v>2035</v>
      </c>
      <c r="R1177" s="10" t="str">
        <f>IF(IFERROR(VLOOKUP(A1177,Drank!A:S,15,FALSE),"")=0,"",IFERROR(VLOOKUP(A1177,Drank!A:S,15,FALSE),""))</f>
        <v/>
      </c>
      <c r="S1177" s="10" t="str">
        <f>IF(IFERROR(VLOOKUP(A1177,Drank!A:S,16,FALSE),"")=0,"",IFERROR(VLOOKUP(A1177,Drank!A:S,16,FALSE),""))</f>
        <v/>
      </c>
      <c r="T1177" s="10"/>
      <c r="U1177" s="37">
        <v>95</v>
      </c>
      <c r="V1177" s="18" t="str">
        <f>IF(IFERROR(VLOOKUP(A1177,Drank!A:T,19,FALSE),"")=0,"",IFERROR(VLOOKUP(A1177,Drank!A:T,19,FALSE),""))</f>
        <v/>
      </c>
      <c r="W1177" s="1" t="str">
        <f>IF(IFERROR(VLOOKUP(A1177,Drank!A:T,20,FALSE),"")=0,"",IFERROR(VLOOKUP(A1177,Drank!A:T,20,FALSE),""))</f>
        <v/>
      </c>
      <c r="X1177" s="10">
        <f>SUMIF(A:A,A1177,I:I)</f>
        <v>2</v>
      </c>
      <c r="Y1177" s="10">
        <f>IF(Table1[[#This Row],[Drank]]&gt;0,VLOOKUP(Table1[[#This Row],[ID]],Drank!A:P,16,FALSE),IF(Table1[[#This Row],[WALDD]]&gt;0,VLOOKUP(Table1[[#This Row],[ID]],Wine1!A:Q,17,FALSE),Table1[[#This Row],[EP]]))</f>
        <v>2035</v>
      </c>
      <c r="Z1177" s="18">
        <f>IF(Table1[[#This Row],[My Rating]]="",IF(Table1[[#This Row],[WA Rating Clean]]="","",Table1[[#This Row],[WA Rating Clean]]),Table1[[#This Row],[My Rating]])</f>
        <v>95</v>
      </c>
      <c r="AA1177" s="37">
        <v>2035</v>
      </c>
      <c r="AB1177" s="4">
        <v>54.49</v>
      </c>
      <c r="AC1177" s="2">
        <f t="shared" si="57"/>
        <v>54.49</v>
      </c>
      <c r="AD1177" s="8">
        <v>1</v>
      </c>
      <c r="AE1177" s="10">
        <f>IF(Table1[[#This Row],[P/750]]&lt;20,1,IF(Table1[[#This Row],[P/750]]&lt;50,2,3))</f>
        <v>3</v>
      </c>
      <c r="AF1177" s="10">
        <f>IF(Table1[[#This Row],[P/750]]&lt;Expenses!$C$30,1,IF(Table1[[#This Row],[P/750]]&lt;Expenses!$C$31,2,IF(Table1[[#This Row],[P/750]]&lt;Expenses!$C$32,3,4)))</f>
        <v>3</v>
      </c>
      <c r="AH1177" s="37" t="s">
        <v>415</v>
      </c>
      <c r="AI1177" s="11">
        <f>Table1[[#This Row],[Price]]/Table1[[#This Row],[Size (ml)]]*750</f>
        <v>54.49</v>
      </c>
      <c r="AJ1177" s="37">
        <v>95</v>
      </c>
      <c r="AK1177" s="10">
        <f>COUNTIF(UniqueID!A:A,Table1[[#This Row],[ID]])</f>
        <v>0</v>
      </c>
      <c r="AL1177" s="10" t="str">
        <f>VLOOKUP(Table1[[#This Row],[Cellar Location]],Location!A:F,6,FALSE)</f>
        <v>W</v>
      </c>
      <c r="AN1177" s="1">
        <v>44015</v>
      </c>
      <c r="AO1177" s="10" t="str">
        <f>TEXT(Table1[[#This Row],[Purchased]],"mmmm")</f>
        <v>July</v>
      </c>
      <c r="AP1177" s="10" t="str">
        <f>TEXT(Table1[[#This Row],[Purchased]],"yyyy")</f>
        <v>2020</v>
      </c>
      <c r="AQ1177" s="1">
        <v>44114</v>
      </c>
    </row>
    <row r="1178" spans="1:43" s="37" customFormat="1" x14ac:dyDescent="0.25">
      <c r="A1178" s="37" t="str">
        <f t="shared" si="56"/>
        <v>2013Celestino PecciBrunello di Montalcino</v>
      </c>
      <c r="B1178" s="37">
        <v>2013</v>
      </c>
      <c r="C1178" s="37" t="s">
        <v>1374</v>
      </c>
      <c r="D1178" s="37" t="s">
        <v>19</v>
      </c>
      <c r="E1178" s="67" t="s">
        <v>1250</v>
      </c>
      <c r="F1178" s="37" t="s">
        <v>728</v>
      </c>
      <c r="G1178" s="37" t="s">
        <v>790</v>
      </c>
      <c r="H1178" s="37" t="s">
        <v>19</v>
      </c>
      <c r="I1178" s="107">
        <v>1</v>
      </c>
      <c r="J1178" s="9">
        <v>750</v>
      </c>
      <c r="K1178" s="107" t="s">
        <v>1405</v>
      </c>
      <c r="L1178" s="10">
        <f>COUNTIF(Drank!A:A,Table1[[#This Row],[ID]])</f>
        <v>0</v>
      </c>
      <c r="M1178" s="37" t="s">
        <v>202</v>
      </c>
      <c r="N1178" s="37" t="s">
        <v>207</v>
      </c>
      <c r="O1178" s="37">
        <v>0</v>
      </c>
      <c r="P1178" s="10"/>
      <c r="R1178" s="10" t="str">
        <f>IF(IFERROR(VLOOKUP(A1178,Drank!A:S,15,FALSE),"")=0,"",IFERROR(VLOOKUP(A1178,Drank!A:S,15,FALSE),""))</f>
        <v/>
      </c>
      <c r="S1178" s="10" t="str">
        <f>IF(IFERROR(VLOOKUP(A1178,Drank!A:S,16,FALSE),"")=0,"",IFERROR(VLOOKUP(A1178,Drank!A:S,16,FALSE),""))</f>
        <v/>
      </c>
      <c r="T1178" s="10">
        <v>2035</v>
      </c>
      <c r="V1178" s="18" t="str">
        <f>IF(IFERROR(VLOOKUP(A1178,Drank!A:T,19,FALSE),"")=0,"",IFERROR(VLOOKUP(A1178,Drank!A:T,19,FALSE),""))</f>
        <v/>
      </c>
      <c r="W1178" s="1" t="str">
        <f>IF(IFERROR(VLOOKUP(A1178,Drank!A:T,20,FALSE),"")=0,"",IFERROR(VLOOKUP(A1178,Drank!A:T,20,FALSE),""))</f>
        <v/>
      </c>
      <c r="X1178" s="10">
        <f>SUMIF(A:A,A1178,I:I)</f>
        <v>4</v>
      </c>
      <c r="Y1178" s="10">
        <f>IF(Table1[[#This Row],[Drank]]&gt;0,VLOOKUP(Table1[[#This Row],[ID]],Drank!A:P,16,FALSE),IF(Table1[[#This Row],[WALDD]]&gt;0,VLOOKUP(Table1[[#This Row],[ID]],Wine1!A:Q,17,FALSE),Table1[[#This Row],[EP]]))</f>
        <v>2035</v>
      </c>
      <c r="Z1178" s="18" t="str">
        <f>IF(Table1[[#This Row],[My Rating]]="",IF(Table1[[#This Row],[WA Rating Clean]]="","",Table1[[#This Row],[WA Rating Clean]]),Table1[[#This Row],[My Rating]])</f>
        <v/>
      </c>
      <c r="AA1178" s="37">
        <v>2035</v>
      </c>
      <c r="AB1178" s="4">
        <v>39.325000000000003</v>
      </c>
      <c r="AC1178" s="2">
        <f t="shared" si="57"/>
        <v>39.325000000000003</v>
      </c>
      <c r="AD1178" s="8">
        <v>2</v>
      </c>
      <c r="AE1178" s="10">
        <f>IF(Table1[[#This Row],[P/750]]&lt;20,1,IF(Table1[[#This Row],[P/750]]&lt;50,2,3))</f>
        <v>2</v>
      </c>
      <c r="AF1178" s="10">
        <f>IF(Table1[[#This Row],[P/750]]&lt;Expenses!$C$30,1,IF(Table1[[#This Row],[P/750]]&lt;Expenses!$C$31,2,IF(Table1[[#This Row],[P/750]]&lt;Expenses!$C$32,3,4)))</f>
        <v>3</v>
      </c>
      <c r="AH1178" s="37" t="s">
        <v>385</v>
      </c>
      <c r="AI1178" s="11">
        <f>Table1[[#This Row],[Price]]/Table1[[#This Row],[Size (ml)]]*750</f>
        <v>39.325000000000003</v>
      </c>
      <c r="AK1178" s="10">
        <f>COUNTIF(UniqueID!A:A,Table1[[#This Row],[ID]])</f>
        <v>0</v>
      </c>
      <c r="AL1178" s="10" t="str">
        <f>VLOOKUP(Table1[[#This Row],[Cellar Location]],Location!A:F,6,FALSE)</f>
        <v>S</v>
      </c>
      <c r="AN1178" s="1">
        <v>43938</v>
      </c>
      <c r="AO1178" s="10" t="str">
        <f>TEXT(Table1[[#This Row],[Purchased]],"mmmm")</f>
        <v>April</v>
      </c>
      <c r="AP1178" s="10" t="str">
        <f>TEXT(Table1[[#This Row],[Purchased]],"yyyy")</f>
        <v>2020</v>
      </c>
      <c r="AQ1178" s="10"/>
    </row>
    <row r="1179" spans="1:43" s="37" customFormat="1" x14ac:dyDescent="0.25">
      <c r="A1179" s="37" t="str">
        <f t="shared" si="56"/>
        <v>2015Poggio AnticoBrunello di Montalcino</v>
      </c>
      <c r="B1179" s="37">
        <v>2015</v>
      </c>
      <c r="C1179" s="37" t="s">
        <v>223</v>
      </c>
      <c r="D1179" s="37" t="s">
        <v>19</v>
      </c>
      <c r="E1179" s="37" t="s">
        <v>1250</v>
      </c>
      <c r="F1179" s="37" t="s">
        <v>728</v>
      </c>
      <c r="G1179" s="37" t="s">
        <v>790</v>
      </c>
      <c r="H1179" s="37" t="s">
        <v>19</v>
      </c>
      <c r="I1179" s="8">
        <v>1</v>
      </c>
      <c r="J1179" s="38">
        <v>750</v>
      </c>
      <c r="K1179" s="38" t="s">
        <v>1687</v>
      </c>
      <c r="L1179" s="10">
        <f>COUNTIF(Drank!A:A,Table1[[#This Row],[ID]])</f>
        <v>0</v>
      </c>
      <c r="M1179" s="37" t="s">
        <v>202</v>
      </c>
      <c r="N1179" s="37" t="s">
        <v>207</v>
      </c>
      <c r="O1179" s="37">
        <v>1</v>
      </c>
      <c r="P1179" s="37">
        <v>2021</v>
      </c>
      <c r="Q1179" s="37">
        <v>2035</v>
      </c>
      <c r="R1179" s="10" t="str">
        <f>IF(IFERROR(VLOOKUP(A1179,Drank!A:S,15,FALSE),"")=0,"",IFERROR(VLOOKUP(A1179,Drank!A:S,15,FALSE),""))</f>
        <v/>
      </c>
      <c r="S1179" s="10" t="str">
        <f>IF(IFERROR(VLOOKUP(A1179,Drank!A:S,16,FALSE),"")=0,"",IFERROR(VLOOKUP(A1179,Drank!A:S,16,FALSE),""))</f>
        <v/>
      </c>
      <c r="T1179" s="10"/>
      <c r="U1179" s="37">
        <v>95</v>
      </c>
      <c r="V1179" s="18" t="str">
        <f>IF(IFERROR(VLOOKUP(A1179,Drank!A:T,19,FALSE),"")=0,"",IFERROR(VLOOKUP(A1179,Drank!A:T,19,FALSE),""))</f>
        <v/>
      </c>
      <c r="W1179" s="1" t="str">
        <f>IF(IFERROR(VLOOKUP(A1179,Drank!A:T,20,FALSE),"")=0,"",IFERROR(VLOOKUP(A1179,Drank!A:T,20,FALSE),""))</f>
        <v/>
      </c>
      <c r="X1179" s="10">
        <f>SUMIF(A:A,A1179,I:I)</f>
        <v>4</v>
      </c>
      <c r="Y1179" s="10">
        <f>IF(Table1[[#This Row],[Drank]]&gt;0,VLOOKUP(Table1[[#This Row],[ID]],Drank!A:P,16,FALSE),IF(Table1[[#This Row],[WALDD]]&gt;0,VLOOKUP(Table1[[#This Row],[ID]],Wine1!A:Q,17,FALSE),Table1[[#This Row],[EP]]))</f>
        <v>2035</v>
      </c>
      <c r="Z1179" s="18">
        <f>IF(Table1[[#This Row],[My Rating]]="",IF(Table1[[#This Row],[WA Rating Clean]]="","",Table1[[#This Row],[WA Rating Clean]]),Table1[[#This Row],[My Rating]])</f>
        <v>95</v>
      </c>
      <c r="AA1179" s="8">
        <v>2035</v>
      </c>
      <c r="AB1179" s="4">
        <v>66.930000000000007</v>
      </c>
      <c r="AC1179" s="2">
        <f t="shared" si="57"/>
        <v>66.930000000000007</v>
      </c>
      <c r="AD1179" s="8">
        <v>1</v>
      </c>
      <c r="AE1179" s="10">
        <f>IF(Table1[[#This Row],[P/750]]&lt;20,1,IF(Table1[[#This Row],[P/750]]&lt;50,2,3))</f>
        <v>3</v>
      </c>
      <c r="AF1179" s="10">
        <f>IF(Table1[[#This Row],[P/750]]&lt;Expenses!$C$30,1,IF(Table1[[#This Row],[P/750]]&lt;Expenses!$C$31,2,IF(Table1[[#This Row],[P/750]]&lt;Expenses!$C$32,3,4)))</f>
        <v>4</v>
      </c>
      <c r="AH1179" s="37" t="s">
        <v>1189</v>
      </c>
      <c r="AI1179" s="11">
        <f>Table1[[#This Row],[Price]]/Table1[[#This Row],[Size (ml)]]*750</f>
        <v>66.930000000000007</v>
      </c>
      <c r="AJ1179" s="37">
        <v>95</v>
      </c>
      <c r="AK1179" s="10">
        <f>COUNTIF(UniqueID!A:A,Table1[[#This Row],[ID]])</f>
        <v>0</v>
      </c>
      <c r="AL1179" s="10" t="str">
        <f>VLOOKUP(Table1[[#This Row],[Cellar Location]],Location!A:F,6,FALSE)</f>
        <v>W</v>
      </c>
      <c r="AN1179" s="1">
        <v>44061</v>
      </c>
      <c r="AO1179" s="10" t="str">
        <f>TEXT(Table1[[#This Row],[Purchased]],"mmmm")</f>
        <v>August</v>
      </c>
      <c r="AP1179" s="10" t="str">
        <f>TEXT(Table1[[#This Row],[Purchased]],"yyyy")</f>
        <v>2020</v>
      </c>
      <c r="AQ1179" s="1">
        <v>44137</v>
      </c>
    </row>
    <row r="1180" spans="1:43" s="37" customFormat="1" x14ac:dyDescent="0.25">
      <c r="A1180" s="37" t="str">
        <f t="shared" si="56"/>
        <v>2016GrattamaccoBolgheri Superiore l'Alberello</v>
      </c>
      <c r="B1180" s="37">
        <v>2016</v>
      </c>
      <c r="C1180" s="37" t="s">
        <v>1802</v>
      </c>
      <c r="D1180" s="37" t="s">
        <v>1334</v>
      </c>
      <c r="E1180" s="67" t="s">
        <v>1335</v>
      </c>
      <c r="F1180" s="67" t="s">
        <v>728</v>
      </c>
      <c r="G1180" s="37" t="s">
        <v>790</v>
      </c>
      <c r="H1180" s="37" t="s">
        <v>1336</v>
      </c>
      <c r="I1180" s="107">
        <v>1</v>
      </c>
      <c r="J1180" s="8">
        <v>750</v>
      </c>
      <c r="K1180" s="107" t="s">
        <v>1405</v>
      </c>
      <c r="L1180" s="10">
        <f>COUNTIF(Drank!A:A,Table1[[#This Row],[ID]])</f>
        <v>0</v>
      </c>
      <c r="M1180" s="37" t="s">
        <v>202</v>
      </c>
      <c r="N1180" s="37" t="s">
        <v>207</v>
      </c>
      <c r="O1180" s="37">
        <v>1</v>
      </c>
      <c r="P1180" s="10">
        <v>2020</v>
      </c>
      <c r="Q1180" s="37">
        <v>2035</v>
      </c>
      <c r="R1180" s="10" t="str">
        <f>IF(IFERROR(VLOOKUP(A1180,Drank!A:S,15,FALSE),"")=0,"",IFERROR(VLOOKUP(A1180,Drank!A:S,15,FALSE),""))</f>
        <v/>
      </c>
      <c r="S1180" s="10" t="str">
        <f>IF(IFERROR(VLOOKUP(A1180,Drank!A:S,16,FALSE),"")=0,"",IFERROR(VLOOKUP(A1180,Drank!A:S,16,FALSE),""))</f>
        <v/>
      </c>
      <c r="T1180" s="10"/>
      <c r="U1180" s="37">
        <v>96</v>
      </c>
      <c r="V1180" s="18" t="str">
        <f>IF(IFERROR(VLOOKUP(A1180,Drank!A:T,19,FALSE),"")=0,"",IFERROR(VLOOKUP(A1180,Drank!A:T,19,FALSE),""))</f>
        <v/>
      </c>
      <c r="W1180" s="1" t="str">
        <f>IF(IFERROR(VLOOKUP(A1180,Drank!A:T,20,FALSE),"")=0,"",IFERROR(VLOOKUP(A1180,Drank!A:T,20,FALSE),""))</f>
        <v/>
      </c>
      <c r="X1180" s="10">
        <f>SUMIF(A:A,A1180,I:I)</f>
        <v>9</v>
      </c>
      <c r="Y1180" s="10">
        <f>IF(Table1[[#This Row],[Drank]]&gt;0,VLOOKUP(Table1[[#This Row],[ID]],Drank!A:P,16,FALSE),IF(Table1[[#This Row],[WALDD]]&gt;0,VLOOKUP(Table1[[#This Row],[ID]],Wine1!A:Q,17,FALSE),Table1[[#This Row],[EP]]))</f>
        <v>2035</v>
      </c>
      <c r="Z1180" s="18">
        <f>IF(Table1[[#This Row],[My Rating]]="",IF(Table1[[#This Row],[WA Rating Clean]]="","",Table1[[#This Row],[WA Rating Clean]]),Table1[[#This Row],[My Rating]])</f>
        <v>96</v>
      </c>
      <c r="AA1180" s="6">
        <v>2035</v>
      </c>
      <c r="AB1180" s="4">
        <v>60.08</v>
      </c>
      <c r="AC1180" s="2">
        <f t="shared" si="57"/>
        <v>60.08</v>
      </c>
      <c r="AD1180" s="8">
        <v>2</v>
      </c>
      <c r="AE1180" s="10">
        <f>IF(Table1[[#This Row],[P/750]]&lt;20,1,IF(Table1[[#This Row],[P/750]]&lt;50,2,3))</f>
        <v>3</v>
      </c>
      <c r="AF1180" s="10">
        <f>IF(Table1[[#This Row],[P/750]]&lt;Expenses!$C$30,1,IF(Table1[[#This Row],[P/750]]&lt;Expenses!$C$31,2,IF(Table1[[#This Row],[P/750]]&lt;Expenses!$C$32,3,4)))</f>
        <v>3</v>
      </c>
      <c r="AH1180" s="37" t="s">
        <v>385</v>
      </c>
      <c r="AI1180" s="11">
        <f>Table1[[#This Row],[Price]]/Table1[[#This Row],[Size (ml)]]*750</f>
        <v>60.079999999999991</v>
      </c>
      <c r="AJ1180" s="37">
        <v>96</v>
      </c>
      <c r="AK1180" s="10">
        <f>COUNTIF(UniqueID!A:A,Table1[[#This Row],[ID]])</f>
        <v>0</v>
      </c>
      <c r="AL1180" s="10" t="str">
        <f>VLOOKUP(Table1[[#This Row],[Cellar Location]],Location!A:F,6,FALSE)</f>
        <v>S</v>
      </c>
      <c r="AN1180" s="1">
        <v>43923</v>
      </c>
      <c r="AO1180" s="10" t="str">
        <f>TEXT(Table1[[#This Row],[Purchased]],"mmmm")</f>
        <v>April</v>
      </c>
      <c r="AP1180" s="10" t="str">
        <f>TEXT(Table1[[#This Row],[Purchased]],"yyyy")</f>
        <v>2020</v>
      </c>
      <c r="AQ1180" s="1"/>
    </row>
    <row r="1181" spans="1:43" s="37" customFormat="1" x14ac:dyDescent="0.25">
      <c r="A1181" s="37" t="str">
        <f t="shared" ref="A1181:A1244" si="58">CONCATENATE(B1181,C1181,D1181)</f>
        <v>2009MasiAmarone della Valpolicella Classico Campolongo di Torbe</v>
      </c>
      <c r="B1181" s="37">
        <v>2009</v>
      </c>
      <c r="C1181" s="37" t="s">
        <v>37</v>
      </c>
      <c r="D1181" s="37" t="s">
        <v>402</v>
      </c>
      <c r="E1181" s="64" t="s">
        <v>313</v>
      </c>
      <c r="F1181" s="37" t="s">
        <v>728</v>
      </c>
      <c r="G1181" s="37" t="s">
        <v>799</v>
      </c>
      <c r="H1181" s="37" t="s">
        <v>800</v>
      </c>
      <c r="I1181" s="37">
        <v>1</v>
      </c>
      <c r="J1181" s="37">
        <v>750</v>
      </c>
      <c r="K1181" s="8" t="s">
        <v>8</v>
      </c>
      <c r="L1181" s="37">
        <f>COUNTIF(Drank!A:A,Table1[[#This Row],[ID]])</f>
        <v>0</v>
      </c>
      <c r="M1181" s="37" t="s">
        <v>202</v>
      </c>
      <c r="N1181" s="37" t="s">
        <v>207</v>
      </c>
      <c r="O1181" s="37">
        <v>1</v>
      </c>
      <c r="P1181" s="37">
        <v>2018</v>
      </c>
      <c r="Q1181" s="37">
        <v>2035</v>
      </c>
      <c r="R1181" s="10" t="str">
        <f>IF(IFERROR(VLOOKUP(A1181,Drank!A:S,15,FALSE),"")=0,"",IFERROR(VLOOKUP(A1181,Drank!A:S,15,FALSE),""))</f>
        <v/>
      </c>
      <c r="S1181" s="10" t="str">
        <f>IF(IFERROR(VLOOKUP(A1181,Drank!A:S,16,FALSE),"")=0,"",IFERROR(VLOOKUP(A1181,Drank!A:S,16,FALSE),""))</f>
        <v/>
      </c>
      <c r="T1181" s="10"/>
      <c r="U1181" s="37">
        <v>97</v>
      </c>
      <c r="V1181" s="18" t="str">
        <f>IF(IFERROR(VLOOKUP(A1181,Drank!A:T,19,FALSE),"")=0,"",IFERROR(VLOOKUP(A1181,Drank!A:T,19,FALSE),""))</f>
        <v/>
      </c>
      <c r="W1181" s="1" t="str">
        <f>IF(IFERROR(VLOOKUP(A1181,Drank!A:T,20,FALSE),"")=0,"",IFERROR(VLOOKUP(A1181,Drank!A:T,20,FALSE),""))</f>
        <v/>
      </c>
      <c r="X1181" s="10">
        <f>SUMIF(A:A,A1181,I:I)</f>
        <v>2</v>
      </c>
      <c r="Y1181" s="37">
        <f>IF(Table1[[#This Row],[Drank]]&gt;0,VLOOKUP(Table1[[#This Row],[ID]],Drank!A:P,16,FALSE),IF(Table1[[#This Row],[WALDD]]&gt;0,VLOOKUP(Table1[[#This Row],[ID]],Wine1!A:Q,17,FALSE),Table1[[#This Row],[EP]]))</f>
        <v>2035</v>
      </c>
      <c r="Z1181" s="18">
        <f>IF(Table1[[#This Row],[My Rating]]="",IF(Table1[[#This Row],[WA Rating Clean]]="","",Table1[[#This Row],[WA Rating Clean]]),Table1[[#This Row],[My Rating]])</f>
        <v>97</v>
      </c>
      <c r="AA1181" s="8">
        <v>2035</v>
      </c>
      <c r="AB1181" s="4">
        <v>130</v>
      </c>
      <c r="AC1181" s="2">
        <f t="shared" ref="AC1181:AC1244" si="59">AB1181*I1181</f>
        <v>130</v>
      </c>
      <c r="AD1181" s="8">
        <v>0</v>
      </c>
      <c r="AE1181" s="37">
        <f>IF(Table1[[#This Row],[P/750]]&lt;20,1,IF(Table1[[#This Row],[P/750]]&lt;50,2,3))</f>
        <v>3</v>
      </c>
      <c r="AF1181" s="37">
        <f>IF(Table1[[#This Row],[P/750]]&lt;Expenses!$C$30,1,IF(Table1[[#This Row],[P/750]]&lt;Expenses!$C$31,2,IF(Table1[[#This Row],[P/750]]&lt;Expenses!$C$32,3,4)))</f>
        <v>4</v>
      </c>
      <c r="AH1181" s="37" t="s">
        <v>1140</v>
      </c>
      <c r="AI1181" s="11">
        <f>Table1[[#This Row],[Price]]/Table1[[#This Row],[Size (ml)]]*750</f>
        <v>130</v>
      </c>
      <c r="AJ1181" s="37">
        <v>97</v>
      </c>
      <c r="AK1181" s="37">
        <f>COUNTIF(UniqueID!A:A,Table1[[#This Row],[ID]])</f>
        <v>1</v>
      </c>
      <c r="AL1181" s="37" t="str">
        <f>VLOOKUP(Table1[[#This Row],[Cellar Location]],Location!A:F,6,FALSE)</f>
        <v>K</v>
      </c>
      <c r="AO1181" s="37" t="str">
        <f>TEXT(Table1[[#This Row],[Purchased]],"mmmm")</f>
        <v>January</v>
      </c>
      <c r="AP1181" s="10" t="str">
        <f>TEXT(Table1[[#This Row],[Purchased]],"yyyy")</f>
        <v>1900</v>
      </c>
      <c r="AQ1181" s="10"/>
    </row>
    <row r="1182" spans="1:43" s="37" customFormat="1" x14ac:dyDescent="0.25">
      <c r="A1182" s="37" t="str">
        <f t="shared" si="58"/>
        <v>2016GrattamaccoBolgheri Superiore</v>
      </c>
      <c r="B1182" s="37">
        <v>2016</v>
      </c>
      <c r="C1182" s="37" t="s">
        <v>1802</v>
      </c>
      <c r="D1182" s="37" t="s">
        <v>1336</v>
      </c>
      <c r="E1182" s="67" t="s">
        <v>1746</v>
      </c>
      <c r="F1182" s="37" t="s">
        <v>728</v>
      </c>
      <c r="G1182" s="37" t="s">
        <v>790</v>
      </c>
      <c r="H1182" s="37" t="s">
        <v>1336</v>
      </c>
      <c r="I1182" s="37">
        <v>1</v>
      </c>
      <c r="J1182" s="38">
        <v>750</v>
      </c>
      <c r="K1182" s="38" t="s">
        <v>1564</v>
      </c>
      <c r="L1182" s="10">
        <f>COUNTIF(Drank!A:A,Table1[[#This Row],[ID]])</f>
        <v>0</v>
      </c>
      <c r="M1182" s="37" t="s">
        <v>202</v>
      </c>
      <c r="N1182" s="37" t="s">
        <v>207</v>
      </c>
      <c r="O1182" s="37">
        <v>0</v>
      </c>
      <c r="P1182" s="10"/>
      <c r="R1182" s="10" t="str">
        <f>IF(IFERROR(VLOOKUP(A1182,Drank!A:S,15,FALSE),"")=0,"",IFERROR(VLOOKUP(A1182,Drank!A:S,15,FALSE),""))</f>
        <v/>
      </c>
      <c r="S1182" s="10" t="str">
        <f>IF(IFERROR(VLOOKUP(A1182,Drank!A:S,16,FALSE),"")=0,"",IFERROR(VLOOKUP(A1182,Drank!A:S,16,FALSE),""))</f>
        <v/>
      </c>
      <c r="T1182" s="10">
        <v>2037</v>
      </c>
      <c r="V1182" s="18" t="str">
        <f>IF(IFERROR(VLOOKUP(A1182,Drank!A:T,19,FALSE),"")=0,"",IFERROR(VLOOKUP(A1182,Drank!A:T,19,FALSE),""))</f>
        <v/>
      </c>
      <c r="W1182" s="1" t="str">
        <f>IF(IFERROR(VLOOKUP(A1182,Drank!A:T,20,FALSE),"")=0,"",IFERROR(VLOOKUP(A1182,Drank!A:T,20,FALSE),""))</f>
        <v/>
      </c>
      <c r="X1182" s="10">
        <f>SUMIF(A:A,A1182,I:I)</f>
        <v>2</v>
      </c>
      <c r="Y1182" s="10">
        <f>IF(Table1[[#This Row],[Drank]]&gt;0,VLOOKUP(Table1[[#This Row],[ID]],Drank!A:P,16,FALSE),IF(Table1[[#This Row],[WALDD]]&gt;0,VLOOKUP(Table1[[#This Row],[ID]],Wine1!A:Q,17,FALSE),Table1[[#This Row],[EP]]))</f>
        <v>2037</v>
      </c>
      <c r="Z1182" s="18" t="str">
        <f>IF(Table1[[#This Row],[My Rating]]="",IF(Table1[[#This Row],[WA Rating Clean]]="","",Table1[[#This Row],[WA Rating Clean]]),Table1[[#This Row],[My Rating]])</f>
        <v/>
      </c>
      <c r="AA1182" s="37">
        <v>2035</v>
      </c>
      <c r="AB1182" s="127">
        <v>69.510000000000005</v>
      </c>
      <c r="AC1182" s="2">
        <f t="shared" si="59"/>
        <v>69.510000000000005</v>
      </c>
      <c r="AD1182" s="8">
        <v>1</v>
      </c>
      <c r="AE1182" s="10">
        <f>IF(Table1[[#This Row],[P/750]]&lt;20,1,IF(Table1[[#This Row],[P/750]]&lt;50,2,3))</f>
        <v>3</v>
      </c>
      <c r="AF1182" s="10">
        <f>IF(Table1[[#This Row],[P/750]]&lt;Expenses!$C$30,1,IF(Table1[[#This Row],[P/750]]&lt;Expenses!$C$31,2,IF(Table1[[#This Row],[P/750]]&lt;Expenses!$C$32,3,4)))</f>
        <v>4</v>
      </c>
      <c r="AH1182" s="25" t="s">
        <v>1564</v>
      </c>
      <c r="AI1182" s="11">
        <f>Table1[[#This Row],[Price]]/Table1[[#This Row],[Size (ml)]]*750</f>
        <v>69.510000000000005</v>
      </c>
      <c r="AK1182" s="10">
        <f>COUNTIF(UniqueID!A:A,Table1[[#This Row],[ID]])</f>
        <v>0</v>
      </c>
      <c r="AL1182" s="10" t="str">
        <f>VLOOKUP(Table1[[#This Row],[Cellar Location]],Location!A:F,6,FALSE)</f>
        <v>W</v>
      </c>
      <c r="AN1182" s="1">
        <v>44064</v>
      </c>
      <c r="AO1182" s="10" t="str">
        <f>TEXT(Table1[[#This Row],[Purchased]],"mmmm")</f>
        <v>August</v>
      </c>
      <c r="AP1182" s="10" t="str">
        <f>TEXT(Table1[[#This Row],[Purchased]],"yyyy")</f>
        <v>2020</v>
      </c>
      <c r="AQ1182" s="1">
        <v>44114</v>
      </c>
    </row>
    <row r="1183" spans="1:43" s="37" customFormat="1" x14ac:dyDescent="0.25">
      <c r="A1183" s="37" t="str">
        <f t="shared" si="58"/>
        <v>2015Castello RomitorioBrunello di Montalcino</v>
      </c>
      <c r="B1183" s="37">
        <v>2015</v>
      </c>
      <c r="C1183" s="37" t="s">
        <v>689</v>
      </c>
      <c r="D1183" s="37" t="s">
        <v>19</v>
      </c>
      <c r="E1183" s="67" t="s">
        <v>1250</v>
      </c>
      <c r="F1183" s="37" t="s">
        <v>728</v>
      </c>
      <c r="G1183" s="37" t="s">
        <v>790</v>
      </c>
      <c r="H1183" s="37" t="s">
        <v>19</v>
      </c>
      <c r="I1183" s="8">
        <v>1</v>
      </c>
      <c r="J1183" s="38">
        <v>750</v>
      </c>
      <c r="K1183" s="38" t="s">
        <v>1139</v>
      </c>
      <c r="L1183" s="10">
        <f>COUNTIF(Drank!A:A,Table1[[#This Row],[ID]])</f>
        <v>0</v>
      </c>
      <c r="M1183" s="37" t="s">
        <v>202</v>
      </c>
      <c r="N1183" s="37" t="s">
        <v>207</v>
      </c>
      <c r="O1183" s="37">
        <v>1</v>
      </c>
      <c r="P1183" s="10">
        <v>2021</v>
      </c>
      <c r="Q1183" s="37">
        <v>2038</v>
      </c>
      <c r="R1183" s="10" t="str">
        <f>IF(IFERROR(VLOOKUP(A1183,Drank!A:S,15,FALSE),"")=0,"",IFERROR(VLOOKUP(A1183,Drank!A:S,15,FALSE),""))</f>
        <v/>
      </c>
      <c r="S1183" s="10" t="str">
        <f>IF(IFERROR(VLOOKUP(A1183,Drank!A:S,16,FALSE),"")=0,"",IFERROR(VLOOKUP(A1183,Drank!A:S,16,FALSE),""))</f>
        <v/>
      </c>
      <c r="T1183" s="10"/>
      <c r="U1183" s="37">
        <v>95</v>
      </c>
      <c r="V1183" s="18" t="str">
        <f>IF(IFERROR(VLOOKUP(A1183,Drank!A:T,19,FALSE),"")=0,"",IFERROR(VLOOKUP(A1183,Drank!A:T,19,FALSE),""))</f>
        <v/>
      </c>
      <c r="W1183" s="1" t="str">
        <f>IF(IFERROR(VLOOKUP(A1183,Drank!A:T,20,FALSE),"")=0,"",IFERROR(VLOOKUP(A1183,Drank!A:T,20,FALSE),""))</f>
        <v/>
      </c>
      <c r="X1183" s="10">
        <f>SUMIF(A:A,A1183,I:I)</f>
        <v>4</v>
      </c>
      <c r="Y1183" s="10">
        <f>IF(Table1[[#This Row],[Drank]]&gt;0,VLOOKUP(Table1[[#This Row],[ID]],Drank!A:P,16,FALSE),IF(Table1[[#This Row],[WALDD]]&gt;0,VLOOKUP(Table1[[#This Row],[ID]],Wine1!A:Q,17,FALSE),Table1[[#This Row],[EP]]))</f>
        <v>2038</v>
      </c>
      <c r="Z1183" s="18">
        <f>IF(Table1[[#This Row],[My Rating]]="",IF(Table1[[#This Row],[WA Rating Clean]]="","",Table1[[#This Row],[WA Rating Clean]]),Table1[[#This Row],[My Rating]])</f>
        <v>95</v>
      </c>
      <c r="AA1183" s="37">
        <v>2035</v>
      </c>
      <c r="AB1183" s="4">
        <v>58.65</v>
      </c>
      <c r="AC1183" s="2">
        <f t="shared" si="59"/>
        <v>58.65</v>
      </c>
      <c r="AD1183" s="8">
        <v>1</v>
      </c>
      <c r="AE1183" s="10">
        <f>IF(Table1[[#This Row],[P/750]]&lt;20,1,IF(Table1[[#This Row],[P/750]]&lt;50,2,3))</f>
        <v>3</v>
      </c>
      <c r="AF1183" s="10">
        <f>IF(Table1[[#This Row],[P/750]]&lt;Expenses!$C$30,1,IF(Table1[[#This Row],[P/750]]&lt;Expenses!$C$31,2,IF(Table1[[#This Row],[P/750]]&lt;Expenses!$C$32,3,4)))</f>
        <v>3</v>
      </c>
      <c r="AH1183" s="37" t="s">
        <v>1139</v>
      </c>
      <c r="AI1183" s="11">
        <f>Table1[[#This Row],[Price]]/Table1[[#This Row],[Size (ml)]]*750</f>
        <v>58.649999999999991</v>
      </c>
      <c r="AJ1183" s="37">
        <v>95</v>
      </c>
      <c r="AK1183" s="10">
        <f>COUNTIF(UniqueID!A:A,Table1[[#This Row],[ID]])</f>
        <v>0</v>
      </c>
      <c r="AL1183" s="10" t="str">
        <f>VLOOKUP(Table1[[#This Row],[Cellar Location]],Location!A:F,6,FALSE)</f>
        <v>W</v>
      </c>
      <c r="AN1183" s="1">
        <v>44058</v>
      </c>
      <c r="AO1183" s="10" t="str">
        <f>TEXT(Table1[[#This Row],[Purchased]],"mmmm")</f>
        <v>August</v>
      </c>
      <c r="AP1183" s="10" t="str">
        <f>TEXT(Table1[[#This Row],[Purchased]],"yyyy")</f>
        <v>2020</v>
      </c>
      <c r="AQ1183" s="1">
        <v>44132</v>
      </c>
    </row>
    <row r="1184" spans="1:43" s="37" customFormat="1" x14ac:dyDescent="0.25">
      <c r="A1184" s="37" t="str">
        <f t="shared" si="58"/>
        <v>2015BellevueBellevue</v>
      </c>
      <c r="B1184" s="37">
        <v>2015</v>
      </c>
      <c r="C1184" s="37" t="s">
        <v>122</v>
      </c>
      <c r="D1184" s="37" t="s">
        <v>122</v>
      </c>
      <c r="E1184" s="64" t="s">
        <v>275</v>
      </c>
      <c r="F1184" s="37" t="s">
        <v>742</v>
      </c>
      <c r="G1184" s="37" t="s">
        <v>748</v>
      </c>
      <c r="H1184" s="37" t="s">
        <v>751</v>
      </c>
      <c r="I1184" s="37">
        <v>1</v>
      </c>
      <c r="J1184" s="37">
        <v>750</v>
      </c>
      <c r="K1184" s="8" t="s">
        <v>8</v>
      </c>
      <c r="L1184" s="37">
        <f>COUNTIF(Drank!A:A,Table1[[#This Row],[ID]])</f>
        <v>0</v>
      </c>
      <c r="M1184" s="37" t="s">
        <v>202</v>
      </c>
      <c r="N1184" s="37" t="s">
        <v>207</v>
      </c>
      <c r="O1184" s="37">
        <v>1</v>
      </c>
      <c r="P1184" s="37">
        <v>2021</v>
      </c>
      <c r="Q1184" s="37">
        <v>2039</v>
      </c>
      <c r="R1184" s="37" t="str">
        <f>IF(IFERROR(VLOOKUP(A1184,Drank!A:S,15,FALSE),"")=0,"",IFERROR(VLOOKUP(A1184,Drank!A:S,15,FALSE),""))</f>
        <v/>
      </c>
      <c r="S1184" s="37" t="str">
        <f>IF(IFERROR(VLOOKUP(A1184,Drank!A:S,16,FALSE),"")=0,"",IFERROR(VLOOKUP(A1184,Drank!A:S,16,FALSE),""))</f>
        <v/>
      </c>
      <c r="U1184" s="37" t="s">
        <v>17</v>
      </c>
      <c r="V1184" s="18" t="str">
        <f>IF(IFERROR(VLOOKUP(A1184,Drank!A:T,19,FALSE),"")=0,"",IFERROR(VLOOKUP(A1184,Drank!A:T,19,FALSE),""))</f>
        <v/>
      </c>
      <c r="W1184" s="1" t="str">
        <f>IF(IFERROR(VLOOKUP(A1184,Drank!A:T,20,FALSE),"")=0,"",IFERROR(VLOOKUP(A1184,Drank!A:T,20,FALSE),""))</f>
        <v/>
      </c>
      <c r="X1184" s="37">
        <f>SUMIF(A:A,A1184,I:I)</f>
        <v>2</v>
      </c>
      <c r="Y1184" s="37">
        <f>IF(Table1[[#This Row],[Drank]]&gt;0,VLOOKUP(Table1[[#This Row],[ID]],Drank!A:P,16,FALSE),IF(Table1[[#This Row],[WALDD]]&gt;0,VLOOKUP(Table1[[#This Row],[ID]],Wine1!A:Q,17,FALSE),Table1[[#This Row],[EP]]))</f>
        <v>2039</v>
      </c>
      <c r="Z1184" s="18">
        <f>IF(Table1[[#This Row],[My Rating]]="",IF(Table1[[#This Row],[WA Rating Clean]]="","",Table1[[#This Row],[WA Rating Clean]]),Table1[[#This Row],[My Rating]])</f>
        <v>94</v>
      </c>
      <c r="AA1184" s="37">
        <v>2035</v>
      </c>
      <c r="AB1184" s="3">
        <v>54</v>
      </c>
      <c r="AC1184" s="2">
        <f t="shared" si="59"/>
        <v>54</v>
      </c>
      <c r="AD1184" s="8">
        <v>0</v>
      </c>
      <c r="AE1184" s="37">
        <f>IF(Table1[[#This Row],[P/750]]&lt;20,1,IF(Table1[[#This Row],[P/750]]&lt;50,2,3))</f>
        <v>3</v>
      </c>
      <c r="AF1184" s="37">
        <f>IF(Table1[[#This Row],[P/750]]&lt;Expenses!$C$30,1,IF(Table1[[#This Row],[P/750]]&lt;Expenses!$C$31,2,IF(Table1[[#This Row],[P/750]]&lt;Expenses!$C$32,3,4)))</f>
        <v>3</v>
      </c>
      <c r="AH1184" s="37" t="s">
        <v>1131</v>
      </c>
      <c r="AI1184" s="11">
        <f>Table1[[#This Row],[Price]]/Table1[[#This Row],[Size (ml)]]*750</f>
        <v>53.999999999999993</v>
      </c>
      <c r="AJ1184" s="37">
        <v>94</v>
      </c>
      <c r="AK1184" s="37">
        <f>COUNTIF(UniqueID!A:A,Table1[[#This Row],[ID]])</f>
        <v>1</v>
      </c>
      <c r="AL1184" s="37" t="str">
        <f>VLOOKUP(Table1[[#This Row],[Cellar Location]],Location!A:F,6,FALSE)</f>
        <v>K</v>
      </c>
      <c r="AO1184" s="37" t="str">
        <f>TEXT(Table1[[#This Row],[Purchased]],"mmmm")</f>
        <v>January</v>
      </c>
      <c r="AP1184" s="10" t="str">
        <f>TEXT(Table1[[#This Row],[Purchased]],"yyyy")</f>
        <v>1900</v>
      </c>
      <c r="AQ1184" s="10"/>
    </row>
    <row r="1185" spans="1:43" s="37" customFormat="1" x14ac:dyDescent="0.25">
      <c r="A1185" s="37" t="str">
        <f t="shared" si="58"/>
        <v>2017Domaine Pierre GuillemotSavigny Les Beaune Vieilles Vignes</v>
      </c>
      <c r="B1185" s="37">
        <v>2017</v>
      </c>
      <c r="C1185" s="37" t="s">
        <v>1592</v>
      </c>
      <c r="D1185" s="37" t="s">
        <v>1594</v>
      </c>
      <c r="E1185" s="67" t="s">
        <v>1462</v>
      </c>
      <c r="F1185" s="37" t="s">
        <v>742</v>
      </c>
      <c r="G1185" s="37" t="s">
        <v>754</v>
      </c>
      <c r="H1185" s="37" t="s">
        <v>1593</v>
      </c>
      <c r="I1185" s="8">
        <v>1</v>
      </c>
      <c r="J1185" s="38">
        <v>750</v>
      </c>
      <c r="K1185" s="38" t="s">
        <v>1139</v>
      </c>
      <c r="L1185" s="10">
        <f>COUNTIF(Drank!A:A,Table1[[#This Row],[ID]])</f>
        <v>0</v>
      </c>
      <c r="M1185" s="37" t="s">
        <v>202</v>
      </c>
      <c r="N1185" s="37" t="s">
        <v>207</v>
      </c>
      <c r="O1185" s="37">
        <v>1</v>
      </c>
      <c r="P1185" s="10">
        <v>2020</v>
      </c>
      <c r="Q1185" s="37">
        <v>2040</v>
      </c>
      <c r="R1185" s="10" t="str">
        <f>IF(IFERROR(VLOOKUP(A1185,Drank!A:S,15,FALSE),"")=0,"",IFERROR(VLOOKUP(A1185,Drank!A:S,15,FALSE),""))</f>
        <v/>
      </c>
      <c r="S1185" s="10" t="str">
        <f>IF(IFERROR(VLOOKUP(A1185,Drank!A:S,16,FALSE),"")=0,"",IFERROR(VLOOKUP(A1185,Drank!A:S,16,FALSE),""))</f>
        <v/>
      </c>
      <c r="T1185" s="10"/>
      <c r="U1185" s="37">
        <v>90</v>
      </c>
      <c r="V1185" s="18" t="str">
        <f>IF(IFERROR(VLOOKUP(A1185,Drank!A:T,19,FALSE),"")=0,"",IFERROR(VLOOKUP(A1185,Drank!A:T,19,FALSE),""))</f>
        <v/>
      </c>
      <c r="W1185" s="1" t="str">
        <f>IF(IFERROR(VLOOKUP(A1185,Drank!A:T,20,FALSE),"")=0,"",IFERROR(VLOOKUP(A1185,Drank!A:T,20,FALSE),""))</f>
        <v/>
      </c>
      <c r="X1185" s="10">
        <f>SUMIF(A:A,A1185,I:I)</f>
        <v>2</v>
      </c>
      <c r="Y1185" s="10">
        <f>IF(Table1[[#This Row],[Drank]]&gt;0,VLOOKUP(Table1[[#This Row],[ID]],Drank!A:P,16,FALSE),IF(Table1[[#This Row],[WALDD]]&gt;0,VLOOKUP(Table1[[#This Row],[ID]],Wine1!A:Q,17,FALSE),Table1[[#This Row],[EP]]))</f>
        <v>2040</v>
      </c>
      <c r="Z1185" s="18">
        <f>IF(Table1[[#This Row],[My Rating]]="",IF(Table1[[#This Row],[WA Rating Clean]]="","",Table1[[#This Row],[WA Rating Clean]]),Table1[[#This Row],[My Rating]])</f>
        <v>90</v>
      </c>
      <c r="AA1185" s="37">
        <v>2035</v>
      </c>
      <c r="AB1185" s="4">
        <v>41.05</v>
      </c>
      <c r="AC1185" s="2">
        <f t="shared" si="59"/>
        <v>41.05</v>
      </c>
      <c r="AD1185" s="8">
        <v>1</v>
      </c>
      <c r="AE1185" s="10">
        <f>IF(Table1[[#This Row],[P/750]]&lt;20,1,IF(Table1[[#This Row],[P/750]]&lt;50,2,3))</f>
        <v>2</v>
      </c>
      <c r="AF1185" s="10">
        <f>IF(Table1[[#This Row],[P/750]]&lt;Expenses!$C$30,1,IF(Table1[[#This Row],[P/750]]&lt;Expenses!$C$31,2,IF(Table1[[#This Row],[P/750]]&lt;Expenses!$C$32,3,4)))</f>
        <v>3</v>
      </c>
      <c r="AH1185" s="37" t="s">
        <v>1139</v>
      </c>
      <c r="AI1185" s="11">
        <f>Table1[[#This Row],[Price]]/Table1[[#This Row],[Size (ml)]]*750</f>
        <v>41.05</v>
      </c>
      <c r="AJ1185" s="37">
        <v>90</v>
      </c>
      <c r="AK1185" s="10">
        <f>COUNTIF(UniqueID!A:A,Table1[[#This Row],[ID]])</f>
        <v>0</v>
      </c>
      <c r="AL1185" s="10" t="str">
        <f>VLOOKUP(Table1[[#This Row],[Cellar Location]],Location!A:F,6,FALSE)</f>
        <v>W</v>
      </c>
      <c r="AN1185" s="1">
        <v>44058</v>
      </c>
      <c r="AO1185" s="10" t="str">
        <f>TEXT(Table1[[#This Row],[Purchased]],"mmmm")</f>
        <v>August</v>
      </c>
      <c r="AP1185" s="10" t="str">
        <f>TEXT(Table1[[#This Row],[Purchased]],"yyyy")</f>
        <v>2020</v>
      </c>
      <c r="AQ1185" s="1">
        <v>44132</v>
      </c>
    </row>
    <row r="1186" spans="1:43" s="37" customFormat="1" x14ac:dyDescent="0.25">
      <c r="A1186" s="37" t="str">
        <f t="shared" si="58"/>
        <v>2015GrattamaccoBlogheri Superiore</v>
      </c>
      <c r="B1186" s="37">
        <v>2015</v>
      </c>
      <c r="C1186" s="37" t="s">
        <v>1802</v>
      </c>
      <c r="D1186" s="37" t="s">
        <v>1745</v>
      </c>
      <c r="E1186" s="67" t="s">
        <v>1746</v>
      </c>
      <c r="F1186" s="37" t="s">
        <v>728</v>
      </c>
      <c r="G1186" s="37" t="s">
        <v>790</v>
      </c>
      <c r="H1186" s="37" t="s">
        <v>1336</v>
      </c>
      <c r="I1186" s="8">
        <v>1</v>
      </c>
      <c r="J1186" s="38">
        <v>750</v>
      </c>
      <c r="K1186" s="38" t="s">
        <v>435</v>
      </c>
      <c r="L1186" s="10">
        <f>COUNTIF(Drank!A:A,Table1[[#This Row],[ID]])</f>
        <v>0</v>
      </c>
      <c r="M1186" s="37" t="s">
        <v>202</v>
      </c>
      <c r="N1186" s="37" t="s">
        <v>207</v>
      </c>
      <c r="O1186" s="37">
        <v>1</v>
      </c>
      <c r="P1186" s="10">
        <v>2019</v>
      </c>
      <c r="Q1186" s="37">
        <v>2040</v>
      </c>
      <c r="R1186" s="10" t="str">
        <f>IF(IFERROR(VLOOKUP(A1186,Drank!A:S,15,FALSE),"")=0,"",IFERROR(VLOOKUP(A1186,Drank!A:S,15,FALSE),""))</f>
        <v/>
      </c>
      <c r="S1186" s="10" t="str">
        <f>IF(IFERROR(VLOOKUP(A1186,Drank!A:S,16,FALSE),"")=0,"",IFERROR(VLOOKUP(A1186,Drank!A:S,16,FALSE),""))</f>
        <v/>
      </c>
      <c r="T1186" s="10"/>
      <c r="U1186" s="37">
        <v>97</v>
      </c>
      <c r="V1186" s="18" t="str">
        <f>IF(IFERROR(VLOOKUP(A1186,Drank!A:T,19,FALSE),"")=0,"",IFERROR(VLOOKUP(A1186,Drank!A:T,19,FALSE),""))</f>
        <v/>
      </c>
      <c r="W1186" s="1" t="str">
        <f>IF(IFERROR(VLOOKUP(A1186,Drank!A:T,20,FALSE),"")=0,"",IFERROR(VLOOKUP(A1186,Drank!A:T,20,FALSE),""))</f>
        <v/>
      </c>
      <c r="X1186" s="10">
        <f>SUMIF(A:A,A1186,I:I)</f>
        <v>2</v>
      </c>
      <c r="Y1186" s="10">
        <f>IF(Table1[[#This Row],[Drank]]&gt;0,VLOOKUP(Table1[[#This Row],[ID]],Drank!A:P,16,FALSE),IF(Table1[[#This Row],[WALDD]]&gt;0,VLOOKUP(Table1[[#This Row],[ID]],Wine1!A:Q,17,FALSE),Table1[[#This Row],[EP]]))</f>
        <v>2040</v>
      </c>
      <c r="Z1186" s="18">
        <f>IF(Table1[[#This Row],[My Rating]]="",IF(Table1[[#This Row],[WA Rating Clean]]="","",Table1[[#This Row],[WA Rating Clean]]),Table1[[#This Row],[My Rating]])</f>
        <v>97</v>
      </c>
      <c r="AA1186" s="37">
        <v>2035</v>
      </c>
      <c r="AB1186" s="4">
        <v>67.989999999999995</v>
      </c>
      <c r="AC1186" s="2">
        <f t="shared" si="59"/>
        <v>67.989999999999995</v>
      </c>
      <c r="AD1186" s="8">
        <v>1</v>
      </c>
      <c r="AE1186" s="10">
        <f>IF(Table1[[#This Row],[P/750]]&lt;20,1,IF(Table1[[#This Row],[P/750]]&lt;50,2,3))</f>
        <v>3</v>
      </c>
      <c r="AF1186" s="10">
        <f>IF(Table1[[#This Row],[P/750]]&lt;Expenses!$C$30,1,IF(Table1[[#This Row],[P/750]]&lt;Expenses!$C$31,2,IF(Table1[[#This Row],[P/750]]&lt;Expenses!$C$32,3,4)))</f>
        <v>4</v>
      </c>
      <c r="AH1186" s="37" t="s">
        <v>1744</v>
      </c>
      <c r="AI1186" s="11">
        <f>Table1[[#This Row],[Price]]/Table1[[#This Row],[Size (ml)]]*750</f>
        <v>67.989999999999995</v>
      </c>
      <c r="AJ1186" s="37">
        <v>97</v>
      </c>
      <c r="AK1186" s="10">
        <f>COUNTIF(UniqueID!A:A,Table1[[#This Row],[ID]])</f>
        <v>0</v>
      </c>
      <c r="AL1186" s="10" t="str">
        <f>VLOOKUP(Table1[[#This Row],[Cellar Location]],Location!A:F,6,FALSE)</f>
        <v>W</v>
      </c>
      <c r="AN1186" s="1">
        <v>44063</v>
      </c>
      <c r="AO1186" s="10" t="str">
        <f>TEXT(Table1[[#This Row],[Purchased]],"mmmm")</f>
        <v>August</v>
      </c>
      <c r="AP1186" s="10" t="str">
        <f>TEXT(Table1[[#This Row],[Purchased]],"yyyy")</f>
        <v>2020</v>
      </c>
      <c r="AQ1186" s="1">
        <v>44114</v>
      </c>
    </row>
    <row r="1187" spans="1:43" s="37" customFormat="1" x14ac:dyDescent="0.25">
      <c r="A1187" s="37" t="str">
        <f t="shared" si="58"/>
        <v>2016Mauro MolinoBarolo</v>
      </c>
      <c r="B1187" s="37">
        <v>2016</v>
      </c>
      <c r="C1187" s="37" t="s">
        <v>1695</v>
      </c>
      <c r="D1187" s="37" t="s">
        <v>268</v>
      </c>
      <c r="E1187" s="67" t="s">
        <v>1206</v>
      </c>
      <c r="F1187" s="37" t="s">
        <v>728</v>
      </c>
      <c r="G1187" s="37" t="s">
        <v>778</v>
      </c>
      <c r="H1187" s="37" t="s">
        <v>268</v>
      </c>
      <c r="I1187" s="8">
        <v>1</v>
      </c>
      <c r="J1187" s="38">
        <v>750</v>
      </c>
      <c r="K1187" s="38" t="s">
        <v>1687</v>
      </c>
      <c r="L1187" s="10">
        <f>COUNTIF(Drank!A:A,Table1[[#This Row],[ID]])</f>
        <v>0</v>
      </c>
      <c r="M1187" s="37" t="s">
        <v>202</v>
      </c>
      <c r="N1187" s="37" t="s">
        <v>207</v>
      </c>
      <c r="O1187" s="37">
        <v>1</v>
      </c>
      <c r="P1187" s="37">
        <v>2023</v>
      </c>
      <c r="Q1187" s="37">
        <v>2040</v>
      </c>
      <c r="R1187" s="10" t="str">
        <f>IF(IFERROR(VLOOKUP(A1187,Drank!A:S,15,FALSE),"")=0,"",IFERROR(VLOOKUP(A1187,Drank!A:S,15,FALSE),""))</f>
        <v/>
      </c>
      <c r="S1187" s="10" t="str">
        <f>IF(IFERROR(VLOOKUP(A1187,Drank!A:S,16,FALSE),"")=0,"",IFERROR(VLOOKUP(A1187,Drank!A:S,16,FALSE),""))</f>
        <v/>
      </c>
      <c r="T1187" s="10"/>
      <c r="U1187" s="37" t="s">
        <v>74</v>
      </c>
      <c r="V1187" s="18" t="str">
        <f>IF(IFERROR(VLOOKUP(A1187,Drank!A:T,19,FALSE),"")=0,"",IFERROR(VLOOKUP(A1187,Drank!A:T,19,FALSE),""))</f>
        <v/>
      </c>
      <c r="W1187" s="1" t="str">
        <f>IF(IFERROR(VLOOKUP(A1187,Drank!A:T,20,FALSE),"")=0,"",IFERROR(VLOOKUP(A1187,Drank!A:T,20,FALSE),""))</f>
        <v/>
      </c>
      <c r="X1187" s="10">
        <f>SUMIF(A:A,A1187,I:I)</f>
        <v>4</v>
      </c>
      <c r="Y1187" s="10">
        <f>IF(Table1[[#This Row],[Drank]]&gt;0,VLOOKUP(Table1[[#This Row],[ID]],Drank!A:P,16,FALSE),IF(Table1[[#This Row],[WALDD]]&gt;0,VLOOKUP(Table1[[#This Row],[ID]],Wine1!A:Q,17,FALSE),Table1[[#This Row],[EP]]))</f>
        <v>2040</v>
      </c>
      <c r="Z1187" s="18">
        <f>IF(Table1[[#This Row],[My Rating]]="",IF(Table1[[#This Row],[WA Rating Clean]]="","",Table1[[#This Row],[WA Rating Clean]]),Table1[[#This Row],[My Rating]])</f>
        <v>93</v>
      </c>
      <c r="AA1187" s="8">
        <v>2035</v>
      </c>
      <c r="AB1187" s="4">
        <v>34.24</v>
      </c>
      <c r="AC1187" s="2">
        <f t="shared" si="59"/>
        <v>34.24</v>
      </c>
      <c r="AD1187" s="8">
        <v>1</v>
      </c>
      <c r="AE1187" s="10">
        <f>IF(Table1[[#This Row],[P/750]]&lt;20,1,IF(Table1[[#This Row],[P/750]]&lt;50,2,3))</f>
        <v>2</v>
      </c>
      <c r="AF1187" s="10">
        <f>IF(Table1[[#This Row],[P/750]]&lt;Expenses!$C$30,1,IF(Table1[[#This Row],[P/750]]&lt;Expenses!$C$31,2,IF(Table1[[#This Row],[P/750]]&lt;Expenses!$C$32,3,4)))</f>
        <v>3</v>
      </c>
      <c r="AH1187" s="37" t="s">
        <v>1189</v>
      </c>
      <c r="AI1187" s="11">
        <f>Table1[[#This Row],[Price]]/Table1[[#This Row],[Size (ml)]]*750</f>
        <v>34.24</v>
      </c>
      <c r="AJ1187" s="37">
        <v>93</v>
      </c>
      <c r="AK1187" s="10">
        <f>COUNTIF(UniqueID!A:A,Table1[[#This Row],[ID]])</f>
        <v>0</v>
      </c>
      <c r="AL1187" s="10" t="str">
        <f>VLOOKUP(Table1[[#This Row],[Cellar Location]],Location!A:F,6,FALSE)</f>
        <v>W</v>
      </c>
      <c r="AN1187" s="1">
        <v>44061</v>
      </c>
      <c r="AO1187" s="10" t="str">
        <f>TEXT(Table1[[#This Row],[Purchased]],"mmmm")</f>
        <v>August</v>
      </c>
      <c r="AP1187" s="10" t="str">
        <f>TEXT(Table1[[#This Row],[Purchased]],"yyyy")</f>
        <v>2020</v>
      </c>
      <c r="AQ1187" s="1">
        <v>44137</v>
      </c>
    </row>
    <row r="1188" spans="1:43" s="37" customFormat="1" x14ac:dyDescent="0.25">
      <c r="A1188" s="37" t="str">
        <f t="shared" si="58"/>
        <v>2015UccellieraBrunello di Montalcino</v>
      </c>
      <c r="B1188" s="37">
        <v>2015</v>
      </c>
      <c r="C1188" s="37" t="s">
        <v>1470</v>
      </c>
      <c r="D1188" s="37" t="s">
        <v>19</v>
      </c>
      <c r="E1188" s="67" t="s">
        <v>1250</v>
      </c>
      <c r="F1188" s="37" t="s">
        <v>728</v>
      </c>
      <c r="G1188" s="37" t="s">
        <v>790</v>
      </c>
      <c r="H1188" s="37" t="s">
        <v>19</v>
      </c>
      <c r="I1188" s="37">
        <v>1</v>
      </c>
      <c r="J1188" s="38">
        <v>750</v>
      </c>
      <c r="K1188" s="38" t="s">
        <v>415</v>
      </c>
      <c r="L1188" s="10">
        <f>COUNTIF(Drank!A:A,Table1[[#This Row],[ID]])</f>
        <v>0</v>
      </c>
      <c r="M1188" s="37" t="s">
        <v>202</v>
      </c>
      <c r="N1188" s="37" t="s">
        <v>206</v>
      </c>
      <c r="O1188" s="37">
        <v>1</v>
      </c>
      <c r="P1188" s="10">
        <v>2021</v>
      </c>
      <c r="Q1188" s="37">
        <v>2040</v>
      </c>
      <c r="R1188" s="10" t="str">
        <f>IF(IFERROR(VLOOKUP(A1188,Drank!A:S,15,FALSE),"")=0,"",IFERROR(VLOOKUP(A1188,Drank!A:S,15,FALSE),""))</f>
        <v/>
      </c>
      <c r="S1188" s="10" t="str">
        <f>IF(IFERROR(VLOOKUP(A1188,Drank!A:S,16,FALSE),"")=0,"",IFERROR(VLOOKUP(A1188,Drank!A:S,16,FALSE),""))</f>
        <v/>
      </c>
      <c r="T1188" s="10"/>
      <c r="U1188" s="37">
        <v>97</v>
      </c>
      <c r="V1188" s="18" t="str">
        <f>IF(IFERROR(VLOOKUP(A1188,Drank!A:T,19,FALSE),"")=0,"",IFERROR(VLOOKUP(A1188,Drank!A:T,19,FALSE),""))</f>
        <v/>
      </c>
      <c r="W1188" s="1" t="str">
        <f>IF(IFERROR(VLOOKUP(A1188,Drank!A:T,20,FALSE),"")=0,"",IFERROR(VLOOKUP(A1188,Drank!A:T,20,FALSE),""))</f>
        <v/>
      </c>
      <c r="X1188" s="10">
        <f>SUMIF(A:A,A1188,I:I)</f>
        <v>3</v>
      </c>
      <c r="Y1188" s="10">
        <f>IF(Table1[[#This Row],[Drank]]&gt;0,VLOOKUP(Table1[[#This Row],[ID]],Drank!A:P,16,FALSE),IF(Table1[[#This Row],[WALDD]]&gt;0,VLOOKUP(Table1[[#This Row],[ID]],Wine1!A:Q,17,FALSE),Table1[[#This Row],[EP]]))</f>
        <v>2040</v>
      </c>
      <c r="Z1188" s="18">
        <f>IF(Table1[[#This Row],[My Rating]]="",IF(Table1[[#This Row],[WA Rating Clean]]="","",Table1[[#This Row],[WA Rating Clean]]),Table1[[#This Row],[My Rating]])</f>
        <v>97</v>
      </c>
      <c r="AA1188" s="6">
        <v>2035</v>
      </c>
      <c r="AB1188" s="4">
        <v>62.99</v>
      </c>
      <c r="AC1188" s="2">
        <f t="shared" si="59"/>
        <v>62.99</v>
      </c>
      <c r="AD1188" s="8">
        <v>1</v>
      </c>
      <c r="AE1188" s="10">
        <f>IF(Table1[[#This Row],[P/750]]&lt;20,1,IF(Table1[[#This Row],[P/750]]&lt;50,2,3))</f>
        <v>3</v>
      </c>
      <c r="AF1188" s="10">
        <f>IF(Table1[[#This Row],[P/750]]&lt;Expenses!$C$30,1,IF(Table1[[#This Row],[P/750]]&lt;Expenses!$C$31,2,IF(Table1[[#This Row],[P/750]]&lt;Expenses!$C$32,3,4)))</f>
        <v>3</v>
      </c>
      <c r="AH1188" s="37" t="s">
        <v>415</v>
      </c>
      <c r="AI1188" s="11">
        <f>Table1[[#This Row],[Price]]/Table1[[#This Row],[Size (ml)]]*750</f>
        <v>62.99</v>
      </c>
      <c r="AJ1188" s="37">
        <v>97</v>
      </c>
      <c r="AK1188" s="10">
        <f>COUNTIF(UniqueID!A:A,Table1[[#This Row],[ID]])</f>
        <v>0</v>
      </c>
      <c r="AL1188" s="10" t="str">
        <f>VLOOKUP(Table1[[#This Row],[Cellar Location]],Location!A:F,6,FALSE)</f>
        <v>W</v>
      </c>
      <c r="AN1188" s="1">
        <v>44015</v>
      </c>
      <c r="AO1188" s="10" t="str">
        <f>TEXT(Table1[[#This Row],[Purchased]],"mmmm")</f>
        <v>July</v>
      </c>
      <c r="AP1188" s="10" t="str">
        <f>TEXT(Table1[[#This Row],[Purchased]],"yyyy")</f>
        <v>2020</v>
      </c>
      <c r="AQ1188" s="1">
        <v>44114</v>
      </c>
    </row>
    <row r="1189" spans="1:43" s="37" customFormat="1" x14ac:dyDescent="0.25">
      <c r="A1189" s="37" t="str">
        <f t="shared" si="58"/>
        <v>2013Tenuta San GuidoBolgheri Sassicaia</v>
      </c>
      <c r="B1189" s="37">
        <v>2013</v>
      </c>
      <c r="C1189" s="37" t="s">
        <v>91</v>
      </c>
      <c r="D1189" s="37" t="s">
        <v>92</v>
      </c>
      <c r="E1189" s="64" t="s">
        <v>1443</v>
      </c>
      <c r="F1189" s="37" t="s">
        <v>728</v>
      </c>
      <c r="G1189" s="37" t="s">
        <v>790</v>
      </c>
      <c r="H1189" s="37" t="s">
        <v>791</v>
      </c>
      <c r="I1189" s="37">
        <v>1</v>
      </c>
      <c r="J1189" s="37">
        <v>750</v>
      </c>
      <c r="K1189" s="8" t="s">
        <v>11</v>
      </c>
      <c r="L1189" s="37">
        <f>COUNTIF(Drank!A:A,Table1[[#This Row],[ID]])</f>
        <v>0</v>
      </c>
      <c r="M1189" s="37" t="s">
        <v>202</v>
      </c>
      <c r="N1189" s="37" t="s">
        <v>207</v>
      </c>
      <c r="O1189" s="37">
        <v>1</v>
      </c>
      <c r="P1189" s="37">
        <v>2018</v>
      </c>
      <c r="Q1189" s="37">
        <v>2040</v>
      </c>
      <c r="R1189" s="37" t="str">
        <f>IF(IFERROR(VLOOKUP(A1189,Drank!A:S,15,FALSE),"")=0,"",IFERROR(VLOOKUP(A1189,Drank!A:S,15,FALSE),""))</f>
        <v/>
      </c>
      <c r="S1189" s="37" t="str">
        <f>IF(IFERROR(VLOOKUP(A1189,Drank!A:S,16,FALSE),"")=0,"",IFERROR(VLOOKUP(A1189,Drank!A:S,16,FALSE),""))</f>
        <v/>
      </c>
      <c r="U1189" s="37">
        <v>97</v>
      </c>
      <c r="V1189" s="18" t="str">
        <f>IF(IFERROR(VLOOKUP(A1189,Drank!A:T,19,FALSE),"")=0,"",IFERROR(VLOOKUP(A1189,Drank!A:T,19,FALSE),""))</f>
        <v/>
      </c>
      <c r="W1189" s="1" t="str">
        <f>IF(IFERROR(VLOOKUP(A1189,Drank!A:T,20,FALSE),"")=0,"",IFERROR(VLOOKUP(A1189,Drank!A:T,20,FALSE),""))</f>
        <v/>
      </c>
      <c r="X1189" s="37">
        <f>SUMIF(A:A,A1189,I:I)</f>
        <v>1</v>
      </c>
      <c r="Y1189" s="37">
        <f>IF(Table1[[#This Row],[Drank]]&gt;0,VLOOKUP(Table1[[#This Row],[ID]],Drank!A:P,16,FALSE),IF(Table1[[#This Row],[WALDD]]&gt;0,VLOOKUP(Table1[[#This Row],[ID]],Wine1!A:Q,17,FALSE),Table1[[#This Row],[EP]]))</f>
        <v>2040</v>
      </c>
      <c r="Z1189" s="18">
        <f>IF(Table1[[#This Row],[My Rating]]="",IF(Table1[[#This Row],[WA Rating Clean]]="","",Table1[[#This Row],[WA Rating Clean]]),Table1[[#This Row],[My Rating]])</f>
        <v>97</v>
      </c>
      <c r="AA1189" s="37">
        <v>2035</v>
      </c>
      <c r="AB1189" s="3">
        <v>204</v>
      </c>
      <c r="AC1189" s="2">
        <f t="shared" si="59"/>
        <v>204</v>
      </c>
      <c r="AD1189" s="8">
        <v>0</v>
      </c>
      <c r="AE1189" s="37">
        <f>IF(Table1[[#This Row],[P/750]]&lt;20,1,IF(Table1[[#This Row],[P/750]]&lt;50,2,3))</f>
        <v>3</v>
      </c>
      <c r="AF1189" s="37">
        <f>IF(Table1[[#This Row],[P/750]]&lt;Expenses!$C$30,1,IF(Table1[[#This Row],[P/750]]&lt;Expenses!$C$31,2,IF(Table1[[#This Row],[P/750]]&lt;Expenses!$C$32,3,4)))</f>
        <v>4</v>
      </c>
      <c r="AH1189" s="37" t="s">
        <v>1131</v>
      </c>
      <c r="AI1189" s="11">
        <f>Table1[[#This Row],[Price]]/Table1[[#This Row],[Size (ml)]]*750</f>
        <v>204.00000000000003</v>
      </c>
      <c r="AJ1189" s="37">
        <v>97</v>
      </c>
      <c r="AK1189" s="37">
        <f>COUNTIF(UniqueID!A:A,Table1[[#This Row],[ID]])</f>
        <v>1</v>
      </c>
      <c r="AL1189" s="37" t="str">
        <f>VLOOKUP(Table1[[#This Row],[Cellar Location]],Location!A:F,6,FALSE)</f>
        <v>K</v>
      </c>
      <c r="AO1189" s="37" t="str">
        <f>TEXT(Table1[[#This Row],[Purchased]],"mmmm")</f>
        <v>January</v>
      </c>
      <c r="AP1189" s="10" t="str">
        <f>TEXT(Table1[[#This Row],[Purchased]],"yyyy")</f>
        <v>1900</v>
      </c>
      <c r="AQ1189" s="10"/>
    </row>
    <row r="1190" spans="1:43" s="37" customFormat="1" x14ac:dyDescent="0.25">
      <c r="A1190" s="37" t="str">
        <f t="shared" si="58"/>
        <v>2016OdderoBarolo</v>
      </c>
      <c r="B1190" s="37">
        <v>2016</v>
      </c>
      <c r="C1190" s="37" t="s">
        <v>1173</v>
      </c>
      <c r="D1190" s="37" t="s">
        <v>268</v>
      </c>
      <c r="E1190" s="37" t="s">
        <v>1206</v>
      </c>
      <c r="F1190" s="37" t="s">
        <v>728</v>
      </c>
      <c r="G1190" s="37" t="s">
        <v>778</v>
      </c>
      <c r="H1190" s="37" t="s">
        <v>268</v>
      </c>
      <c r="I1190" s="8">
        <v>1</v>
      </c>
      <c r="J1190" s="38">
        <v>750</v>
      </c>
      <c r="K1190" s="38" t="s">
        <v>1526</v>
      </c>
      <c r="L1190" s="10">
        <f>COUNTIF(Drank!A:A,Table1[[#This Row],[ID]])</f>
        <v>0</v>
      </c>
      <c r="M1190" s="37" t="s">
        <v>202</v>
      </c>
      <c r="N1190" s="37" t="s">
        <v>207</v>
      </c>
      <c r="O1190" s="37">
        <v>1</v>
      </c>
      <c r="P1190" s="37">
        <v>2022</v>
      </c>
      <c r="Q1190" s="37">
        <v>2040</v>
      </c>
      <c r="R1190" s="10" t="str">
        <f>IF(IFERROR(VLOOKUP(A1190,Drank!A:S,15,FALSE),"")=0,"",IFERROR(VLOOKUP(A1190,Drank!A:S,15,FALSE),""))</f>
        <v/>
      </c>
      <c r="S1190" s="10" t="str">
        <f>IF(IFERROR(VLOOKUP(A1190,Drank!A:S,16,FALSE),"")=0,"",IFERROR(VLOOKUP(A1190,Drank!A:S,16,FALSE),""))</f>
        <v/>
      </c>
      <c r="T1190" s="10"/>
      <c r="U1190" s="37" t="s">
        <v>17</v>
      </c>
      <c r="V1190" s="18" t="str">
        <f>IF(IFERROR(VLOOKUP(A1190,Drank!A:T,19,FALSE),"")=0,"",IFERROR(VLOOKUP(A1190,Drank!A:T,19,FALSE),""))</f>
        <v/>
      </c>
      <c r="W1190" s="1" t="str">
        <f>IF(IFERROR(VLOOKUP(A1190,Drank!A:T,20,FALSE),"")=0,"",IFERROR(VLOOKUP(A1190,Drank!A:T,20,FALSE),""))</f>
        <v/>
      </c>
      <c r="X1190" s="10">
        <f>SUMIF(A:A,A1190,I:I)</f>
        <v>4</v>
      </c>
      <c r="Y1190" s="10">
        <f>IF(Table1[[#This Row],[Drank]]&gt;0,VLOOKUP(Table1[[#This Row],[ID]],Drank!A:P,16,FALSE),IF(Table1[[#This Row],[WALDD]]&gt;0,VLOOKUP(Table1[[#This Row],[ID]],Wine1!A:Q,17,FALSE),Table1[[#This Row],[EP]]))</f>
        <v>2040</v>
      </c>
      <c r="Z1190" s="18">
        <f>IF(Table1[[#This Row],[My Rating]]="",IF(Table1[[#This Row],[WA Rating Clean]]="","",Table1[[#This Row],[WA Rating Clean]]),Table1[[#This Row],[My Rating]])</f>
        <v>94</v>
      </c>
      <c r="AA1190" s="8">
        <v>2035</v>
      </c>
      <c r="AB1190" s="4">
        <v>43.44</v>
      </c>
      <c r="AC1190" s="2">
        <f t="shared" si="59"/>
        <v>43.44</v>
      </c>
      <c r="AD1190" s="8">
        <v>1</v>
      </c>
      <c r="AE1190" s="10">
        <f>IF(Table1[[#This Row],[P/750]]&lt;20,1,IF(Table1[[#This Row],[P/750]]&lt;50,2,3))</f>
        <v>2</v>
      </c>
      <c r="AF1190" s="10">
        <f>IF(Table1[[#This Row],[P/750]]&lt;Expenses!$C$30,1,IF(Table1[[#This Row],[P/750]]&lt;Expenses!$C$31,2,IF(Table1[[#This Row],[P/750]]&lt;Expenses!$C$32,3,4)))</f>
        <v>3</v>
      </c>
      <c r="AH1190" s="37" t="s">
        <v>1478</v>
      </c>
      <c r="AI1190" s="11">
        <f>Table1[[#This Row],[Price]]/Table1[[#This Row],[Size (ml)]]*750</f>
        <v>43.44</v>
      </c>
      <c r="AJ1190" s="37">
        <v>94</v>
      </c>
      <c r="AK1190" s="10">
        <f>COUNTIF(UniqueID!A:A,Table1[[#This Row],[ID]])</f>
        <v>0</v>
      </c>
      <c r="AL1190" s="10" t="str">
        <f>VLOOKUP(Table1[[#This Row],[Cellar Location]],Location!A:F,6,FALSE)</f>
        <v>W</v>
      </c>
      <c r="AN1190" s="1">
        <v>44064</v>
      </c>
      <c r="AO1190" s="10" t="str">
        <f>TEXT(Table1[[#This Row],[Purchased]],"mmmm")</f>
        <v>August</v>
      </c>
      <c r="AP1190" s="10" t="str">
        <f>TEXT(Table1[[#This Row],[Purchased]],"yyyy")</f>
        <v>2020</v>
      </c>
      <c r="AQ1190" s="1">
        <v>44114</v>
      </c>
    </row>
    <row r="1191" spans="1:43" s="37" customFormat="1" x14ac:dyDescent="0.25">
      <c r="A1191" s="37" t="str">
        <f t="shared" si="58"/>
        <v>2016Marchesi AntinoriTignanello</v>
      </c>
      <c r="B1191" s="37">
        <v>2016</v>
      </c>
      <c r="C1191" s="37" t="s">
        <v>1699</v>
      </c>
      <c r="D1191" s="37" t="s">
        <v>1774</v>
      </c>
      <c r="E1191" s="67" t="s">
        <v>1775</v>
      </c>
      <c r="F1191" s="37" t="s">
        <v>728</v>
      </c>
      <c r="G1191" s="37" t="s">
        <v>790</v>
      </c>
      <c r="H1191" s="37" t="s">
        <v>796</v>
      </c>
      <c r="I1191" s="37">
        <v>1</v>
      </c>
      <c r="J1191" s="107">
        <v>750</v>
      </c>
      <c r="K1191" s="8" t="s">
        <v>1845</v>
      </c>
      <c r="L1191" s="10">
        <f>COUNTIF(Drank!A:A,Table1[[#This Row],[ID]])</f>
        <v>0</v>
      </c>
      <c r="M1191" s="37" t="s">
        <v>202</v>
      </c>
      <c r="N1191" s="37" t="s">
        <v>207</v>
      </c>
      <c r="O1191" s="37">
        <v>1</v>
      </c>
      <c r="P1191" s="10">
        <v>2020</v>
      </c>
      <c r="Q1191" s="37">
        <v>2045</v>
      </c>
      <c r="R1191" s="10" t="str">
        <f>IF(IFERROR(VLOOKUP(A1191,Drank!A:S,15,FALSE),"")=0,"",IFERROR(VLOOKUP(A1191,Drank!A:S,15,FALSE),""))</f>
        <v/>
      </c>
      <c r="S1191" s="10" t="str">
        <f>IF(IFERROR(VLOOKUP(A1191,Drank!A:S,16,FALSE),"")=0,"",IFERROR(VLOOKUP(A1191,Drank!A:S,16,FALSE),""))</f>
        <v/>
      </c>
      <c r="T1191" s="10"/>
      <c r="U1191" s="37">
        <v>97</v>
      </c>
      <c r="V1191" s="18" t="str">
        <f>IF(IFERROR(VLOOKUP(A1191,Drank!A:T,19,FALSE),"")=0,"",IFERROR(VLOOKUP(A1191,Drank!A:T,19,FALSE),""))</f>
        <v/>
      </c>
      <c r="W1191" s="1" t="str">
        <f>IF(IFERROR(VLOOKUP(A1191,Drank!A:T,20,FALSE),"")=0,"",IFERROR(VLOOKUP(A1191,Drank!A:T,20,FALSE),""))</f>
        <v/>
      </c>
      <c r="X1191" s="10">
        <f>SUMIF(A:A,A1191,I:I)</f>
        <v>6</v>
      </c>
      <c r="Y1191" s="10">
        <f>IF(Table1[[#This Row],[Drank]]&gt;0,VLOOKUP(Table1[[#This Row],[ID]],Drank!A:P,16,FALSE),IF(Table1[[#This Row],[WALDD]]&gt;0,VLOOKUP(Table1[[#This Row],[ID]],Wine1!A:Q,17,FALSE),Table1[[#This Row],[EP]]))</f>
        <v>2045</v>
      </c>
      <c r="Z1191" s="18">
        <f>IF(Table1[[#This Row],[My Rating]]="",IF(Table1[[#This Row],[WA Rating Clean]]="","",Table1[[#This Row],[WA Rating Clean]]),Table1[[#This Row],[My Rating]])</f>
        <v>97</v>
      </c>
      <c r="AA1191" s="37">
        <v>2035</v>
      </c>
      <c r="AB1191" s="129">
        <v>146.63</v>
      </c>
      <c r="AC1191" s="2">
        <f t="shared" si="59"/>
        <v>146.63</v>
      </c>
      <c r="AD1191" s="8">
        <v>1</v>
      </c>
      <c r="AE1191" s="10">
        <f>IF(Table1[[#This Row],[P/750]]&lt;20,1,IF(Table1[[#This Row],[P/750]]&lt;50,2,3))</f>
        <v>3</v>
      </c>
      <c r="AF1191" s="10">
        <f>IF(Table1[[#This Row],[P/750]]&lt;Expenses!$C$30,1,IF(Table1[[#This Row],[P/750]]&lt;Expenses!$C$31,2,IF(Table1[[#This Row],[P/750]]&lt;Expenses!$C$32,3,4)))</f>
        <v>4</v>
      </c>
      <c r="AH1191" s="37" t="s">
        <v>1128</v>
      </c>
      <c r="AI1191" s="11">
        <f>Table1[[#This Row],[Price]]/Table1[[#This Row],[Size (ml)]]*750</f>
        <v>146.63</v>
      </c>
      <c r="AJ1191" s="37">
        <v>97</v>
      </c>
      <c r="AK1191" s="10">
        <f>COUNTIF(UniqueID!A:A,Table1[[#This Row],[ID]])</f>
        <v>0</v>
      </c>
      <c r="AL1191" s="10" t="str">
        <f>VLOOKUP(Table1[[#This Row],[Cellar Location]],Location!A:F,6,FALSE)</f>
        <v>S</v>
      </c>
      <c r="AN1191" s="1">
        <v>44070</v>
      </c>
      <c r="AO1191" s="10" t="str">
        <f>TEXT(Table1[[#This Row],[Purchased]],"mmmm")</f>
        <v>August</v>
      </c>
      <c r="AP1191" s="10" t="str">
        <f>TEXT(Table1[[#This Row],[Purchased]],"yyyy")</f>
        <v>2020</v>
      </c>
      <c r="AQ1191" s="1"/>
    </row>
    <row r="1192" spans="1:43" s="37" customFormat="1" x14ac:dyDescent="0.25">
      <c r="A1192" s="37" t="str">
        <f t="shared" si="58"/>
        <v>2016Clos du RoyClos du Roy</v>
      </c>
      <c r="B1192" s="37">
        <v>2016</v>
      </c>
      <c r="C1192" s="37" t="s">
        <v>854</v>
      </c>
      <c r="D1192" s="37" t="s">
        <v>854</v>
      </c>
      <c r="E1192" s="37" t="s">
        <v>1198</v>
      </c>
      <c r="F1192" s="37" t="s">
        <v>742</v>
      </c>
      <c r="G1192" s="37" t="s">
        <v>748</v>
      </c>
      <c r="H1192" s="37" t="s">
        <v>856</v>
      </c>
      <c r="I1192" s="107">
        <v>1</v>
      </c>
      <c r="J1192" s="37">
        <v>750</v>
      </c>
      <c r="K1192" s="107" t="s">
        <v>1145</v>
      </c>
      <c r="L1192" s="10">
        <f>COUNTIF(Drank!A:A,Table1[[#This Row],[ID]])</f>
        <v>1</v>
      </c>
      <c r="M1192" s="37" t="s">
        <v>202</v>
      </c>
      <c r="N1192" s="37" t="s">
        <v>207</v>
      </c>
      <c r="O1192" s="37">
        <v>1</v>
      </c>
      <c r="P1192" s="10">
        <v>2021</v>
      </c>
      <c r="Q1192" s="37">
        <v>2038</v>
      </c>
      <c r="R1192" s="10" t="str">
        <f>IF(IFERROR(VLOOKUP(A1192,Drank!A:S,15,FALSE),"")=0,"",IFERROR(VLOOKUP(A1192,Drank!A:S,15,FALSE),""))</f>
        <v/>
      </c>
      <c r="S1192" s="10">
        <f>IF(IFERROR(VLOOKUP(A1192,Drank!A:S,16,FALSE),"")=0,"",IFERROR(VLOOKUP(A1192,Drank!A:S,16,FALSE),""))</f>
        <v>2045</v>
      </c>
      <c r="T1192" s="10"/>
      <c r="U1192" s="37" t="s">
        <v>855</v>
      </c>
      <c r="V1192" s="18">
        <f>IF(IFERROR(VLOOKUP(A1192,Drank!A:T,19,FALSE),"")=0,"",IFERROR(VLOOKUP(A1192,Drank!A:T,19,FALSE),""))</f>
        <v>91</v>
      </c>
      <c r="W1192" s="1">
        <f>IF(IFERROR(VLOOKUP(A1192,Drank!A:T,20,FALSE),"")=0,"",IFERROR(VLOOKUP(A1192,Drank!A:T,20,FALSE),""))</f>
        <v>43830</v>
      </c>
      <c r="X1192" s="10">
        <f>SUMIF(A:A,A1192,I:I)</f>
        <v>15</v>
      </c>
      <c r="Y1192" s="10">
        <f>IF(Table1[[#This Row],[Drank]]&gt;0,VLOOKUP(Table1[[#This Row],[ID]],Drank!A:P,16,FALSE),IF(Table1[[#This Row],[WALDD]]&gt;0,VLOOKUP(Table1[[#This Row],[ID]],Wine1!A:Q,17,FALSE),Table1[[#This Row],[EP]]))</f>
        <v>2045</v>
      </c>
      <c r="Z1192" s="18">
        <f>IF(Table1[[#This Row],[My Rating]]="",IF(Table1[[#This Row],[WA Rating Clean]]="","",Table1[[#This Row],[WA Rating Clean]]),Table1[[#This Row],[My Rating]])</f>
        <v>91</v>
      </c>
      <c r="AA1192" s="37">
        <v>2035</v>
      </c>
      <c r="AB1192" s="4">
        <v>17.91</v>
      </c>
      <c r="AC1192" s="2">
        <f t="shared" si="59"/>
        <v>17.91</v>
      </c>
      <c r="AD1192" s="8">
        <v>2</v>
      </c>
      <c r="AE1192" s="10">
        <f>IF(Table1[[#This Row],[P/750]]&lt;20,1,IF(Table1[[#This Row],[P/750]]&lt;50,2,3))</f>
        <v>1</v>
      </c>
      <c r="AF1192" s="10">
        <f>IF(Table1[[#This Row],[P/750]]&lt;Expenses!$C$30,1,IF(Table1[[#This Row],[P/750]]&lt;Expenses!$C$31,2,IF(Table1[[#This Row],[P/750]]&lt;Expenses!$C$32,3,4)))</f>
        <v>2</v>
      </c>
      <c r="AH1192" s="37" t="s">
        <v>1128</v>
      </c>
      <c r="AI1192" s="11">
        <f>Table1[[#This Row],[Price]]/Table1[[#This Row],[Size (ml)]]*750</f>
        <v>17.91</v>
      </c>
      <c r="AJ1192" s="37">
        <v>92</v>
      </c>
      <c r="AK1192" s="10">
        <f>COUNTIF(UniqueID!A:A,Table1[[#This Row],[ID]])</f>
        <v>1</v>
      </c>
      <c r="AL1192" s="37" t="str">
        <f>VLOOKUP(Table1[[#This Row],[Cellar Location]],Location!A:F,6,FALSE)</f>
        <v>S</v>
      </c>
      <c r="AN1192" s="1">
        <v>43830</v>
      </c>
      <c r="AO1192" s="37" t="str">
        <f>TEXT(Table1[[#This Row],[Purchased]],"mmmm")</f>
        <v>December</v>
      </c>
      <c r="AP1192" s="10" t="str">
        <f>TEXT(Table1[[#This Row],[Purchased]],"yyyy")</f>
        <v>2019</v>
      </c>
      <c r="AQ1192" s="10"/>
    </row>
    <row r="1193" spans="1:43" s="37" customFormat="1" x14ac:dyDescent="0.25">
      <c r="A1193" s="37" t="str">
        <f t="shared" si="58"/>
        <v>2015Il PoggioneBrunello di Montalcino</v>
      </c>
      <c r="B1193" s="8">
        <v>2015</v>
      </c>
      <c r="C1193" s="37" t="s">
        <v>1124</v>
      </c>
      <c r="D1193" s="8" t="s">
        <v>19</v>
      </c>
      <c r="E1193" s="67" t="s">
        <v>1250</v>
      </c>
      <c r="F1193" s="37" t="s">
        <v>728</v>
      </c>
      <c r="G1193" s="37" t="s">
        <v>790</v>
      </c>
      <c r="H1193" s="37" t="s">
        <v>19</v>
      </c>
      <c r="I1193" s="8">
        <v>1</v>
      </c>
      <c r="J1193" s="38">
        <v>750</v>
      </c>
      <c r="K1193" s="38" t="s">
        <v>435</v>
      </c>
      <c r="L1193" s="10">
        <f>COUNTIF(Drank!A:A,Table1[[#This Row],[ID]])</f>
        <v>0</v>
      </c>
      <c r="M1193" s="37" t="s">
        <v>202</v>
      </c>
      <c r="N1193" s="37" t="s">
        <v>207</v>
      </c>
      <c r="O1193" s="37">
        <v>1</v>
      </c>
      <c r="P1193" s="37">
        <v>2021</v>
      </c>
      <c r="Q1193" s="37">
        <v>2045</v>
      </c>
      <c r="R1193" s="10" t="str">
        <f>IF(IFERROR(VLOOKUP(A1193,Drank!A:S,15,FALSE),"")=0,"",IFERROR(VLOOKUP(A1193,Drank!A:S,15,FALSE),""))</f>
        <v/>
      </c>
      <c r="S1193" s="10" t="str">
        <f>IF(IFERROR(VLOOKUP(A1193,Drank!A:S,16,FALSE),"")=0,"",IFERROR(VLOOKUP(A1193,Drank!A:S,16,FALSE),""))</f>
        <v/>
      </c>
      <c r="T1193" s="10"/>
      <c r="U1193" s="37">
        <v>97</v>
      </c>
      <c r="V1193" s="18" t="str">
        <f>IF(IFERROR(VLOOKUP(A1193,Drank!A:T,19,FALSE),"")=0,"",IFERROR(VLOOKUP(A1193,Drank!A:T,19,FALSE),""))</f>
        <v/>
      </c>
      <c r="W1193" s="1" t="str">
        <f>IF(IFERROR(VLOOKUP(A1193,Drank!A:T,20,FALSE),"")=0,"",IFERROR(VLOOKUP(A1193,Drank!A:T,20,FALSE),""))</f>
        <v/>
      </c>
      <c r="X1193" s="10">
        <f>SUMIF(A:A,A1193,I:I)</f>
        <v>6</v>
      </c>
      <c r="Y1193" s="10">
        <f>IF(Table1[[#This Row],[Drank]]&gt;0,VLOOKUP(Table1[[#This Row],[ID]],Drank!A:P,16,FALSE),IF(Table1[[#This Row],[WALDD]]&gt;0,VLOOKUP(Table1[[#This Row],[ID]],Wine1!A:Q,17,FALSE),Table1[[#This Row],[EP]]))</f>
        <v>2045</v>
      </c>
      <c r="Z1193" s="18">
        <f>IF(Table1[[#This Row],[My Rating]]="",IF(Table1[[#This Row],[WA Rating Clean]]="","",Table1[[#This Row],[WA Rating Clean]]),Table1[[#This Row],[My Rating]])</f>
        <v>97</v>
      </c>
      <c r="AA1193" s="8">
        <v>2035</v>
      </c>
      <c r="AB1193" s="4">
        <v>73.849999999999994</v>
      </c>
      <c r="AC1193" s="2">
        <f t="shared" si="59"/>
        <v>73.849999999999994</v>
      </c>
      <c r="AD1193" s="8">
        <v>1</v>
      </c>
      <c r="AE1193" s="10">
        <f>IF(Table1[[#This Row],[P/750]]&lt;20,1,IF(Table1[[#This Row],[P/750]]&lt;50,2,3))</f>
        <v>3</v>
      </c>
      <c r="AF1193" s="10">
        <f>IF(Table1[[#This Row],[P/750]]&lt;Expenses!$C$30,1,IF(Table1[[#This Row],[P/750]]&lt;Expenses!$C$31,2,IF(Table1[[#This Row],[P/750]]&lt;Expenses!$C$32,3,4)))</f>
        <v>4</v>
      </c>
      <c r="AH1193" s="37" t="s">
        <v>1478</v>
      </c>
      <c r="AI1193" s="11">
        <f>Table1[[#This Row],[Price]]/Table1[[#This Row],[Size (ml)]]*750</f>
        <v>73.849999999999994</v>
      </c>
      <c r="AJ1193" s="37">
        <v>97</v>
      </c>
      <c r="AK1193" s="10">
        <f>COUNTIF(UniqueID!A:A,Table1[[#This Row],[ID]])</f>
        <v>0</v>
      </c>
      <c r="AL1193" s="10" t="str">
        <f>VLOOKUP(Table1[[#This Row],[Cellar Location]],Location!A:F,6,FALSE)</f>
        <v>W</v>
      </c>
      <c r="AN1193" s="1">
        <v>44064</v>
      </c>
      <c r="AO1193" s="10" t="str">
        <f>TEXT(Table1[[#This Row],[Purchased]],"mmmm")</f>
        <v>August</v>
      </c>
      <c r="AP1193" s="10" t="str">
        <f>TEXT(Table1[[#This Row],[Purchased]],"yyyy")</f>
        <v>2020</v>
      </c>
      <c r="AQ1193" s="1">
        <v>44114</v>
      </c>
    </row>
    <row r="1194" spans="1:43" s="37" customFormat="1" x14ac:dyDescent="0.25">
      <c r="A1194" s="37" t="str">
        <f t="shared" si="58"/>
        <v>2015Chateau GuiraudChateau Guiraud</v>
      </c>
      <c r="B1194" s="37">
        <v>2015</v>
      </c>
      <c r="C1194" s="37" t="s">
        <v>1210</v>
      </c>
      <c r="D1194" s="37" t="s">
        <v>1210</v>
      </c>
      <c r="E1194" s="67" t="s">
        <v>1272</v>
      </c>
      <c r="F1194" s="37" t="s">
        <v>742</v>
      </c>
      <c r="G1194" s="37" t="s">
        <v>748</v>
      </c>
      <c r="H1194" s="37" t="s">
        <v>260</v>
      </c>
      <c r="I1194" s="37">
        <v>1</v>
      </c>
      <c r="J1194" s="37">
        <v>750</v>
      </c>
      <c r="K1194" s="8" t="s">
        <v>8</v>
      </c>
      <c r="L1194" s="37">
        <f>COUNTIF(Drank!A:A,Table1[[#This Row],[ID]])</f>
        <v>0</v>
      </c>
      <c r="M1194" s="37" t="s">
        <v>201</v>
      </c>
      <c r="N1194" s="37" t="s">
        <v>206</v>
      </c>
      <c r="O1194" s="37">
        <v>1</v>
      </c>
      <c r="P1194" s="37">
        <v>2022</v>
      </c>
      <c r="Q1194" s="37">
        <v>2046</v>
      </c>
      <c r="R1194" s="37" t="str">
        <f>IF(IFERROR(VLOOKUP(A1194,Drank!A:S,15,FALSE),"")=0,"",IFERROR(VLOOKUP(A1194,Drank!A:S,15,FALSE),""))</f>
        <v/>
      </c>
      <c r="S1194" s="37" t="str">
        <f>IF(IFERROR(VLOOKUP(A1194,Drank!A:S,16,FALSE),"")=0,"",IFERROR(VLOOKUP(A1194,Drank!A:S,16,FALSE),""))</f>
        <v/>
      </c>
      <c r="U1194" s="37" t="s">
        <v>17</v>
      </c>
      <c r="V1194" s="18" t="str">
        <f>IF(IFERROR(VLOOKUP(A1194,Drank!A:T,19,FALSE),"")=0,"",IFERROR(VLOOKUP(A1194,Drank!A:T,19,FALSE),""))</f>
        <v/>
      </c>
      <c r="W1194" s="1" t="str">
        <f>IF(IFERROR(VLOOKUP(A1194,Drank!A:T,20,FALSE),"")=0,"",IFERROR(VLOOKUP(A1194,Drank!A:T,20,FALSE),""))</f>
        <v/>
      </c>
      <c r="X1194" s="37">
        <f>SUMIF(A:A,A1194,I:I)</f>
        <v>3</v>
      </c>
      <c r="Y1194" s="37">
        <f>IF(Table1[[#This Row],[Drank]]&gt;0,VLOOKUP(Table1[[#This Row],[ID]],Drank!A:P,16,FALSE),IF(Table1[[#This Row],[WALDD]]&gt;0,VLOOKUP(Table1[[#This Row],[ID]],Wine1!A:Q,17,FALSE),Table1[[#This Row],[EP]]))</f>
        <v>2046</v>
      </c>
      <c r="Z1194" s="18">
        <f>IF(Table1[[#This Row],[My Rating]]="",IF(Table1[[#This Row],[WA Rating Clean]]="","",Table1[[#This Row],[WA Rating Clean]]),Table1[[#This Row],[My Rating]])</f>
        <v>94</v>
      </c>
      <c r="AA1194" s="37">
        <v>2035</v>
      </c>
      <c r="AB1194" s="3">
        <v>55</v>
      </c>
      <c r="AC1194" s="2">
        <f t="shared" si="59"/>
        <v>55</v>
      </c>
      <c r="AD1194" s="8">
        <v>0</v>
      </c>
      <c r="AE1194" s="37">
        <f>IF(Table1[[#This Row],[P/750]]&lt;20,1,IF(Table1[[#This Row],[P/750]]&lt;50,2,3))</f>
        <v>3</v>
      </c>
      <c r="AF1194" s="37">
        <f>IF(Table1[[#This Row],[P/750]]&lt;Expenses!$C$30,1,IF(Table1[[#This Row],[P/750]]&lt;Expenses!$C$31,2,IF(Table1[[#This Row],[P/750]]&lt;Expenses!$C$32,3,4)))</f>
        <v>3</v>
      </c>
      <c r="AH1194" s="37" t="s">
        <v>1131</v>
      </c>
      <c r="AI1194" s="11">
        <f>Table1[[#This Row],[Price]]/Table1[[#This Row],[Size (ml)]]*750</f>
        <v>55</v>
      </c>
      <c r="AJ1194" s="37">
        <v>94</v>
      </c>
      <c r="AK1194" s="37">
        <f>COUNTIF(UniqueID!A:A,Table1[[#This Row],[ID]])</f>
        <v>1</v>
      </c>
      <c r="AL1194" s="37" t="str">
        <f>VLOOKUP(Table1[[#This Row],[Cellar Location]],Location!A:F,6,FALSE)</f>
        <v>K</v>
      </c>
      <c r="AO1194" s="37" t="str">
        <f>TEXT(Table1[[#This Row],[Purchased]],"mmmm")</f>
        <v>January</v>
      </c>
      <c r="AP1194" s="10" t="str">
        <f>TEXT(Table1[[#This Row],[Purchased]],"yyyy")</f>
        <v>1900</v>
      </c>
      <c r="AQ1194" s="10"/>
    </row>
    <row r="1195" spans="1:43" s="37" customFormat="1" x14ac:dyDescent="0.25">
      <c r="A1195" s="37" t="str">
        <f t="shared" si="58"/>
        <v>2015Lafaurie-PeyragueyLafaurie-Peyraguey</v>
      </c>
      <c r="B1195" s="37">
        <v>2015</v>
      </c>
      <c r="C1195" s="9" t="s">
        <v>125</v>
      </c>
      <c r="D1195" s="9" t="s">
        <v>125</v>
      </c>
      <c r="E1195" s="65" t="s">
        <v>260</v>
      </c>
      <c r="F1195" s="37" t="s">
        <v>742</v>
      </c>
      <c r="G1195" s="37" t="s">
        <v>748</v>
      </c>
      <c r="H1195" s="37" t="s">
        <v>260</v>
      </c>
      <c r="I1195" s="37">
        <v>1</v>
      </c>
      <c r="J1195" s="37">
        <v>750</v>
      </c>
      <c r="K1195" s="8" t="s">
        <v>8</v>
      </c>
      <c r="L1195" s="37">
        <f>COUNTIF(Drank!A:A,Table1[[#This Row],[ID]])</f>
        <v>0</v>
      </c>
      <c r="M1195" s="37" t="s">
        <v>201</v>
      </c>
      <c r="N1195" s="37" t="s">
        <v>206</v>
      </c>
      <c r="O1195" s="37">
        <v>1</v>
      </c>
      <c r="P1195" s="37">
        <v>2020</v>
      </c>
      <c r="Q1195" s="37">
        <v>2046</v>
      </c>
      <c r="R1195" s="37" t="str">
        <f>IF(IFERROR(VLOOKUP(A1195,Drank!A:S,15,FALSE),"")=0,"",IFERROR(VLOOKUP(A1195,Drank!A:S,15,FALSE),""))</f>
        <v/>
      </c>
      <c r="S1195" s="37" t="str">
        <f>IF(IFERROR(VLOOKUP(A1195,Drank!A:S,16,FALSE),"")=0,"",IFERROR(VLOOKUP(A1195,Drank!A:S,16,FALSE),""))</f>
        <v/>
      </c>
      <c r="U1195" s="37">
        <v>94</v>
      </c>
      <c r="V1195" s="18" t="str">
        <f>IF(IFERROR(VLOOKUP(A1195,Drank!A:T,19,FALSE),"")=0,"",IFERROR(VLOOKUP(A1195,Drank!A:T,19,FALSE),""))</f>
        <v/>
      </c>
      <c r="W1195" s="1" t="str">
        <f>IF(IFERROR(VLOOKUP(A1195,Drank!A:T,20,FALSE),"")=0,"",IFERROR(VLOOKUP(A1195,Drank!A:T,20,FALSE),""))</f>
        <v/>
      </c>
      <c r="X1195" s="37">
        <f>SUMIF(A:A,A1195,I:I)</f>
        <v>1</v>
      </c>
      <c r="Y1195" s="37">
        <f>IF(Table1[[#This Row],[Drank]]&gt;0,VLOOKUP(Table1[[#This Row],[ID]],Drank!A:P,16,FALSE),IF(Table1[[#This Row],[WALDD]]&gt;0,VLOOKUP(Table1[[#This Row],[ID]],Wine1!A:Q,17,FALSE),Table1[[#This Row],[EP]]))</f>
        <v>2046</v>
      </c>
      <c r="Z1195" s="18">
        <f>IF(Table1[[#This Row],[My Rating]]="",IF(Table1[[#This Row],[WA Rating Clean]]="","",Table1[[#This Row],[WA Rating Clean]]),Table1[[#This Row],[My Rating]])</f>
        <v>94</v>
      </c>
      <c r="AA1195" s="37">
        <v>2035</v>
      </c>
      <c r="AB1195" s="3">
        <v>65</v>
      </c>
      <c r="AC1195" s="2">
        <f t="shared" si="59"/>
        <v>65</v>
      </c>
      <c r="AD1195" s="8">
        <v>0</v>
      </c>
      <c r="AE1195" s="37">
        <f>IF(Table1[[#This Row],[P/750]]&lt;20,1,IF(Table1[[#This Row],[P/750]]&lt;50,2,3))</f>
        <v>3</v>
      </c>
      <c r="AF1195" s="37">
        <f>IF(Table1[[#This Row],[P/750]]&lt;Expenses!$C$30,1,IF(Table1[[#This Row],[P/750]]&lt;Expenses!$C$31,2,IF(Table1[[#This Row],[P/750]]&lt;Expenses!$C$32,3,4)))</f>
        <v>4</v>
      </c>
      <c r="AH1195" s="37" t="s">
        <v>1131</v>
      </c>
      <c r="AI1195" s="11">
        <f>Table1[[#This Row],[Price]]/Table1[[#This Row],[Size (ml)]]*750</f>
        <v>65</v>
      </c>
      <c r="AJ1195" s="37">
        <v>94</v>
      </c>
      <c r="AK1195" s="37">
        <f>COUNTIF(UniqueID!A:A,Table1[[#This Row],[ID]])</f>
        <v>1</v>
      </c>
      <c r="AL1195" s="37" t="str">
        <f>VLOOKUP(Table1[[#This Row],[Cellar Location]],Location!A:F,6,FALSE)</f>
        <v>K</v>
      </c>
      <c r="AO1195" s="37" t="str">
        <f>TEXT(Table1[[#This Row],[Purchased]],"mmmm")</f>
        <v>January</v>
      </c>
      <c r="AP1195" s="10" t="str">
        <f>TEXT(Table1[[#This Row],[Purchased]],"yyyy")</f>
        <v>1900</v>
      </c>
      <c r="AQ1195" s="10"/>
    </row>
    <row r="1196" spans="1:43" s="37" customFormat="1" x14ac:dyDescent="0.25">
      <c r="A1196" s="37" t="str">
        <f t="shared" si="58"/>
        <v>2016Tenuta San GuidoSassicaia</v>
      </c>
      <c r="B1196" s="37">
        <v>2016</v>
      </c>
      <c r="C1196" s="37" t="s">
        <v>91</v>
      </c>
      <c r="D1196" s="37" t="s">
        <v>304</v>
      </c>
      <c r="E1196" s="67" t="s">
        <v>1251</v>
      </c>
      <c r="F1196" s="37" t="s">
        <v>728</v>
      </c>
      <c r="G1196" s="37" t="s">
        <v>790</v>
      </c>
      <c r="H1196" s="37" t="s">
        <v>791</v>
      </c>
      <c r="I1196" s="37">
        <v>1</v>
      </c>
      <c r="J1196" s="37">
        <v>750</v>
      </c>
      <c r="K1196" s="8" t="s">
        <v>11</v>
      </c>
      <c r="L1196" s="37">
        <f>COUNTIF(Drank!A:A,Table1[[#This Row],[ID]])</f>
        <v>0</v>
      </c>
      <c r="M1196" s="37" t="s">
        <v>202</v>
      </c>
      <c r="N1196" s="37" t="s">
        <v>207</v>
      </c>
      <c r="O1196" s="37">
        <v>1</v>
      </c>
      <c r="P1196" s="37">
        <v>2021</v>
      </c>
      <c r="Q1196" s="37">
        <v>2050</v>
      </c>
      <c r="R1196" s="10" t="str">
        <f>IF(IFERROR(VLOOKUP(A1196,Drank!A:S,15,FALSE),"")=0,"",IFERROR(VLOOKUP(A1196,Drank!A:S,15,FALSE),""))</f>
        <v/>
      </c>
      <c r="S1196" s="10" t="str">
        <f>IF(IFERROR(VLOOKUP(A1196,Drank!A:S,16,FALSE),"")=0,"",IFERROR(VLOOKUP(A1196,Drank!A:S,16,FALSE),""))</f>
        <v/>
      </c>
      <c r="T1196" s="10"/>
      <c r="U1196" s="37">
        <v>100</v>
      </c>
      <c r="V1196" s="18" t="str">
        <f>IF(IFERROR(VLOOKUP(A1196,Drank!A:T,19,FALSE),"")=0,"",IFERROR(VLOOKUP(A1196,Drank!A:T,19,FALSE),""))</f>
        <v/>
      </c>
      <c r="W1196" s="1" t="str">
        <f>IF(IFERROR(VLOOKUP(A1196,Drank!A:T,20,FALSE),"")=0,"",IFERROR(VLOOKUP(A1196,Drank!A:T,20,FALSE),""))</f>
        <v/>
      </c>
      <c r="X1196" s="10">
        <f>SUMIF(A:A,A1196,I:I)</f>
        <v>6</v>
      </c>
      <c r="Y1196" s="37">
        <f>IF(Table1[[#This Row],[Drank]]&gt;0,VLOOKUP(Table1[[#This Row],[ID]],Drank!A:P,16,FALSE),IF(Table1[[#This Row],[WALDD]]&gt;0,VLOOKUP(Table1[[#This Row],[ID]],Wine1!A:Q,17,FALSE),Table1[[#This Row],[EP]]))</f>
        <v>2050</v>
      </c>
      <c r="Z1196" s="18">
        <f>IF(Table1[[#This Row],[My Rating]]="",IF(Table1[[#This Row],[WA Rating Clean]]="","",Table1[[#This Row],[WA Rating Clean]]),Table1[[#This Row],[My Rating]])</f>
        <v>100</v>
      </c>
      <c r="AA1196" s="37">
        <v>2035</v>
      </c>
      <c r="AB1196" s="4">
        <v>225.32</v>
      </c>
      <c r="AC1196" s="2">
        <f t="shared" si="59"/>
        <v>225.32</v>
      </c>
      <c r="AD1196" s="8">
        <v>0</v>
      </c>
      <c r="AE1196" s="37">
        <f>IF(Table1[[#This Row],[P/750]]&lt;20,1,IF(Table1[[#This Row],[P/750]]&lt;50,2,3))</f>
        <v>3</v>
      </c>
      <c r="AF1196" s="37">
        <f>IF(Table1[[#This Row],[P/750]]&lt;Expenses!$C$30,1,IF(Table1[[#This Row],[P/750]]&lt;Expenses!$C$31,2,IF(Table1[[#This Row],[P/750]]&lt;Expenses!$C$32,3,4)))</f>
        <v>4</v>
      </c>
      <c r="AH1196" s="37" t="s">
        <v>1128</v>
      </c>
      <c r="AI1196" s="11">
        <f>Table1[[#This Row],[Price]]/Table1[[#This Row],[Size (ml)]]*750</f>
        <v>225.32</v>
      </c>
      <c r="AJ1196" s="37">
        <v>100</v>
      </c>
      <c r="AK1196" s="37">
        <f>COUNTIF(UniqueID!A:A,Table1[[#This Row],[ID]])</f>
        <v>1</v>
      </c>
      <c r="AL1196" s="37" t="str">
        <f>VLOOKUP(Table1[[#This Row],[Cellar Location]],Location!A:F,6,FALSE)</f>
        <v>K</v>
      </c>
      <c r="AO1196" s="37" t="str">
        <f>TEXT(Table1[[#This Row],[Purchased]],"mmmm")</f>
        <v>January</v>
      </c>
      <c r="AP1196" s="10" t="str">
        <f>TEXT(Table1[[#This Row],[Purchased]],"yyyy")</f>
        <v>1900</v>
      </c>
      <c r="AQ1196" s="10"/>
    </row>
    <row r="1197" spans="1:43" s="37" customFormat="1" x14ac:dyDescent="0.25">
      <c r="A1197" s="37" t="str">
        <f t="shared" si="58"/>
        <v>NVTaylor Fladgate40 Year Old Tawny Port</v>
      </c>
      <c r="B1197" s="37" t="s">
        <v>167</v>
      </c>
      <c r="C1197" s="37" t="s">
        <v>243</v>
      </c>
      <c r="D1197" s="37" t="s">
        <v>1137</v>
      </c>
      <c r="E1197" s="64" t="s">
        <v>257</v>
      </c>
      <c r="F1197" s="37" t="s">
        <v>804</v>
      </c>
      <c r="G1197" s="37" t="s">
        <v>805</v>
      </c>
      <c r="H1197" s="37" t="s">
        <v>1138</v>
      </c>
      <c r="I1197" s="107">
        <v>1</v>
      </c>
      <c r="J1197" s="37">
        <v>750</v>
      </c>
      <c r="K1197" s="107" t="s">
        <v>1133</v>
      </c>
      <c r="L1197" s="10">
        <f>COUNTIF(Drank!A:A,Table1[[#This Row],[ID]])</f>
        <v>0</v>
      </c>
      <c r="M1197" s="37" t="s">
        <v>202</v>
      </c>
      <c r="N1197" s="37" t="s">
        <v>206</v>
      </c>
      <c r="O1197" s="37">
        <v>1</v>
      </c>
      <c r="P1197" s="10"/>
      <c r="Q1197" s="37">
        <v>2055</v>
      </c>
      <c r="R1197" s="10" t="str">
        <f>IF(IFERROR(VLOOKUP(A1197,Drank!A:S,15,FALSE),"")=0,"",IFERROR(VLOOKUP(A1197,Drank!A:S,15,FALSE),""))</f>
        <v/>
      </c>
      <c r="S1197" s="10" t="str">
        <f>IF(IFERROR(VLOOKUP(A1197,Drank!A:S,16,FALSE),"")=0,"",IFERROR(VLOOKUP(A1197,Drank!A:S,16,FALSE),""))</f>
        <v/>
      </c>
      <c r="T1197" s="10"/>
      <c r="U1197" s="37">
        <v>98</v>
      </c>
      <c r="V1197" s="18" t="str">
        <f>IF(IFERROR(VLOOKUP(A1197,Drank!A:T,19,FALSE),"")=0,"",IFERROR(VLOOKUP(A1197,Drank!A:T,19,FALSE),""))</f>
        <v/>
      </c>
      <c r="W1197" s="1" t="str">
        <f>IF(IFERROR(VLOOKUP(A1197,Drank!A:T,20,FALSE),"")=0,"",IFERROR(VLOOKUP(A1197,Drank!A:T,20,FALSE),""))</f>
        <v/>
      </c>
      <c r="X1197" s="10">
        <f>SUMIF(A:A,A1197,I:I)</f>
        <v>2</v>
      </c>
      <c r="Y1197" s="10">
        <f>IF(Table1[[#This Row],[Drank]]&gt;0,VLOOKUP(Table1[[#This Row],[ID]],Drank!A:P,16,FALSE),IF(Table1[[#This Row],[WALDD]]&gt;0,VLOOKUP(Table1[[#This Row],[ID]],Wine1!A:Q,17,FALSE),Table1[[#This Row],[EP]]))</f>
        <v>2055</v>
      </c>
      <c r="Z1197" s="18">
        <f>IF(Table1[[#This Row],[My Rating]]="",IF(Table1[[#This Row],[WA Rating Clean]]="","",Table1[[#This Row],[WA Rating Clean]]),Table1[[#This Row],[My Rating]])</f>
        <v>98</v>
      </c>
      <c r="AA1197" s="6">
        <v>2035</v>
      </c>
      <c r="AB1197" s="4">
        <v>197.99</v>
      </c>
      <c r="AC1197" s="2">
        <f t="shared" si="59"/>
        <v>197.99</v>
      </c>
      <c r="AD1197" s="8">
        <v>2</v>
      </c>
      <c r="AE1197" s="10">
        <f>IF(Table1[[#This Row],[P/750]]&lt;20,1,IF(Table1[[#This Row],[P/750]]&lt;50,2,3))</f>
        <v>3</v>
      </c>
      <c r="AF1197" s="10">
        <f>IF(Table1[[#This Row],[P/750]]&lt;Expenses!$C$30,1,IF(Table1[[#This Row],[P/750]]&lt;Expenses!$C$31,2,IF(Table1[[#This Row],[P/750]]&lt;Expenses!$C$32,3,4)))</f>
        <v>4</v>
      </c>
      <c r="AH1197" s="37" t="s">
        <v>1132</v>
      </c>
      <c r="AI1197" s="11">
        <f>Table1[[#This Row],[Price]]/Table1[[#This Row],[Size (ml)]]*750</f>
        <v>197.99000000000004</v>
      </c>
      <c r="AJ1197" s="37">
        <v>98</v>
      </c>
      <c r="AK1197" s="10">
        <f>COUNTIF(UniqueID!A:A,Table1[[#This Row],[ID]])</f>
        <v>1</v>
      </c>
      <c r="AL1197" s="10" t="str">
        <f>VLOOKUP(Table1[[#This Row],[Cellar Location]],Location!A:F,6,FALSE)</f>
        <v>S</v>
      </c>
      <c r="AN1197" s="1">
        <v>43833</v>
      </c>
      <c r="AO1197" s="37" t="str">
        <f>TEXT(Table1[[#This Row],[Purchased]],"mmmm")</f>
        <v>January</v>
      </c>
      <c r="AP1197" s="10" t="str">
        <f>TEXT(Table1[[#This Row],[Purchased]],"yyyy")</f>
        <v>2020</v>
      </c>
      <c r="AQ1197" s="10"/>
    </row>
    <row r="1198" spans="1:43" s="37" customFormat="1" x14ac:dyDescent="0.25">
      <c r="A1198" s="37" t="str">
        <f t="shared" si="58"/>
        <v>2015Durfort VivensDurfort Vivens</v>
      </c>
      <c r="B1198" s="37">
        <v>2015</v>
      </c>
      <c r="C1198" s="37" t="s">
        <v>116</v>
      </c>
      <c r="D1198" s="37" t="s">
        <v>116</v>
      </c>
      <c r="E1198" s="67" t="s">
        <v>1262</v>
      </c>
      <c r="F1198" s="37" t="s">
        <v>742</v>
      </c>
      <c r="G1198" s="37" t="s">
        <v>748</v>
      </c>
      <c r="H1198" s="37" t="s">
        <v>750</v>
      </c>
      <c r="I1198" s="37">
        <v>1</v>
      </c>
      <c r="J1198" s="37">
        <v>750</v>
      </c>
      <c r="K1198" s="8" t="s">
        <v>8</v>
      </c>
      <c r="L1198" s="37">
        <f>COUNTIF(Drank!A:A,Table1[[#This Row],[ID]])</f>
        <v>1</v>
      </c>
      <c r="M1198" s="37" t="s">
        <v>202</v>
      </c>
      <c r="N1198" s="37" t="s">
        <v>207</v>
      </c>
      <c r="O1198" s="37">
        <v>1</v>
      </c>
      <c r="P1198" s="37">
        <v>2018</v>
      </c>
      <c r="Q1198" s="37">
        <v>2030</v>
      </c>
      <c r="R1198" s="37">
        <f>IF(IFERROR(VLOOKUP(A1198,Drank!A:S,15,FALSE),"")=0,"",IFERROR(VLOOKUP(A1198,Drank!A:S,15,FALSE),""))</f>
        <v>2019</v>
      </c>
      <c r="S1198" s="37">
        <f>IF(IFERROR(VLOOKUP(A1198,Drank!A:S,16,FALSE),"")=0,"",IFERROR(VLOOKUP(A1198,Drank!A:S,16,FALSE),""))</f>
        <v>2029</v>
      </c>
      <c r="U1198" s="37" t="s">
        <v>117</v>
      </c>
      <c r="V1198" s="18">
        <f>IF(IFERROR(VLOOKUP(A1198,Drank!A:T,19,FALSE),"")=0,"",IFERROR(VLOOKUP(A1198,Drank!A:T,19,FALSE),""))</f>
        <v>91</v>
      </c>
      <c r="W1198" s="1">
        <f>IF(IFERROR(VLOOKUP(A1198,Drank!A:T,20,FALSE),"")=0,"",IFERROR(VLOOKUP(A1198,Drank!A:T,20,FALSE),""))</f>
        <v>43554</v>
      </c>
      <c r="X1198" s="37">
        <f>SUMIF(A:A,A1198,I:I)</f>
        <v>4</v>
      </c>
      <c r="Y1198" s="37">
        <f>IF(Table1[[#This Row],[Drank]]&gt;0,VLOOKUP(Table1[[#This Row],[ID]],Drank!A:P,16,FALSE),IF(Table1[[#This Row],[WALDD]]&gt;0,VLOOKUP(Table1[[#This Row],[ID]],Wine1!A:Q,17,FALSE),Table1[[#This Row],[EP]]))</f>
        <v>2029</v>
      </c>
      <c r="Z1198" s="18">
        <f>IF(Table1[[#This Row],[My Rating]]="",IF(Table1[[#This Row],[WA Rating Clean]]="","",Table1[[#This Row],[WA Rating Clean]]),Table1[[#This Row],[My Rating]])</f>
        <v>91</v>
      </c>
      <c r="AA1198" s="37">
        <v>2036</v>
      </c>
      <c r="AB1198" s="3">
        <v>70</v>
      </c>
      <c r="AC1198" s="2">
        <f t="shared" si="59"/>
        <v>70</v>
      </c>
      <c r="AD1198" s="8">
        <v>0</v>
      </c>
      <c r="AE1198" s="37">
        <f>IF(Table1[[#This Row],[P/750]]&lt;20,1,IF(Table1[[#This Row],[P/750]]&lt;50,2,3))</f>
        <v>3</v>
      </c>
      <c r="AF1198" s="37">
        <f>IF(Table1[[#This Row],[P/750]]&lt;Expenses!$C$30,1,IF(Table1[[#This Row],[P/750]]&lt;Expenses!$C$31,2,IF(Table1[[#This Row],[P/750]]&lt;Expenses!$C$32,3,4)))</f>
        <v>4</v>
      </c>
      <c r="AH1198" s="37" t="s">
        <v>1131</v>
      </c>
      <c r="AI1198" s="11">
        <f>Table1[[#This Row],[Price]]/Table1[[#This Row],[Size (ml)]]*750</f>
        <v>70</v>
      </c>
      <c r="AJ1198" s="37">
        <v>90</v>
      </c>
      <c r="AK1198" s="37">
        <f>COUNTIF(UniqueID!A:A,Table1[[#This Row],[ID]])</f>
        <v>1</v>
      </c>
      <c r="AL1198" s="37" t="str">
        <f>VLOOKUP(Table1[[#This Row],[Cellar Location]],Location!A:F,6,FALSE)</f>
        <v>K</v>
      </c>
      <c r="AO1198" s="37" t="str">
        <f>TEXT(Table1[[#This Row],[Purchased]],"mmmm")</f>
        <v>January</v>
      </c>
      <c r="AP1198" s="10" t="str">
        <f>TEXT(Table1[[#This Row],[Purchased]],"yyyy")</f>
        <v>1900</v>
      </c>
      <c r="AQ1198" s="10"/>
    </row>
    <row r="1199" spans="1:43" s="37" customFormat="1" x14ac:dyDescent="0.25">
      <c r="A1199" s="37" t="str">
        <f t="shared" si="58"/>
        <v>2010CavallottoBarolo Riserva Vignolo</v>
      </c>
      <c r="B1199" s="37">
        <v>2010</v>
      </c>
      <c r="C1199" s="37" t="s">
        <v>51</v>
      </c>
      <c r="D1199" s="37" t="s">
        <v>52</v>
      </c>
      <c r="E1199" s="67" t="s">
        <v>1206</v>
      </c>
      <c r="F1199" s="37" t="s">
        <v>728</v>
      </c>
      <c r="G1199" s="37" t="s">
        <v>778</v>
      </c>
      <c r="H1199" s="37" t="s">
        <v>782</v>
      </c>
      <c r="I1199" s="37">
        <v>1</v>
      </c>
      <c r="J1199" s="37">
        <v>750</v>
      </c>
      <c r="K1199" s="8" t="s">
        <v>11</v>
      </c>
      <c r="L1199" s="37">
        <f>COUNTIF(Drank!A:A,Table1[[#This Row],[ID]])</f>
        <v>0</v>
      </c>
      <c r="M1199" s="37" t="s">
        <v>202</v>
      </c>
      <c r="N1199" s="37" t="s">
        <v>207</v>
      </c>
      <c r="O1199" s="37">
        <v>1</v>
      </c>
      <c r="P1199" s="37">
        <v>2018</v>
      </c>
      <c r="Q1199" s="37">
        <v>2030</v>
      </c>
      <c r="R1199" s="37" t="str">
        <f>IF(IFERROR(VLOOKUP(A1199,Drank!A:S,15,FALSE),"")=0,"",IFERROR(VLOOKUP(A1199,Drank!A:S,15,FALSE),""))</f>
        <v/>
      </c>
      <c r="S1199" s="37" t="str">
        <f>IF(IFERROR(VLOOKUP(A1199,Drank!A:S,16,FALSE),"")=0,"",IFERROR(VLOOKUP(A1199,Drank!A:S,16,FALSE),""))</f>
        <v/>
      </c>
      <c r="U1199" s="37" t="s">
        <v>17</v>
      </c>
      <c r="V1199" s="18" t="str">
        <f>IF(IFERROR(VLOOKUP(A1199,Drank!A:T,19,FALSE),"")=0,"",IFERROR(VLOOKUP(A1199,Drank!A:T,19,FALSE),""))</f>
        <v/>
      </c>
      <c r="W1199" s="1" t="str">
        <f>IF(IFERROR(VLOOKUP(A1199,Drank!A:T,20,FALSE),"")=0,"",IFERROR(VLOOKUP(A1199,Drank!A:T,20,FALSE),""))</f>
        <v/>
      </c>
      <c r="X1199" s="37">
        <f>SUMIF(A:A,A1199,I:I)</f>
        <v>1</v>
      </c>
      <c r="Y1199" s="37">
        <f>IF(Table1[[#This Row],[Drank]]&gt;0,VLOOKUP(Table1[[#This Row],[ID]],Drank!A:P,16,FALSE),IF(Table1[[#This Row],[WALDD]]&gt;0,VLOOKUP(Table1[[#This Row],[ID]],Wine1!A:Q,17,FALSE),Table1[[#This Row],[EP]]))</f>
        <v>2030</v>
      </c>
      <c r="Z1199" s="18">
        <f>IF(Table1[[#This Row],[My Rating]]="",IF(Table1[[#This Row],[WA Rating Clean]]="","",Table1[[#This Row],[WA Rating Clean]]),Table1[[#This Row],[My Rating]])</f>
        <v>94</v>
      </c>
      <c r="AA1199" s="37">
        <v>2036</v>
      </c>
      <c r="AB1199" s="3">
        <v>110</v>
      </c>
      <c r="AC1199" s="2">
        <f t="shared" si="59"/>
        <v>110</v>
      </c>
      <c r="AD1199" s="8">
        <v>0</v>
      </c>
      <c r="AE1199" s="37">
        <f>IF(Table1[[#This Row],[P/750]]&lt;20,1,IF(Table1[[#This Row],[P/750]]&lt;50,2,3))</f>
        <v>3</v>
      </c>
      <c r="AF1199" s="37">
        <f>IF(Table1[[#This Row],[P/750]]&lt;Expenses!$C$30,1,IF(Table1[[#This Row],[P/750]]&lt;Expenses!$C$31,2,IF(Table1[[#This Row],[P/750]]&lt;Expenses!$C$32,3,4)))</f>
        <v>4</v>
      </c>
      <c r="AH1199" s="37" t="s">
        <v>1131</v>
      </c>
      <c r="AI1199" s="11">
        <f>Table1[[#This Row],[Price]]/Table1[[#This Row],[Size (ml)]]*750</f>
        <v>110</v>
      </c>
      <c r="AJ1199" s="37">
        <v>94</v>
      </c>
      <c r="AK1199" s="37">
        <f>COUNTIF(UniqueID!A:A,Table1[[#This Row],[ID]])</f>
        <v>1</v>
      </c>
      <c r="AL1199" s="37" t="str">
        <f>VLOOKUP(Table1[[#This Row],[Cellar Location]],Location!A:F,6,FALSE)</f>
        <v>K</v>
      </c>
      <c r="AO1199" s="37" t="str">
        <f>TEXT(Table1[[#This Row],[Purchased]],"mmmm")</f>
        <v>January</v>
      </c>
      <c r="AP1199" s="10" t="str">
        <f>TEXT(Table1[[#This Row],[Purchased]],"yyyy")</f>
        <v>1900</v>
      </c>
      <c r="AQ1199" s="10"/>
    </row>
    <row r="1200" spans="1:43" s="37" customFormat="1" x14ac:dyDescent="0.25">
      <c r="A1200" s="37" t="str">
        <f t="shared" si="58"/>
        <v>2016Produttori del BarbarescoBarbaresco</v>
      </c>
      <c r="B1200" s="37">
        <v>2016</v>
      </c>
      <c r="C1200" s="37" t="s">
        <v>248</v>
      </c>
      <c r="D1200" s="37" t="s">
        <v>249</v>
      </c>
      <c r="E1200" s="67" t="s">
        <v>1206</v>
      </c>
      <c r="F1200" s="37" t="s">
        <v>728</v>
      </c>
      <c r="G1200" s="37" t="s">
        <v>778</v>
      </c>
      <c r="H1200" s="37" t="s">
        <v>249</v>
      </c>
      <c r="I1200" s="37">
        <v>1</v>
      </c>
      <c r="J1200" s="107">
        <v>750</v>
      </c>
      <c r="K1200" s="8" t="s">
        <v>1851</v>
      </c>
      <c r="L1200" s="10">
        <f>COUNTIF(Drank!A:A,Table1[[#This Row],[ID]])</f>
        <v>2</v>
      </c>
      <c r="M1200" s="37" t="s">
        <v>202</v>
      </c>
      <c r="N1200" s="37" t="s">
        <v>207</v>
      </c>
      <c r="O1200" s="37">
        <v>1</v>
      </c>
      <c r="P1200" s="37">
        <v>2022</v>
      </c>
      <c r="Q1200" s="37">
        <v>2040</v>
      </c>
      <c r="R1200" s="10">
        <f>IF(IFERROR(VLOOKUP(A1200,Drank!A:S,15,FALSE),"")=0,"",IFERROR(VLOOKUP(A1200,Drank!A:S,15,FALSE),""))</f>
        <v>2021</v>
      </c>
      <c r="S1200" s="10">
        <f>IF(IFERROR(VLOOKUP(A1200,Drank!A:S,16,FALSE),"")=0,"",IFERROR(VLOOKUP(A1200,Drank!A:S,16,FALSE),""))</f>
        <v>2032</v>
      </c>
      <c r="T1200" s="10"/>
      <c r="U1200" s="37">
        <v>95</v>
      </c>
      <c r="V1200" s="18">
        <f>IF(IFERROR(VLOOKUP(A1200,Drank!A:T,19,FALSE),"")=0,"",IFERROR(VLOOKUP(A1200,Drank!A:T,19,FALSE),""))</f>
        <v>95.5</v>
      </c>
      <c r="W1200" s="1">
        <f>IF(IFERROR(VLOOKUP(A1200,Drank!A:T,20,FALSE),"")=0,"",IFERROR(VLOOKUP(A1200,Drank!A:T,20,FALSE),""))</f>
        <v>44079</v>
      </c>
      <c r="X1200" s="10">
        <f>SUMIF(A:A,A1200,I:I)</f>
        <v>41</v>
      </c>
      <c r="Y1200" s="10">
        <f>IF(Table1[[#This Row],[Drank]]&gt;0,VLOOKUP(Table1[[#This Row],[ID]],Drank!A:P,16,FALSE),IF(Table1[[#This Row],[WALDD]]&gt;0,VLOOKUP(Table1[[#This Row],[ID]],Wine1!A:Q,17,FALSE),Table1[[#This Row],[EP]]))</f>
        <v>2032</v>
      </c>
      <c r="Z1200" s="18">
        <f>IF(Table1[[#This Row],[My Rating]]="",IF(Table1[[#This Row],[WA Rating Clean]]="","",Table1[[#This Row],[WA Rating Clean]]),Table1[[#This Row],[My Rating]])</f>
        <v>95.5</v>
      </c>
      <c r="AA1200" s="37">
        <v>2036</v>
      </c>
      <c r="AB1200" s="129">
        <v>42.36</v>
      </c>
      <c r="AC1200" s="2">
        <f t="shared" si="59"/>
        <v>42.36</v>
      </c>
      <c r="AD1200" s="8">
        <v>1</v>
      </c>
      <c r="AE1200" s="10">
        <f>IF(Table1[[#This Row],[P/750]]&lt;20,1,IF(Table1[[#This Row],[P/750]]&lt;50,2,3))</f>
        <v>2</v>
      </c>
      <c r="AF1200" s="10">
        <f>IF(Table1[[#This Row],[P/750]]&lt;Expenses!$C$30,1,IF(Table1[[#This Row],[P/750]]&lt;Expenses!$C$31,2,IF(Table1[[#This Row],[P/750]]&lt;Expenses!$C$32,3,4)))</f>
        <v>3</v>
      </c>
      <c r="AH1200" s="37" t="s">
        <v>1128</v>
      </c>
      <c r="AI1200" s="11">
        <f>Table1[[#This Row],[Price]]/Table1[[#This Row],[Size (ml)]]*750</f>
        <v>42.36</v>
      </c>
      <c r="AJ1200" s="37">
        <v>95</v>
      </c>
      <c r="AK1200" s="10">
        <f>COUNTIF(UniqueID!A:A,Table1[[#This Row],[ID]])</f>
        <v>1</v>
      </c>
      <c r="AL1200" s="10" t="str">
        <f>VLOOKUP(Table1[[#This Row],[Cellar Location]],Location!A:F,6,FALSE)</f>
        <v>S</v>
      </c>
      <c r="AN1200" s="1">
        <v>44070</v>
      </c>
      <c r="AO1200" s="10" t="str">
        <f>TEXT(Table1[[#This Row],[Purchased]],"mmmm")</f>
        <v>August</v>
      </c>
      <c r="AP1200" s="10" t="str">
        <f>TEXT(Table1[[#This Row],[Purchased]],"yyyy")</f>
        <v>2020</v>
      </c>
      <c r="AQ1200" s="1"/>
    </row>
    <row r="1201" spans="1:43" s="37" customFormat="1" x14ac:dyDescent="0.25">
      <c r="A1201" s="37" t="str">
        <f t="shared" si="58"/>
        <v>2016Produttori del BarbarescoBarbaresco</v>
      </c>
      <c r="B1201" s="37">
        <v>2016</v>
      </c>
      <c r="C1201" s="37" t="s">
        <v>248</v>
      </c>
      <c r="D1201" s="37" t="s">
        <v>249</v>
      </c>
      <c r="E1201" s="67" t="s">
        <v>1206</v>
      </c>
      <c r="F1201" s="37" t="s">
        <v>728</v>
      </c>
      <c r="G1201" s="37" t="s">
        <v>778</v>
      </c>
      <c r="H1201" s="37" t="s">
        <v>249</v>
      </c>
      <c r="I1201" s="8">
        <v>1</v>
      </c>
      <c r="J1201" s="38">
        <v>1500</v>
      </c>
      <c r="K1201" s="38" t="s">
        <v>1139</v>
      </c>
      <c r="L1201" s="37">
        <f>COUNTIF(Drank!A:A,Table1[[#This Row],[ID]])</f>
        <v>2</v>
      </c>
      <c r="M1201" s="37" t="s">
        <v>202</v>
      </c>
      <c r="N1201" s="37" t="s">
        <v>207</v>
      </c>
      <c r="O1201" s="37">
        <v>1</v>
      </c>
      <c r="P1201" s="37">
        <v>2022</v>
      </c>
      <c r="Q1201" s="37">
        <v>2040</v>
      </c>
      <c r="R1201" s="10">
        <f>IF(IFERROR(VLOOKUP(A1201,Drank!A:S,15,FALSE),"")=0,"",IFERROR(VLOOKUP(A1201,Drank!A:S,15,FALSE),""))</f>
        <v>2021</v>
      </c>
      <c r="S1201" s="10">
        <f>IF(IFERROR(VLOOKUP(A1201,Drank!A:S,16,FALSE),"")=0,"",IFERROR(VLOOKUP(A1201,Drank!A:S,16,FALSE),""))</f>
        <v>2032</v>
      </c>
      <c r="T1201" s="10"/>
      <c r="U1201" s="37">
        <v>95</v>
      </c>
      <c r="V1201" s="18">
        <f>IF(IFERROR(VLOOKUP(A1201,Drank!A:T,19,FALSE),"")=0,"",IFERROR(VLOOKUP(A1201,Drank!A:T,19,FALSE),""))</f>
        <v>95.5</v>
      </c>
      <c r="W1201" s="1">
        <f>IF(IFERROR(VLOOKUP(A1201,Drank!A:T,20,FALSE),"")=0,"",IFERROR(VLOOKUP(A1201,Drank!A:T,20,FALSE),""))</f>
        <v>44079</v>
      </c>
      <c r="X1201" s="10">
        <f>SUMIF(A:A,A1201,I:I)</f>
        <v>41</v>
      </c>
      <c r="Y1201" s="37">
        <f>IF(Table1[[#This Row],[Drank]]&gt;0,VLOOKUP(Table1[[#This Row],[ID]],Drank!A:P,16,FALSE),IF(Table1[[#This Row],[WALDD]]&gt;0,VLOOKUP(Table1[[#This Row],[ID]],Wine1!A:Q,17,FALSE),Table1[[#This Row],[EP]]))</f>
        <v>2032</v>
      </c>
      <c r="Z1201" s="18">
        <f>IF(Table1[[#This Row],[My Rating]]="",IF(Table1[[#This Row],[WA Rating Clean]]="","",Table1[[#This Row],[WA Rating Clean]]),Table1[[#This Row],[My Rating]])</f>
        <v>95.5</v>
      </c>
      <c r="AA1201" s="8">
        <v>2036</v>
      </c>
      <c r="AB1201" s="4">
        <v>97.74</v>
      </c>
      <c r="AC1201" s="2">
        <f t="shared" si="59"/>
        <v>97.74</v>
      </c>
      <c r="AD1201" s="8">
        <v>1</v>
      </c>
      <c r="AE1201" s="37">
        <f>IF(Table1[[#This Row],[P/750]]&lt;20,1,IF(Table1[[#This Row],[P/750]]&lt;50,2,3))</f>
        <v>2</v>
      </c>
      <c r="AF1201" s="37">
        <f>IF(Table1[[#This Row],[P/750]]&lt;Expenses!$C$30,1,IF(Table1[[#This Row],[P/750]]&lt;Expenses!$C$31,2,IF(Table1[[#This Row],[P/750]]&lt;Expenses!$C$32,3,4)))</f>
        <v>3</v>
      </c>
      <c r="AH1201" s="37" t="s">
        <v>1139</v>
      </c>
      <c r="AI1201" s="11">
        <f>Table1[[#This Row],[Price]]/Table1[[#This Row],[Size (ml)]]*750</f>
        <v>48.87</v>
      </c>
      <c r="AJ1201" s="37">
        <v>95</v>
      </c>
      <c r="AK1201" s="37">
        <f>COUNTIF(UniqueID!A:A,Table1[[#This Row],[ID]])</f>
        <v>1</v>
      </c>
      <c r="AL1201" s="37" t="str">
        <f>VLOOKUP(Table1[[#This Row],[Cellar Location]],Location!A:F,6,FALSE)</f>
        <v>W</v>
      </c>
      <c r="AN1201" s="1">
        <v>44058</v>
      </c>
      <c r="AO1201" s="37" t="str">
        <f>TEXT(Table1[[#This Row],[Purchased]],"mmmm")</f>
        <v>August</v>
      </c>
      <c r="AP1201" s="10" t="str">
        <f>TEXT(Table1[[#This Row],[Purchased]],"yyyy")</f>
        <v>2020</v>
      </c>
      <c r="AQ1201" s="1">
        <v>44132</v>
      </c>
    </row>
    <row r="1202" spans="1:43" s="37" customFormat="1" x14ac:dyDescent="0.25">
      <c r="A1202" s="37" t="str">
        <f t="shared" si="58"/>
        <v>2015OdderoBarolo</v>
      </c>
      <c r="B1202" s="37">
        <v>2015</v>
      </c>
      <c r="C1202" s="37" t="s">
        <v>1173</v>
      </c>
      <c r="D1202" s="37" t="s">
        <v>268</v>
      </c>
      <c r="E1202" s="37" t="s">
        <v>1206</v>
      </c>
      <c r="F1202" s="37" t="s">
        <v>728</v>
      </c>
      <c r="G1202" s="37" t="s">
        <v>778</v>
      </c>
      <c r="H1202" s="37" t="s">
        <v>268</v>
      </c>
      <c r="I1202" s="107">
        <v>1</v>
      </c>
      <c r="J1202" s="37">
        <v>375</v>
      </c>
      <c r="K1202" s="107" t="s">
        <v>1234</v>
      </c>
      <c r="L1202" s="10">
        <f>COUNTIF(Drank!A:A,Table1[[#This Row],[ID]])</f>
        <v>2</v>
      </c>
      <c r="M1202" s="37" t="s">
        <v>202</v>
      </c>
      <c r="N1202" s="37" t="s">
        <v>207</v>
      </c>
      <c r="O1202" s="37">
        <v>1</v>
      </c>
      <c r="P1202" s="37">
        <v>2020</v>
      </c>
      <c r="Q1202" s="37">
        <v>2035</v>
      </c>
      <c r="R1202" s="10">
        <f>IF(IFERROR(VLOOKUP(A1202,Drank!A:S,15,FALSE),"")=0,"",IFERROR(VLOOKUP(A1202,Drank!A:S,15,FALSE),""))</f>
        <v>2022</v>
      </c>
      <c r="S1202" s="10">
        <f>IF(IFERROR(VLOOKUP(A1202,Drank!A:S,16,FALSE),"")=0,"",IFERROR(VLOOKUP(A1202,Drank!A:S,16,FALSE),""))</f>
        <v>2035</v>
      </c>
      <c r="T1202" s="10"/>
      <c r="U1202" s="37" t="s">
        <v>74</v>
      </c>
      <c r="V1202" s="18">
        <f>IF(IFERROR(VLOOKUP(A1202,Drank!A:T,19,FALSE),"")=0,"",IFERROR(VLOOKUP(A1202,Drank!A:T,19,FALSE),""))</f>
        <v>93</v>
      </c>
      <c r="W1202" s="1">
        <f>IF(IFERROR(VLOOKUP(A1202,Drank!A:T,20,FALSE),"")=0,"",IFERROR(VLOOKUP(A1202,Drank!A:T,20,FALSE),""))</f>
        <v>43905</v>
      </c>
      <c r="X1202" s="10">
        <f>SUMIF(A:A,A1202,I:I)</f>
        <v>22</v>
      </c>
      <c r="Y1202" s="10">
        <f>IF(Table1[[#This Row],[Drank]]&gt;0,VLOOKUP(Table1[[#This Row],[ID]],Drank!A:P,16,FALSE),IF(Table1[[#This Row],[WALDD]]&gt;0,VLOOKUP(Table1[[#This Row],[ID]],Wine1!A:Q,17,FALSE),Table1[[#This Row],[EP]]))</f>
        <v>2035</v>
      </c>
      <c r="Z1202" s="18">
        <f>IF(Table1[[#This Row],[My Rating]]="",IF(Table1[[#This Row],[WA Rating Clean]]="","",Table1[[#This Row],[WA Rating Clean]]),Table1[[#This Row],[My Rating]])</f>
        <v>93</v>
      </c>
      <c r="AA1202" s="8">
        <v>2036</v>
      </c>
      <c r="AB1202" s="4">
        <v>26.48</v>
      </c>
      <c r="AC1202" s="2">
        <f t="shared" si="59"/>
        <v>26.48</v>
      </c>
      <c r="AD1202" s="8">
        <v>2</v>
      </c>
      <c r="AE1202" s="10">
        <f>IF(Table1[[#This Row],[P/750]]&lt;20,1,IF(Table1[[#This Row],[P/750]]&lt;50,2,3))</f>
        <v>3</v>
      </c>
      <c r="AF1202" s="10">
        <f>IF(Table1[[#This Row],[P/750]]&lt;Expenses!$C$30,1,IF(Table1[[#This Row],[P/750]]&lt;Expenses!$C$31,2,IF(Table1[[#This Row],[P/750]]&lt;Expenses!$C$32,3,4)))</f>
        <v>3</v>
      </c>
      <c r="AH1202" s="37" t="s">
        <v>1175</v>
      </c>
      <c r="AI1202" s="11">
        <f>Table1[[#This Row],[Price]]/Table1[[#This Row],[Size (ml)]]*750</f>
        <v>52.96</v>
      </c>
      <c r="AJ1202" s="37">
        <v>93</v>
      </c>
      <c r="AK1202" s="10">
        <f>COUNTIF(UniqueID!A:A,Table1[[#This Row],[ID]])</f>
        <v>1</v>
      </c>
      <c r="AL1202" s="10" t="str">
        <f>VLOOKUP(Table1[[#This Row],[Cellar Location]],Location!A:F,6,FALSE)</f>
        <v>S</v>
      </c>
      <c r="AN1202" s="1">
        <v>43858</v>
      </c>
      <c r="AO1202" s="37" t="str">
        <f>TEXT(Table1[[#This Row],[Purchased]],"mmmm")</f>
        <v>January</v>
      </c>
      <c r="AP1202" s="10" t="str">
        <f>TEXT(Table1[[#This Row],[Purchased]],"yyyy")</f>
        <v>2020</v>
      </c>
      <c r="AQ1202" s="10"/>
    </row>
    <row r="1203" spans="1:43" s="37" customFormat="1" x14ac:dyDescent="0.25">
      <c r="A1203" s="37" t="str">
        <f t="shared" si="58"/>
        <v>2015OdderoBarolo</v>
      </c>
      <c r="B1203" s="37">
        <v>2015</v>
      </c>
      <c r="C1203" s="37" t="s">
        <v>1173</v>
      </c>
      <c r="D1203" s="37" t="s">
        <v>268</v>
      </c>
      <c r="E1203" s="37" t="s">
        <v>1206</v>
      </c>
      <c r="F1203" s="37" t="s">
        <v>728</v>
      </c>
      <c r="G1203" s="37" t="s">
        <v>778</v>
      </c>
      <c r="H1203" s="37" t="s">
        <v>268</v>
      </c>
      <c r="I1203" s="107">
        <v>1</v>
      </c>
      <c r="J1203" s="37">
        <v>750</v>
      </c>
      <c r="K1203" s="107" t="s">
        <v>1235</v>
      </c>
      <c r="L1203" s="10">
        <f>COUNTIF(Drank!A:A,Table1[[#This Row],[ID]])</f>
        <v>2</v>
      </c>
      <c r="M1203" s="37" t="s">
        <v>202</v>
      </c>
      <c r="N1203" s="37" t="s">
        <v>207</v>
      </c>
      <c r="O1203" s="37">
        <v>1</v>
      </c>
      <c r="P1203" s="37">
        <v>2020</v>
      </c>
      <c r="Q1203" s="37">
        <v>2035</v>
      </c>
      <c r="R1203" s="10">
        <f>IF(IFERROR(VLOOKUP(A1203,Drank!A:S,15,FALSE),"")=0,"",IFERROR(VLOOKUP(A1203,Drank!A:S,15,FALSE),""))</f>
        <v>2022</v>
      </c>
      <c r="S1203" s="10">
        <f>IF(IFERROR(VLOOKUP(A1203,Drank!A:S,16,FALSE),"")=0,"",IFERROR(VLOOKUP(A1203,Drank!A:S,16,FALSE),""))</f>
        <v>2035</v>
      </c>
      <c r="T1203" s="10"/>
      <c r="U1203" s="37" t="s">
        <v>74</v>
      </c>
      <c r="V1203" s="18">
        <f>IF(IFERROR(VLOOKUP(A1203,Drank!A:T,19,FALSE),"")=0,"",IFERROR(VLOOKUP(A1203,Drank!A:T,19,FALSE),""))</f>
        <v>93</v>
      </c>
      <c r="W1203" s="1">
        <f>IF(IFERROR(VLOOKUP(A1203,Drank!A:T,20,FALSE),"")=0,"",IFERROR(VLOOKUP(A1203,Drank!A:T,20,FALSE),""))</f>
        <v>43905</v>
      </c>
      <c r="X1203" s="10">
        <f>SUMIF(A:A,A1203,I:I)</f>
        <v>22</v>
      </c>
      <c r="Y1203" s="10">
        <f>IF(Table1[[#This Row],[Drank]]&gt;0,VLOOKUP(Table1[[#This Row],[ID]],Drank!A:P,16,FALSE),IF(Table1[[#This Row],[WALDD]]&gt;0,VLOOKUP(Table1[[#This Row],[ID]],Wine1!A:Q,17,FALSE),Table1[[#This Row],[EP]]))</f>
        <v>2035</v>
      </c>
      <c r="Z1203" s="18">
        <f>IF(Table1[[#This Row],[My Rating]]="",IF(Table1[[#This Row],[WA Rating Clean]]="","",Table1[[#This Row],[WA Rating Clean]]),Table1[[#This Row],[My Rating]])</f>
        <v>93</v>
      </c>
      <c r="AA1203" s="8">
        <v>2036</v>
      </c>
      <c r="AB1203" s="4">
        <v>40.229999999999997</v>
      </c>
      <c r="AC1203" s="2">
        <f t="shared" si="59"/>
        <v>40.229999999999997</v>
      </c>
      <c r="AD1203" s="8">
        <v>2</v>
      </c>
      <c r="AE1203" s="10">
        <f>IF(Table1[[#This Row],[P/750]]&lt;20,1,IF(Table1[[#This Row],[P/750]]&lt;50,2,3))</f>
        <v>2</v>
      </c>
      <c r="AF1203" s="10">
        <f>IF(Table1[[#This Row],[P/750]]&lt;Expenses!$C$30,1,IF(Table1[[#This Row],[P/750]]&lt;Expenses!$C$31,2,IF(Table1[[#This Row],[P/750]]&lt;Expenses!$C$32,3,4)))</f>
        <v>3</v>
      </c>
      <c r="AH1203" s="37" t="s">
        <v>1174</v>
      </c>
      <c r="AI1203" s="11">
        <f>Table1[[#This Row],[Price]]/Table1[[#This Row],[Size (ml)]]*750</f>
        <v>40.229999999999997</v>
      </c>
      <c r="AJ1203" s="37">
        <v>93</v>
      </c>
      <c r="AK1203" s="10">
        <f>COUNTIF(UniqueID!A:A,Table1[[#This Row],[ID]])</f>
        <v>1</v>
      </c>
      <c r="AL1203" s="10" t="str">
        <f>VLOOKUP(Table1[[#This Row],[Cellar Location]],Location!A:F,6,FALSE)</f>
        <v>S</v>
      </c>
      <c r="AN1203" s="1">
        <v>43858</v>
      </c>
      <c r="AO1203" s="37" t="str">
        <f>TEXT(Table1[[#This Row],[Purchased]],"mmmm")</f>
        <v>January</v>
      </c>
      <c r="AP1203" s="10" t="str">
        <f>TEXT(Table1[[#This Row],[Purchased]],"yyyy")</f>
        <v>2020</v>
      </c>
      <c r="AQ1203" s="10"/>
    </row>
    <row r="1204" spans="1:43" s="37" customFormat="1" x14ac:dyDescent="0.25">
      <c r="A1204" s="37" t="str">
        <f t="shared" si="58"/>
        <v>2016Produttori del BarbarescoBarbaresco</v>
      </c>
      <c r="B1204" s="37">
        <v>2016</v>
      </c>
      <c r="C1204" s="37" t="s">
        <v>248</v>
      </c>
      <c r="D1204" s="37" t="s">
        <v>249</v>
      </c>
      <c r="E1204" s="67" t="s">
        <v>1206</v>
      </c>
      <c r="F1204" s="37" t="s">
        <v>728</v>
      </c>
      <c r="G1204" s="37" t="s">
        <v>778</v>
      </c>
      <c r="H1204" s="37" t="s">
        <v>249</v>
      </c>
      <c r="I1204" s="107">
        <v>1</v>
      </c>
      <c r="J1204" s="37">
        <v>750</v>
      </c>
      <c r="K1204" s="107" t="s">
        <v>644</v>
      </c>
      <c r="L1204" s="37">
        <f>COUNTIF(Drank!A:A,Table1[[#This Row],[ID]])</f>
        <v>2</v>
      </c>
      <c r="M1204" s="37" t="s">
        <v>202</v>
      </c>
      <c r="N1204" s="37" t="s">
        <v>207</v>
      </c>
      <c r="O1204" s="37">
        <v>1</v>
      </c>
      <c r="P1204" s="37">
        <v>2022</v>
      </c>
      <c r="Q1204" s="37">
        <v>2040</v>
      </c>
      <c r="R1204" s="10">
        <f>IF(IFERROR(VLOOKUP(A1204,Drank!A:S,15,FALSE),"")=0,"",IFERROR(VLOOKUP(A1204,Drank!A:S,15,FALSE),""))</f>
        <v>2021</v>
      </c>
      <c r="S1204" s="10">
        <f>IF(IFERROR(VLOOKUP(A1204,Drank!A:S,16,FALSE),"")=0,"",IFERROR(VLOOKUP(A1204,Drank!A:S,16,FALSE),""))</f>
        <v>2032</v>
      </c>
      <c r="T1204" s="10"/>
      <c r="U1204" s="37">
        <v>95</v>
      </c>
      <c r="V1204" s="18">
        <f>IF(IFERROR(VLOOKUP(A1204,Drank!A:T,19,FALSE),"")=0,"",IFERROR(VLOOKUP(A1204,Drank!A:T,19,FALSE),""))</f>
        <v>95.5</v>
      </c>
      <c r="W1204" s="1">
        <f>IF(IFERROR(VLOOKUP(A1204,Drank!A:T,20,FALSE),"")=0,"",IFERROR(VLOOKUP(A1204,Drank!A:T,20,FALSE),""))</f>
        <v>44079</v>
      </c>
      <c r="X1204" s="10">
        <f>SUMIF(A:A,A1204,I:I)</f>
        <v>41</v>
      </c>
      <c r="Y1204" s="37">
        <f>IF(Table1[[#This Row],[Drank]]&gt;0,VLOOKUP(Table1[[#This Row],[ID]],Drank!A:P,16,FALSE),IF(Table1[[#This Row],[WALDD]]&gt;0,VLOOKUP(Table1[[#This Row],[ID]],Wine1!A:Q,17,FALSE),Table1[[#This Row],[EP]]))</f>
        <v>2032</v>
      </c>
      <c r="Z1204" s="18">
        <f>IF(Table1[[#This Row],[My Rating]]="",IF(Table1[[#This Row],[WA Rating Clean]]="","",Table1[[#This Row],[WA Rating Clean]]),Table1[[#This Row],[My Rating]])</f>
        <v>95.5</v>
      </c>
      <c r="AA1204" s="8">
        <v>2036</v>
      </c>
      <c r="AB1204" s="4">
        <v>43.19</v>
      </c>
      <c r="AC1204" s="2">
        <f t="shared" si="59"/>
        <v>43.19</v>
      </c>
      <c r="AD1204" s="8">
        <v>2</v>
      </c>
      <c r="AE1204" s="37">
        <f>IF(Table1[[#This Row],[P/750]]&lt;20,1,IF(Table1[[#This Row],[P/750]]&lt;50,2,3))</f>
        <v>2</v>
      </c>
      <c r="AF1204" s="37">
        <f>IF(Table1[[#This Row],[P/750]]&lt;Expenses!$C$30,1,IF(Table1[[#This Row],[P/750]]&lt;Expenses!$C$31,2,IF(Table1[[#This Row],[P/750]]&lt;Expenses!$C$32,3,4)))</f>
        <v>3</v>
      </c>
      <c r="AH1204" s="37" t="s">
        <v>1128</v>
      </c>
      <c r="AI1204" s="11">
        <f>Table1[[#This Row],[Price]]/Table1[[#This Row],[Size (ml)]]*750</f>
        <v>43.19</v>
      </c>
      <c r="AJ1204" s="37">
        <v>95</v>
      </c>
      <c r="AK1204" s="37">
        <f>COUNTIF(UniqueID!A:A,Table1[[#This Row],[ID]])</f>
        <v>1</v>
      </c>
      <c r="AL1204" s="37" t="str">
        <f>VLOOKUP(Table1[[#This Row],[Cellar Location]],Location!A:F,6,FALSE)</f>
        <v>S</v>
      </c>
      <c r="AO1204" s="37" t="str">
        <f>TEXT(Table1[[#This Row],[Purchased]],"mmmm")</f>
        <v>January</v>
      </c>
      <c r="AP1204" s="10" t="str">
        <f>TEXT(Table1[[#This Row],[Purchased]],"yyyy")</f>
        <v>1900</v>
      </c>
      <c r="AQ1204" s="10"/>
    </row>
    <row r="1205" spans="1:43" s="37" customFormat="1" x14ac:dyDescent="0.25">
      <c r="A1205" s="37" t="str">
        <f t="shared" si="58"/>
        <v>2016FelsinaChianti Classico Riserva Rancia</v>
      </c>
      <c r="B1205" s="37">
        <v>2016</v>
      </c>
      <c r="C1205" s="37" t="s">
        <v>795</v>
      </c>
      <c r="D1205" s="37" t="s">
        <v>845</v>
      </c>
      <c r="E1205" s="67" t="s">
        <v>1250</v>
      </c>
      <c r="F1205" s="37" t="s">
        <v>728</v>
      </c>
      <c r="G1205" s="37" t="s">
        <v>790</v>
      </c>
      <c r="H1205" s="37" t="s">
        <v>792</v>
      </c>
      <c r="I1205" s="8">
        <v>1</v>
      </c>
      <c r="J1205" s="38">
        <v>1500</v>
      </c>
      <c r="K1205" s="38" t="s">
        <v>1139</v>
      </c>
      <c r="L1205" s="10">
        <f>COUNTIF(Drank!A:A,Table1[[#This Row],[ID]])</f>
        <v>1</v>
      </c>
      <c r="M1205" s="37" t="s">
        <v>202</v>
      </c>
      <c r="N1205" s="37" t="s">
        <v>207</v>
      </c>
      <c r="O1205" s="37">
        <v>1</v>
      </c>
      <c r="P1205" s="10">
        <v>2020</v>
      </c>
      <c r="Q1205" s="37">
        <v>2040</v>
      </c>
      <c r="R1205" s="10">
        <f>IF(IFERROR(VLOOKUP(A1205,Drank!A:S,15,FALSE),"")=0,"",IFERROR(VLOOKUP(A1205,Drank!A:S,15,FALSE),""))</f>
        <v>2027</v>
      </c>
      <c r="S1205" s="10">
        <f>IF(IFERROR(VLOOKUP(A1205,Drank!A:S,16,FALSE),"")=0,"",IFERROR(VLOOKUP(A1205,Drank!A:S,16,FALSE),""))</f>
        <v>2037</v>
      </c>
      <c r="T1205" s="10"/>
      <c r="U1205" s="37">
        <v>96</v>
      </c>
      <c r="V1205" s="18">
        <f>IF(IFERROR(VLOOKUP(A1205,Drank!A:T,19,FALSE),"")=0,"",IFERROR(VLOOKUP(A1205,Drank!A:T,19,FALSE),""))</f>
        <v>96</v>
      </c>
      <c r="W1205" s="1">
        <f>IF(IFERROR(VLOOKUP(A1205,Drank!A:T,20,FALSE),"")=0,"",IFERROR(VLOOKUP(A1205,Drank!A:T,20,FALSE),""))</f>
        <v>43897</v>
      </c>
      <c r="X1205" s="10">
        <f>SUMIF(A:A,A1205,I:I)</f>
        <v>5</v>
      </c>
      <c r="Y1205" s="10">
        <f>IF(Table1[[#This Row],[Drank]]&gt;0,VLOOKUP(Table1[[#This Row],[ID]],Drank!A:P,16,FALSE),IF(Table1[[#This Row],[WALDD]]&gt;0,VLOOKUP(Table1[[#This Row],[ID]],Wine1!A:Q,17,FALSE),Table1[[#This Row],[EP]]))</f>
        <v>2037</v>
      </c>
      <c r="Z1205" s="18">
        <f>IF(Table1[[#This Row],[My Rating]]="",IF(Table1[[#This Row],[WA Rating Clean]]="","",Table1[[#This Row],[WA Rating Clean]]),Table1[[#This Row],[My Rating]])</f>
        <v>96</v>
      </c>
      <c r="AA1205" s="37">
        <v>2036</v>
      </c>
      <c r="AB1205" s="4">
        <v>126.12</v>
      </c>
      <c r="AC1205" s="2">
        <f t="shared" si="59"/>
        <v>126.12</v>
      </c>
      <c r="AD1205" s="8">
        <v>1</v>
      </c>
      <c r="AE1205" s="10">
        <f>IF(Table1[[#This Row],[P/750]]&lt;20,1,IF(Table1[[#This Row],[P/750]]&lt;50,2,3))</f>
        <v>3</v>
      </c>
      <c r="AF1205" s="10">
        <f>IF(Table1[[#This Row],[P/750]]&lt;Expenses!$C$30,1,IF(Table1[[#This Row],[P/750]]&lt;Expenses!$C$31,2,IF(Table1[[#This Row],[P/750]]&lt;Expenses!$C$32,3,4)))</f>
        <v>3</v>
      </c>
      <c r="AH1205" s="37" t="s">
        <v>1139</v>
      </c>
      <c r="AI1205" s="11">
        <f>Table1[[#This Row],[Price]]/Table1[[#This Row],[Size (ml)]]*750</f>
        <v>63.06</v>
      </c>
      <c r="AJ1205" s="37">
        <v>96</v>
      </c>
      <c r="AK1205" s="10">
        <f>COUNTIF(UniqueID!A:A,Table1[[#This Row],[ID]])</f>
        <v>0</v>
      </c>
      <c r="AL1205" s="10" t="str">
        <f>VLOOKUP(Table1[[#This Row],[Cellar Location]],Location!A:F,6,FALSE)</f>
        <v>W</v>
      </c>
      <c r="AN1205" s="1">
        <v>44058</v>
      </c>
      <c r="AO1205" s="10" t="str">
        <f>TEXT(Table1[[#This Row],[Purchased]],"mmmm")</f>
        <v>August</v>
      </c>
      <c r="AP1205" s="10" t="str">
        <f>TEXT(Table1[[#This Row],[Purchased]],"yyyy")</f>
        <v>2020</v>
      </c>
      <c r="AQ1205" s="1">
        <v>44132</v>
      </c>
    </row>
    <row r="1206" spans="1:43" s="37" customFormat="1" x14ac:dyDescent="0.25">
      <c r="A1206" s="37" t="str">
        <f t="shared" si="58"/>
        <v>2015PrunottoBarolo Bussia</v>
      </c>
      <c r="B1206" s="37">
        <v>2015</v>
      </c>
      <c r="C1206" s="37" t="s">
        <v>33</v>
      </c>
      <c r="D1206" s="37" t="s">
        <v>34</v>
      </c>
      <c r="E1206" s="67" t="s">
        <v>1206</v>
      </c>
      <c r="F1206" s="37" t="s">
        <v>728</v>
      </c>
      <c r="G1206" s="37" t="s">
        <v>778</v>
      </c>
      <c r="H1206" s="37" t="s">
        <v>1304</v>
      </c>
      <c r="I1206" s="107">
        <v>1</v>
      </c>
      <c r="J1206" s="37">
        <v>750</v>
      </c>
      <c r="K1206" s="107" t="s">
        <v>1315</v>
      </c>
      <c r="L1206" s="37">
        <f>COUNTIF(Drank!A:A,Table1[[#This Row],[ID]])</f>
        <v>0</v>
      </c>
      <c r="M1206" s="37" t="s">
        <v>202</v>
      </c>
      <c r="N1206" s="37" t="s">
        <v>207</v>
      </c>
      <c r="O1206" s="37">
        <v>1</v>
      </c>
      <c r="P1206" s="37">
        <v>2020</v>
      </c>
      <c r="Q1206" s="37">
        <v>2038</v>
      </c>
      <c r="R1206" s="37" t="str">
        <f>IF(IFERROR(VLOOKUP(A1206,Drank!A:S,15,FALSE),"")=0,"",IFERROR(VLOOKUP(A1206,Drank!A:S,15,FALSE),""))</f>
        <v/>
      </c>
      <c r="S1206" s="37" t="str">
        <f>IF(IFERROR(VLOOKUP(A1206,Drank!A:S,16,FALSE),"")=0,"",IFERROR(VLOOKUP(A1206,Drank!A:S,16,FALSE),""))</f>
        <v/>
      </c>
      <c r="U1206" s="37">
        <v>94</v>
      </c>
      <c r="V1206" s="18" t="str">
        <f>IF(IFERROR(VLOOKUP(A1206,Drank!A:T,19,FALSE),"")=0,"",IFERROR(VLOOKUP(A1206,Drank!A:T,19,FALSE),""))</f>
        <v/>
      </c>
      <c r="W1206" s="1" t="str">
        <f>IF(IFERROR(VLOOKUP(A1206,Drank!A:T,20,FALSE),"")=0,"",IFERROR(VLOOKUP(A1206,Drank!A:T,20,FALSE),""))</f>
        <v/>
      </c>
      <c r="X1206" s="37">
        <f>SUMIF(A:A,A1206,I:I)</f>
        <v>2</v>
      </c>
      <c r="Y1206" s="37">
        <f>IF(Table1[[#This Row],[Drank]]&gt;0,VLOOKUP(Table1[[#This Row],[ID]],Drank!A:P,16,FALSE),IF(Table1[[#This Row],[WALDD]]&gt;0,VLOOKUP(Table1[[#This Row],[ID]],Wine1!A:Q,17,FALSE),Table1[[#This Row],[EP]]))</f>
        <v>2038</v>
      </c>
      <c r="Z1206" s="18">
        <f>IF(Table1[[#This Row],[My Rating]]="",IF(Table1[[#This Row],[WA Rating Clean]]="","",Table1[[#This Row],[WA Rating Clean]]),Table1[[#This Row],[My Rating]])</f>
        <v>94</v>
      </c>
      <c r="AA1206" s="6">
        <v>2036</v>
      </c>
      <c r="AB1206" s="4">
        <v>86.32</v>
      </c>
      <c r="AC1206" s="2">
        <f t="shared" si="59"/>
        <v>86.32</v>
      </c>
      <c r="AD1206" s="8">
        <v>2</v>
      </c>
      <c r="AE1206" s="37">
        <f>IF(Table1[[#This Row],[P/750]]&lt;20,1,IF(Table1[[#This Row],[P/750]]&lt;50,2,3))</f>
        <v>3</v>
      </c>
      <c r="AF1206" s="37">
        <f>IF(Table1[[#This Row],[P/750]]&lt;Expenses!$C$30,1,IF(Table1[[#This Row],[P/750]]&lt;Expenses!$C$31,2,IF(Table1[[#This Row],[P/750]]&lt;Expenses!$C$32,3,4)))</f>
        <v>4</v>
      </c>
      <c r="AH1206" s="37" t="s">
        <v>1305</v>
      </c>
      <c r="AI1206" s="11">
        <f>Table1[[#This Row],[Price]]/Table1[[#This Row],[Size (ml)]]*750</f>
        <v>86.32</v>
      </c>
      <c r="AJ1206" s="37">
        <v>94</v>
      </c>
      <c r="AK1206" s="37">
        <f>COUNTIF(UniqueID!A:A,Table1[[#This Row],[ID]])</f>
        <v>0</v>
      </c>
      <c r="AL1206" s="37" t="str">
        <f>VLOOKUP(Table1[[#This Row],[Cellar Location]],Location!A:F,6,FALSE)</f>
        <v>S</v>
      </c>
      <c r="AN1206" s="1">
        <v>43880</v>
      </c>
      <c r="AO1206" s="37" t="str">
        <f>TEXT(Table1[[#This Row],[Purchased]],"mmmm")</f>
        <v>February</v>
      </c>
      <c r="AP1206" s="10" t="str">
        <f>TEXT(Table1[[#This Row],[Purchased]],"yyyy")</f>
        <v>2020</v>
      </c>
      <c r="AQ1206" s="10"/>
    </row>
    <row r="1207" spans="1:43" s="37" customFormat="1" x14ac:dyDescent="0.25">
      <c r="A1207" s="37" t="str">
        <f t="shared" si="58"/>
        <v>2016Fattoria le PupilleSaffredi</v>
      </c>
      <c r="B1207" s="37">
        <v>2016</v>
      </c>
      <c r="C1207" s="37" t="s">
        <v>1474</v>
      </c>
      <c r="D1207" s="37" t="s">
        <v>1689</v>
      </c>
      <c r="E1207" s="67" t="s">
        <v>1690</v>
      </c>
      <c r="F1207" s="37" t="s">
        <v>728</v>
      </c>
      <c r="G1207" s="37" t="s">
        <v>790</v>
      </c>
      <c r="H1207" s="37" t="s">
        <v>796</v>
      </c>
      <c r="I1207" s="8">
        <v>1</v>
      </c>
      <c r="J1207" s="38">
        <v>750</v>
      </c>
      <c r="K1207" s="38" t="s">
        <v>1687</v>
      </c>
      <c r="L1207" s="10">
        <f>COUNTIF(Drank!A:A,Table1[[#This Row],[ID]])</f>
        <v>0</v>
      </c>
      <c r="M1207" s="37" t="s">
        <v>202</v>
      </c>
      <c r="N1207" s="37" t="s">
        <v>207</v>
      </c>
      <c r="O1207" s="37">
        <v>1</v>
      </c>
      <c r="P1207" s="37">
        <v>2020</v>
      </c>
      <c r="Q1207" s="37">
        <v>2040</v>
      </c>
      <c r="R1207" s="10" t="str">
        <f>IF(IFERROR(VLOOKUP(A1207,Drank!A:S,15,FALSE),"")=0,"",IFERROR(VLOOKUP(A1207,Drank!A:S,15,FALSE),""))</f>
        <v/>
      </c>
      <c r="S1207" s="10" t="str">
        <f>IF(IFERROR(VLOOKUP(A1207,Drank!A:S,16,FALSE),"")=0,"",IFERROR(VLOOKUP(A1207,Drank!A:S,16,FALSE),""))</f>
        <v/>
      </c>
      <c r="T1207" s="10"/>
      <c r="U1207" s="37">
        <v>98</v>
      </c>
      <c r="V1207" s="18" t="str">
        <f>IF(IFERROR(VLOOKUP(A1207,Drank!A:T,19,FALSE),"")=0,"",IFERROR(VLOOKUP(A1207,Drank!A:T,19,FALSE),""))</f>
        <v/>
      </c>
      <c r="W1207" s="1" t="str">
        <f>IF(IFERROR(VLOOKUP(A1207,Drank!A:T,20,FALSE),"")=0,"",IFERROR(VLOOKUP(A1207,Drank!A:T,20,FALSE),""))</f>
        <v/>
      </c>
      <c r="X1207" s="10">
        <f>SUMIF(A:A,A1207,I:I)</f>
        <v>2</v>
      </c>
      <c r="Y1207" s="10">
        <f>IF(Table1[[#This Row],[Drank]]&gt;0,VLOOKUP(Table1[[#This Row],[ID]],Drank!A:P,16,FALSE),IF(Table1[[#This Row],[WALDD]]&gt;0,VLOOKUP(Table1[[#This Row],[ID]],Wine1!A:Q,17,FALSE),Table1[[#This Row],[EP]]))</f>
        <v>2040</v>
      </c>
      <c r="Z1207" s="18">
        <f>IF(Table1[[#This Row],[My Rating]]="",IF(Table1[[#This Row],[WA Rating Clean]]="","",Table1[[#This Row],[WA Rating Clean]]),Table1[[#This Row],[My Rating]])</f>
        <v>98</v>
      </c>
      <c r="AA1207" s="8">
        <v>2036</v>
      </c>
      <c r="AB1207" s="4">
        <v>94.1</v>
      </c>
      <c r="AC1207" s="2">
        <f t="shared" si="59"/>
        <v>94.1</v>
      </c>
      <c r="AD1207" s="8">
        <v>1</v>
      </c>
      <c r="AE1207" s="10">
        <f>IF(Table1[[#This Row],[P/750]]&lt;20,1,IF(Table1[[#This Row],[P/750]]&lt;50,2,3))</f>
        <v>3</v>
      </c>
      <c r="AF1207" s="10">
        <f>IF(Table1[[#This Row],[P/750]]&lt;Expenses!$C$30,1,IF(Table1[[#This Row],[P/750]]&lt;Expenses!$C$31,2,IF(Table1[[#This Row],[P/750]]&lt;Expenses!$C$32,3,4)))</f>
        <v>4</v>
      </c>
      <c r="AH1207" s="37" t="s">
        <v>1189</v>
      </c>
      <c r="AI1207" s="11">
        <f>Table1[[#This Row],[Price]]/Table1[[#This Row],[Size (ml)]]*750</f>
        <v>94.100000000000009</v>
      </c>
      <c r="AJ1207" s="37">
        <v>98</v>
      </c>
      <c r="AK1207" s="10">
        <f>COUNTIF(UniqueID!A:A,Table1[[#This Row],[ID]])</f>
        <v>0</v>
      </c>
      <c r="AL1207" s="10" t="str">
        <f>VLOOKUP(Table1[[#This Row],[Cellar Location]],Location!A:F,6,FALSE)</f>
        <v>W</v>
      </c>
      <c r="AN1207" s="1">
        <v>44061</v>
      </c>
      <c r="AO1207" s="10" t="str">
        <f>TEXT(Table1[[#This Row],[Purchased]],"mmmm")</f>
        <v>August</v>
      </c>
      <c r="AP1207" s="10" t="str">
        <f>TEXT(Table1[[#This Row],[Purchased]],"yyyy")</f>
        <v>2020</v>
      </c>
      <c r="AQ1207" s="1">
        <v>44137</v>
      </c>
    </row>
    <row r="1208" spans="1:43" s="37" customFormat="1" x14ac:dyDescent="0.25">
      <c r="A1208" s="37" t="str">
        <f t="shared" si="58"/>
        <v>2009Chateau La Tour BlancheLa Tour Blanche</v>
      </c>
      <c r="B1208" s="37">
        <v>2009</v>
      </c>
      <c r="C1208" s="37" t="s">
        <v>1208</v>
      </c>
      <c r="D1208" s="37" t="s">
        <v>216</v>
      </c>
      <c r="E1208" s="69" t="s">
        <v>1215</v>
      </c>
      <c r="F1208" s="37" t="s">
        <v>742</v>
      </c>
      <c r="G1208" s="37" t="s">
        <v>748</v>
      </c>
      <c r="H1208" s="37" t="s">
        <v>260</v>
      </c>
      <c r="I1208" s="107">
        <v>1</v>
      </c>
      <c r="J1208" s="37">
        <v>375</v>
      </c>
      <c r="K1208" s="107" t="s">
        <v>1234</v>
      </c>
      <c r="L1208" s="37">
        <f>COUNTIF(Drank!A:A,Table1[[#This Row],[ID]])</f>
        <v>4</v>
      </c>
      <c r="M1208" s="37" t="s">
        <v>201</v>
      </c>
      <c r="N1208" s="37" t="s">
        <v>206</v>
      </c>
      <c r="O1208" s="37">
        <v>1</v>
      </c>
      <c r="P1208" s="37">
        <v>2019</v>
      </c>
      <c r="Q1208" s="37">
        <v>2042</v>
      </c>
      <c r="R1208" s="37">
        <f>IF(IFERROR(VLOOKUP(A1208,Drank!A:S,15,FALSE),"")=0,"",IFERROR(VLOOKUP(A1208,Drank!A:S,15,FALSE),""))</f>
        <v>2020</v>
      </c>
      <c r="S1208" s="37">
        <f>IF(IFERROR(VLOOKUP(A1208,Drank!A:S,16,FALSE),"")=0,"",IFERROR(VLOOKUP(A1208,Drank!A:S,16,FALSE),""))</f>
        <v>2040</v>
      </c>
      <c r="U1208" s="37">
        <v>93</v>
      </c>
      <c r="V1208" s="18">
        <f>IF(IFERROR(VLOOKUP(A1208,Drank!A:T,19,FALSE),"")=0,"",IFERROR(VLOOKUP(A1208,Drank!A:T,19,FALSE),""))</f>
        <v>92.25</v>
      </c>
      <c r="W1208" s="1">
        <f>IF(IFERROR(VLOOKUP(A1208,Drank!A:T,20,FALSE),"")=0,"",IFERROR(VLOOKUP(A1208,Drank!A:T,20,FALSE),""))</f>
        <v>43646</v>
      </c>
      <c r="X1208" s="37">
        <f>SUMIF(A:A,A1208,I:I)</f>
        <v>9</v>
      </c>
      <c r="Y1208" s="37">
        <f>IF(Table1[[#This Row],[Drank]]&gt;0,VLOOKUP(Table1[[#This Row],[ID]],Drank!A:P,16,FALSE),IF(Table1[[#This Row],[WALDD]]&gt;0,VLOOKUP(Table1[[#This Row],[ID]],Wine1!A:Q,17,FALSE),Table1[[#This Row],[EP]]))</f>
        <v>2040</v>
      </c>
      <c r="Z1208" s="18">
        <f>IF(Table1[[#This Row],[My Rating]]="",IF(Table1[[#This Row],[WA Rating Clean]]="","",Table1[[#This Row],[WA Rating Clean]]),Table1[[#This Row],[My Rating]])</f>
        <v>92.25</v>
      </c>
      <c r="AA1208" s="37">
        <v>2036</v>
      </c>
      <c r="AB1208" s="4">
        <v>20.99</v>
      </c>
      <c r="AC1208" s="2">
        <f t="shared" si="59"/>
        <v>20.99</v>
      </c>
      <c r="AD1208" s="8">
        <v>2</v>
      </c>
      <c r="AE1208" s="37">
        <f>IF(Table1[[#This Row],[P/750]]&lt;20,1,IF(Table1[[#This Row],[P/750]]&lt;50,2,3))</f>
        <v>2</v>
      </c>
      <c r="AF1208" s="37">
        <f>IF(Table1[[#This Row],[P/750]]&lt;Expenses!$C$30,1,IF(Table1[[#This Row],[P/750]]&lt;Expenses!$C$31,2,IF(Table1[[#This Row],[P/750]]&lt;Expenses!$C$32,3,4)))</f>
        <v>3</v>
      </c>
      <c r="AH1208" s="37" t="s">
        <v>385</v>
      </c>
      <c r="AI1208" s="11">
        <f>Table1[[#This Row],[Price]]/Table1[[#This Row],[Size (ml)]]*750</f>
        <v>41.98</v>
      </c>
      <c r="AJ1208" s="37">
        <v>93</v>
      </c>
      <c r="AK1208" s="37">
        <f>COUNTIF(UniqueID!A:A,Table1[[#This Row],[ID]])</f>
        <v>1</v>
      </c>
      <c r="AL1208" s="37" t="str">
        <f>VLOOKUP(Table1[[#This Row],[Cellar Location]],Location!A:F,6,FALSE)</f>
        <v>S</v>
      </c>
      <c r="AN1208" s="1">
        <v>43846</v>
      </c>
      <c r="AO1208" s="37" t="str">
        <f>TEXT(Table1[[#This Row],[Purchased]],"mmmm")</f>
        <v>January</v>
      </c>
      <c r="AP1208" s="10" t="str">
        <f>TEXT(Table1[[#This Row],[Purchased]],"yyyy")</f>
        <v>2020</v>
      </c>
      <c r="AQ1208" s="10"/>
    </row>
    <row r="1209" spans="1:43" s="37" customFormat="1" x14ac:dyDescent="0.25">
      <c r="A1209" s="37" t="str">
        <f t="shared" si="58"/>
        <v>2015Casanova di NeriBrunello di Montalcino Tenuta Nuova</v>
      </c>
      <c r="B1209" s="37">
        <v>2015</v>
      </c>
      <c r="C1209" s="37" t="s">
        <v>18</v>
      </c>
      <c r="D1209" s="37" t="s">
        <v>1471</v>
      </c>
      <c r="E1209" s="9" t="s">
        <v>1250</v>
      </c>
      <c r="F1209" s="37" t="s">
        <v>728</v>
      </c>
      <c r="G1209" s="37" t="s">
        <v>790</v>
      </c>
      <c r="H1209" s="37" t="s">
        <v>19</v>
      </c>
      <c r="I1209" s="37">
        <v>1</v>
      </c>
      <c r="J1209" s="38">
        <v>750</v>
      </c>
      <c r="K1209" s="38" t="s">
        <v>415</v>
      </c>
      <c r="L1209" s="10">
        <f>COUNTIF(Drank!A:A,Table1[[#This Row],[ID]])</f>
        <v>0</v>
      </c>
      <c r="M1209" s="37" t="s">
        <v>202</v>
      </c>
      <c r="N1209" s="37" t="s">
        <v>207</v>
      </c>
      <c r="O1209" s="37">
        <v>1</v>
      </c>
      <c r="P1209" s="10">
        <v>2022</v>
      </c>
      <c r="Q1209" s="37">
        <v>2045</v>
      </c>
      <c r="R1209" s="10" t="str">
        <f>IF(IFERROR(VLOOKUP(A1209,Drank!A:S,15,FALSE),"")=0,"",IFERROR(VLOOKUP(A1209,Drank!A:S,15,FALSE),""))</f>
        <v/>
      </c>
      <c r="S1209" s="10" t="str">
        <f>IF(IFERROR(VLOOKUP(A1209,Drank!A:S,16,FALSE),"")=0,"",IFERROR(VLOOKUP(A1209,Drank!A:S,16,FALSE),""))</f>
        <v/>
      </c>
      <c r="T1209" s="10"/>
      <c r="U1209" s="37" t="s">
        <v>852</v>
      </c>
      <c r="V1209" s="18" t="str">
        <f>IF(IFERROR(VLOOKUP(A1209,Drank!A:T,19,FALSE),"")=0,"",IFERROR(VLOOKUP(A1209,Drank!A:T,19,FALSE),""))</f>
        <v/>
      </c>
      <c r="W1209" s="1" t="str">
        <f>IF(IFERROR(VLOOKUP(A1209,Drank!A:T,20,FALSE),"")=0,"",IFERROR(VLOOKUP(A1209,Drank!A:T,20,FALSE),""))</f>
        <v/>
      </c>
      <c r="X1209" s="10">
        <f>SUMIF(A:A,A1209,I:I)</f>
        <v>2</v>
      </c>
      <c r="Y1209" s="10">
        <f>IF(Table1[[#This Row],[Drank]]&gt;0,VLOOKUP(Table1[[#This Row],[ID]],Drank!A:P,16,FALSE),IF(Table1[[#This Row],[WALDD]]&gt;0,VLOOKUP(Table1[[#This Row],[ID]],Wine1!A:Q,17,FALSE),Table1[[#This Row],[EP]]))</f>
        <v>2045</v>
      </c>
      <c r="Z1209" s="18">
        <f>IF(Table1[[#This Row],[My Rating]]="",IF(Table1[[#This Row],[WA Rating Clean]]="","",Table1[[#This Row],[WA Rating Clean]]),Table1[[#This Row],[My Rating]])</f>
        <v>98</v>
      </c>
      <c r="AA1209" s="6">
        <v>2036</v>
      </c>
      <c r="AB1209" s="4">
        <v>99</v>
      </c>
      <c r="AC1209" s="2">
        <f t="shared" si="59"/>
        <v>99</v>
      </c>
      <c r="AD1209" s="8">
        <v>1</v>
      </c>
      <c r="AE1209" s="10">
        <f>IF(Table1[[#This Row],[P/750]]&lt;20,1,IF(Table1[[#This Row],[P/750]]&lt;50,2,3))</f>
        <v>3</v>
      </c>
      <c r="AF1209" s="10">
        <f>IF(Table1[[#This Row],[P/750]]&lt;Expenses!$C$30,1,IF(Table1[[#This Row],[P/750]]&lt;Expenses!$C$31,2,IF(Table1[[#This Row],[P/750]]&lt;Expenses!$C$32,3,4)))</f>
        <v>4</v>
      </c>
      <c r="AH1209" s="37" t="s">
        <v>415</v>
      </c>
      <c r="AI1209" s="11">
        <f>Table1[[#This Row],[Price]]/Table1[[#This Row],[Size (ml)]]*750</f>
        <v>99</v>
      </c>
      <c r="AJ1209" s="37">
        <v>98</v>
      </c>
      <c r="AK1209" s="10">
        <f>COUNTIF(UniqueID!A:A,Table1[[#This Row],[ID]])</f>
        <v>0</v>
      </c>
      <c r="AL1209" s="10" t="str">
        <f>VLOOKUP(Table1[[#This Row],[Cellar Location]],Location!A:F,6,FALSE)</f>
        <v>W</v>
      </c>
      <c r="AN1209" s="1">
        <v>44015</v>
      </c>
      <c r="AO1209" s="10" t="str">
        <f>TEXT(Table1[[#This Row],[Purchased]],"mmmm")</f>
        <v>July</v>
      </c>
      <c r="AP1209" s="10" t="str">
        <f>TEXT(Table1[[#This Row],[Purchased]],"yyyy")</f>
        <v>2020</v>
      </c>
      <c r="AQ1209" s="1">
        <v>44114</v>
      </c>
    </row>
    <row r="1210" spans="1:43" s="37" customFormat="1" x14ac:dyDescent="0.25">
      <c r="A1210" s="37" t="str">
        <f t="shared" si="58"/>
        <v>2016Clos du RoyClos du Roy</v>
      </c>
      <c r="B1210" s="37">
        <v>2016</v>
      </c>
      <c r="C1210" s="37" t="s">
        <v>854</v>
      </c>
      <c r="D1210" s="37" t="s">
        <v>854</v>
      </c>
      <c r="E1210" s="37" t="s">
        <v>1198</v>
      </c>
      <c r="F1210" s="37" t="s">
        <v>742</v>
      </c>
      <c r="G1210" s="37" t="s">
        <v>748</v>
      </c>
      <c r="H1210" s="37" t="s">
        <v>856</v>
      </c>
      <c r="I1210" s="107">
        <v>1</v>
      </c>
      <c r="J1210" s="37">
        <v>750</v>
      </c>
      <c r="K1210" s="107" t="s">
        <v>1145</v>
      </c>
      <c r="L1210" s="10">
        <f>COUNTIF(Drank!A:A,Table1[[#This Row],[ID]])</f>
        <v>1</v>
      </c>
      <c r="M1210" s="37" t="s">
        <v>202</v>
      </c>
      <c r="N1210" s="37" t="s">
        <v>207</v>
      </c>
      <c r="O1210" s="37">
        <v>1</v>
      </c>
      <c r="P1210" s="10">
        <v>2021</v>
      </c>
      <c r="Q1210" s="37">
        <v>2038</v>
      </c>
      <c r="R1210" s="10" t="str">
        <f>IF(IFERROR(VLOOKUP(A1210,Drank!A:S,15,FALSE),"")=0,"",IFERROR(VLOOKUP(A1210,Drank!A:S,15,FALSE),""))</f>
        <v/>
      </c>
      <c r="S1210" s="10">
        <f>IF(IFERROR(VLOOKUP(A1210,Drank!A:S,16,FALSE),"")=0,"",IFERROR(VLOOKUP(A1210,Drank!A:S,16,FALSE),""))</f>
        <v>2045</v>
      </c>
      <c r="T1210" s="10"/>
      <c r="U1210" s="37" t="s">
        <v>855</v>
      </c>
      <c r="V1210" s="18">
        <f>IF(IFERROR(VLOOKUP(A1210,Drank!A:T,19,FALSE),"")=0,"",IFERROR(VLOOKUP(A1210,Drank!A:T,19,FALSE),""))</f>
        <v>91</v>
      </c>
      <c r="W1210" s="1">
        <f>IF(IFERROR(VLOOKUP(A1210,Drank!A:T,20,FALSE),"")=0,"",IFERROR(VLOOKUP(A1210,Drank!A:T,20,FALSE),""))</f>
        <v>43830</v>
      </c>
      <c r="X1210" s="10">
        <f>SUMIF(A:A,A1210,I:I)</f>
        <v>15</v>
      </c>
      <c r="Y1210" s="10">
        <f>IF(Table1[[#This Row],[Drank]]&gt;0,VLOOKUP(Table1[[#This Row],[ID]],Drank!A:P,16,FALSE),IF(Table1[[#This Row],[WALDD]]&gt;0,VLOOKUP(Table1[[#This Row],[ID]],Wine1!A:Q,17,FALSE),Table1[[#This Row],[EP]]))</f>
        <v>2045</v>
      </c>
      <c r="Z1210" s="18">
        <f>IF(Table1[[#This Row],[My Rating]]="",IF(Table1[[#This Row],[WA Rating Clean]]="","",Table1[[#This Row],[WA Rating Clean]]),Table1[[#This Row],[My Rating]])</f>
        <v>91</v>
      </c>
      <c r="AA1210" s="37">
        <v>2036</v>
      </c>
      <c r="AB1210" s="4">
        <v>17.91</v>
      </c>
      <c r="AC1210" s="2">
        <f t="shared" si="59"/>
        <v>17.91</v>
      </c>
      <c r="AD1210" s="8">
        <v>2</v>
      </c>
      <c r="AE1210" s="10">
        <f>IF(Table1[[#This Row],[P/750]]&lt;20,1,IF(Table1[[#This Row],[P/750]]&lt;50,2,3))</f>
        <v>1</v>
      </c>
      <c r="AF1210" s="10">
        <f>IF(Table1[[#This Row],[P/750]]&lt;Expenses!$C$30,1,IF(Table1[[#This Row],[P/750]]&lt;Expenses!$C$31,2,IF(Table1[[#This Row],[P/750]]&lt;Expenses!$C$32,3,4)))</f>
        <v>2</v>
      </c>
      <c r="AH1210" s="37" t="s">
        <v>1128</v>
      </c>
      <c r="AI1210" s="11">
        <f>Table1[[#This Row],[Price]]/Table1[[#This Row],[Size (ml)]]*750</f>
        <v>17.91</v>
      </c>
      <c r="AJ1210" s="37">
        <v>92</v>
      </c>
      <c r="AK1210" s="10">
        <f>COUNTIF(UniqueID!A:A,Table1[[#This Row],[ID]])</f>
        <v>1</v>
      </c>
      <c r="AL1210" s="37" t="str">
        <f>VLOOKUP(Table1[[#This Row],[Cellar Location]],Location!A:F,6,FALSE)</f>
        <v>S</v>
      </c>
      <c r="AN1210" s="1">
        <v>43830</v>
      </c>
      <c r="AO1210" s="37" t="str">
        <f>TEXT(Table1[[#This Row],[Purchased]],"mmmm")</f>
        <v>December</v>
      </c>
      <c r="AP1210" s="10" t="str">
        <f>TEXT(Table1[[#This Row],[Purchased]],"yyyy")</f>
        <v>2019</v>
      </c>
      <c r="AQ1210" s="10"/>
    </row>
    <row r="1211" spans="1:43" s="37" customFormat="1" x14ac:dyDescent="0.25">
      <c r="A1211" s="37" t="str">
        <f t="shared" si="58"/>
        <v>2014Anderson's Conn ValleyCabernet Sauvignon Reserve</v>
      </c>
      <c r="B1211" s="37">
        <v>2014</v>
      </c>
      <c r="C1211" s="37" t="s">
        <v>252</v>
      </c>
      <c r="D1211" s="37" t="s">
        <v>430</v>
      </c>
      <c r="E1211" s="69" t="s">
        <v>1259</v>
      </c>
      <c r="F1211" s="37" t="s">
        <v>727</v>
      </c>
      <c r="G1211" s="37" t="s">
        <v>806</v>
      </c>
      <c r="I1211" s="107">
        <v>1</v>
      </c>
      <c r="J1211" s="37">
        <v>750</v>
      </c>
      <c r="K1211" s="107" t="s">
        <v>641</v>
      </c>
      <c r="L1211" s="37">
        <f>COUNTIF(Drank!A:A,Table1[[#This Row],[ID]])</f>
        <v>0</v>
      </c>
      <c r="M1211" s="37" t="s">
        <v>202</v>
      </c>
      <c r="N1211" s="37" t="s">
        <v>207</v>
      </c>
      <c r="O1211" s="37">
        <v>1</v>
      </c>
      <c r="P1211" s="37">
        <v>2016</v>
      </c>
      <c r="Q1211" s="37">
        <v>2046</v>
      </c>
      <c r="R1211" s="10" t="str">
        <f>IF(IFERROR(VLOOKUP(A1211,Drank!A:S,15,FALSE),"")=0,"",IFERROR(VLOOKUP(A1211,Drank!A:S,15,FALSE),""))</f>
        <v/>
      </c>
      <c r="S1211" s="10" t="str">
        <f>IF(IFERROR(VLOOKUP(A1211,Drank!A:S,16,FALSE),"")=0,"",IFERROR(VLOOKUP(A1211,Drank!A:S,16,FALSE),""))</f>
        <v/>
      </c>
      <c r="T1211" s="10"/>
      <c r="U1211" s="37">
        <v>95</v>
      </c>
      <c r="V1211" s="18" t="str">
        <f>IF(IFERROR(VLOOKUP(A1211,Drank!A:T,19,FALSE),"")=0,"",IFERROR(VLOOKUP(A1211,Drank!A:T,19,FALSE),""))</f>
        <v/>
      </c>
      <c r="W1211" s="1" t="str">
        <f>IF(IFERROR(VLOOKUP(A1211,Drank!A:T,20,FALSE),"")=0,"",IFERROR(VLOOKUP(A1211,Drank!A:T,20,FALSE),""))</f>
        <v/>
      </c>
      <c r="X1211" s="10">
        <f>SUMIF(A:A,A1211,I:I)</f>
        <v>4</v>
      </c>
      <c r="Y1211" s="37">
        <f>IF(Table1[[#This Row],[Drank]]&gt;0,VLOOKUP(Table1[[#This Row],[ID]],Drank!A:P,16,FALSE),IF(Table1[[#This Row],[WALDD]]&gt;0,VLOOKUP(Table1[[#This Row],[ID]],Wine1!A:Q,17,FALSE),Table1[[#This Row],[EP]]))</f>
        <v>2046</v>
      </c>
      <c r="Z1211" s="18">
        <f>IF(Table1[[#This Row],[My Rating]]="",IF(Table1[[#This Row],[WA Rating Clean]]="","",Table1[[#This Row],[WA Rating Clean]]),Table1[[#This Row],[My Rating]])</f>
        <v>95</v>
      </c>
      <c r="AA1211" s="37">
        <v>2036</v>
      </c>
      <c r="AB1211" s="4">
        <v>60</v>
      </c>
      <c r="AC1211" s="2">
        <f t="shared" si="59"/>
        <v>60</v>
      </c>
      <c r="AD1211" s="8">
        <v>2</v>
      </c>
      <c r="AE1211" s="37">
        <f>IF(Table1[[#This Row],[P/750]]&lt;20,1,IF(Table1[[#This Row],[P/750]]&lt;50,2,3))</f>
        <v>3</v>
      </c>
      <c r="AF1211" s="37">
        <f>IF(Table1[[#This Row],[P/750]]&lt;Expenses!$C$30,1,IF(Table1[[#This Row],[P/750]]&lt;Expenses!$C$31,2,IF(Table1[[#This Row],[P/750]]&lt;Expenses!$C$32,3,4)))</f>
        <v>3</v>
      </c>
      <c r="AH1211" s="37" t="s">
        <v>384</v>
      </c>
      <c r="AI1211" s="11">
        <f>Table1[[#This Row],[Price]]/Table1[[#This Row],[Size (ml)]]*750</f>
        <v>60</v>
      </c>
      <c r="AJ1211" s="37">
        <v>95</v>
      </c>
      <c r="AK1211" s="37">
        <f>COUNTIF(UniqueID!A:A,Table1[[#This Row],[ID]])</f>
        <v>1</v>
      </c>
      <c r="AL1211" s="37" t="str">
        <f>VLOOKUP(Table1[[#This Row],[Cellar Location]],Location!A:F,6,FALSE)</f>
        <v>S</v>
      </c>
      <c r="AO1211" s="37" t="str">
        <f>TEXT(Table1[[#This Row],[Purchased]],"mmmm")</f>
        <v>January</v>
      </c>
      <c r="AP1211" s="10" t="str">
        <f>TEXT(Table1[[#This Row],[Purchased]],"yyyy")</f>
        <v>1900</v>
      </c>
      <c r="AQ1211" s="10"/>
    </row>
    <row r="1212" spans="1:43" s="37" customFormat="1" x14ac:dyDescent="0.25">
      <c r="A1212" s="37" t="str">
        <f t="shared" si="58"/>
        <v>2009Chateau SuduirautChateau Suduiraut</v>
      </c>
      <c r="B1212" s="37">
        <v>2009</v>
      </c>
      <c r="C1212" s="37" t="s">
        <v>1742</v>
      </c>
      <c r="D1212" s="37" t="s">
        <v>1742</v>
      </c>
      <c r="E1212" s="67" t="s">
        <v>1743</v>
      </c>
      <c r="F1212" s="37" t="s">
        <v>742</v>
      </c>
      <c r="G1212" s="37" t="s">
        <v>748</v>
      </c>
      <c r="H1212" s="37" t="s">
        <v>260</v>
      </c>
      <c r="I1212" s="8">
        <v>1</v>
      </c>
      <c r="J1212" s="38">
        <v>375</v>
      </c>
      <c r="K1212" s="38" t="s">
        <v>385</v>
      </c>
      <c r="L1212" s="10">
        <f>COUNTIF(Drank!A:A,Table1[[#This Row],[ID]])</f>
        <v>0</v>
      </c>
      <c r="M1212" s="37" t="s">
        <v>201</v>
      </c>
      <c r="N1212" s="37" t="s">
        <v>206</v>
      </c>
      <c r="O1212" s="37">
        <v>1</v>
      </c>
      <c r="P1212" s="37">
        <v>2019</v>
      </c>
      <c r="Q1212" s="37">
        <v>2055</v>
      </c>
      <c r="R1212" s="10" t="str">
        <f>IF(IFERROR(VLOOKUP(A1212,Drank!A:S,15,FALSE),"")=0,"",IFERROR(VLOOKUP(A1212,Drank!A:S,15,FALSE),""))</f>
        <v/>
      </c>
      <c r="S1212" s="10" t="str">
        <f>IF(IFERROR(VLOOKUP(A1212,Drank!A:S,16,FALSE),"")=0,"",IFERROR(VLOOKUP(A1212,Drank!A:S,16,FALSE),""))</f>
        <v/>
      </c>
      <c r="T1212" s="10"/>
      <c r="U1212" s="37">
        <v>98</v>
      </c>
      <c r="V1212" s="18" t="str">
        <f>IF(IFERROR(VLOOKUP(A1212,Drank!A:T,19,FALSE),"")=0,"",IFERROR(VLOOKUP(A1212,Drank!A:T,19,FALSE),""))</f>
        <v/>
      </c>
      <c r="W1212" s="1" t="str">
        <f>IF(IFERROR(VLOOKUP(A1212,Drank!A:T,20,FALSE),"")=0,"",IFERROR(VLOOKUP(A1212,Drank!A:T,20,FALSE),""))</f>
        <v/>
      </c>
      <c r="X1212" s="10">
        <f>SUMIF(A:A,A1212,I:I)</f>
        <v>6</v>
      </c>
      <c r="Y1212" s="10">
        <f>IF(Table1[[#This Row],[Drank]]&gt;0,VLOOKUP(Table1[[#This Row],[ID]],Drank!A:P,16,FALSE),IF(Table1[[#This Row],[WALDD]]&gt;0,VLOOKUP(Table1[[#This Row],[ID]],Wine1!A:Q,17,FALSE),Table1[[#This Row],[EP]]))</f>
        <v>2055</v>
      </c>
      <c r="Z1212" s="18" t="str">
        <f>IF(Table1[[#This Row],[My Rating]]="",IF(Table1[[#This Row],[WA Rating Clean]]="","",Table1[[#This Row],[WA Rating Clean]]),Table1[[#This Row],[My Rating]])</f>
        <v/>
      </c>
      <c r="AA1212" s="8">
        <v>2036</v>
      </c>
      <c r="AB1212" s="4">
        <v>42.6</v>
      </c>
      <c r="AC1212" s="2">
        <f t="shared" si="59"/>
        <v>42.6</v>
      </c>
      <c r="AD1212" s="8">
        <v>1</v>
      </c>
      <c r="AE1212" s="10">
        <f>IF(Table1[[#This Row],[P/750]]&lt;20,1,IF(Table1[[#This Row],[P/750]]&lt;50,2,3))</f>
        <v>3</v>
      </c>
      <c r="AF1212" s="10">
        <f>IF(Table1[[#This Row],[P/750]]&lt;Expenses!$C$30,1,IF(Table1[[#This Row],[P/750]]&lt;Expenses!$C$31,2,IF(Table1[[#This Row],[P/750]]&lt;Expenses!$C$32,3,4)))</f>
        <v>4</v>
      </c>
      <c r="AH1212" s="37" t="s">
        <v>385</v>
      </c>
      <c r="AI1212" s="11">
        <f>Table1[[#This Row],[Price]]/Table1[[#This Row],[Size (ml)]]*750</f>
        <v>85.2</v>
      </c>
      <c r="AK1212" s="10">
        <f>COUNTIF(UniqueID!A:A,Table1[[#This Row],[ID]])</f>
        <v>0</v>
      </c>
      <c r="AL1212" s="10" t="str">
        <f>VLOOKUP(Table1[[#This Row],[Cellar Location]],Location!A:F,6,FALSE)</f>
        <v>W</v>
      </c>
      <c r="AN1212" s="1">
        <v>44062</v>
      </c>
      <c r="AO1212" s="10" t="str">
        <f>TEXT(Table1[[#This Row],[Purchased]],"mmmm")</f>
        <v>August</v>
      </c>
      <c r="AP1212" s="10" t="str">
        <f>TEXT(Table1[[#This Row],[Purchased]],"yyyy")</f>
        <v>2020</v>
      </c>
      <c r="AQ1212" s="1">
        <v>44114</v>
      </c>
    </row>
    <row r="1213" spans="1:43" s="37" customFormat="1" x14ac:dyDescent="0.25">
      <c r="A1213" s="37" t="str">
        <f t="shared" si="58"/>
        <v>2016Lafaurie-PeyragueyLafaurie-Peyraguey</v>
      </c>
      <c r="B1213" s="37">
        <v>2016</v>
      </c>
      <c r="C1213" s="9" t="s">
        <v>125</v>
      </c>
      <c r="D1213" s="9" t="s">
        <v>125</v>
      </c>
      <c r="E1213" s="67" t="s">
        <v>1205</v>
      </c>
      <c r="F1213" s="37" t="s">
        <v>742</v>
      </c>
      <c r="G1213" s="37" t="s">
        <v>748</v>
      </c>
      <c r="H1213" s="37" t="s">
        <v>260</v>
      </c>
      <c r="I1213" s="107">
        <v>1</v>
      </c>
      <c r="J1213" s="37">
        <v>375</v>
      </c>
      <c r="K1213" s="107" t="s">
        <v>629</v>
      </c>
      <c r="L1213" s="37">
        <f>COUNTIF(Drank!A:A,Table1[[#This Row],[ID]])</f>
        <v>0</v>
      </c>
      <c r="M1213" s="37" t="s">
        <v>201</v>
      </c>
      <c r="N1213" s="37" t="s">
        <v>206</v>
      </c>
      <c r="O1213" s="37">
        <v>1</v>
      </c>
      <c r="P1213" s="10">
        <v>2021</v>
      </c>
      <c r="Q1213" s="37">
        <v>2060</v>
      </c>
      <c r="R1213" s="10" t="str">
        <f>IF(IFERROR(VLOOKUP(A1213,Drank!A:S,15,FALSE),"")=0,"",IFERROR(VLOOKUP(A1213,Drank!A:S,15,FALSE),""))</f>
        <v/>
      </c>
      <c r="S1213" s="10" t="str">
        <f>IF(IFERROR(VLOOKUP(A1213,Drank!A:S,16,FALSE),"")=0,"",IFERROR(VLOOKUP(A1213,Drank!A:S,16,FALSE),""))</f>
        <v/>
      </c>
      <c r="T1213" s="10"/>
      <c r="U1213" s="37" t="s">
        <v>441</v>
      </c>
      <c r="V1213" s="18" t="str">
        <f>IF(IFERROR(VLOOKUP(A1213,Drank!A:T,19,FALSE),"")=0,"",IFERROR(VLOOKUP(A1213,Drank!A:T,19,FALSE),""))</f>
        <v/>
      </c>
      <c r="W1213" s="1" t="str">
        <f>IF(IFERROR(VLOOKUP(A1213,Drank!A:T,20,FALSE),"")=0,"",IFERROR(VLOOKUP(A1213,Drank!A:T,20,FALSE),""))</f>
        <v/>
      </c>
      <c r="X1213" s="10">
        <f>SUMIF(A:A,A1213,I:I)</f>
        <v>12</v>
      </c>
      <c r="Y1213" s="10">
        <f>IF(Table1[[#This Row],[Drank]]&gt;0,VLOOKUP(Table1[[#This Row],[ID]],Drank!A:P,16,FALSE),IF(Table1[[#This Row],[WALDD]]&gt;0,VLOOKUP(Table1[[#This Row],[ID]],Wine1!A:Q,17,FALSE),Table1[[#This Row],[EP]]))</f>
        <v>2060</v>
      </c>
      <c r="Z1213" s="18">
        <f>IF(Table1[[#This Row],[My Rating]]="",IF(Table1[[#This Row],[WA Rating Clean]]="","",Table1[[#This Row],[WA Rating Clean]]),Table1[[#This Row],[My Rating]])</f>
        <v>95</v>
      </c>
      <c r="AA1213" s="37">
        <v>2036</v>
      </c>
      <c r="AB1213" s="4">
        <v>16</v>
      </c>
      <c r="AC1213" s="2">
        <f t="shared" si="59"/>
        <v>16</v>
      </c>
      <c r="AD1213" s="8">
        <v>2</v>
      </c>
      <c r="AE1213" s="37">
        <f>IF(Table1[[#This Row],[P/750]]&lt;20,1,IF(Table1[[#This Row],[P/750]]&lt;50,2,3))</f>
        <v>2</v>
      </c>
      <c r="AF1213" s="37">
        <f>IF(Table1[[#This Row],[P/750]]&lt;Expenses!$C$30,1,IF(Table1[[#This Row],[P/750]]&lt;Expenses!$C$31,2,IF(Table1[[#This Row],[P/750]]&lt;Expenses!$C$32,3,4)))</f>
        <v>3</v>
      </c>
      <c r="AH1213" s="37" t="s">
        <v>385</v>
      </c>
      <c r="AI1213" s="11">
        <f>Table1[[#This Row],[Price]]/Table1[[#This Row],[Size (ml)]]*750</f>
        <v>32</v>
      </c>
      <c r="AJ1213" s="37">
        <v>95</v>
      </c>
      <c r="AK1213" s="37">
        <f>COUNTIF(UniqueID!A:A,Table1[[#This Row],[ID]])</f>
        <v>1</v>
      </c>
      <c r="AL1213" s="37" t="str">
        <f>VLOOKUP(Table1[[#This Row],[Cellar Location]],Location!A:F,6,FALSE)</f>
        <v>S</v>
      </c>
      <c r="AO1213" s="37" t="str">
        <f>TEXT(Table1[[#This Row],[Purchased]],"mmmm")</f>
        <v>January</v>
      </c>
      <c r="AP1213" s="10" t="str">
        <f>TEXT(Table1[[#This Row],[Purchased]],"yyyy")</f>
        <v>1900</v>
      </c>
      <c r="AQ1213" s="10"/>
    </row>
    <row r="1214" spans="1:43" s="37" customFormat="1" x14ac:dyDescent="0.25">
      <c r="A1214" s="37" t="str">
        <f t="shared" si="58"/>
        <v>2016Doisy-VedrinesPetit-Vedrines</v>
      </c>
      <c r="B1214" s="37">
        <v>2016</v>
      </c>
      <c r="C1214" s="37" t="s">
        <v>843</v>
      </c>
      <c r="D1214" s="37" t="s">
        <v>1686</v>
      </c>
      <c r="E1214" s="69" t="s">
        <v>1688</v>
      </c>
      <c r="F1214" s="37" t="s">
        <v>742</v>
      </c>
      <c r="G1214" s="37" t="s">
        <v>748</v>
      </c>
      <c r="H1214" s="37" t="s">
        <v>260</v>
      </c>
      <c r="I1214" s="8">
        <v>1</v>
      </c>
      <c r="J1214" s="38">
        <v>375</v>
      </c>
      <c r="K1214" s="38" t="s">
        <v>1687</v>
      </c>
      <c r="L1214" s="10">
        <f>COUNTIF(Drank!A:A,Table1[[#This Row],[ID]])</f>
        <v>0</v>
      </c>
      <c r="M1214" s="37" t="s">
        <v>201</v>
      </c>
      <c r="N1214" s="37" t="s">
        <v>206</v>
      </c>
      <c r="O1214" s="37">
        <v>0</v>
      </c>
      <c r="R1214" s="10" t="str">
        <f>IF(IFERROR(VLOOKUP(A1214,Drank!A:S,15,FALSE),"")=0,"",IFERROR(VLOOKUP(A1214,Drank!A:S,15,FALSE),""))</f>
        <v/>
      </c>
      <c r="S1214" s="10" t="str">
        <f>IF(IFERROR(VLOOKUP(A1214,Drank!A:S,16,FALSE),"")=0,"",IFERROR(VLOOKUP(A1214,Drank!A:S,16,FALSE),""))</f>
        <v/>
      </c>
      <c r="T1214" s="10"/>
      <c r="V1214" s="18" t="str">
        <f>IF(IFERROR(VLOOKUP(A1214,Drank!A:T,19,FALSE),"")=0,"",IFERROR(VLOOKUP(A1214,Drank!A:T,19,FALSE),""))</f>
        <v/>
      </c>
      <c r="W1214" s="1" t="str">
        <f>IF(IFERROR(VLOOKUP(A1214,Drank!A:T,20,FALSE),"")=0,"",IFERROR(VLOOKUP(A1214,Drank!A:T,20,FALSE),""))</f>
        <v/>
      </c>
      <c r="X1214" s="10">
        <f>SUMIF(A:A,A1214,I:I)</f>
        <v>24</v>
      </c>
      <c r="Y1214" s="10">
        <f>IF(Table1[[#This Row],[Drank]]&gt;0,VLOOKUP(Table1[[#This Row],[ID]],Drank!A:P,16,FALSE),IF(Table1[[#This Row],[WALDD]]&gt;0,VLOOKUP(Table1[[#This Row],[ID]],Wine1!A:Q,17,FALSE),Table1[[#This Row],[EP]]))</f>
        <v>0</v>
      </c>
      <c r="Z1214" s="18" t="str">
        <f>IF(Table1[[#This Row],[My Rating]]="",IF(Table1[[#This Row],[WA Rating Clean]]="","",Table1[[#This Row],[WA Rating Clean]]),Table1[[#This Row],[My Rating]])</f>
        <v/>
      </c>
      <c r="AA1214" s="8">
        <v>2037</v>
      </c>
      <c r="AB1214" s="4">
        <v>16.399999999999999</v>
      </c>
      <c r="AC1214" s="2">
        <f t="shared" si="59"/>
        <v>16.399999999999999</v>
      </c>
      <c r="AD1214" s="8">
        <v>1</v>
      </c>
      <c r="AE1214" s="10">
        <f>IF(Table1[[#This Row],[P/750]]&lt;20,1,IF(Table1[[#This Row],[P/750]]&lt;50,2,3))</f>
        <v>2</v>
      </c>
      <c r="AF1214" s="10">
        <f>IF(Table1[[#This Row],[P/750]]&lt;Expenses!$C$30,1,IF(Table1[[#This Row],[P/750]]&lt;Expenses!$C$31,2,IF(Table1[[#This Row],[P/750]]&lt;Expenses!$C$32,3,4)))</f>
        <v>3</v>
      </c>
      <c r="AH1214" s="37" t="s">
        <v>1189</v>
      </c>
      <c r="AI1214" s="11">
        <f>Table1[[#This Row],[Price]]/Table1[[#This Row],[Size (ml)]]*750</f>
        <v>32.799999999999997</v>
      </c>
      <c r="AK1214" s="10">
        <f>COUNTIF(UniqueID!A:A,Table1[[#This Row],[ID]])</f>
        <v>0</v>
      </c>
      <c r="AL1214" s="10" t="str">
        <f>VLOOKUP(Table1[[#This Row],[Cellar Location]],Location!A:F,6,FALSE)</f>
        <v>W</v>
      </c>
      <c r="AN1214" s="1">
        <v>44061</v>
      </c>
      <c r="AO1214" s="10" t="str">
        <f>TEXT(Table1[[#This Row],[Purchased]],"mmmm")</f>
        <v>August</v>
      </c>
      <c r="AP1214" s="10" t="str">
        <f>TEXT(Table1[[#This Row],[Purchased]],"yyyy")</f>
        <v>2020</v>
      </c>
      <c r="AQ1214" s="1">
        <v>44137</v>
      </c>
    </row>
    <row r="1215" spans="1:43" s="37" customFormat="1" x14ac:dyDescent="0.25">
      <c r="A1215" s="37" t="str">
        <f t="shared" si="58"/>
        <v>2016Produttori del BarbarescoBarbaresco</v>
      </c>
      <c r="B1215" s="37">
        <v>2016</v>
      </c>
      <c r="C1215" s="37" t="s">
        <v>248</v>
      </c>
      <c r="D1215" s="37" t="s">
        <v>249</v>
      </c>
      <c r="E1215" s="67" t="s">
        <v>1206</v>
      </c>
      <c r="F1215" s="37" t="s">
        <v>728</v>
      </c>
      <c r="G1215" s="37" t="s">
        <v>778</v>
      </c>
      <c r="H1215" s="37" t="s">
        <v>249</v>
      </c>
      <c r="I1215" s="37">
        <v>1</v>
      </c>
      <c r="J1215" s="107">
        <v>750</v>
      </c>
      <c r="K1215" s="8" t="s">
        <v>1851</v>
      </c>
      <c r="L1215" s="10">
        <f>COUNTIF(Drank!A:A,Table1[[#This Row],[ID]])</f>
        <v>2</v>
      </c>
      <c r="M1215" s="37" t="s">
        <v>202</v>
      </c>
      <c r="N1215" s="37" t="s">
        <v>207</v>
      </c>
      <c r="O1215" s="37">
        <v>1</v>
      </c>
      <c r="P1215" s="37">
        <v>2022</v>
      </c>
      <c r="Q1215" s="37">
        <v>2040</v>
      </c>
      <c r="R1215" s="10">
        <f>IF(IFERROR(VLOOKUP(A1215,Drank!A:S,15,FALSE),"")=0,"",IFERROR(VLOOKUP(A1215,Drank!A:S,15,FALSE),""))</f>
        <v>2021</v>
      </c>
      <c r="S1215" s="10">
        <f>IF(IFERROR(VLOOKUP(A1215,Drank!A:S,16,FALSE),"")=0,"",IFERROR(VLOOKUP(A1215,Drank!A:S,16,FALSE),""))</f>
        <v>2032</v>
      </c>
      <c r="T1215" s="10"/>
      <c r="U1215" s="37">
        <v>95</v>
      </c>
      <c r="V1215" s="18">
        <f>IF(IFERROR(VLOOKUP(A1215,Drank!A:T,19,FALSE),"")=0,"",IFERROR(VLOOKUP(A1215,Drank!A:T,19,FALSE),""))</f>
        <v>95.5</v>
      </c>
      <c r="W1215" s="1">
        <f>IF(IFERROR(VLOOKUP(A1215,Drank!A:T,20,FALSE),"")=0,"",IFERROR(VLOOKUP(A1215,Drank!A:T,20,FALSE),""))</f>
        <v>44079</v>
      </c>
      <c r="X1215" s="10">
        <f>SUMIF(A:A,A1215,I:I)</f>
        <v>41</v>
      </c>
      <c r="Y1215" s="10">
        <f>IF(Table1[[#This Row],[Drank]]&gt;0,VLOOKUP(Table1[[#This Row],[ID]],Drank!A:P,16,FALSE),IF(Table1[[#This Row],[WALDD]]&gt;0,VLOOKUP(Table1[[#This Row],[ID]],Wine1!A:Q,17,FALSE),Table1[[#This Row],[EP]]))</f>
        <v>2032</v>
      </c>
      <c r="Z1215" s="18">
        <f>IF(Table1[[#This Row],[My Rating]]="",IF(Table1[[#This Row],[WA Rating Clean]]="","",Table1[[#This Row],[WA Rating Clean]]),Table1[[#This Row],[My Rating]])</f>
        <v>95.5</v>
      </c>
      <c r="AA1215" s="37">
        <v>2037</v>
      </c>
      <c r="AB1215" s="129">
        <v>42.36</v>
      </c>
      <c r="AC1215" s="2">
        <f t="shared" si="59"/>
        <v>42.36</v>
      </c>
      <c r="AD1215" s="8">
        <v>1</v>
      </c>
      <c r="AE1215" s="10">
        <f>IF(Table1[[#This Row],[P/750]]&lt;20,1,IF(Table1[[#This Row],[P/750]]&lt;50,2,3))</f>
        <v>2</v>
      </c>
      <c r="AF1215" s="10">
        <f>IF(Table1[[#This Row],[P/750]]&lt;Expenses!$C$30,1,IF(Table1[[#This Row],[P/750]]&lt;Expenses!$C$31,2,IF(Table1[[#This Row],[P/750]]&lt;Expenses!$C$32,3,4)))</f>
        <v>3</v>
      </c>
      <c r="AH1215" s="37" t="s">
        <v>1128</v>
      </c>
      <c r="AI1215" s="11">
        <f>Table1[[#This Row],[Price]]/Table1[[#This Row],[Size (ml)]]*750</f>
        <v>42.36</v>
      </c>
      <c r="AJ1215" s="37">
        <v>95</v>
      </c>
      <c r="AK1215" s="10">
        <f>COUNTIF(UniqueID!A:A,Table1[[#This Row],[ID]])</f>
        <v>1</v>
      </c>
      <c r="AL1215" s="10" t="str">
        <f>VLOOKUP(Table1[[#This Row],[Cellar Location]],Location!A:F,6,FALSE)</f>
        <v>S</v>
      </c>
      <c r="AN1215" s="1">
        <v>44070</v>
      </c>
      <c r="AO1215" s="10" t="str">
        <f>TEXT(Table1[[#This Row],[Purchased]],"mmmm")</f>
        <v>August</v>
      </c>
      <c r="AP1215" s="10" t="str">
        <f>TEXT(Table1[[#This Row],[Purchased]],"yyyy")</f>
        <v>2020</v>
      </c>
      <c r="AQ1215" s="1"/>
    </row>
    <row r="1216" spans="1:43" s="37" customFormat="1" x14ac:dyDescent="0.25">
      <c r="A1216" s="37" t="str">
        <f t="shared" si="58"/>
        <v>2016Produttori del BarbarescoBarbaresco</v>
      </c>
      <c r="B1216" s="37">
        <v>2016</v>
      </c>
      <c r="C1216" s="37" t="s">
        <v>248</v>
      </c>
      <c r="D1216" s="37" t="s">
        <v>249</v>
      </c>
      <c r="E1216" s="67" t="s">
        <v>1206</v>
      </c>
      <c r="F1216" s="37" t="s">
        <v>728</v>
      </c>
      <c r="G1216" s="37" t="s">
        <v>778</v>
      </c>
      <c r="H1216" s="37" t="s">
        <v>249</v>
      </c>
      <c r="I1216" s="37">
        <v>1</v>
      </c>
      <c r="J1216" s="107">
        <v>750</v>
      </c>
      <c r="K1216" s="8" t="s">
        <v>1851</v>
      </c>
      <c r="L1216" s="10">
        <f>COUNTIF(Drank!A:A,Table1[[#This Row],[ID]])</f>
        <v>2</v>
      </c>
      <c r="M1216" s="37" t="s">
        <v>202</v>
      </c>
      <c r="N1216" s="37" t="s">
        <v>207</v>
      </c>
      <c r="O1216" s="37">
        <v>1</v>
      </c>
      <c r="P1216" s="37">
        <v>2022</v>
      </c>
      <c r="Q1216" s="37">
        <v>2040</v>
      </c>
      <c r="R1216" s="10">
        <f>IF(IFERROR(VLOOKUP(A1216,Drank!A:S,15,FALSE),"")=0,"",IFERROR(VLOOKUP(A1216,Drank!A:S,15,FALSE),""))</f>
        <v>2021</v>
      </c>
      <c r="S1216" s="10">
        <f>IF(IFERROR(VLOOKUP(A1216,Drank!A:S,16,FALSE),"")=0,"",IFERROR(VLOOKUP(A1216,Drank!A:S,16,FALSE),""))</f>
        <v>2032</v>
      </c>
      <c r="T1216" s="10"/>
      <c r="U1216" s="37">
        <v>95</v>
      </c>
      <c r="V1216" s="18">
        <f>IF(IFERROR(VLOOKUP(A1216,Drank!A:T,19,FALSE),"")=0,"",IFERROR(VLOOKUP(A1216,Drank!A:T,19,FALSE),""))</f>
        <v>95.5</v>
      </c>
      <c r="W1216" s="1">
        <f>IF(IFERROR(VLOOKUP(A1216,Drank!A:T,20,FALSE),"")=0,"",IFERROR(VLOOKUP(A1216,Drank!A:T,20,FALSE),""))</f>
        <v>44079</v>
      </c>
      <c r="X1216" s="10">
        <f>SUMIF(A:A,A1216,I:I)</f>
        <v>41</v>
      </c>
      <c r="Y1216" s="10">
        <f>IF(Table1[[#This Row],[Drank]]&gt;0,VLOOKUP(Table1[[#This Row],[ID]],Drank!A:P,16,FALSE),IF(Table1[[#This Row],[WALDD]]&gt;0,VLOOKUP(Table1[[#This Row],[ID]],Wine1!A:Q,17,FALSE),Table1[[#This Row],[EP]]))</f>
        <v>2032</v>
      </c>
      <c r="Z1216" s="18">
        <f>IF(Table1[[#This Row],[My Rating]]="",IF(Table1[[#This Row],[WA Rating Clean]]="","",Table1[[#This Row],[WA Rating Clean]]),Table1[[#This Row],[My Rating]])</f>
        <v>95.5</v>
      </c>
      <c r="AA1216" s="37">
        <v>2037</v>
      </c>
      <c r="AB1216" s="129">
        <v>42.36</v>
      </c>
      <c r="AC1216" s="2">
        <f t="shared" si="59"/>
        <v>42.36</v>
      </c>
      <c r="AD1216" s="8">
        <v>1</v>
      </c>
      <c r="AE1216" s="10">
        <f>IF(Table1[[#This Row],[P/750]]&lt;20,1,IF(Table1[[#This Row],[P/750]]&lt;50,2,3))</f>
        <v>2</v>
      </c>
      <c r="AF1216" s="10">
        <f>IF(Table1[[#This Row],[P/750]]&lt;Expenses!$C$30,1,IF(Table1[[#This Row],[P/750]]&lt;Expenses!$C$31,2,IF(Table1[[#This Row],[P/750]]&lt;Expenses!$C$32,3,4)))</f>
        <v>3</v>
      </c>
      <c r="AH1216" s="37" t="s">
        <v>1128</v>
      </c>
      <c r="AI1216" s="11">
        <f>Table1[[#This Row],[Price]]/Table1[[#This Row],[Size (ml)]]*750</f>
        <v>42.36</v>
      </c>
      <c r="AJ1216" s="37">
        <v>95</v>
      </c>
      <c r="AK1216" s="10">
        <f>COUNTIF(UniqueID!A:A,Table1[[#This Row],[ID]])</f>
        <v>1</v>
      </c>
      <c r="AL1216" s="10" t="str">
        <f>VLOOKUP(Table1[[#This Row],[Cellar Location]],Location!A:F,6,FALSE)</f>
        <v>S</v>
      </c>
      <c r="AN1216" s="1">
        <v>44070</v>
      </c>
      <c r="AO1216" s="10" t="str">
        <f>TEXT(Table1[[#This Row],[Purchased]],"mmmm")</f>
        <v>August</v>
      </c>
      <c r="AP1216" s="10" t="str">
        <f>TEXT(Table1[[#This Row],[Purchased]],"yyyy")</f>
        <v>2020</v>
      </c>
      <c r="AQ1216" s="1"/>
    </row>
    <row r="1217" spans="1:43" s="37" customFormat="1" x14ac:dyDescent="0.25">
      <c r="A1217" s="37" t="str">
        <f t="shared" si="58"/>
        <v>2016Produttori del BarbarescoBarbaresco</v>
      </c>
      <c r="B1217" s="37">
        <v>2016</v>
      </c>
      <c r="C1217" s="37" t="s">
        <v>248</v>
      </c>
      <c r="D1217" s="37" t="s">
        <v>249</v>
      </c>
      <c r="E1217" s="67" t="s">
        <v>1206</v>
      </c>
      <c r="F1217" s="37" t="s">
        <v>728</v>
      </c>
      <c r="G1217" s="37" t="s">
        <v>778</v>
      </c>
      <c r="H1217" s="37" t="s">
        <v>249</v>
      </c>
      <c r="I1217" s="37">
        <v>1</v>
      </c>
      <c r="J1217" s="107">
        <v>750</v>
      </c>
      <c r="K1217" s="8" t="s">
        <v>1851</v>
      </c>
      <c r="L1217" s="10">
        <f>COUNTIF(Drank!A:A,Table1[[#This Row],[ID]])</f>
        <v>2</v>
      </c>
      <c r="M1217" s="37" t="s">
        <v>202</v>
      </c>
      <c r="N1217" s="37" t="s">
        <v>207</v>
      </c>
      <c r="O1217" s="37">
        <v>1</v>
      </c>
      <c r="P1217" s="37">
        <v>2022</v>
      </c>
      <c r="Q1217" s="37">
        <v>2040</v>
      </c>
      <c r="R1217" s="10">
        <f>IF(IFERROR(VLOOKUP(A1217,Drank!A:S,15,FALSE),"")=0,"",IFERROR(VLOOKUP(A1217,Drank!A:S,15,FALSE),""))</f>
        <v>2021</v>
      </c>
      <c r="S1217" s="10">
        <f>IF(IFERROR(VLOOKUP(A1217,Drank!A:S,16,FALSE),"")=0,"",IFERROR(VLOOKUP(A1217,Drank!A:S,16,FALSE),""))</f>
        <v>2032</v>
      </c>
      <c r="T1217" s="10"/>
      <c r="U1217" s="37">
        <v>95</v>
      </c>
      <c r="V1217" s="18">
        <f>IF(IFERROR(VLOOKUP(A1217,Drank!A:T,19,FALSE),"")=0,"",IFERROR(VLOOKUP(A1217,Drank!A:T,19,FALSE),""))</f>
        <v>95.5</v>
      </c>
      <c r="W1217" s="1">
        <f>IF(IFERROR(VLOOKUP(A1217,Drank!A:T,20,FALSE),"")=0,"",IFERROR(VLOOKUP(A1217,Drank!A:T,20,FALSE),""))</f>
        <v>44079</v>
      </c>
      <c r="X1217" s="10">
        <f>SUMIF(A:A,A1217,I:I)</f>
        <v>41</v>
      </c>
      <c r="Y1217" s="10">
        <f>IF(Table1[[#This Row],[Drank]]&gt;0,VLOOKUP(Table1[[#This Row],[ID]],Drank!A:P,16,FALSE),IF(Table1[[#This Row],[WALDD]]&gt;0,VLOOKUP(Table1[[#This Row],[ID]],Wine1!A:Q,17,FALSE),Table1[[#This Row],[EP]]))</f>
        <v>2032</v>
      </c>
      <c r="Z1217" s="18">
        <f>IF(Table1[[#This Row],[My Rating]]="",IF(Table1[[#This Row],[WA Rating Clean]]="","",Table1[[#This Row],[WA Rating Clean]]),Table1[[#This Row],[My Rating]])</f>
        <v>95.5</v>
      </c>
      <c r="AA1217" s="37">
        <v>2037</v>
      </c>
      <c r="AB1217" s="129">
        <v>42.36</v>
      </c>
      <c r="AC1217" s="2">
        <f t="shared" si="59"/>
        <v>42.36</v>
      </c>
      <c r="AD1217" s="8">
        <v>1</v>
      </c>
      <c r="AE1217" s="10">
        <f>IF(Table1[[#This Row],[P/750]]&lt;20,1,IF(Table1[[#This Row],[P/750]]&lt;50,2,3))</f>
        <v>2</v>
      </c>
      <c r="AF1217" s="10">
        <f>IF(Table1[[#This Row],[P/750]]&lt;Expenses!$C$30,1,IF(Table1[[#This Row],[P/750]]&lt;Expenses!$C$31,2,IF(Table1[[#This Row],[P/750]]&lt;Expenses!$C$32,3,4)))</f>
        <v>3</v>
      </c>
      <c r="AH1217" s="37" t="s">
        <v>1128</v>
      </c>
      <c r="AI1217" s="11">
        <f>Table1[[#This Row],[Price]]/Table1[[#This Row],[Size (ml)]]*750</f>
        <v>42.36</v>
      </c>
      <c r="AJ1217" s="37">
        <v>95</v>
      </c>
      <c r="AK1217" s="10">
        <f>COUNTIF(UniqueID!A:A,Table1[[#This Row],[ID]])</f>
        <v>1</v>
      </c>
      <c r="AL1217" s="10" t="str">
        <f>VLOOKUP(Table1[[#This Row],[Cellar Location]],Location!A:F,6,FALSE)</f>
        <v>S</v>
      </c>
      <c r="AN1217" s="1">
        <v>44070</v>
      </c>
      <c r="AO1217" s="10" t="str">
        <f>TEXT(Table1[[#This Row],[Purchased]],"mmmm")</f>
        <v>August</v>
      </c>
      <c r="AP1217" s="10" t="str">
        <f>TEXT(Table1[[#This Row],[Purchased]],"yyyy")</f>
        <v>2020</v>
      </c>
      <c r="AQ1217" s="1"/>
    </row>
    <row r="1218" spans="1:43" s="37" customFormat="1" x14ac:dyDescent="0.25">
      <c r="A1218" s="37" t="str">
        <f t="shared" si="58"/>
        <v>2010La Rioja AltaGran Reserva 904</v>
      </c>
      <c r="B1218" s="37">
        <v>2010</v>
      </c>
      <c r="C1218" s="37" t="s">
        <v>221</v>
      </c>
      <c r="D1218" s="37" t="s">
        <v>222</v>
      </c>
      <c r="E1218" s="67" t="s">
        <v>1296</v>
      </c>
      <c r="F1218" s="37" t="s">
        <v>729</v>
      </c>
      <c r="G1218" s="37" t="s">
        <v>823</v>
      </c>
      <c r="H1218" s="37" t="s">
        <v>824</v>
      </c>
      <c r="I1218" s="37">
        <v>1</v>
      </c>
      <c r="J1218" s="38">
        <v>750</v>
      </c>
      <c r="K1218" s="38" t="s">
        <v>1564</v>
      </c>
      <c r="L1218" s="10">
        <f>COUNTIF(Drank!A:A,Table1[[#This Row],[ID]])</f>
        <v>0</v>
      </c>
      <c r="M1218" s="37" t="s">
        <v>202</v>
      </c>
      <c r="N1218" s="37" t="s">
        <v>207</v>
      </c>
      <c r="O1218" s="37">
        <v>1</v>
      </c>
      <c r="P1218" s="10">
        <v>2019</v>
      </c>
      <c r="Q1218" s="37">
        <v>2035</v>
      </c>
      <c r="R1218" s="10" t="str">
        <f>IF(IFERROR(VLOOKUP(A1218,Drank!A:S,15,FALSE),"")=0,"",IFERROR(VLOOKUP(A1218,Drank!A:S,15,FALSE),""))</f>
        <v/>
      </c>
      <c r="S1218" s="10" t="str">
        <f>IF(IFERROR(VLOOKUP(A1218,Drank!A:S,16,FALSE),"")=0,"",IFERROR(VLOOKUP(A1218,Drank!A:S,16,FALSE),""))</f>
        <v/>
      </c>
      <c r="T1218" s="10"/>
      <c r="U1218" s="37" t="s">
        <v>1180</v>
      </c>
      <c r="V1218" s="18" t="str">
        <f>IF(IFERROR(VLOOKUP(A1218,Drank!A:T,19,FALSE),"")=0,"",IFERROR(VLOOKUP(A1218,Drank!A:T,19,FALSE),""))</f>
        <v/>
      </c>
      <c r="W1218" s="1" t="str">
        <f>IF(IFERROR(VLOOKUP(A1218,Drank!A:T,20,FALSE),"")=0,"",IFERROR(VLOOKUP(A1218,Drank!A:T,20,FALSE),""))</f>
        <v/>
      </c>
      <c r="X1218" s="10">
        <f>SUMIF(A:A,A1218,I:I)</f>
        <v>9</v>
      </c>
      <c r="Y1218" s="10">
        <f>IF(Table1[[#This Row],[Drank]]&gt;0,VLOOKUP(Table1[[#This Row],[ID]],Drank!A:P,16,FALSE),IF(Table1[[#This Row],[WALDD]]&gt;0,VLOOKUP(Table1[[#This Row],[ID]],Wine1!A:Q,17,FALSE),Table1[[#This Row],[EP]]))</f>
        <v>2035</v>
      </c>
      <c r="Z1218" s="18">
        <f>IF(Table1[[#This Row],[My Rating]]="",IF(Table1[[#This Row],[WA Rating Clean]]="","",Table1[[#This Row],[WA Rating Clean]]),Table1[[#This Row],[My Rating]])</f>
        <v>96</v>
      </c>
      <c r="AA1218" s="37">
        <v>2037</v>
      </c>
      <c r="AB1218" s="127">
        <v>64.08</v>
      </c>
      <c r="AC1218" s="2">
        <f t="shared" si="59"/>
        <v>64.08</v>
      </c>
      <c r="AD1218" s="8">
        <v>1</v>
      </c>
      <c r="AE1218" s="10">
        <f>IF(Table1[[#This Row],[P/750]]&lt;20,1,IF(Table1[[#This Row],[P/750]]&lt;50,2,3))</f>
        <v>3</v>
      </c>
      <c r="AF1218" s="10">
        <f>IF(Table1[[#This Row],[P/750]]&lt;Expenses!$C$30,1,IF(Table1[[#This Row],[P/750]]&lt;Expenses!$C$31,2,IF(Table1[[#This Row],[P/750]]&lt;Expenses!$C$32,3,4)))</f>
        <v>3</v>
      </c>
      <c r="AH1218" s="25" t="s">
        <v>1564</v>
      </c>
      <c r="AI1218" s="11">
        <f>Table1[[#This Row],[Price]]/Table1[[#This Row],[Size (ml)]]*750</f>
        <v>64.08</v>
      </c>
      <c r="AJ1218" s="37">
        <v>96</v>
      </c>
      <c r="AK1218" s="10">
        <f>COUNTIF(UniqueID!A:A,Table1[[#This Row],[ID]])</f>
        <v>0</v>
      </c>
      <c r="AL1218" s="10" t="str">
        <f>VLOOKUP(Table1[[#This Row],[Cellar Location]],Location!A:F,6,FALSE)</f>
        <v>W</v>
      </c>
      <c r="AN1218" s="1">
        <v>44064</v>
      </c>
      <c r="AO1218" s="10" t="str">
        <f>TEXT(Table1[[#This Row],[Purchased]],"mmmm")</f>
        <v>August</v>
      </c>
      <c r="AP1218" s="10" t="str">
        <f>TEXT(Table1[[#This Row],[Purchased]],"yyyy")</f>
        <v>2020</v>
      </c>
      <c r="AQ1218" s="1">
        <v>44114</v>
      </c>
    </row>
    <row r="1219" spans="1:43" s="37" customFormat="1" x14ac:dyDescent="0.25">
      <c r="A1219" s="37" t="str">
        <f t="shared" si="58"/>
        <v>2016GrattamaccoBolgheri Superiore</v>
      </c>
      <c r="B1219" s="37">
        <v>2016</v>
      </c>
      <c r="C1219" s="37" t="s">
        <v>1802</v>
      </c>
      <c r="D1219" s="37" t="s">
        <v>1336</v>
      </c>
      <c r="E1219" s="67" t="s">
        <v>1746</v>
      </c>
      <c r="F1219" s="37" t="s">
        <v>728</v>
      </c>
      <c r="G1219" s="37" t="s">
        <v>790</v>
      </c>
      <c r="H1219" s="37" t="s">
        <v>1336</v>
      </c>
      <c r="I1219" s="37">
        <v>1</v>
      </c>
      <c r="J1219" s="38">
        <v>750</v>
      </c>
      <c r="K1219" s="38" t="s">
        <v>1564</v>
      </c>
      <c r="L1219" s="10">
        <f>COUNTIF(Drank!A:A,Table1[[#This Row],[ID]])</f>
        <v>0</v>
      </c>
      <c r="M1219" s="37" t="s">
        <v>202</v>
      </c>
      <c r="N1219" s="37" t="s">
        <v>207</v>
      </c>
      <c r="O1219" s="37">
        <v>0</v>
      </c>
      <c r="P1219" s="10"/>
      <c r="R1219" s="10" t="str">
        <f>IF(IFERROR(VLOOKUP(A1219,Drank!A:S,15,FALSE),"")=0,"",IFERROR(VLOOKUP(A1219,Drank!A:S,15,FALSE),""))</f>
        <v/>
      </c>
      <c r="S1219" s="10" t="str">
        <f>IF(IFERROR(VLOOKUP(A1219,Drank!A:S,16,FALSE),"")=0,"",IFERROR(VLOOKUP(A1219,Drank!A:S,16,FALSE),""))</f>
        <v/>
      </c>
      <c r="T1219" s="10">
        <v>2037</v>
      </c>
      <c r="V1219" s="18" t="str">
        <f>IF(IFERROR(VLOOKUP(A1219,Drank!A:T,19,FALSE),"")=0,"",IFERROR(VLOOKUP(A1219,Drank!A:T,19,FALSE),""))</f>
        <v/>
      </c>
      <c r="W1219" s="1" t="str">
        <f>IF(IFERROR(VLOOKUP(A1219,Drank!A:T,20,FALSE),"")=0,"",IFERROR(VLOOKUP(A1219,Drank!A:T,20,FALSE),""))</f>
        <v/>
      </c>
      <c r="X1219" s="10">
        <f>SUMIF(A:A,A1219,I:I)</f>
        <v>2</v>
      </c>
      <c r="Y1219" s="10">
        <f>IF(Table1[[#This Row],[Drank]]&gt;0,VLOOKUP(Table1[[#This Row],[ID]],Drank!A:P,16,FALSE),IF(Table1[[#This Row],[WALDD]]&gt;0,VLOOKUP(Table1[[#This Row],[ID]],Wine1!A:Q,17,FALSE),Table1[[#This Row],[EP]]))</f>
        <v>2037</v>
      </c>
      <c r="Z1219" s="18" t="str">
        <f>IF(Table1[[#This Row],[My Rating]]="",IF(Table1[[#This Row],[WA Rating Clean]]="","",Table1[[#This Row],[WA Rating Clean]]),Table1[[#This Row],[My Rating]])</f>
        <v/>
      </c>
      <c r="AA1219" s="37">
        <v>2037</v>
      </c>
      <c r="AB1219" s="127">
        <v>69.510000000000005</v>
      </c>
      <c r="AC1219" s="2">
        <f t="shared" si="59"/>
        <v>69.510000000000005</v>
      </c>
      <c r="AD1219" s="8">
        <v>1</v>
      </c>
      <c r="AE1219" s="10">
        <f>IF(Table1[[#This Row],[P/750]]&lt;20,1,IF(Table1[[#This Row],[P/750]]&lt;50,2,3))</f>
        <v>3</v>
      </c>
      <c r="AF1219" s="10">
        <f>IF(Table1[[#This Row],[P/750]]&lt;Expenses!$C$30,1,IF(Table1[[#This Row],[P/750]]&lt;Expenses!$C$31,2,IF(Table1[[#This Row],[P/750]]&lt;Expenses!$C$32,3,4)))</f>
        <v>4</v>
      </c>
      <c r="AH1219" s="25" t="s">
        <v>1564</v>
      </c>
      <c r="AI1219" s="11">
        <f>Table1[[#This Row],[Price]]/Table1[[#This Row],[Size (ml)]]*750</f>
        <v>69.510000000000005</v>
      </c>
      <c r="AK1219" s="10">
        <f>COUNTIF(UniqueID!A:A,Table1[[#This Row],[ID]])</f>
        <v>0</v>
      </c>
      <c r="AL1219" s="10" t="str">
        <f>VLOOKUP(Table1[[#This Row],[Cellar Location]],Location!A:F,6,FALSE)</f>
        <v>W</v>
      </c>
      <c r="AN1219" s="1">
        <v>44064</v>
      </c>
      <c r="AO1219" s="10" t="str">
        <f>TEXT(Table1[[#This Row],[Purchased]],"mmmm")</f>
        <v>August</v>
      </c>
      <c r="AP1219" s="10" t="str">
        <f>TEXT(Table1[[#This Row],[Purchased]],"yyyy")</f>
        <v>2020</v>
      </c>
      <c r="AQ1219" s="1">
        <v>44114</v>
      </c>
    </row>
    <row r="1220" spans="1:43" s="37" customFormat="1" x14ac:dyDescent="0.25">
      <c r="A1220" s="37" t="str">
        <f t="shared" si="58"/>
        <v>2017Quinta do ValladoTouriga Nacional</v>
      </c>
      <c r="B1220" s="8">
        <v>2017</v>
      </c>
      <c r="C1220" s="9" t="s">
        <v>210</v>
      </c>
      <c r="D1220" s="9" t="s">
        <v>211</v>
      </c>
      <c r="E1220" s="68" t="s">
        <v>1221</v>
      </c>
      <c r="F1220" s="9" t="s">
        <v>804</v>
      </c>
      <c r="G1220" s="9" t="s">
        <v>805</v>
      </c>
      <c r="H1220" s="9"/>
      <c r="I1220" s="37">
        <v>1</v>
      </c>
      <c r="J1220" s="38">
        <v>750</v>
      </c>
      <c r="K1220" s="38" t="s">
        <v>384</v>
      </c>
      <c r="L1220" s="10">
        <f>COUNTIF(Drank!A:A,Table1[[#This Row],[ID]])</f>
        <v>0</v>
      </c>
      <c r="M1220" s="37" t="s">
        <v>202</v>
      </c>
      <c r="N1220" s="37" t="s">
        <v>207</v>
      </c>
      <c r="O1220" s="37">
        <v>1</v>
      </c>
      <c r="P1220" s="37">
        <v>2020</v>
      </c>
      <c r="Q1220" s="37">
        <v>2037</v>
      </c>
      <c r="R1220" s="10" t="str">
        <f>IF(IFERROR(VLOOKUP(A1220,Drank!A:S,15,FALSE),"")=0,"",IFERROR(VLOOKUP(A1220,Drank!A:S,15,FALSE),""))</f>
        <v/>
      </c>
      <c r="S1220" s="10" t="str">
        <f>IF(IFERROR(VLOOKUP(A1220,Drank!A:S,16,FALSE),"")=0,"",IFERROR(VLOOKUP(A1220,Drank!A:S,16,FALSE),""))</f>
        <v/>
      </c>
      <c r="T1220" s="10"/>
      <c r="U1220" s="37">
        <v>94</v>
      </c>
      <c r="V1220" s="18" t="str">
        <f>IF(IFERROR(VLOOKUP(A1220,Drank!A:T,19,FALSE),"")=0,"",IFERROR(VLOOKUP(A1220,Drank!A:T,19,FALSE),""))</f>
        <v/>
      </c>
      <c r="W1220" s="1" t="str">
        <f>IF(IFERROR(VLOOKUP(A1220,Drank!A:T,20,FALSE),"")=0,"",IFERROR(VLOOKUP(A1220,Drank!A:T,20,FALSE),""))</f>
        <v/>
      </c>
      <c r="X1220" s="10">
        <f>SUMIF(A:A,A1220,I:I)</f>
        <v>4</v>
      </c>
      <c r="Y1220" s="10">
        <f>IF(Table1[[#This Row],[Drank]]&gt;0,VLOOKUP(Table1[[#This Row],[ID]],Drank!A:P,16,FALSE),IF(Table1[[#This Row],[WALDD]]&gt;0,VLOOKUP(Table1[[#This Row],[ID]],Wine1!A:Q,17,FALSE),Table1[[#This Row],[EP]]))</f>
        <v>2037</v>
      </c>
      <c r="Z1220" s="18">
        <f>IF(Table1[[#This Row],[My Rating]]="",IF(Table1[[#This Row],[WA Rating Clean]]="","",Table1[[#This Row],[WA Rating Clean]]),Table1[[#This Row],[My Rating]])</f>
        <v>94</v>
      </c>
      <c r="AA1220" s="37">
        <v>2037</v>
      </c>
      <c r="AB1220" s="4">
        <v>27.15</v>
      </c>
      <c r="AC1220" s="2">
        <f t="shared" si="59"/>
        <v>27.15</v>
      </c>
      <c r="AD1220" s="8">
        <v>1</v>
      </c>
      <c r="AE1220" s="10">
        <f>IF(Table1[[#This Row],[P/750]]&lt;20,1,IF(Table1[[#This Row],[P/750]]&lt;50,2,3))</f>
        <v>2</v>
      </c>
      <c r="AF1220" s="10">
        <f>IF(Table1[[#This Row],[P/750]]&lt;Expenses!$C$30,1,IF(Table1[[#This Row],[P/750]]&lt;Expenses!$C$31,2,IF(Table1[[#This Row],[P/750]]&lt;Expenses!$C$32,3,4)))</f>
        <v>2</v>
      </c>
      <c r="AH1220" s="37" t="s">
        <v>384</v>
      </c>
      <c r="AI1220" s="11">
        <f>Table1[[#This Row],[Price]]/Table1[[#This Row],[Size (ml)]]*750</f>
        <v>27.15</v>
      </c>
      <c r="AJ1220" s="37">
        <v>94</v>
      </c>
      <c r="AK1220" s="10">
        <f>COUNTIF(UniqueID!A:A,Table1[[#This Row],[ID]])</f>
        <v>0</v>
      </c>
      <c r="AL1220" s="10" t="str">
        <f>VLOOKUP(Table1[[#This Row],[Cellar Location]],Location!A:F,6,FALSE)</f>
        <v>W</v>
      </c>
      <c r="AN1220" s="1">
        <v>44027</v>
      </c>
      <c r="AO1220" s="10" t="str">
        <f>TEXT(Table1[[#This Row],[Purchased]],"mmmm")</f>
        <v>July</v>
      </c>
      <c r="AP1220" s="10" t="str">
        <f>TEXT(Table1[[#This Row],[Purchased]],"yyyy")</f>
        <v>2020</v>
      </c>
      <c r="AQ1220" s="1">
        <v>44138</v>
      </c>
    </row>
    <row r="1221" spans="1:43" s="37" customFormat="1" x14ac:dyDescent="0.25">
      <c r="A1221" s="37" t="str">
        <f t="shared" si="58"/>
        <v>2016FelsinaChianti Classico Riserva Rancia</v>
      </c>
      <c r="B1221" s="37">
        <v>2016</v>
      </c>
      <c r="C1221" s="37" t="s">
        <v>795</v>
      </c>
      <c r="D1221" s="37" t="s">
        <v>845</v>
      </c>
      <c r="E1221" s="67" t="s">
        <v>1250</v>
      </c>
      <c r="F1221" s="37" t="s">
        <v>728</v>
      </c>
      <c r="G1221" s="37" t="s">
        <v>790</v>
      </c>
      <c r="H1221" s="37" t="s">
        <v>792</v>
      </c>
      <c r="I1221" s="107">
        <v>1</v>
      </c>
      <c r="J1221" s="37">
        <v>750</v>
      </c>
      <c r="K1221" s="107" t="s">
        <v>928</v>
      </c>
      <c r="L1221" s="10">
        <f>COUNTIF(Drank!A:A,Table1[[#This Row],[ID]])</f>
        <v>1</v>
      </c>
      <c r="M1221" s="37" t="s">
        <v>202</v>
      </c>
      <c r="N1221" s="37" t="s">
        <v>207</v>
      </c>
      <c r="O1221" s="37">
        <v>1</v>
      </c>
      <c r="P1221" s="10">
        <v>2020</v>
      </c>
      <c r="Q1221" s="37">
        <v>2040</v>
      </c>
      <c r="R1221" s="10">
        <f>IF(IFERROR(VLOOKUP(A1221,Drank!A:S,15,FALSE),"")=0,"",IFERROR(VLOOKUP(A1221,Drank!A:S,15,FALSE),""))</f>
        <v>2027</v>
      </c>
      <c r="S1221" s="10">
        <f>IF(IFERROR(VLOOKUP(A1221,Drank!A:S,16,FALSE),"")=0,"",IFERROR(VLOOKUP(A1221,Drank!A:S,16,FALSE),""))</f>
        <v>2037</v>
      </c>
      <c r="T1221" s="10"/>
      <c r="U1221" s="37">
        <v>96</v>
      </c>
      <c r="V1221" s="18">
        <f>IF(IFERROR(VLOOKUP(A1221,Drank!A:T,19,FALSE),"")=0,"",IFERROR(VLOOKUP(A1221,Drank!A:T,19,FALSE),""))</f>
        <v>96</v>
      </c>
      <c r="W1221" s="1">
        <f>IF(IFERROR(VLOOKUP(A1221,Drank!A:T,20,FALSE),"")=0,"",IFERROR(VLOOKUP(A1221,Drank!A:T,20,FALSE),""))</f>
        <v>43897</v>
      </c>
      <c r="X1221" s="10">
        <f>SUMIF(A:A,A1221,I:I)</f>
        <v>5</v>
      </c>
      <c r="Y1221" s="10">
        <f>IF(Table1[[#This Row],[Drank]]&gt;0,VLOOKUP(Table1[[#This Row],[ID]],Drank!A:P,16,FALSE),IF(Table1[[#This Row],[WALDD]]&gt;0,VLOOKUP(Table1[[#This Row],[ID]],Wine1!A:Q,17,FALSE),Table1[[#This Row],[EP]]))</f>
        <v>2037</v>
      </c>
      <c r="Z1221" s="18">
        <f>IF(Table1[[#This Row],[My Rating]]="",IF(Table1[[#This Row],[WA Rating Clean]]="","",Table1[[#This Row],[WA Rating Clean]]),Table1[[#This Row],[My Rating]])</f>
        <v>96</v>
      </c>
      <c r="AA1221" s="37">
        <v>2037</v>
      </c>
      <c r="AB1221" s="4">
        <v>54.99</v>
      </c>
      <c r="AC1221" s="2">
        <f t="shared" si="59"/>
        <v>54.99</v>
      </c>
      <c r="AD1221" s="8">
        <v>2</v>
      </c>
      <c r="AE1221" s="10">
        <f>IF(Table1[[#This Row],[P/750]]&lt;20,1,IF(Table1[[#This Row],[P/750]]&lt;50,2,3))</f>
        <v>3</v>
      </c>
      <c r="AF1221" s="10">
        <f>IF(Table1[[#This Row],[P/750]]&lt;Expenses!$C$30,1,IF(Table1[[#This Row],[P/750]]&lt;Expenses!$C$31,2,IF(Table1[[#This Row],[P/750]]&lt;Expenses!$C$32,3,4)))</f>
        <v>3</v>
      </c>
      <c r="AH1221" s="37" t="s">
        <v>1139</v>
      </c>
      <c r="AI1221" s="11">
        <f>Table1[[#This Row],[Price]]/Table1[[#This Row],[Size (ml)]]*750</f>
        <v>54.989999999999995</v>
      </c>
      <c r="AJ1221" s="37">
        <v>96</v>
      </c>
      <c r="AK1221" s="10">
        <f>COUNTIF(UniqueID!A:A,Table1[[#This Row],[ID]])</f>
        <v>0</v>
      </c>
      <c r="AL1221" s="37" t="str">
        <f>VLOOKUP(Table1[[#This Row],[Cellar Location]],Location!A:F,6,FALSE)</f>
        <v>S</v>
      </c>
      <c r="AO1221" s="37" t="str">
        <f>TEXT(Table1[[#This Row],[Purchased]],"mmmm")</f>
        <v>January</v>
      </c>
      <c r="AP1221" s="10" t="str">
        <f>TEXT(Table1[[#This Row],[Purchased]],"yyyy")</f>
        <v>1900</v>
      </c>
      <c r="AQ1221" s="10"/>
    </row>
    <row r="1222" spans="1:43" s="37" customFormat="1" x14ac:dyDescent="0.25">
      <c r="A1222" s="37" t="str">
        <f t="shared" si="58"/>
        <v>2016Quinta do ValladoField Blend Reserva</v>
      </c>
      <c r="B1222" s="8">
        <v>2016</v>
      </c>
      <c r="C1222" s="30" t="s">
        <v>210</v>
      </c>
      <c r="D1222" s="9" t="s">
        <v>1423</v>
      </c>
      <c r="E1222" s="65" t="s">
        <v>274</v>
      </c>
      <c r="F1222" s="37" t="s">
        <v>804</v>
      </c>
      <c r="G1222" s="37" t="s">
        <v>1422</v>
      </c>
      <c r="H1222" s="9"/>
      <c r="I1222" s="107">
        <v>1</v>
      </c>
      <c r="J1222" s="37">
        <v>750</v>
      </c>
      <c r="K1222" s="107" t="s">
        <v>1195</v>
      </c>
      <c r="L1222" s="10">
        <f>COUNTIF(Drank!A:A,Table1[[#This Row],[ID]])</f>
        <v>1</v>
      </c>
      <c r="M1222" s="37" t="s">
        <v>202</v>
      </c>
      <c r="N1222" s="37" t="s">
        <v>207</v>
      </c>
      <c r="O1222" s="37">
        <v>1</v>
      </c>
      <c r="P1222" s="37">
        <v>2021</v>
      </c>
      <c r="Q1222" s="37">
        <v>2041</v>
      </c>
      <c r="R1222" s="10">
        <f>IF(IFERROR(VLOOKUP(A1222,Drank!A:S,15,FALSE),"")=0,"",IFERROR(VLOOKUP(A1222,Drank!A:S,15,FALSE),""))</f>
        <v>2025</v>
      </c>
      <c r="S1222" s="10">
        <f>IF(IFERROR(VLOOKUP(A1222,Drank!A:S,16,FALSE),"")=0,"",IFERROR(VLOOKUP(A1222,Drank!A:S,16,FALSE),""))</f>
        <v>2037</v>
      </c>
      <c r="T1222" s="10"/>
      <c r="U1222" s="37">
        <v>95</v>
      </c>
      <c r="V1222" s="18">
        <f>IF(IFERROR(VLOOKUP(A1222,Drank!A:T,19,FALSE),"")=0,"",IFERROR(VLOOKUP(A1222,Drank!A:T,19,FALSE),""))</f>
        <v>92</v>
      </c>
      <c r="W1222" s="1">
        <f>IF(IFERROR(VLOOKUP(A1222,Drank!A:T,20,FALSE),"")=0,"",IFERROR(VLOOKUP(A1222,Drank!A:T,20,FALSE),""))</f>
        <v>43987</v>
      </c>
      <c r="X1222" s="10">
        <f>SUMIF(A:A,A1222,I:I)</f>
        <v>5</v>
      </c>
      <c r="Y1222" s="10">
        <f>IF(Table1[[#This Row],[Drank]]&gt;0,VLOOKUP(Table1[[#This Row],[ID]],Drank!A:P,16,FALSE),IF(Table1[[#This Row],[WALDD]]&gt;0,VLOOKUP(Table1[[#This Row],[ID]],Wine1!A:Q,17,FALSE),Table1[[#This Row],[EP]]))</f>
        <v>2037</v>
      </c>
      <c r="Z1222" s="18">
        <f>IF(Table1[[#This Row],[My Rating]]="",IF(Table1[[#This Row],[WA Rating Clean]]="","",Table1[[#This Row],[WA Rating Clean]]),Table1[[#This Row],[My Rating]])</f>
        <v>92</v>
      </c>
      <c r="AA1222" s="37">
        <v>2037</v>
      </c>
      <c r="AB1222" s="4">
        <v>32.58</v>
      </c>
      <c r="AC1222" s="2">
        <f t="shared" si="59"/>
        <v>32.58</v>
      </c>
      <c r="AD1222" s="8">
        <v>2</v>
      </c>
      <c r="AE1222" s="10">
        <f>IF(Table1[[#This Row],[P/750]]&lt;20,1,IF(Table1[[#This Row],[P/750]]&lt;50,2,3))</f>
        <v>2</v>
      </c>
      <c r="AF1222" s="10">
        <f>IF(Table1[[#This Row],[P/750]]&lt;Expenses!$C$30,1,IF(Table1[[#This Row],[P/750]]&lt;Expenses!$C$31,2,IF(Table1[[#This Row],[P/750]]&lt;Expenses!$C$32,3,4)))</f>
        <v>3</v>
      </c>
      <c r="AH1222" s="37" t="s">
        <v>384</v>
      </c>
      <c r="AI1222" s="11">
        <f>Table1[[#This Row],[Price]]/Table1[[#This Row],[Size (ml)]]*750</f>
        <v>32.58</v>
      </c>
      <c r="AJ1222" s="37">
        <v>95</v>
      </c>
      <c r="AK1222" s="10">
        <f>COUNTIF(UniqueID!A:A,Table1[[#This Row],[ID]])</f>
        <v>0</v>
      </c>
      <c r="AL1222" s="10" t="str">
        <f>VLOOKUP(Table1[[#This Row],[Cellar Location]],Location!A:F,6,FALSE)</f>
        <v>S</v>
      </c>
      <c r="AN1222" s="1">
        <v>43984</v>
      </c>
      <c r="AO1222" s="10" t="str">
        <f>TEXT(Table1[[#This Row],[Purchased]],"mmmm")</f>
        <v>June</v>
      </c>
      <c r="AP1222" s="10" t="str">
        <f>TEXT(Table1[[#This Row],[Purchased]],"yyyy")</f>
        <v>2020</v>
      </c>
      <c r="AQ1222" s="10"/>
    </row>
    <row r="1223" spans="1:43" s="37" customFormat="1" x14ac:dyDescent="0.25">
      <c r="A1223" s="37" t="str">
        <f t="shared" si="58"/>
        <v>2016ViettiBarolo Castiglione</v>
      </c>
      <c r="B1223" s="37">
        <v>2016</v>
      </c>
      <c r="C1223" s="37" t="s">
        <v>1186</v>
      </c>
      <c r="D1223" s="9" t="s">
        <v>1794</v>
      </c>
      <c r="E1223" s="67" t="s">
        <v>1206</v>
      </c>
      <c r="F1223" s="37" t="s">
        <v>728</v>
      </c>
      <c r="G1223" s="37" t="s">
        <v>778</v>
      </c>
      <c r="H1223" s="37" t="s">
        <v>1692</v>
      </c>
      <c r="I1223" s="37">
        <v>1</v>
      </c>
      <c r="J1223" s="107">
        <v>750</v>
      </c>
      <c r="K1223" s="8" t="s">
        <v>1831</v>
      </c>
      <c r="L1223" s="10">
        <f>COUNTIF(Drank!A:A,Table1[[#This Row],[ID]])</f>
        <v>0</v>
      </c>
      <c r="M1223" s="37" t="s">
        <v>202</v>
      </c>
      <c r="N1223" s="37" t="s">
        <v>207</v>
      </c>
      <c r="O1223" s="37">
        <v>1</v>
      </c>
      <c r="P1223" s="10">
        <v>2022</v>
      </c>
      <c r="Q1223" s="37">
        <v>2040</v>
      </c>
      <c r="R1223" s="10" t="str">
        <f>IF(IFERROR(VLOOKUP(A1223,Drank!A:S,15,FALSE),"")=0,"",IFERROR(VLOOKUP(A1223,Drank!A:S,15,FALSE),""))</f>
        <v/>
      </c>
      <c r="S1223" s="10" t="str">
        <f>IF(IFERROR(VLOOKUP(A1223,Drank!A:S,16,FALSE),"")=0,"",IFERROR(VLOOKUP(A1223,Drank!A:S,16,FALSE),""))</f>
        <v/>
      </c>
      <c r="T1223" s="10"/>
      <c r="U1223" s="37" t="s">
        <v>17</v>
      </c>
      <c r="V1223" s="18" t="str">
        <f>IF(IFERROR(VLOOKUP(A1223,Drank!A:T,19,FALSE),"")=0,"",IFERROR(VLOOKUP(A1223,Drank!A:T,19,FALSE),""))</f>
        <v/>
      </c>
      <c r="W1223" s="1" t="str">
        <f>IF(IFERROR(VLOOKUP(A1223,Drank!A:T,20,FALSE),"")=0,"",IFERROR(VLOOKUP(A1223,Drank!A:T,20,FALSE),""))</f>
        <v/>
      </c>
      <c r="X1223" s="10">
        <f>SUMIF(A:A,A1223,I:I)</f>
        <v>6</v>
      </c>
      <c r="Y1223" s="10">
        <f>IF(Table1[[#This Row],[Drank]]&gt;0,VLOOKUP(Table1[[#This Row],[ID]],Drank!A:P,16,FALSE),IF(Table1[[#This Row],[WALDD]]&gt;0,VLOOKUP(Table1[[#This Row],[ID]],Wine1!A:Q,17,FALSE),Table1[[#This Row],[EP]]))</f>
        <v>2040</v>
      </c>
      <c r="Z1223" s="18" t="str">
        <f>IF(Table1[[#This Row],[My Rating]]="",IF(Table1[[#This Row],[WA Rating Clean]]="","",Table1[[#This Row],[WA Rating Clean]]),Table1[[#This Row],[My Rating]])</f>
        <v>94+</v>
      </c>
      <c r="AA1223" s="37">
        <v>2037</v>
      </c>
      <c r="AB1223" s="129">
        <v>52.14</v>
      </c>
      <c r="AC1223" s="2">
        <f t="shared" si="59"/>
        <v>52.14</v>
      </c>
      <c r="AD1223" s="8">
        <v>1</v>
      </c>
      <c r="AE1223" s="10">
        <f>IF(Table1[[#This Row],[P/750]]&lt;20,1,IF(Table1[[#This Row],[P/750]]&lt;50,2,3))</f>
        <v>3</v>
      </c>
      <c r="AF1223" s="10">
        <f>IF(Table1[[#This Row],[P/750]]&lt;Expenses!$C$30,1,IF(Table1[[#This Row],[P/750]]&lt;Expenses!$C$31,2,IF(Table1[[#This Row],[P/750]]&lt;Expenses!$C$32,3,4)))</f>
        <v>3</v>
      </c>
      <c r="AH1223" s="25" t="s">
        <v>1128</v>
      </c>
      <c r="AI1223" s="11">
        <f>Table1[[#This Row],[Price]]/Table1[[#This Row],[Size (ml)]]*750</f>
        <v>52.14</v>
      </c>
      <c r="AJ1223" s="37" t="s">
        <v>17</v>
      </c>
      <c r="AK1223" s="10">
        <f>COUNTIF(UniqueID!A:A,Table1[[#This Row],[ID]])</f>
        <v>0</v>
      </c>
      <c r="AL1223" s="10" t="str">
        <f>VLOOKUP(Table1[[#This Row],[Cellar Location]],Location!A:F,6,FALSE)</f>
        <v>S</v>
      </c>
      <c r="AN1223" s="1">
        <v>44070</v>
      </c>
      <c r="AO1223" s="10" t="str">
        <f>TEXT(Table1[[#This Row],[Purchased]],"mmmm")</f>
        <v>August</v>
      </c>
      <c r="AP1223" s="10" t="str">
        <f>TEXT(Table1[[#This Row],[Purchased]],"yyyy")</f>
        <v>2020</v>
      </c>
      <c r="AQ1223" s="1"/>
    </row>
    <row r="1224" spans="1:43" s="37" customFormat="1" x14ac:dyDescent="0.25">
      <c r="A1224" s="37" t="str">
        <f t="shared" si="58"/>
        <v>2016Paolo ScavinoBarolo</v>
      </c>
      <c r="B1224" s="37">
        <v>2016</v>
      </c>
      <c r="C1224" s="37" t="s">
        <v>1796</v>
      </c>
      <c r="D1224" s="9" t="s">
        <v>268</v>
      </c>
      <c r="E1224" s="67" t="s">
        <v>1206</v>
      </c>
      <c r="F1224" s="37" t="s">
        <v>728</v>
      </c>
      <c r="G1224" s="37" t="s">
        <v>778</v>
      </c>
      <c r="H1224" s="37" t="s">
        <v>268</v>
      </c>
      <c r="I1224" s="78">
        <v>1</v>
      </c>
      <c r="J1224" s="37">
        <v>1500</v>
      </c>
      <c r="K1224" s="78" t="s">
        <v>1545</v>
      </c>
      <c r="L1224" s="10">
        <f>COUNTIF(Drank!A:A,Table1[[#This Row],[ID]])</f>
        <v>0</v>
      </c>
      <c r="M1224" s="37" t="s">
        <v>202</v>
      </c>
      <c r="N1224" s="37" t="s">
        <v>207</v>
      </c>
      <c r="O1224" s="37">
        <v>1</v>
      </c>
      <c r="P1224" s="10">
        <v>2023</v>
      </c>
      <c r="Q1224" s="37">
        <v>2040</v>
      </c>
      <c r="R1224" s="10" t="str">
        <f>IF(IFERROR(VLOOKUP(A1224,Drank!A:S,15,FALSE),"")=0,"",IFERROR(VLOOKUP(A1224,Drank!A:S,15,FALSE),""))</f>
        <v/>
      </c>
      <c r="S1224" s="10" t="str">
        <f>IF(IFERROR(VLOOKUP(A1224,Drank!A:S,16,FALSE),"")=0,"",IFERROR(VLOOKUP(A1224,Drank!A:S,16,FALSE),""))</f>
        <v/>
      </c>
      <c r="T1224" s="10"/>
      <c r="U1224" s="37">
        <v>95</v>
      </c>
      <c r="V1224" s="18" t="str">
        <f>IF(IFERROR(VLOOKUP(A1224,Drank!A:T,19,FALSE),"")=0,"",IFERROR(VLOOKUP(A1224,Drank!A:T,19,FALSE),""))</f>
        <v/>
      </c>
      <c r="W1224" s="1" t="str">
        <f>IF(IFERROR(VLOOKUP(A1224,Drank!A:T,20,FALSE),"")=0,"",IFERROR(VLOOKUP(A1224,Drank!A:T,20,FALSE),""))</f>
        <v/>
      </c>
      <c r="X1224" s="10">
        <f>SUMIF(A:A,A1224,I:I)</f>
        <v>6</v>
      </c>
      <c r="Y1224" s="10">
        <f>IF(Table1[[#This Row],[Drank]]&gt;0,VLOOKUP(Table1[[#This Row],[ID]],Drank!A:P,16,FALSE),IF(Table1[[#This Row],[WALDD]]&gt;0,VLOOKUP(Table1[[#This Row],[ID]],Wine1!A:Q,17,FALSE),Table1[[#This Row],[EP]]))</f>
        <v>2040</v>
      </c>
      <c r="Z1224" s="18">
        <f>IF(Table1[[#This Row],[My Rating]]="",IF(Table1[[#This Row],[WA Rating Clean]]="","",Table1[[#This Row],[WA Rating Clean]]),Table1[[#This Row],[My Rating]])</f>
        <v>95</v>
      </c>
      <c r="AA1224" s="37">
        <v>2037</v>
      </c>
      <c r="AB1224" s="128">
        <v>104.23</v>
      </c>
      <c r="AC1224" s="2">
        <f t="shared" si="59"/>
        <v>104.23</v>
      </c>
      <c r="AD1224" s="8"/>
      <c r="AE1224" s="10">
        <f>IF(Table1[[#This Row],[P/750]]&lt;20,1,IF(Table1[[#This Row],[P/750]]&lt;50,2,3))</f>
        <v>3</v>
      </c>
      <c r="AF1224" s="10">
        <f>IF(Table1[[#This Row],[P/750]]&lt;Expenses!$C$30,1,IF(Table1[[#This Row],[P/750]]&lt;Expenses!$C$31,2,IF(Table1[[#This Row],[P/750]]&lt;Expenses!$C$32,3,4)))</f>
        <v>3</v>
      </c>
      <c r="AH1224" s="25" t="s">
        <v>1545</v>
      </c>
      <c r="AI1224" s="11">
        <f>Table1[[#This Row],[Price]]/Table1[[#This Row],[Size (ml)]]*750</f>
        <v>52.115000000000002</v>
      </c>
      <c r="AJ1224" s="37">
        <v>95</v>
      </c>
      <c r="AK1224" s="10">
        <f>COUNTIF(UniqueID!A:A,Table1[[#This Row],[ID]])</f>
        <v>0</v>
      </c>
      <c r="AL1224" s="10" t="str">
        <f>VLOOKUP(Table1[[#This Row],[Cellar Location]],Location!A:F,6,FALSE)</f>
        <v>W</v>
      </c>
      <c r="AN1224" s="1">
        <v>44065</v>
      </c>
      <c r="AO1224" s="10" t="str">
        <f>TEXT(Table1[[#This Row],[Purchased]],"mmmm")</f>
        <v>August</v>
      </c>
      <c r="AP1224" s="10" t="str">
        <f>TEXT(Table1[[#This Row],[Purchased]],"yyyy")</f>
        <v>2020</v>
      </c>
      <c r="AQ1224" s="10"/>
    </row>
    <row r="1225" spans="1:43" s="37" customFormat="1" x14ac:dyDescent="0.25">
      <c r="A1225" s="37" t="str">
        <f t="shared" si="58"/>
        <v>2015Quinta do ValladoField Blend Reserva</v>
      </c>
      <c r="B1225" s="8">
        <v>2015</v>
      </c>
      <c r="C1225" s="30" t="s">
        <v>210</v>
      </c>
      <c r="D1225" s="9" t="s">
        <v>1423</v>
      </c>
      <c r="E1225" s="65" t="s">
        <v>274</v>
      </c>
      <c r="F1225" s="37" t="s">
        <v>804</v>
      </c>
      <c r="G1225" s="37" t="s">
        <v>1422</v>
      </c>
      <c r="H1225" s="9"/>
      <c r="I1225" s="37">
        <v>1</v>
      </c>
      <c r="J1225" s="38">
        <v>750</v>
      </c>
      <c r="K1225" s="38" t="s">
        <v>384</v>
      </c>
      <c r="L1225" s="10">
        <f>COUNTIF(Drank!A:A,Table1[[#This Row],[ID]])</f>
        <v>0</v>
      </c>
      <c r="M1225" s="37" t="s">
        <v>202</v>
      </c>
      <c r="N1225" s="37" t="s">
        <v>207</v>
      </c>
      <c r="O1225" s="37">
        <v>1</v>
      </c>
      <c r="P1225" s="37">
        <v>2019</v>
      </c>
      <c r="Q1225" s="37">
        <v>2040</v>
      </c>
      <c r="R1225" s="10" t="str">
        <f>IF(IFERROR(VLOOKUP(A1225,Drank!A:S,15,FALSE),"")=0,"",IFERROR(VLOOKUP(A1225,Drank!A:S,15,FALSE),""))</f>
        <v/>
      </c>
      <c r="S1225" s="10" t="str">
        <f>IF(IFERROR(VLOOKUP(A1225,Drank!A:S,16,FALSE),"")=0,"",IFERROR(VLOOKUP(A1225,Drank!A:S,16,FALSE),""))</f>
        <v/>
      </c>
      <c r="T1225" s="10"/>
      <c r="U1225" s="37">
        <v>93</v>
      </c>
      <c r="V1225" s="18" t="str">
        <f>IF(IFERROR(VLOOKUP(A1225,Drank!A:T,19,FALSE),"")=0,"",IFERROR(VLOOKUP(A1225,Drank!A:T,19,FALSE),""))</f>
        <v/>
      </c>
      <c r="W1225" s="1" t="str">
        <f>IF(IFERROR(VLOOKUP(A1225,Drank!A:T,20,FALSE),"")=0,"",IFERROR(VLOOKUP(A1225,Drank!A:T,20,FALSE),""))</f>
        <v/>
      </c>
      <c r="X1225" s="10">
        <f>SUMIF(A:A,A1225,I:I)</f>
        <v>4</v>
      </c>
      <c r="Y1225" s="10">
        <f>IF(Table1[[#This Row],[Drank]]&gt;0,VLOOKUP(Table1[[#This Row],[ID]],Drank!A:P,16,FALSE),IF(Table1[[#This Row],[WALDD]]&gt;0,VLOOKUP(Table1[[#This Row],[ID]],Wine1!A:Q,17,FALSE),Table1[[#This Row],[EP]]))</f>
        <v>2040</v>
      </c>
      <c r="Z1225" s="18">
        <f>IF(Table1[[#This Row],[My Rating]]="",IF(Table1[[#This Row],[WA Rating Clean]]="","",Table1[[#This Row],[WA Rating Clean]]),Table1[[#This Row],[My Rating]])</f>
        <v>93</v>
      </c>
      <c r="AA1225" s="37">
        <v>2037</v>
      </c>
      <c r="AB1225" s="4">
        <v>32.58</v>
      </c>
      <c r="AC1225" s="2">
        <f t="shared" si="59"/>
        <v>32.58</v>
      </c>
      <c r="AD1225" s="8">
        <v>1</v>
      </c>
      <c r="AE1225" s="10">
        <f>IF(Table1[[#This Row],[P/750]]&lt;20,1,IF(Table1[[#This Row],[P/750]]&lt;50,2,3))</f>
        <v>2</v>
      </c>
      <c r="AF1225" s="10">
        <f>IF(Table1[[#This Row],[P/750]]&lt;Expenses!$C$30,1,IF(Table1[[#This Row],[P/750]]&lt;Expenses!$C$31,2,IF(Table1[[#This Row],[P/750]]&lt;Expenses!$C$32,3,4)))</f>
        <v>3</v>
      </c>
      <c r="AH1225" s="37" t="s">
        <v>384</v>
      </c>
      <c r="AI1225" s="11">
        <f>Table1[[#This Row],[Price]]/Table1[[#This Row],[Size (ml)]]*750</f>
        <v>32.58</v>
      </c>
      <c r="AJ1225" s="37">
        <v>93</v>
      </c>
      <c r="AK1225" s="10">
        <f>COUNTIF(UniqueID!A:A,Table1[[#This Row],[ID]])</f>
        <v>0</v>
      </c>
      <c r="AL1225" s="10" t="str">
        <f>VLOOKUP(Table1[[#This Row],[Cellar Location]],Location!A:F,6,FALSE)</f>
        <v>W</v>
      </c>
      <c r="AN1225" s="1">
        <v>44027</v>
      </c>
      <c r="AO1225" s="10" t="str">
        <f>TEXT(Table1[[#This Row],[Purchased]],"mmmm")</f>
        <v>July</v>
      </c>
      <c r="AP1225" s="10" t="str">
        <f>TEXT(Table1[[#This Row],[Purchased]],"yyyy")</f>
        <v>2020</v>
      </c>
      <c r="AQ1225" s="1">
        <v>44138</v>
      </c>
    </row>
    <row r="1226" spans="1:43" s="37" customFormat="1" x14ac:dyDescent="0.25">
      <c r="A1226" s="37" t="str">
        <f t="shared" si="58"/>
        <v>2016FelsinaFontalloro</v>
      </c>
      <c r="B1226" s="37">
        <v>2016</v>
      </c>
      <c r="C1226" s="37" t="s">
        <v>795</v>
      </c>
      <c r="D1226" s="25" t="s">
        <v>387</v>
      </c>
      <c r="E1226" s="67" t="s">
        <v>1250</v>
      </c>
      <c r="F1226" s="37" t="s">
        <v>728</v>
      </c>
      <c r="G1226" s="37" t="s">
        <v>790</v>
      </c>
      <c r="H1226" s="37" t="s">
        <v>796</v>
      </c>
      <c r="I1226" s="78">
        <v>1</v>
      </c>
      <c r="J1226" s="37">
        <v>750</v>
      </c>
      <c r="K1226" s="78" t="s">
        <v>1545</v>
      </c>
      <c r="L1226" s="10">
        <f>COUNTIF(Drank!A:A,Table1[[#This Row],[ID]])</f>
        <v>1</v>
      </c>
      <c r="M1226" s="37" t="s">
        <v>202</v>
      </c>
      <c r="N1226" s="37" t="s">
        <v>207</v>
      </c>
      <c r="O1226" s="37">
        <v>1</v>
      </c>
      <c r="P1226" s="10">
        <v>2021</v>
      </c>
      <c r="Q1226" s="37">
        <v>2045</v>
      </c>
      <c r="R1226" s="10" t="str">
        <f>IF(IFERROR(VLOOKUP(A1226,Drank!A:S,15,FALSE),"")=0,"",IFERROR(VLOOKUP(A1226,Drank!A:S,15,FALSE),""))</f>
        <v/>
      </c>
      <c r="S1226" s="10" t="str">
        <f>IF(IFERROR(VLOOKUP(A1226,Drank!A:S,16,FALSE),"")=0,"",IFERROR(VLOOKUP(A1226,Drank!A:S,16,FALSE),""))</f>
        <v/>
      </c>
      <c r="T1226" s="10"/>
      <c r="U1226" s="37" t="s">
        <v>852</v>
      </c>
      <c r="V1226" s="18">
        <f>IF(IFERROR(VLOOKUP(A1226,Drank!A:T,19,FALSE),"")=0,"",IFERROR(VLOOKUP(A1226,Drank!A:T,19,FALSE),""))</f>
        <v>94</v>
      </c>
      <c r="W1226" s="1">
        <f>IF(IFERROR(VLOOKUP(A1226,Drank!A:T,20,FALSE),"")=0,"",IFERROR(VLOOKUP(A1226,Drank!A:T,20,FALSE),""))</f>
        <v>44074</v>
      </c>
      <c r="X1226" s="10">
        <f>SUMIF(A:A,A1226,I:I)</f>
        <v>6</v>
      </c>
      <c r="Y1226" s="10">
        <f>IF(Table1[[#This Row],[Drank]]&gt;0,VLOOKUP(Table1[[#This Row],[ID]],Drank!A:P,16,FALSE),IF(Table1[[#This Row],[WALDD]]&gt;0,VLOOKUP(Table1[[#This Row],[ID]],Wine1!A:Q,17,FALSE),Table1[[#This Row],[EP]]))</f>
        <v>0</v>
      </c>
      <c r="Z1226" s="18">
        <f>IF(Table1[[#This Row],[My Rating]]="",IF(Table1[[#This Row],[WA Rating Clean]]="","",Table1[[#This Row],[WA Rating Clean]]),Table1[[#This Row],[My Rating]])</f>
        <v>94</v>
      </c>
      <c r="AA1226" s="37">
        <v>2037</v>
      </c>
      <c r="AB1226" s="128">
        <v>60.29</v>
      </c>
      <c r="AC1226" s="2">
        <f t="shared" si="59"/>
        <v>60.29</v>
      </c>
      <c r="AD1226" s="8"/>
      <c r="AE1226" s="10">
        <f>IF(Table1[[#This Row],[P/750]]&lt;20,1,IF(Table1[[#This Row],[P/750]]&lt;50,2,3))</f>
        <v>3</v>
      </c>
      <c r="AF1226" s="10">
        <f>IF(Table1[[#This Row],[P/750]]&lt;Expenses!$C$30,1,IF(Table1[[#This Row],[P/750]]&lt;Expenses!$C$31,2,IF(Table1[[#This Row],[P/750]]&lt;Expenses!$C$32,3,4)))</f>
        <v>3</v>
      </c>
      <c r="AH1226" s="25" t="s">
        <v>1545</v>
      </c>
      <c r="AI1226" s="11">
        <f>Table1[[#This Row],[Price]]/Table1[[#This Row],[Size (ml)]]*750</f>
        <v>60.29</v>
      </c>
      <c r="AJ1226" s="37">
        <v>98</v>
      </c>
      <c r="AK1226" s="10">
        <f>COUNTIF(UniqueID!A:A,Table1[[#This Row],[ID]])</f>
        <v>0</v>
      </c>
      <c r="AL1226" s="10" t="str">
        <f>VLOOKUP(Table1[[#This Row],[Cellar Location]],Location!A:F,6,FALSE)</f>
        <v>W</v>
      </c>
      <c r="AN1226" s="1">
        <v>44065</v>
      </c>
      <c r="AO1226" s="10" t="str">
        <f>TEXT(Table1[[#This Row],[Purchased]],"mmmm")</f>
        <v>August</v>
      </c>
      <c r="AP1226" s="10" t="str">
        <f>TEXT(Table1[[#This Row],[Purchased]],"yyyy")</f>
        <v>2020</v>
      </c>
      <c r="AQ1226" s="10"/>
    </row>
    <row r="1227" spans="1:43" s="37" customFormat="1" x14ac:dyDescent="0.25">
      <c r="A1227" s="37" t="str">
        <f t="shared" si="58"/>
        <v>2015Il PoggioneBrunello di Montalcino</v>
      </c>
      <c r="B1227" s="8">
        <v>2015</v>
      </c>
      <c r="C1227" s="37" t="s">
        <v>1124</v>
      </c>
      <c r="D1227" s="8" t="s">
        <v>19</v>
      </c>
      <c r="E1227" s="67" t="s">
        <v>1250</v>
      </c>
      <c r="F1227" s="37" t="s">
        <v>728</v>
      </c>
      <c r="G1227" s="37" t="s">
        <v>790</v>
      </c>
      <c r="H1227" s="37" t="s">
        <v>19</v>
      </c>
      <c r="I1227" s="107">
        <v>1</v>
      </c>
      <c r="J1227" s="37">
        <v>750</v>
      </c>
      <c r="K1227" s="107" t="s">
        <v>643</v>
      </c>
      <c r="L1227" s="10">
        <f>COUNTIF(Drank!A:A,Table1[[#This Row],[ID]])</f>
        <v>0</v>
      </c>
      <c r="M1227" s="37" t="s">
        <v>202</v>
      </c>
      <c r="N1227" s="37" t="s">
        <v>207</v>
      </c>
      <c r="O1227" s="37">
        <v>1</v>
      </c>
      <c r="P1227" s="37">
        <v>2021</v>
      </c>
      <c r="Q1227" s="37">
        <v>2045</v>
      </c>
      <c r="R1227" s="10" t="str">
        <f>IF(IFERROR(VLOOKUP(A1227,Drank!A:S,15,FALSE),"")=0,"",IFERROR(VLOOKUP(A1227,Drank!A:S,15,FALSE),""))</f>
        <v/>
      </c>
      <c r="S1227" s="10" t="str">
        <f>IF(IFERROR(VLOOKUP(A1227,Drank!A:S,16,FALSE),"")=0,"",IFERROR(VLOOKUP(A1227,Drank!A:S,16,FALSE),""))</f>
        <v/>
      </c>
      <c r="T1227" s="10"/>
      <c r="U1227" s="37">
        <v>97</v>
      </c>
      <c r="V1227" s="18" t="str">
        <f>IF(IFERROR(VLOOKUP(A1227,Drank!A:T,19,FALSE),"")=0,"",IFERROR(VLOOKUP(A1227,Drank!A:T,19,FALSE),""))</f>
        <v/>
      </c>
      <c r="W1227" s="1" t="str">
        <f>IF(IFERROR(VLOOKUP(A1227,Drank!A:T,20,FALSE),"")=0,"",IFERROR(VLOOKUP(A1227,Drank!A:T,20,FALSE),""))</f>
        <v/>
      </c>
      <c r="X1227" s="10">
        <f>SUMIF(A:A,A1227,I:I)</f>
        <v>6</v>
      </c>
      <c r="Y1227" s="10">
        <f>IF(Table1[[#This Row],[Drank]]&gt;0,VLOOKUP(Table1[[#This Row],[ID]],Drank!A:P,16,FALSE),IF(Table1[[#This Row],[WALDD]]&gt;0,VLOOKUP(Table1[[#This Row],[ID]],Wine1!A:Q,17,FALSE),Table1[[#This Row],[EP]]))</f>
        <v>2045</v>
      </c>
      <c r="Z1227" s="18">
        <f>IF(Table1[[#This Row],[My Rating]]="",IF(Table1[[#This Row],[WA Rating Clean]]="","",Table1[[#This Row],[WA Rating Clean]]),Table1[[#This Row],[My Rating]])</f>
        <v>97</v>
      </c>
      <c r="AA1227" s="8">
        <v>2037</v>
      </c>
      <c r="AB1227" s="4">
        <v>73.849999999999994</v>
      </c>
      <c r="AC1227" s="2">
        <f t="shared" si="59"/>
        <v>73.849999999999994</v>
      </c>
      <c r="AD1227" s="8">
        <v>2</v>
      </c>
      <c r="AE1227" s="10">
        <f>IF(Table1[[#This Row],[P/750]]&lt;20,1,IF(Table1[[#This Row],[P/750]]&lt;50,2,3))</f>
        <v>3</v>
      </c>
      <c r="AF1227" s="10">
        <f>IF(Table1[[#This Row],[P/750]]&lt;Expenses!$C$30,1,IF(Table1[[#This Row],[P/750]]&lt;Expenses!$C$31,2,IF(Table1[[#This Row],[P/750]]&lt;Expenses!$C$32,3,4)))</f>
        <v>4</v>
      </c>
      <c r="AH1227" s="37" t="s">
        <v>1478</v>
      </c>
      <c r="AI1227" s="11">
        <f>Table1[[#This Row],[Price]]/Table1[[#This Row],[Size (ml)]]*750</f>
        <v>73.849999999999994</v>
      </c>
      <c r="AJ1227" s="37">
        <v>97</v>
      </c>
      <c r="AK1227" s="10">
        <f>COUNTIF(UniqueID!A:A,Table1[[#This Row],[ID]])</f>
        <v>0</v>
      </c>
      <c r="AL1227" s="10" t="str">
        <f>VLOOKUP(Table1[[#This Row],[Cellar Location]],Location!A:F,6,FALSE)</f>
        <v>S</v>
      </c>
      <c r="AN1227" s="1">
        <v>44019</v>
      </c>
      <c r="AO1227" s="10" t="str">
        <f>TEXT(Table1[[#This Row],[Purchased]],"mmmm")</f>
        <v>July</v>
      </c>
      <c r="AP1227" s="10" t="str">
        <f>TEXT(Table1[[#This Row],[Purchased]],"yyyy")</f>
        <v>2020</v>
      </c>
      <c r="AQ1227" s="10"/>
    </row>
    <row r="1228" spans="1:43" s="37" customFormat="1" x14ac:dyDescent="0.25">
      <c r="A1228" s="37" t="str">
        <f t="shared" si="58"/>
        <v>2016CavallottoBarolo Bricco Boschis</v>
      </c>
      <c r="B1228" s="37">
        <v>2016</v>
      </c>
      <c r="C1228" s="37" t="s">
        <v>51</v>
      </c>
      <c r="D1228" s="37" t="s">
        <v>1691</v>
      </c>
      <c r="E1228" s="67" t="s">
        <v>1206</v>
      </c>
      <c r="F1228" s="37" t="s">
        <v>728</v>
      </c>
      <c r="G1228" s="37" t="s">
        <v>778</v>
      </c>
      <c r="H1228" s="37" t="s">
        <v>1692</v>
      </c>
      <c r="I1228" s="8">
        <v>1</v>
      </c>
      <c r="J1228" s="38">
        <v>750</v>
      </c>
      <c r="K1228" s="38" t="s">
        <v>1687</v>
      </c>
      <c r="L1228" s="10">
        <f>COUNTIF(Drank!A:A,Table1[[#This Row],[ID]])</f>
        <v>0</v>
      </c>
      <c r="M1228" s="37" t="s">
        <v>202</v>
      </c>
      <c r="N1228" s="37" t="s">
        <v>207</v>
      </c>
      <c r="O1228" s="37">
        <v>1</v>
      </c>
      <c r="P1228" s="37">
        <v>2024</v>
      </c>
      <c r="Q1228" s="37">
        <v>2045</v>
      </c>
      <c r="R1228" s="10" t="str">
        <f>IF(IFERROR(VLOOKUP(A1228,Drank!A:S,15,FALSE),"")=0,"",IFERROR(VLOOKUP(A1228,Drank!A:S,15,FALSE),""))</f>
        <v/>
      </c>
      <c r="S1228" s="10" t="str">
        <f>IF(IFERROR(VLOOKUP(A1228,Drank!A:S,16,FALSE),"")=0,"",IFERROR(VLOOKUP(A1228,Drank!A:S,16,FALSE),""))</f>
        <v/>
      </c>
      <c r="T1228" s="10"/>
      <c r="U1228" s="37">
        <v>98</v>
      </c>
      <c r="V1228" s="18" t="str">
        <f>IF(IFERROR(VLOOKUP(A1228,Drank!A:T,19,FALSE),"")=0,"",IFERROR(VLOOKUP(A1228,Drank!A:T,19,FALSE),""))</f>
        <v/>
      </c>
      <c r="W1228" s="1" t="str">
        <f>IF(IFERROR(VLOOKUP(A1228,Drank!A:T,20,FALSE),"")=0,"",IFERROR(VLOOKUP(A1228,Drank!A:T,20,FALSE),""))</f>
        <v/>
      </c>
      <c r="X1228" s="10">
        <f>SUMIF(A:A,A1228,I:I)</f>
        <v>2</v>
      </c>
      <c r="Y1228" s="10">
        <f>IF(Table1[[#This Row],[Drank]]&gt;0,VLOOKUP(Table1[[#This Row],[ID]],Drank!A:P,16,FALSE),IF(Table1[[#This Row],[WALDD]]&gt;0,VLOOKUP(Table1[[#This Row],[ID]],Wine1!A:Q,17,FALSE),Table1[[#This Row],[EP]]))</f>
        <v>2045</v>
      </c>
      <c r="Z1228" s="18">
        <f>IF(Table1[[#This Row],[My Rating]]="",IF(Table1[[#This Row],[WA Rating Clean]]="","",Table1[[#This Row],[WA Rating Clean]]),Table1[[#This Row],[My Rating]])</f>
        <v>98</v>
      </c>
      <c r="AA1228" s="8">
        <v>2037</v>
      </c>
      <c r="AB1228" s="4">
        <v>88.66</v>
      </c>
      <c r="AC1228" s="2">
        <f t="shared" si="59"/>
        <v>88.66</v>
      </c>
      <c r="AD1228" s="8">
        <v>1</v>
      </c>
      <c r="AE1228" s="10">
        <f>IF(Table1[[#This Row],[P/750]]&lt;20,1,IF(Table1[[#This Row],[P/750]]&lt;50,2,3))</f>
        <v>3</v>
      </c>
      <c r="AF1228" s="10">
        <f>IF(Table1[[#This Row],[P/750]]&lt;Expenses!$C$30,1,IF(Table1[[#This Row],[P/750]]&lt;Expenses!$C$31,2,IF(Table1[[#This Row],[P/750]]&lt;Expenses!$C$32,3,4)))</f>
        <v>4</v>
      </c>
      <c r="AH1228" s="37" t="s">
        <v>1189</v>
      </c>
      <c r="AI1228" s="11">
        <f>Table1[[#This Row],[Price]]/Table1[[#This Row],[Size (ml)]]*750</f>
        <v>88.66</v>
      </c>
      <c r="AJ1228" s="37">
        <v>98</v>
      </c>
      <c r="AK1228" s="10">
        <f>COUNTIF(UniqueID!A:A,Table1[[#This Row],[ID]])</f>
        <v>0</v>
      </c>
      <c r="AL1228" s="10" t="str">
        <f>VLOOKUP(Table1[[#This Row],[Cellar Location]],Location!A:F,6,FALSE)</f>
        <v>W</v>
      </c>
      <c r="AN1228" s="1">
        <v>44061</v>
      </c>
      <c r="AO1228" s="10" t="str">
        <f>TEXT(Table1[[#This Row],[Purchased]],"mmmm")</f>
        <v>August</v>
      </c>
      <c r="AP1228" s="10" t="str">
        <f>TEXT(Table1[[#This Row],[Purchased]],"yyyy")</f>
        <v>2020</v>
      </c>
      <c r="AQ1228" s="1">
        <v>44137</v>
      </c>
    </row>
    <row r="1229" spans="1:43" s="37" customFormat="1" x14ac:dyDescent="0.25">
      <c r="A1229" s="37" t="str">
        <f t="shared" si="58"/>
        <v>2016Clos du RoyClos du Roy</v>
      </c>
      <c r="B1229" s="37">
        <v>2016</v>
      </c>
      <c r="C1229" s="37" t="s">
        <v>854</v>
      </c>
      <c r="D1229" s="37" t="s">
        <v>854</v>
      </c>
      <c r="E1229" s="37" t="s">
        <v>1198</v>
      </c>
      <c r="F1229" s="37" t="s">
        <v>742</v>
      </c>
      <c r="G1229" s="37" t="s">
        <v>748</v>
      </c>
      <c r="H1229" s="37" t="s">
        <v>856</v>
      </c>
      <c r="I1229" s="107">
        <v>1</v>
      </c>
      <c r="J1229" s="37">
        <v>750</v>
      </c>
      <c r="K1229" s="107" t="s">
        <v>1145</v>
      </c>
      <c r="L1229" s="10">
        <f>COUNTIF(Drank!A:A,Table1[[#This Row],[ID]])</f>
        <v>1</v>
      </c>
      <c r="M1229" s="37" t="s">
        <v>202</v>
      </c>
      <c r="N1229" s="37" t="s">
        <v>207</v>
      </c>
      <c r="O1229" s="37">
        <v>1</v>
      </c>
      <c r="P1229" s="10">
        <v>2021</v>
      </c>
      <c r="Q1229" s="37">
        <v>2038</v>
      </c>
      <c r="R1229" s="10" t="str">
        <f>IF(IFERROR(VLOOKUP(A1229,Drank!A:S,15,FALSE),"")=0,"",IFERROR(VLOOKUP(A1229,Drank!A:S,15,FALSE),""))</f>
        <v/>
      </c>
      <c r="S1229" s="10">
        <f>IF(IFERROR(VLOOKUP(A1229,Drank!A:S,16,FALSE),"")=0,"",IFERROR(VLOOKUP(A1229,Drank!A:S,16,FALSE),""))</f>
        <v>2045</v>
      </c>
      <c r="T1229" s="10"/>
      <c r="U1229" s="37" t="s">
        <v>855</v>
      </c>
      <c r="V1229" s="18">
        <f>IF(IFERROR(VLOOKUP(A1229,Drank!A:T,19,FALSE),"")=0,"",IFERROR(VLOOKUP(A1229,Drank!A:T,19,FALSE),""))</f>
        <v>91</v>
      </c>
      <c r="W1229" s="1">
        <f>IF(IFERROR(VLOOKUP(A1229,Drank!A:T,20,FALSE),"")=0,"",IFERROR(VLOOKUP(A1229,Drank!A:T,20,FALSE),""))</f>
        <v>43830</v>
      </c>
      <c r="X1229" s="10">
        <f>SUMIF(A:A,A1229,I:I)</f>
        <v>15</v>
      </c>
      <c r="Y1229" s="10">
        <f>IF(Table1[[#This Row],[Drank]]&gt;0,VLOOKUP(Table1[[#This Row],[ID]],Drank!A:P,16,FALSE),IF(Table1[[#This Row],[WALDD]]&gt;0,VLOOKUP(Table1[[#This Row],[ID]],Wine1!A:Q,17,FALSE),Table1[[#This Row],[EP]]))</f>
        <v>2045</v>
      </c>
      <c r="Z1229" s="18">
        <f>IF(Table1[[#This Row],[My Rating]]="",IF(Table1[[#This Row],[WA Rating Clean]]="","",Table1[[#This Row],[WA Rating Clean]]),Table1[[#This Row],[My Rating]])</f>
        <v>91</v>
      </c>
      <c r="AA1229" s="37">
        <v>2037</v>
      </c>
      <c r="AB1229" s="4">
        <v>17.91</v>
      </c>
      <c r="AC1229" s="2">
        <f t="shared" si="59"/>
        <v>17.91</v>
      </c>
      <c r="AD1229" s="8">
        <v>2</v>
      </c>
      <c r="AE1229" s="10">
        <f>IF(Table1[[#This Row],[P/750]]&lt;20,1,IF(Table1[[#This Row],[P/750]]&lt;50,2,3))</f>
        <v>1</v>
      </c>
      <c r="AF1229" s="10">
        <f>IF(Table1[[#This Row],[P/750]]&lt;Expenses!$C$30,1,IF(Table1[[#This Row],[P/750]]&lt;Expenses!$C$31,2,IF(Table1[[#This Row],[P/750]]&lt;Expenses!$C$32,3,4)))</f>
        <v>2</v>
      </c>
      <c r="AH1229" s="37" t="s">
        <v>1128</v>
      </c>
      <c r="AI1229" s="11">
        <f>Table1[[#This Row],[Price]]/Table1[[#This Row],[Size (ml)]]*750</f>
        <v>17.91</v>
      </c>
      <c r="AJ1229" s="37">
        <v>92</v>
      </c>
      <c r="AK1229" s="10">
        <f>COUNTIF(UniqueID!A:A,Table1[[#This Row],[ID]])</f>
        <v>1</v>
      </c>
      <c r="AL1229" s="37" t="str">
        <f>VLOOKUP(Table1[[#This Row],[Cellar Location]],Location!A:F,6,FALSE)</f>
        <v>S</v>
      </c>
      <c r="AN1229" s="1">
        <v>43830</v>
      </c>
      <c r="AO1229" s="37" t="str">
        <f>TEXT(Table1[[#This Row],[Purchased]],"mmmm")</f>
        <v>December</v>
      </c>
      <c r="AP1229" s="10" t="str">
        <f>TEXT(Table1[[#This Row],[Purchased]],"yyyy")</f>
        <v>2019</v>
      </c>
      <c r="AQ1229" s="10"/>
    </row>
    <row r="1230" spans="1:43" s="37" customFormat="1" x14ac:dyDescent="0.25">
      <c r="A1230" s="37" t="str">
        <f t="shared" si="58"/>
        <v>2014Produttori del BarbarescoBarbaresco Riserva Asili</v>
      </c>
      <c r="B1230" s="37">
        <v>2014</v>
      </c>
      <c r="C1230" s="9" t="s">
        <v>248</v>
      </c>
      <c r="D1230" s="9" t="s">
        <v>1134</v>
      </c>
      <c r="E1230" s="67" t="s">
        <v>1206</v>
      </c>
      <c r="F1230" s="37" t="s">
        <v>728</v>
      </c>
      <c r="G1230" s="37" t="s">
        <v>778</v>
      </c>
      <c r="H1230" s="37" t="s">
        <v>249</v>
      </c>
      <c r="I1230" s="107">
        <v>1</v>
      </c>
      <c r="J1230" s="37">
        <v>750</v>
      </c>
      <c r="K1230" s="107" t="s">
        <v>1133</v>
      </c>
      <c r="L1230" s="10">
        <f>COUNTIF(Drank!A:A,Table1[[#This Row],[ID]])</f>
        <v>0</v>
      </c>
      <c r="M1230" s="37" t="s">
        <v>202</v>
      </c>
      <c r="N1230" s="37" t="s">
        <v>207</v>
      </c>
      <c r="O1230" s="37">
        <v>1</v>
      </c>
      <c r="P1230" s="10">
        <v>2021</v>
      </c>
      <c r="Q1230" s="37">
        <v>2045</v>
      </c>
      <c r="R1230" s="10" t="str">
        <f>IF(IFERROR(VLOOKUP(A1230,Drank!A:S,15,FALSE),"")=0,"",IFERROR(VLOOKUP(A1230,Drank!A:S,15,FALSE),""))</f>
        <v/>
      </c>
      <c r="S1230" s="10" t="str">
        <f>IF(IFERROR(VLOOKUP(A1230,Drank!A:S,16,FALSE),"")=0,"",IFERROR(VLOOKUP(A1230,Drank!A:S,16,FALSE),""))</f>
        <v/>
      </c>
      <c r="T1230" s="10"/>
      <c r="U1230" s="37">
        <v>95</v>
      </c>
      <c r="V1230" s="18" t="str">
        <f>IF(IFERROR(VLOOKUP(A1230,Drank!A:T,19,FALSE),"")=0,"",IFERROR(VLOOKUP(A1230,Drank!A:T,19,FALSE),""))</f>
        <v/>
      </c>
      <c r="W1230" s="1" t="str">
        <f>IF(IFERROR(VLOOKUP(A1230,Drank!A:T,20,FALSE),"")=0,"",IFERROR(VLOOKUP(A1230,Drank!A:T,20,FALSE),""))</f>
        <v/>
      </c>
      <c r="X1230" s="10">
        <f>SUMIF(A:A,A1230,I:I)</f>
        <v>2</v>
      </c>
      <c r="Y1230" s="10">
        <f>IF(Table1[[#This Row],[Drank]]&gt;0,VLOOKUP(Table1[[#This Row],[ID]],Drank!A:P,16,FALSE),IF(Table1[[#This Row],[WALDD]]&gt;0,VLOOKUP(Table1[[#This Row],[ID]],Wine1!A:Q,17,FALSE),Table1[[#This Row],[EP]]))</f>
        <v>2045</v>
      </c>
      <c r="Z1230" s="18">
        <f>IF(Table1[[#This Row],[My Rating]]="",IF(Table1[[#This Row],[WA Rating Clean]]="","",Table1[[#This Row],[WA Rating Clean]]),Table1[[#This Row],[My Rating]])</f>
        <v>95</v>
      </c>
      <c r="AA1230" s="37">
        <v>2037</v>
      </c>
      <c r="AB1230" s="4">
        <v>49.49</v>
      </c>
      <c r="AC1230" s="2">
        <f t="shared" si="59"/>
        <v>49.49</v>
      </c>
      <c r="AD1230" s="8">
        <v>2</v>
      </c>
      <c r="AE1230" s="10">
        <f>IF(Table1[[#This Row],[P/750]]&lt;20,1,IF(Table1[[#This Row],[P/750]]&lt;50,2,3))</f>
        <v>2</v>
      </c>
      <c r="AF1230" s="10">
        <f>IF(Table1[[#This Row],[P/750]]&lt;Expenses!$C$30,1,IF(Table1[[#This Row],[P/750]]&lt;Expenses!$C$31,2,IF(Table1[[#This Row],[P/750]]&lt;Expenses!$C$32,3,4)))</f>
        <v>3</v>
      </c>
      <c r="AH1230" s="37" t="s">
        <v>1132</v>
      </c>
      <c r="AI1230" s="11">
        <f>Table1[[#This Row],[Price]]/Table1[[#This Row],[Size (ml)]]*750</f>
        <v>49.49</v>
      </c>
      <c r="AJ1230" s="37">
        <v>95</v>
      </c>
      <c r="AK1230" s="10">
        <f>COUNTIF(UniqueID!A:A,Table1[[#This Row],[ID]])</f>
        <v>1</v>
      </c>
      <c r="AL1230" s="10" t="str">
        <f>VLOOKUP(Table1[[#This Row],[Cellar Location]],Location!A:F,6,FALSE)</f>
        <v>S</v>
      </c>
      <c r="AN1230" s="1">
        <v>43833</v>
      </c>
      <c r="AO1230" s="37" t="str">
        <f>TEXT(Table1[[#This Row],[Purchased]],"mmmm")</f>
        <v>January</v>
      </c>
      <c r="AP1230" s="10" t="str">
        <f>TEXT(Table1[[#This Row],[Purchased]],"yyyy")</f>
        <v>2020</v>
      </c>
      <c r="AQ1230" s="10"/>
    </row>
    <row r="1231" spans="1:43" s="37" customFormat="1" x14ac:dyDescent="0.25">
      <c r="A1231" s="37" t="str">
        <f t="shared" si="58"/>
        <v>2016Produttori del BarbarescoBarbaresco</v>
      </c>
      <c r="B1231" s="37">
        <v>2016</v>
      </c>
      <c r="C1231" s="37" t="s">
        <v>248</v>
      </c>
      <c r="D1231" s="37" t="s">
        <v>249</v>
      </c>
      <c r="E1231" s="67" t="s">
        <v>1206</v>
      </c>
      <c r="F1231" s="37" t="s">
        <v>728</v>
      </c>
      <c r="G1231" s="37" t="s">
        <v>778</v>
      </c>
      <c r="H1231" s="37" t="s">
        <v>249</v>
      </c>
      <c r="I1231" s="37">
        <v>1</v>
      </c>
      <c r="J1231" s="107">
        <v>750</v>
      </c>
      <c r="K1231" s="8" t="s">
        <v>1851</v>
      </c>
      <c r="L1231" s="10">
        <f>COUNTIF(Drank!A:A,Table1[[#This Row],[ID]])</f>
        <v>2</v>
      </c>
      <c r="M1231" s="37" t="s">
        <v>202</v>
      </c>
      <c r="N1231" s="37" t="s">
        <v>207</v>
      </c>
      <c r="O1231" s="37">
        <v>1</v>
      </c>
      <c r="P1231" s="37">
        <v>2022</v>
      </c>
      <c r="Q1231" s="37">
        <v>2040</v>
      </c>
      <c r="R1231" s="10">
        <f>IF(IFERROR(VLOOKUP(A1231,Drank!A:S,15,FALSE),"")=0,"",IFERROR(VLOOKUP(A1231,Drank!A:S,15,FALSE),""))</f>
        <v>2021</v>
      </c>
      <c r="S1231" s="10">
        <f>IF(IFERROR(VLOOKUP(A1231,Drank!A:S,16,FALSE),"")=0,"",IFERROR(VLOOKUP(A1231,Drank!A:S,16,FALSE),""))</f>
        <v>2032</v>
      </c>
      <c r="T1231" s="10"/>
      <c r="U1231" s="37">
        <v>95</v>
      </c>
      <c r="V1231" s="18">
        <f>IF(IFERROR(VLOOKUP(A1231,Drank!A:T,19,FALSE),"")=0,"",IFERROR(VLOOKUP(A1231,Drank!A:T,19,FALSE),""))</f>
        <v>95.5</v>
      </c>
      <c r="W1231" s="1">
        <f>IF(IFERROR(VLOOKUP(A1231,Drank!A:T,20,FALSE),"")=0,"",IFERROR(VLOOKUP(A1231,Drank!A:T,20,FALSE),""))</f>
        <v>44079</v>
      </c>
      <c r="X1231" s="10">
        <f>SUMIF(A:A,A1231,I:I)</f>
        <v>41</v>
      </c>
      <c r="Y1231" s="10">
        <f>IF(Table1[[#This Row],[Drank]]&gt;0,VLOOKUP(Table1[[#This Row],[ID]],Drank!A:P,16,FALSE),IF(Table1[[#This Row],[WALDD]]&gt;0,VLOOKUP(Table1[[#This Row],[ID]],Wine1!A:Q,17,FALSE),Table1[[#This Row],[EP]]))</f>
        <v>2032</v>
      </c>
      <c r="Z1231" s="18">
        <f>IF(Table1[[#This Row],[My Rating]]="",IF(Table1[[#This Row],[WA Rating Clean]]="","",Table1[[#This Row],[WA Rating Clean]]),Table1[[#This Row],[My Rating]])</f>
        <v>95.5</v>
      </c>
      <c r="AA1231" s="37">
        <v>2038</v>
      </c>
      <c r="AB1231" s="129">
        <v>42.36</v>
      </c>
      <c r="AC1231" s="2">
        <f t="shared" si="59"/>
        <v>42.36</v>
      </c>
      <c r="AD1231" s="8">
        <v>1</v>
      </c>
      <c r="AE1231" s="10">
        <f>IF(Table1[[#This Row],[P/750]]&lt;20,1,IF(Table1[[#This Row],[P/750]]&lt;50,2,3))</f>
        <v>2</v>
      </c>
      <c r="AF1231" s="10">
        <f>IF(Table1[[#This Row],[P/750]]&lt;Expenses!$C$30,1,IF(Table1[[#This Row],[P/750]]&lt;Expenses!$C$31,2,IF(Table1[[#This Row],[P/750]]&lt;Expenses!$C$32,3,4)))</f>
        <v>3</v>
      </c>
      <c r="AH1231" s="37" t="s">
        <v>1128</v>
      </c>
      <c r="AI1231" s="11">
        <f>Table1[[#This Row],[Price]]/Table1[[#This Row],[Size (ml)]]*750</f>
        <v>42.36</v>
      </c>
      <c r="AJ1231" s="37">
        <v>95</v>
      </c>
      <c r="AK1231" s="10">
        <f>COUNTIF(UniqueID!A:A,Table1[[#This Row],[ID]])</f>
        <v>1</v>
      </c>
      <c r="AL1231" s="10" t="str">
        <f>VLOOKUP(Table1[[#This Row],[Cellar Location]],Location!A:F,6,FALSE)</f>
        <v>S</v>
      </c>
      <c r="AN1231" s="1">
        <v>44070</v>
      </c>
      <c r="AO1231" s="10" t="str">
        <f>TEXT(Table1[[#This Row],[Purchased]],"mmmm")</f>
        <v>August</v>
      </c>
      <c r="AP1231" s="10" t="str">
        <f>TEXT(Table1[[#This Row],[Purchased]],"yyyy")</f>
        <v>2020</v>
      </c>
      <c r="AQ1231" s="1"/>
    </row>
    <row r="1232" spans="1:43" s="37" customFormat="1" x14ac:dyDescent="0.25">
      <c r="A1232" s="37" t="str">
        <f t="shared" si="58"/>
        <v>2010La Rioja AltaGran Reserva 904</v>
      </c>
      <c r="B1232" s="37">
        <v>2010</v>
      </c>
      <c r="C1232" s="37" t="s">
        <v>221</v>
      </c>
      <c r="D1232" s="37" t="s">
        <v>222</v>
      </c>
      <c r="E1232" s="67" t="s">
        <v>1296</v>
      </c>
      <c r="F1232" s="37" t="s">
        <v>729</v>
      </c>
      <c r="G1232" s="37" t="s">
        <v>823</v>
      </c>
      <c r="H1232" s="37" t="s">
        <v>824</v>
      </c>
      <c r="I1232" s="37">
        <v>1</v>
      </c>
      <c r="J1232" s="107">
        <v>1500</v>
      </c>
      <c r="K1232" s="8" t="s">
        <v>1814</v>
      </c>
      <c r="L1232" s="10">
        <f>COUNTIF(Drank!A:A,Table1[[#This Row],[ID]])</f>
        <v>0</v>
      </c>
      <c r="M1232" s="37" t="s">
        <v>202</v>
      </c>
      <c r="N1232" s="37" t="s">
        <v>207</v>
      </c>
      <c r="O1232" s="37">
        <v>1</v>
      </c>
      <c r="P1232" s="10">
        <v>2019</v>
      </c>
      <c r="Q1232" s="37">
        <v>2035</v>
      </c>
      <c r="R1232" s="10" t="str">
        <f>IF(IFERROR(VLOOKUP(A1232,Drank!A:S,15,FALSE),"")=0,"",IFERROR(VLOOKUP(A1232,Drank!A:S,15,FALSE),""))</f>
        <v/>
      </c>
      <c r="S1232" s="10" t="str">
        <f>IF(IFERROR(VLOOKUP(A1232,Drank!A:S,16,FALSE),"")=0,"",IFERROR(VLOOKUP(A1232,Drank!A:S,16,FALSE),""))</f>
        <v/>
      </c>
      <c r="T1232" s="10"/>
      <c r="U1232" s="37" t="s">
        <v>1180</v>
      </c>
      <c r="V1232" s="18" t="str">
        <f>IF(IFERROR(VLOOKUP(A1232,Drank!A:T,19,FALSE),"")=0,"",IFERROR(VLOOKUP(A1232,Drank!A:T,19,FALSE),""))</f>
        <v/>
      </c>
      <c r="W1232" s="1" t="str">
        <f>IF(IFERROR(VLOOKUP(A1232,Drank!A:T,20,FALSE),"")=0,"",IFERROR(VLOOKUP(A1232,Drank!A:T,20,FALSE),""))</f>
        <v/>
      </c>
      <c r="X1232" s="10">
        <f>SUMIF(A:A,A1232,I:I)</f>
        <v>9</v>
      </c>
      <c r="Y1232" s="10">
        <f>IF(Table1[[#This Row],[Drank]]&gt;0,VLOOKUP(Table1[[#This Row],[ID]],Drank!A:P,16,FALSE),IF(Table1[[#This Row],[WALDD]]&gt;0,VLOOKUP(Table1[[#This Row],[ID]],Wine1!A:Q,17,FALSE),Table1[[#This Row],[EP]]))</f>
        <v>2035</v>
      </c>
      <c r="Z1232" s="18">
        <f>IF(Table1[[#This Row],[My Rating]]="",IF(Table1[[#This Row],[WA Rating Clean]]="","",Table1[[#This Row],[WA Rating Clean]]),Table1[[#This Row],[My Rating]])</f>
        <v>96</v>
      </c>
      <c r="AA1232" s="37">
        <v>2038</v>
      </c>
      <c r="AB1232" s="128">
        <v>134.11000000000001</v>
      </c>
      <c r="AC1232" s="2">
        <f t="shared" si="59"/>
        <v>134.11000000000001</v>
      </c>
      <c r="AD1232" s="8">
        <v>1</v>
      </c>
      <c r="AE1232" s="10">
        <f>IF(Table1[[#This Row],[P/750]]&lt;20,1,IF(Table1[[#This Row],[P/750]]&lt;50,2,3))</f>
        <v>3</v>
      </c>
      <c r="AF1232" s="10">
        <f>IF(Table1[[#This Row],[P/750]]&lt;Expenses!$C$30,1,IF(Table1[[#This Row],[P/750]]&lt;Expenses!$C$31,2,IF(Table1[[#This Row],[P/750]]&lt;Expenses!$C$32,3,4)))</f>
        <v>4</v>
      </c>
      <c r="AH1232" s="25" t="s">
        <v>1803</v>
      </c>
      <c r="AI1232" s="11">
        <f>Table1[[#This Row],[Price]]/Table1[[#This Row],[Size (ml)]]*750</f>
        <v>67.055000000000007</v>
      </c>
      <c r="AJ1232" s="37">
        <v>96</v>
      </c>
      <c r="AK1232" s="10">
        <f>COUNTIF(UniqueID!A:A,Table1[[#This Row],[ID]])</f>
        <v>0</v>
      </c>
      <c r="AL1232" s="10" t="str">
        <f>VLOOKUP(Table1[[#This Row],[Cellar Location]],Location!A:F,6,FALSE)</f>
        <v>S</v>
      </c>
      <c r="AN1232" s="1">
        <v>44065</v>
      </c>
      <c r="AO1232" s="10" t="str">
        <f>TEXT(Table1[[#This Row],[Purchased]],"mmmm")</f>
        <v>August</v>
      </c>
      <c r="AP1232" s="10" t="str">
        <f>TEXT(Table1[[#This Row],[Purchased]],"yyyy")</f>
        <v>2020</v>
      </c>
      <c r="AQ1232" s="10"/>
    </row>
    <row r="1233" spans="1:43" s="37" customFormat="1" x14ac:dyDescent="0.25">
      <c r="A1233" s="37" t="str">
        <f t="shared" si="58"/>
        <v>2016Produttori del BarbarescoBarbaresco</v>
      </c>
      <c r="B1233" s="37">
        <v>2016</v>
      </c>
      <c r="C1233" s="37" t="s">
        <v>248</v>
      </c>
      <c r="D1233" s="37" t="s">
        <v>249</v>
      </c>
      <c r="E1233" s="67" t="s">
        <v>1206</v>
      </c>
      <c r="F1233" s="37" t="s">
        <v>728</v>
      </c>
      <c r="G1233" s="37" t="s">
        <v>778</v>
      </c>
      <c r="H1233" s="37" t="s">
        <v>249</v>
      </c>
      <c r="I1233" s="8">
        <v>1</v>
      </c>
      <c r="J1233" s="38">
        <v>1500</v>
      </c>
      <c r="K1233" s="38" t="s">
        <v>1139</v>
      </c>
      <c r="L1233" s="37">
        <f>COUNTIF(Drank!A:A,Table1[[#This Row],[ID]])</f>
        <v>2</v>
      </c>
      <c r="M1233" s="37" t="s">
        <v>202</v>
      </c>
      <c r="N1233" s="37" t="s">
        <v>207</v>
      </c>
      <c r="O1233" s="37">
        <v>1</v>
      </c>
      <c r="P1233" s="37">
        <v>2022</v>
      </c>
      <c r="Q1233" s="37">
        <v>2040</v>
      </c>
      <c r="R1233" s="10">
        <f>IF(IFERROR(VLOOKUP(A1233,Drank!A:S,15,FALSE),"")=0,"",IFERROR(VLOOKUP(A1233,Drank!A:S,15,FALSE),""))</f>
        <v>2021</v>
      </c>
      <c r="S1233" s="10">
        <f>IF(IFERROR(VLOOKUP(A1233,Drank!A:S,16,FALSE),"")=0,"",IFERROR(VLOOKUP(A1233,Drank!A:S,16,FALSE),""))</f>
        <v>2032</v>
      </c>
      <c r="T1233" s="10"/>
      <c r="U1233" s="37">
        <v>95</v>
      </c>
      <c r="V1233" s="18">
        <f>IF(IFERROR(VLOOKUP(A1233,Drank!A:T,19,FALSE),"")=0,"",IFERROR(VLOOKUP(A1233,Drank!A:T,19,FALSE),""))</f>
        <v>95.5</v>
      </c>
      <c r="W1233" s="1">
        <f>IF(IFERROR(VLOOKUP(A1233,Drank!A:T,20,FALSE),"")=0,"",IFERROR(VLOOKUP(A1233,Drank!A:T,20,FALSE),""))</f>
        <v>44079</v>
      </c>
      <c r="X1233" s="10">
        <f>SUMIF(A:A,A1233,I:I)</f>
        <v>41</v>
      </c>
      <c r="Y1233" s="37">
        <f>IF(Table1[[#This Row],[Drank]]&gt;0,VLOOKUP(Table1[[#This Row],[ID]],Drank!A:P,16,FALSE),IF(Table1[[#This Row],[WALDD]]&gt;0,VLOOKUP(Table1[[#This Row],[ID]],Wine1!A:Q,17,FALSE),Table1[[#This Row],[EP]]))</f>
        <v>2032</v>
      </c>
      <c r="Z1233" s="18">
        <f>IF(Table1[[#This Row],[My Rating]]="",IF(Table1[[#This Row],[WA Rating Clean]]="","",Table1[[#This Row],[WA Rating Clean]]),Table1[[#This Row],[My Rating]])</f>
        <v>95.5</v>
      </c>
      <c r="AA1233" s="8">
        <v>2038</v>
      </c>
      <c r="AB1233" s="4">
        <v>97.74</v>
      </c>
      <c r="AC1233" s="2">
        <f t="shared" si="59"/>
        <v>97.74</v>
      </c>
      <c r="AD1233" s="8">
        <v>1</v>
      </c>
      <c r="AE1233" s="37">
        <f>IF(Table1[[#This Row],[P/750]]&lt;20,1,IF(Table1[[#This Row],[P/750]]&lt;50,2,3))</f>
        <v>2</v>
      </c>
      <c r="AF1233" s="37">
        <f>IF(Table1[[#This Row],[P/750]]&lt;Expenses!$C$30,1,IF(Table1[[#This Row],[P/750]]&lt;Expenses!$C$31,2,IF(Table1[[#This Row],[P/750]]&lt;Expenses!$C$32,3,4)))</f>
        <v>3</v>
      </c>
      <c r="AH1233" s="37" t="s">
        <v>1139</v>
      </c>
      <c r="AI1233" s="11">
        <f>Table1[[#This Row],[Price]]/Table1[[#This Row],[Size (ml)]]*750</f>
        <v>48.87</v>
      </c>
      <c r="AJ1233" s="37">
        <v>95</v>
      </c>
      <c r="AK1233" s="37">
        <f>COUNTIF(UniqueID!A:A,Table1[[#This Row],[ID]])</f>
        <v>1</v>
      </c>
      <c r="AL1233" s="37" t="str">
        <f>VLOOKUP(Table1[[#This Row],[Cellar Location]],Location!A:F,6,FALSE)</f>
        <v>W</v>
      </c>
      <c r="AN1233" s="1">
        <v>44058</v>
      </c>
      <c r="AO1233" s="37" t="str">
        <f>TEXT(Table1[[#This Row],[Purchased]],"mmmm")</f>
        <v>August</v>
      </c>
      <c r="AP1233" s="10" t="str">
        <f>TEXT(Table1[[#This Row],[Purchased]],"yyyy")</f>
        <v>2020</v>
      </c>
      <c r="AQ1233" s="1">
        <v>44132</v>
      </c>
    </row>
    <row r="1234" spans="1:43" s="37" customFormat="1" x14ac:dyDescent="0.25">
      <c r="A1234" s="37" t="str">
        <f t="shared" si="58"/>
        <v>2015OdderoBarolo</v>
      </c>
      <c r="B1234" s="37">
        <v>2015</v>
      </c>
      <c r="C1234" s="37" t="s">
        <v>1173</v>
      </c>
      <c r="D1234" s="37" t="s">
        <v>268</v>
      </c>
      <c r="E1234" s="37" t="s">
        <v>1206</v>
      </c>
      <c r="F1234" s="37" t="s">
        <v>728</v>
      </c>
      <c r="G1234" s="37" t="s">
        <v>778</v>
      </c>
      <c r="H1234" s="37" t="s">
        <v>268</v>
      </c>
      <c r="I1234" s="107">
        <v>1</v>
      </c>
      <c r="J1234" s="37">
        <v>375</v>
      </c>
      <c r="K1234" s="107" t="s">
        <v>1234</v>
      </c>
      <c r="L1234" s="10">
        <f>COUNTIF(Drank!A:A,Table1[[#This Row],[ID]])</f>
        <v>2</v>
      </c>
      <c r="M1234" s="37" t="s">
        <v>202</v>
      </c>
      <c r="N1234" s="37" t="s">
        <v>207</v>
      </c>
      <c r="O1234" s="37">
        <v>1</v>
      </c>
      <c r="P1234" s="37">
        <v>2020</v>
      </c>
      <c r="Q1234" s="37">
        <v>2035</v>
      </c>
      <c r="R1234" s="10">
        <f>IF(IFERROR(VLOOKUP(A1234,Drank!A:S,15,FALSE),"")=0,"",IFERROR(VLOOKUP(A1234,Drank!A:S,15,FALSE),""))</f>
        <v>2022</v>
      </c>
      <c r="S1234" s="10">
        <f>IF(IFERROR(VLOOKUP(A1234,Drank!A:S,16,FALSE),"")=0,"",IFERROR(VLOOKUP(A1234,Drank!A:S,16,FALSE),""))</f>
        <v>2035</v>
      </c>
      <c r="T1234" s="10"/>
      <c r="U1234" s="37" t="s">
        <v>74</v>
      </c>
      <c r="V1234" s="18">
        <f>IF(IFERROR(VLOOKUP(A1234,Drank!A:T,19,FALSE),"")=0,"",IFERROR(VLOOKUP(A1234,Drank!A:T,19,FALSE),""))</f>
        <v>93</v>
      </c>
      <c r="W1234" s="1">
        <f>IF(IFERROR(VLOOKUP(A1234,Drank!A:T,20,FALSE),"")=0,"",IFERROR(VLOOKUP(A1234,Drank!A:T,20,FALSE),""))</f>
        <v>43905</v>
      </c>
      <c r="X1234" s="10">
        <f>SUMIF(A:A,A1234,I:I)</f>
        <v>22</v>
      </c>
      <c r="Y1234" s="10">
        <f>IF(Table1[[#This Row],[Drank]]&gt;0,VLOOKUP(Table1[[#This Row],[ID]],Drank!A:P,16,FALSE),IF(Table1[[#This Row],[WALDD]]&gt;0,VLOOKUP(Table1[[#This Row],[ID]],Wine1!A:Q,17,FALSE),Table1[[#This Row],[EP]]))</f>
        <v>2035</v>
      </c>
      <c r="Z1234" s="18">
        <f>IF(Table1[[#This Row],[My Rating]]="",IF(Table1[[#This Row],[WA Rating Clean]]="","",Table1[[#This Row],[WA Rating Clean]]),Table1[[#This Row],[My Rating]])</f>
        <v>93</v>
      </c>
      <c r="AA1234" s="8">
        <v>2038</v>
      </c>
      <c r="AB1234" s="4">
        <v>26.48</v>
      </c>
      <c r="AC1234" s="2">
        <f t="shared" si="59"/>
        <v>26.48</v>
      </c>
      <c r="AD1234" s="8">
        <v>2</v>
      </c>
      <c r="AE1234" s="10">
        <f>IF(Table1[[#This Row],[P/750]]&lt;20,1,IF(Table1[[#This Row],[P/750]]&lt;50,2,3))</f>
        <v>3</v>
      </c>
      <c r="AF1234" s="10">
        <f>IF(Table1[[#This Row],[P/750]]&lt;Expenses!$C$30,1,IF(Table1[[#This Row],[P/750]]&lt;Expenses!$C$31,2,IF(Table1[[#This Row],[P/750]]&lt;Expenses!$C$32,3,4)))</f>
        <v>3</v>
      </c>
      <c r="AH1234" s="37" t="s">
        <v>1175</v>
      </c>
      <c r="AI1234" s="11">
        <f>Table1[[#This Row],[Price]]/Table1[[#This Row],[Size (ml)]]*750</f>
        <v>52.96</v>
      </c>
      <c r="AJ1234" s="37">
        <v>93</v>
      </c>
      <c r="AK1234" s="10">
        <f>COUNTIF(UniqueID!A:A,Table1[[#This Row],[ID]])</f>
        <v>1</v>
      </c>
      <c r="AL1234" s="10" t="str">
        <f>VLOOKUP(Table1[[#This Row],[Cellar Location]],Location!A:F,6,FALSE)</f>
        <v>S</v>
      </c>
      <c r="AN1234" s="1">
        <v>43858</v>
      </c>
      <c r="AO1234" s="37" t="str">
        <f>TEXT(Table1[[#This Row],[Purchased]],"mmmm")</f>
        <v>January</v>
      </c>
      <c r="AP1234" s="10" t="str">
        <f>TEXT(Table1[[#This Row],[Purchased]],"yyyy")</f>
        <v>2020</v>
      </c>
      <c r="AQ1234" s="10"/>
    </row>
    <row r="1235" spans="1:43" s="37" customFormat="1" x14ac:dyDescent="0.25">
      <c r="A1235" s="37" t="str">
        <f t="shared" si="58"/>
        <v>2015OdderoBarolo</v>
      </c>
      <c r="B1235" s="37">
        <v>2015</v>
      </c>
      <c r="C1235" s="37" t="s">
        <v>1173</v>
      </c>
      <c r="D1235" s="37" t="s">
        <v>268</v>
      </c>
      <c r="E1235" s="37" t="s">
        <v>1206</v>
      </c>
      <c r="F1235" s="37" t="s">
        <v>728</v>
      </c>
      <c r="G1235" s="37" t="s">
        <v>778</v>
      </c>
      <c r="H1235" s="37" t="s">
        <v>268</v>
      </c>
      <c r="I1235" s="107">
        <v>1</v>
      </c>
      <c r="J1235" s="37">
        <v>750</v>
      </c>
      <c r="K1235" s="107" t="s">
        <v>1235</v>
      </c>
      <c r="L1235" s="10">
        <f>COUNTIF(Drank!A:A,Table1[[#This Row],[ID]])</f>
        <v>2</v>
      </c>
      <c r="M1235" s="37" t="s">
        <v>202</v>
      </c>
      <c r="N1235" s="37" t="s">
        <v>207</v>
      </c>
      <c r="O1235" s="37">
        <v>1</v>
      </c>
      <c r="P1235" s="37">
        <v>2020</v>
      </c>
      <c r="Q1235" s="37">
        <v>2035</v>
      </c>
      <c r="R1235" s="10">
        <f>IF(IFERROR(VLOOKUP(A1235,Drank!A:S,15,FALSE),"")=0,"",IFERROR(VLOOKUP(A1235,Drank!A:S,15,FALSE),""))</f>
        <v>2022</v>
      </c>
      <c r="S1235" s="10">
        <f>IF(IFERROR(VLOOKUP(A1235,Drank!A:S,16,FALSE),"")=0,"",IFERROR(VLOOKUP(A1235,Drank!A:S,16,FALSE),""))</f>
        <v>2035</v>
      </c>
      <c r="T1235" s="10"/>
      <c r="U1235" s="37" t="s">
        <v>74</v>
      </c>
      <c r="V1235" s="18">
        <f>IF(IFERROR(VLOOKUP(A1235,Drank!A:T,19,FALSE),"")=0,"",IFERROR(VLOOKUP(A1235,Drank!A:T,19,FALSE),""))</f>
        <v>93</v>
      </c>
      <c r="W1235" s="1">
        <f>IF(IFERROR(VLOOKUP(A1235,Drank!A:T,20,FALSE),"")=0,"",IFERROR(VLOOKUP(A1235,Drank!A:T,20,FALSE),""))</f>
        <v>43905</v>
      </c>
      <c r="X1235" s="10">
        <f>SUMIF(A:A,A1235,I:I)</f>
        <v>22</v>
      </c>
      <c r="Y1235" s="10">
        <f>IF(Table1[[#This Row],[Drank]]&gt;0,VLOOKUP(Table1[[#This Row],[ID]],Drank!A:P,16,FALSE),IF(Table1[[#This Row],[WALDD]]&gt;0,VLOOKUP(Table1[[#This Row],[ID]],Wine1!A:Q,17,FALSE),Table1[[#This Row],[EP]]))</f>
        <v>2035</v>
      </c>
      <c r="Z1235" s="18">
        <f>IF(Table1[[#This Row],[My Rating]]="",IF(Table1[[#This Row],[WA Rating Clean]]="","",Table1[[#This Row],[WA Rating Clean]]),Table1[[#This Row],[My Rating]])</f>
        <v>93</v>
      </c>
      <c r="AA1235" s="8">
        <v>2038</v>
      </c>
      <c r="AB1235" s="4">
        <v>40.229999999999997</v>
      </c>
      <c r="AC1235" s="2">
        <f t="shared" si="59"/>
        <v>40.229999999999997</v>
      </c>
      <c r="AD1235" s="8">
        <v>2</v>
      </c>
      <c r="AE1235" s="10">
        <f>IF(Table1[[#This Row],[P/750]]&lt;20,1,IF(Table1[[#This Row],[P/750]]&lt;50,2,3))</f>
        <v>2</v>
      </c>
      <c r="AF1235" s="10">
        <f>IF(Table1[[#This Row],[P/750]]&lt;Expenses!$C$30,1,IF(Table1[[#This Row],[P/750]]&lt;Expenses!$C$31,2,IF(Table1[[#This Row],[P/750]]&lt;Expenses!$C$32,3,4)))</f>
        <v>3</v>
      </c>
      <c r="AH1235" s="37" t="s">
        <v>1174</v>
      </c>
      <c r="AI1235" s="11">
        <f>Table1[[#This Row],[Price]]/Table1[[#This Row],[Size (ml)]]*750</f>
        <v>40.229999999999997</v>
      </c>
      <c r="AJ1235" s="37">
        <v>93</v>
      </c>
      <c r="AK1235" s="10">
        <f>COUNTIF(UniqueID!A:A,Table1[[#This Row],[ID]])</f>
        <v>1</v>
      </c>
      <c r="AL1235" s="10" t="str">
        <f>VLOOKUP(Table1[[#This Row],[Cellar Location]],Location!A:F,6,FALSE)</f>
        <v>S</v>
      </c>
      <c r="AN1235" s="1">
        <v>43858</v>
      </c>
      <c r="AO1235" s="37" t="str">
        <f>TEXT(Table1[[#This Row],[Purchased]],"mmmm")</f>
        <v>January</v>
      </c>
      <c r="AP1235" s="10" t="str">
        <f>TEXT(Table1[[#This Row],[Purchased]],"yyyy")</f>
        <v>2020</v>
      </c>
      <c r="AQ1235" s="10"/>
    </row>
    <row r="1236" spans="1:43" s="37" customFormat="1" x14ac:dyDescent="0.25">
      <c r="A1236" s="37" t="str">
        <f t="shared" si="58"/>
        <v>2016Produttori del BarbarescoBarbaresco</v>
      </c>
      <c r="B1236" s="37">
        <v>2016</v>
      </c>
      <c r="C1236" s="9" t="s">
        <v>248</v>
      </c>
      <c r="D1236" s="9" t="s">
        <v>249</v>
      </c>
      <c r="E1236" s="67" t="s">
        <v>1206</v>
      </c>
      <c r="F1236" s="37" t="s">
        <v>728</v>
      </c>
      <c r="G1236" s="37" t="s">
        <v>778</v>
      </c>
      <c r="H1236" s="37" t="s">
        <v>249</v>
      </c>
      <c r="I1236" s="107">
        <v>1</v>
      </c>
      <c r="J1236" s="37">
        <v>750</v>
      </c>
      <c r="K1236" s="107" t="s">
        <v>1313</v>
      </c>
      <c r="L1236" s="37">
        <f>COUNTIF(Drank!A:A,Table1[[#This Row],[ID]])</f>
        <v>2</v>
      </c>
      <c r="M1236" s="37" t="s">
        <v>202</v>
      </c>
      <c r="N1236" s="37" t="s">
        <v>207</v>
      </c>
      <c r="O1236" s="37">
        <v>1</v>
      </c>
      <c r="P1236" s="37">
        <v>2022</v>
      </c>
      <c r="Q1236" s="37">
        <v>2040</v>
      </c>
      <c r="R1236" s="10">
        <f>IF(IFERROR(VLOOKUP(A1236,Drank!A:S,15,FALSE),"")=0,"",IFERROR(VLOOKUP(A1236,Drank!A:S,15,FALSE),""))</f>
        <v>2021</v>
      </c>
      <c r="S1236" s="10">
        <f>IF(IFERROR(VLOOKUP(A1236,Drank!A:S,16,FALSE),"")=0,"",IFERROR(VLOOKUP(A1236,Drank!A:S,16,FALSE),""))</f>
        <v>2032</v>
      </c>
      <c r="T1236" s="10"/>
      <c r="U1236" s="37">
        <v>95</v>
      </c>
      <c r="V1236" s="18">
        <f>IF(IFERROR(VLOOKUP(A1236,Drank!A:T,19,FALSE),"")=0,"",IFERROR(VLOOKUP(A1236,Drank!A:T,19,FALSE),""))</f>
        <v>95.5</v>
      </c>
      <c r="W1236" s="1">
        <f>IF(IFERROR(VLOOKUP(A1236,Drank!A:T,20,FALSE),"")=0,"",IFERROR(VLOOKUP(A1236,Drank!A:T,20,FALSE),""))</f>
        <v>44079</v>
      </c>
      <c r="X1236" s="10">
        <f>SUMIF(A:A,A1236,I:I)</f>
        <v>41</v>
      </c>
      <c r="Y1236" s="37">
        <f>IF(Table1[[#This Row],[Drank]]&gt;0,VLOOKUP(Table1[[#This Row],[ID]],Drank!A:P,16,FALSE),IF(Table1[[#This Row],[WALDD]]&gt;0,VLOOKUP(Table1[[#This Row],[ID]],Wine1!A:Q,17,FALSE),Table1[[#This Row],[EP]]))</f>
        <v>2032</v>
      </c>
      <c r="Z1236" s="18">
        <f>IF(Table1[[#This Row],[My Rating]]="",IF(Table1[[#This Row],[WA Rating Clean]]="","",Table1[[#This Row],[WA Rating Clean]]),Table1[[#This Row],[My Rating]])</f>
        <v>95.5</v>
      </c>
      <c r="AA1236" s="8">
        <v>2038</v>
      </c>
      <c r="AB1236" s="4">
        <v>40.39</v>
      </c>
      <c r="AC1236" s="2">
        <f t="shared" si="59"/>
        <v>40.39</v>
      </c>
      <c r="AD1236" s="8">
        <v>2</v>
      </c>
      <c r="AE1236" s="37">
        <f>IF(Table1[[#This Row],[P/750]]&lt;20,1,IF(Table1[[#This Row],[P/750]]&lt;50,2,3))</f>
        <v>2</v>
      </c>
      <c r="AF1236" s="37">
        <f>IF(Table1[[#This Row],[P/750]]&lt;Expenses!$C$30,1,IF(Table1[[#This Row],[P/750]]&lt;Expenses!$C$31,2,IF(Table1[[#This Row],[P/750]]&lt;Expenses!$C$32,3,4)))</f>
        <v>3</v>
      </c>
      <c r="AH1236" s="37" t="s">
        <v>1128</v>
      </c>
      <c r="AI1236" s="11">
        <f>Table1[[#This Row],[Price]]/Table1[[#This Row],[Size (ml)]]*750</f>
        <v>40.39</v>
      </c>
      <c r="AJ1236" s="37">
        <v>95</v>
      </c>
      <c r="AK1236" s="37">
        <f>COUNTIF(UniqueID!A:A,Table1[[#This Row],[ID]])</f>
        <v>1</v>
      </c>
      <c r="AL1236" s="37" t="str">
        <f>VLOOKUP(Table1[[#This Row],[Cellar Location]],Location!A:F,6,FALSE)</f>
        <v>S</v>
      </c>
      <c r="AN1236" s="1">
        <v>43879</v>
      </c>
      <c r="AO1236" s="37" t="str">
        <f>TEXT(Table1[[#This Row],[Purchased]],"mmmm")</f>
        <v>February</v>
      </c>
      <c r="AP1236" s="10" t="str">
        <f>TEXT(Table1[[#This Row],[Purchased]],"yyyy")</f>
        <v>2020</v>
      </c>
      <c r="AQ1236" s="10"/>
    </row>
    <row r="1237" spans="1:43" s="37" customFormat="1" x14ac:dyDescent="0.25">
      <c r="A1237" s="37" t="str">
        <f t="shared" si="58"/>
        <v>2015Castello RomitorioBrunello di Montalcino</v>
      </c>
      <c r="B1237" s="37">
        <v>2015</v>
      </c>
      <c r="C1237" s="37" t="s">
        <v>689</v>
      </c>
      <c r="D1237" s="37" t="s">
        <v>19</v>
      </c>
      <c r="E1237" s="67" t="s">
        <v>1250</v>
      </c>
      <c r="F1237" s="37" t="s">
        <v>728</v>
      </c>
      <c r="G1237" s="37" t="s">
        <v>790</v>
      </c>
      <c r="H1237" s="37" t="s">
        <v>19</v>
      </c>
      <c r="I1237" s="8">
        <v>1</v>
      </c>
      <c r="J1237" s="38">
        <v>750</v>
      </c>
      <c r="K1237" s="38" t="s">
        <v>1139</v>
      </c>
      <c r="L1237" s="10">
        <f>COUNTIF(Drank!A:A,Table1[[#This Row],[ID]])</f>
        <v>0</v>
      </c>
      <c r="M1237" s="37" t="s">
        <v>202</v>
      </c>
      <c r="N1237" s="37" t="s">
        <v>207</v>
      </c>
      <c r="O1237" s="37">
        <v>1</v>
      </c>
      <c r="P1237" s="10">
        <v>2021</v>
      </c>
      <c r="Q1237" s="37">
        <v>2038</v>
      </c>
      <c r="R1237" s="10" t="str">
        <f>IF(IFERROR(VLOOKUP(A1237,Drank!A:S,15,FALSE),"")=0,"",IFERROR(VLOOKUP(A1237,Drank!A:S,15,FALSE),""))</f>
        <v/>
      </c>
      <c r="S1237" s="10" t="str">
        <f>IF(IFERROR(VLOOKUP(A1237,Drank!A:S,16,FALSE),"")=0,"",IFERROR(VLOOKUP(A1237,Drank!A:S,16,FALSE),""))</f>
        <v/>
      </c>
      <c r="T1237" s="10"/>
      <c r="U1237" s="37">
        <v>95</v>
      </c>
      <c r="V1237" s="18" t="str">
        <f>IF(IFERROR(VLOOKUP(A1237,Drank!A:T,19,FALSE),"")=0,"",IFERROR(VLOOKUP(A1237,Drank!A:T,19,FALSE),""))</f>
        <v/>
      </c>
      <c r="W1237" s="1" t="str">
        <f>IF(IFERROR(VLOOKUP(A1237,Drank!A:T,20,FALSE),"")=0,"",IFERROR(VLOOKUP(A1237,Drank!A:T,20,FALSE),""))</f>
        <v/>
      </c>
      <c r="X1237" s="10">
        <f>SUMIF(A:A,A1237,I:I)</f>
        <v>4</v>
      </c>
      <c r="Y1237" s="10">
        <f>IF(Table1[[#This Row],[Drank]]&gt;0,VLOOKUP(Table1[[#This Row],[ID]],Drank!A:P,16,FALSE),IF(Table1[[#This Row],[WALDD]]&gt;0,VLOOKUP(Table1[[#This Row],[ID]],Wine1!A:Q,17,FALSE),Table1[[#This Row],[EP]]))</f>
        <v>2038</v>
      </c>
      <c r="Z1237" s="18">
        <f>IF(Table1[[#This Row],[My Rating]]="",IF(Table1[[#This Row],[WA Rating Clean]]="","",Table1[[#This Row],[WA Rating Clean]]),Table1[[#This Row],[My Rating]])</f>
        <v>95</v>
      </c>
      <c r="AA1237" s="37">
        <v>2038</v>
      </c>
      <c r="AB1237" s="4">
        <v>58.65</v>
      </c>
      <c r="AC1237" s="2">
        <f t="shared" si="59"/>
        <v>58.65</v>
      </c>
      <c r="AD1237" s="8">
        <v>1</v>
      </c>
      <c r="AE1237" s="10">
        <f>IF(Table1[[#This Row],[P/750]]&lt;20,1,IF(Table1[[#This Row],[P/750]]&lt;50,2,3))</f>
        <v>3</v>
      </c>
      <c r="AF1237" s="10">
        <f>IF(Table1[[#This Row],[P/750]]&lt;Expenses!$C$30,1,IF(Table1[[#This Row],[P/750]]&lt;Expenses!$C$31,2,IF(Table1[[#This Row],[P/750]]&lt;Expenses!$C$32,3,4)))</f>
        <v>3</v>
      </c>
      <c r="AH1237" s="37" t="s">
        <v>1139</v>
      </c>
      <c r="AI1237" s="11">
        <f>Table1[[#This Row],[Price]]/Table1[[#This Row],[Size (ml)]]*750</f>
        <v>58.649999999999991</v>
      </c>
      <c r="AJ1237" s="37">
        <v>95</v>
      </c>
      <c r="AK1237" s="10">
        <f>COUNTIF(UniqueID!A:A,Table1[[#This Row],[ID]])</f>
        <v>0</v>
      </c>
      <c r="AL1237" s="10" t="str">
        <f>VLOOKUP(Table1[[#This Row],[Cellar Location]],Location!A:F,6,FALSE)</f>
        <v>W</v>
      </c>
      <c r="AN1237" s="1">
        <v>44058</v>
      </c>
      <c r="AO1237" s="10" t="str">
        <f>TEXT(Table1[[#This Row],[Purchased]],"mmmm")</f>
        <v>August</v>
      </c>
      <c r="AP1237" s="10" t="str">
        <f>TEXT(Table1[[#This Row],[Purchased]],"yyyy")</f>
        <v>2020</v>
      </c>
      <c r="AQ1237" s="1">
        <v>44132</v>
      </c>
    </row>
    <row r="1238" spans="1:43" s="37" customFormat="1" x14ac:dyDescent="0.25">
      <c r="A1238" s="37" t="str">
        <f t="shared" si="58"/>
        <v>2016Robert MondaviCabernet Sauvignon To Kalon Reserve</v>
      </c>
      <c r="B1238" s="37">
        <v>2016</v>
      </c>
      <c r="C1238" s="37" t="s">
        <v>154</v>
      </c>
      <c r="D1238" s="37" t="s">
        <v>1326</v>
      </c>
      <c r="E1238" s="67" t="s">
        <v>1327</v>
      </c>
      <c r="F1238" s="37" t="s">
        <v>727</v>
      </c>
      <c r="G1238" s="37" t="s">
        <v>806</v>
      </c>
      <c r="H1238" s="37" t="s">
        <v>1328</v>
      </c>
      <c r="I1238" s="107">
        <v>1</v>
      </c>
      <c r="J1238" s="37">
        <v>750</v>
      </c>
      <c r="K1238" s="107" t="s">
        <v>1405</v>
      </c>
      <c r="L1238" s="10">
        <f>COUNTIF(Drank!A:A,Table1[[#This Row],[ID]])</f>
        <v>0</v>
      </c>
      <c r="M1238" s="37" t="s">
        <v>202</v>
      </c>
      <c r="N1238" s="37" t="s">
        <v>207</v>
      </c>
      <c r="O1238" s="37">
        <v>1</v>
      </c>
      <c r="P1238" s="10">
        <v>2020</v>
      </c>
      <c r="Q1238" s="37">
        <v>2038</v>
      </c>
      <c r="R1238" s="10" t="str">
        <f>IF(IFERROR(VLOOKUP(A1238,Drank!A:S,15,FALSE),"")=0,"",IFERROR(VLOOKUP(A1238,Drank!A:S,15,FALSE),""))</f>
        <v/>
      </c>
      <c r="S1238" s="10" t="str">
        <f>IF(IFERROR(VLOOKUP(A1238,Drank!A:S,16,FALSE),"")=0,"",IFERROR(VLOOKUP(A1238,Drank!A:S,16,FALSE),""))</f>
        <v/>
      </c>
      <c r="T1238" s="10"/>
      <c r="U1238" s="37" t="s">
        <v>1180</v>
      </c>
      <c r="V1238" s="18" t="str">
        <f>IF(IFERROR(VLOOKUP(A1238,Drank!A:T,19,FALSE),"")=0,"",IFERROR(VLOOKUP(A1238,Drank!A:T,19,FALSE),""))</f>
        <v/>
      </c>
      <c r="W1238" s="1" t="str">
        <f>IF(IFERROR(VLOOKUP(A1238,Drank!A:T,20,FALSE),"")=0,"",IFERROR(VLOOKUP(A1238,Drank!A:T,20,FALSE),""))</f>
        <v/>
      </c>
      <c r="X1238" s="10">
        <f>SUMIF(A:A,A1238,I:I)</f>
        <v>2</v>
      </c>
      <c r="Y1238" s="10">
        <f>IF(Table1[[#This Row],[Drank]]&gt;0,VLOOKUP(Table1[[#This Row],[ID]],Drank!A:P,16,FALSE),IF(Table1[[#This Row],[WALDD]]&gt;0,VLOOKUP(Table1[[#This Row],[ID]],Wine1!A:Q,17,FALSE),Table1[[#This Row],[EP]]))</f>
        <v>2038</v>
      </c>
      <c r="Z1238" s="18">
        <f>IF(Table1[[#This Row],[My Rating]]="",IF(Table1[[#This Row],[WA Rating Clean]]="","",Table1[[#This Row],[WA Rating Clean]]),Table1[[#This Row],[My Rating]])</f>
        <v>96</v>
      </c>
      <c r="AA1238" s="6">
        <v>2038</v>
      </c>
      <c r="AB1238" s="4">
        <v>119.07</v>
      </c>
      <c r="AC1238" s="2">
        <f t="shared" si="59"/>
        <v>119.07</v>
      </c>
      <c r="AD1238" s="8">
        <v>2</v>
      </c>
      <c r="AE1238" s="10">
        <f>IF(Table1[[#This Row],[P/750]]&lt;20,1,IF(Table1[[#This Row],[P/750]]&lt;50,2,3))</f>
        <v>3</v>
      </c>
      <c r="AF1238" s="10">
        <f>IF(Table1[[#This Row],[P/750]]&lt;Expenses!$C$30,1,IF(Table1[[#This Row],[P/750]]&lt;Expenses!$C$31,2,IF(Table1[[#This Row],[P/750]]&lt;Expenses!$C$32,3,4)))</f>
        <v>4</v>
      </c>
      <c r="AH1238" s="37" t="s">
        <v>385</v>
      </c>
      <c r="AI1238" s="11">
        <f>Table1[[#This Row],[Price]]/Table1[[#This Row],[Size (ml)]]*750</f>
        <v>119.07</v>
      </c>
      <c r="AJ1238" s="37">
        <v>96</v>
      </c>
      <c r="AK1238" s="10">
        <f>COUNTIF(UniqueID!A:A,Table1[[#This Row],[ID]])</f>
        <v>0</v>
      </c>
      <c r="AL1238" s="10" t="str">
        <f>VLOOKUP(Table1[[#This Row],[Cellar Location]],Location!A:F,6,FALSE)</f>
        <v>S</v>
      </c>
      <c r="AN1238" s="1">
        <v>43923</v>
      </c>
      <c r="AO1238" s="10" t="str">
        <f>TEXT(Table1[[#This Row],[Purchased]],"mmmm")</f>
        <v>April</v>
      </c>
      <c r="AP1238" s="10" t="str">
        <f>TEXT(Table1[[#This Row],[Purchased]],"yyyy")</f>
        <v>2020</v>
      </c>
      <c r="AQ1238" s="10"/>
    </row>
    <row r="1239" spans="1:43" s="37" customFormat="1" x14ac:dyDescent="0.25">
      <c r="A1239" s="37" t="str">
        <f t="shared" si="58"/>
        <v>2016Paolo ScavinoBarolo</v>
      </c>
      <c r="B1239" s="37">
        <v>2016</v>
      </c>
      <c r="C1239" s="37" t="s">
        <v>1796</v>
      </c>
      <c r="D1239" s="9" t="s">
        <v>268</v>
      </c>
      <c r="E1239" s="67" t="s">
        <v>1206</v>
      </c>
      <c r="F1239" s="37" t="s">
        <v>728</v>
      </c>
      <c r="G1239" s="37" t="s">
        <v>778</v>
      </c>
      <c r="H1239" s="37" t="s">
        <v>268</v>
      </c>
      <c r="I1239" s="37">
        <v>1</v>
      </c>
      <c r="J1239" s="107">
        <v>750</v>
      </c>
      <c r="K1239" s="8" t="s">
        <v>1814</v>
      </c>
      <c r="L1239" s="10">
        <f>COUNTIF(Drank!A:A,Table1[[#This Row],[ID]])</f>
        <v>0</v>
      </c>
      <c r="M1239" s="37" t="s">
        <v>202</v>
      </c>
      <c r="N1239" s="37" t="s">
        <v>207</v>
      </c>
      <c r="O1239" s="37">
        <v>1</v>
      </c>
      <c r="P1239" s="10">
        <v>2023</v>
      </c>
      <c r="Q1239" s="37">
        <v>2040</v>
      </c>
      <c r="R1239" s="10" t="str">
        <f>IF(IFERROR(VLOOKUP(A1239,Drank!A:S,15,FALSE),"")=0,"",IFERROR(VLOOKUP(A1239,Drank!A:S,15,FALSE),""))</f>
        <v/>
      </c>
      <c r="S1239" s="10" t="str">
        <f>IF(IFERROR(VLOOKUP(A1239,Drank!A:S,16,FALSE),"")=0,"",IFERROR(VLOOKUP(A1239,Drank!A:S,16,FALSE),""))</f>
        <v/>
      </c>
      <c r="T1239" s="10"/>
      <c r="U1239" s="37">
        <v>95</v>
      </c>
      <c r="V1239" s="18" t="str">
        <f>IF(IFERROR(VLOOKUP(A1239,Drank!A:T,19,FALSE),"")=0,"",IFERROR(VLOOKUP(A1239,Drank!A:T,19,FALSE),""))</f>
        <v/>
      </c>
      <c r="W1239" s="1" t="str">
        <f>IF(IFERROR(VLOOKUP(A1239,Drank!A:T,20,FALSE),"")=0,"",IFERROR(VLOOKUP(A1239,Drank!A:T,20,FALSE),""))</f>
        <v/>
      </c>
      <c r="X1239" s="10">
        <f>SUMIF(A:A,A1239,I:I)</f>
        <v>6</v>
      </c>
      <c r="Y1239" s="10">
        <f>IF(Table1[[#This Row],[Drank]]&gt;0,VLOOKUP(Table1[[#This Row],[ID]],Drank!A:P,16,FALSE),IF(Table1[[#This Row],[WALDD]]&gt;0,VLOOKUP(Table1[[#This Row],[ID]],Wine1!A:Q,17,FALSE),Table1[[#This Row],[EP]]))</f>
        <v>2040</v>
      </c>
      <c r="Z1239" s="18">
        <f>IF(Table1[[#This Row],[My Rating]]="",IF(Table1[[#This Row],[WA Rating Clean]]="","",Table1[[#This Row],[WA Rating Clean]]),Table1[[#This Row],[My Rating]])</f>
        <v>95</v>
      </c>
      <c r="AA1239" s="37">
        <v>2038</v>
      </c>
      <c r="AB1239" s="128">
        <v>44.77</v>
      </c>
      <c r="AC1239" s="2">
        <f t="shared" si="59"/>
        <v>44.77</v>
      </c>
      <c r="AD1239" s="8">
        <v>1</v>
      </c>
      <c r="AE1239" s="10">
        <f>IF(Table1[[#This Row],[P/750]]&lt;20,1,IF(Table1[[#This Row],[P/750]]&lt;50,2,3))</f>
        <v>2</v>
      </c>
      <c r="AF1239" s="10">
        <f>IF(Table1[[#This Row],[P/750]]&lt;Expenses!$C$30,1,IF(Table1[[#This Row],[P/750]]&lt;Expenses!$C$31,2,IF(Table1[[#This Row],[P/750]]&lt;Expenses!$C$32,3,4)))</f>
        <v>3</v>
      </c>
      <c r="AH1239" s="25" t="s">
        <v>1803</v>
      </c>
      <c r="AI1239" s="11">
        <f>Table1[[#This Row],[Price]]/Table1[[#This Row],[Size (ml)]]*750</f>
        <v>44.77</v>
      </c>
      <c r="AJ1239" s="37">
        <v>95</v>
      </c>
      <c r="AK1239" s="10">
        <f>COUNTIF(UniqueID!A:A,Table1[[#This Row],[ID]])</f>
        <v>0</v>
      </c>
      <c r="AL1239" s="10" t="str">
        <f>VLOOKUP(Table1[[#This Row],[Cellar Location]],Location!A:F,6,FALSE)</f>
        <v>S</v>
      </c>
      <c r="AN1239" s="1">
        <v>44065</v>
      </c>
      <c r="AO1239" s="10" t="str">
        <f>TEXT(Table1[[#This Row],[Purchased]],"mmmm")</f>
        <v>August</v>
      </c>
      <c r="AP1239" s="10" t="str">
        <f>TEXT(Table1[[#This Row],[Purchased]],"yyyy")</f>
        <v>2020</v>
      </c>
      <c r="AQ1239" s="10"/>
    </row>
    <row r="1240" spans="1:43" s="37" customFormat="1" x14ac:dyDescent="0.25">
      <c r="A1240" s="37" t="str">
        <f t="shared" si="58"/>
        <v>2009Chateau La Tour BlancheLa Tour Blanche</v>
      </c>
      <c r="B1240" s="37">
        <v>2009</v>
      </c>
      <c r="C1240" s="9" t="s">
        <v>1208</v>
      </c>
      <c r="D1240" s="37" t="s">
        <v>216</v>
      </c>
      <c r="E1240" s="69" t="s">
        <v>1215</v>
      </c>
      <c r="F1240" s="37" t="s">
        <v>742</v>
      </c>
      <c r="G1240" s="37" t="s">
        <v>748</v>
      </c>
      <c r="H1240" s="37" t="s">
        <v>260</v>
      </c>
      <c r="I1240" s="107">
        <v>1</v>
      </c>
      <c r="J1240" s="37">
        <v>375</v>
      </c>
      <c r="K1240" s="107" t="s">
        <v>628</v>
      </c>
      <c r="L1240" s="37">
        <f>COUNTIF(Drank!A:A,Table1[[#This Row],[ID]])</f>
        <v>4</v>
      </c>
      <c r="M1240" s="37" t="s">
        <v>201</v>
      </c>
      <c r="N1240" s="37" t="s">
        <v>206</v>
      </c>
      <c r="O1240" s="37">
        <v>1</v>
      </c>
      <c r="P1240" s="37">
        <v>2019</v>
      </c>
      <c r="Q1240" s="37">
        <v>2042</v>
      </c>
      <c r="R1240" s="37">
        <f>IF(IFERROR(VLOOKUP(A1240,Drank!A:S,15,FALSE),"")=0,"",IFERROR(VLOOKUP(A1240,Drank!A:S,15,FALSE),""))</f>
        <v>2020</v>
      </c>
      <c r="S1240" s="37">
        <f>IF(IFERROR(VLOOKUP(A1240,Drank!A:S,16,FALSE),"")=0,"",IFERROR(VLOOKUP(A1240,Drank!A:S,16,FALSE),""))</f>
        <v>2040</v>
      </c>
      <c r="U1240" s="37">
        <v>93</v>
      </c>
      <c r="V1240" s="18">
        <f>IF(IFERROR(VLOOKUP(A1240,Drank!A:T,19,FALSE),"")=0,"",IFERROR(VLOOKUP(A1240,Drank!A:T,19,FALSE),""))</f>
        <v>92.25</v>
      </c>
      <c r="W1240" s="1">
        <f>IF(IFERROR(VLOOKUP(A1240,Drank!A:T,20,FALSE),"")=0,"",IFERROR(VLOOKUP(A1240,Drank!A:T,20,FALSE),""))</f>
        <v>43646</v>
      </c>
      <c r="X1240" s="37">
        <f>SUMIF(A:A,A1240,I:I)</f>
        <v>9</v>
      </c>
      <c r="Y1240" s="37">
        <f>IF(Table1[[#This Row],[Drank]]&gt;0,VLOOKUP(Table1[[#This Row],[ID]],Drank!A:P,16,FALSE),IF(Table1[[#This Row],[WALDD]]&gt;0,VLOOKUP(Table1[[#This Row],[ID]],Wine1!A:Q,17,FALSE),Table1[[#This Row],[EP]]))</f>
        <v>2040</v>
      </c>
      <c r="Z1240" s="18">
        <f>IF(Table1[[#This Row],[My Rating]]="",IF(Table1[[#This Row],[WA Rating Clean]]="","",Table1[[#This Row],[WA Rating Clean]]),Table1[[#This Row],[My Rating]])</f>
        <v>92.25</v>
      </c>
      <c r="AA1240" s="37">
        <v>2038</v>
      </c>
      <c r="AB1240" s="4">
        <v>20.99</v>
      </c>
      <c r="AC1240" s="2">
        <f t="shared" si="59"/>
        <v>20.99</v>
      </c>
      <c r="AD1240" s="8">
        <v>2</v>
      </c>
      <c r="AE1240" s="37">
        <f>IF(Table1[[#This Row],[P/750]]&lt;20,1,IF(Table1[[#This Row],[P/750]]&lt;50,2,3))</f>
        <v>2</v>
      </c>
      <c r="AF1240" s="37">
        <f>IF(Table1[[#This Row],[P/750]]&lt;Expenses!$C$30,1,IF(Table1[[#This Row],[P/750]]&lt;Expenses!$C$31,2,IF(Table1[[#This Row],[P/750]]&lt;Expenses!$C$32,3,4)))</f>
        <v>3</v>
      </c>
      <c r="AH1240" s="37" t="s">
        <v>385</v>
      </c>
      <c r="AI1240" s="11">
        <f>Table1[[#This Row],[Price]]/Table1[[#This Row],[Size (ml)]]*750</f>
        <v>41.98</v>
      </c>
      <c r="AJ1240" s="37">
        <v>93</v>
      </c>
      <c r="AK1240" s="37">
        <f>COUNTIF(UniqueID!A:A,Table1[[#This Row],[ID]])</f>
        <v>1</v>
      </c>
      <c r="AL1240" s="37" t="str">
        <f>VLOOKUP(Table1[[#This Row],[Cellar Location]],Location!A:F,6,FALSE)</f>
        <v>S</v>
      </c>
      <c r="AO1240" s="37" t="str">
        <f>TEXT(Table1[[#This Row],[Purchased]],"mmmm")</f>
        <v>January</v>
      </c>
      <c r="AP1240" s="10" t="str">
        <f>TEXT(Table1[[#This Row],[Purchased]],"yyyy")</f>
        <v>1900</v>
      </c>
      <c r="AQ1240" s="10"/>
    </row>
    <row r="1241" spans="1:43" s="37" customFormat="1" x14ac:dyDescent="0.25">
      <c r="A1241" s="37" t="str">
        <f t="shared" si="58"/>
        <v>2016Tua RitaGiusto di Notri</v>
      </c>
      <c r="B1241" s="37">
        <v>2016</v>
      </c>
      <c r="C1241" s="37" t="s">
        <v>859</v>
      </c>
      <c r="D1241" s="37" t="s">
        <v>860</v>
      </c>
      <c r="E1241" s="67" t="s">
        <v>1266</v>
      </c>
      <c r="F1241" s="37" t="s">
        <v>728</v>
      </c>
      <c r="G1241" s="37" t="s">
        <v>790</v>
      </c>
      <c r="H1241" s="37" t="s">
        <v>796</v>
      </c>
      <c r="I1241" s="107">
        <v>1</v>
      </c>
      <c r="J1241" s="37">
        <v>750</v>
      </c>
      <c r="K1241" s="107" t="s">
        <v>928</v>
      </c>
      <c r="L1241" s="10">
        <f>COUNTIF(Drank!A:A,Table1[[#This Row],[ID]])</f>
        <v>0</v>
      </c>
      <c r="M1241" s="37" t="s">
        <v>202</v>
      </c>
      <c r="N1241" s="37" t="s">
        <v>207</v>
      </c>
      <c r="O1241" s="37">
        <v>1</v>
      </c>
      <c r="P1241" s="10">
        <v>2020</v>
      </c>
      <c r="Q1241" s="37">
        <v>2040</v>
      </c>
      <c r="R1241" s="10" t="str">
        <f>IF(IFERROR(VLOOKUP(A1241,Drank!A:S,15,FALSE),"")=0,"",IFERROR(VLOOKUP(A1241,Drank!A:S,15,FALSE),""))</f>
        <v/>
      </c>
      <c r="S1241" s="10" t="str">
        <f>IF(IFERROR(VLOOKUP(A1241,Drank!A:S,16,FALSE),"")=0,"",IFERROR(VLOOKUP(A1241,Drank!A:S,16,FALSE),""))</f>
        <v/>
      </c>
      <c r="T1241" s="10"/>
      <c r="U1241" s="37">
        <v>97</v>
      </c>
      <c r="V1241" s="18" t="str">
        <f>IF(IFERROR(VLOOKUP(A1241,Drank!A:T,19,FALSE),"")=0,"",IFERROR(VLOOKUP(A1241,Drank!A:T,19,FALSE),""))</f>
        <v/>
      </c>
      <c r="W1241" s="1" t="str">
        <f>IF(IFERROR(VLOOKUP(A1241,Drank!A:T,20,FALSE),"")=0,"",IFERROR(VLOOKUP(A1241,Drank!A:T,20,FALSE),""))</f>
        <v/>
      </c>
      <c r="X1241" s="10">
        <f>SUMIF(A:A,A1241,I:I)</f>
        <v>4</v>
      </c>
      <c r="Y1241" s="10">
        <f>IF(Table1[[#This Row],[Drank]]&gt;0,VLOOKUP(Table1[[#This Row],[ID]],Drank!A:P,16,FALSE),IF(Table1[[#This Row],[WALDD]]&gt;0,VLOOKUP(Table1[[#This Row],[ID]],Wine1!A:Q,17,FALSE),Table1[[#This Row],[EP]]))</f>
        <v>2040</v>
      </c>
      <c r="Z1241" s="18">
        <f>IF(Table1[[#This Row],[My Rating]]="",IF(Table1[[#This Row],[WA Rating Clean]]="","",Table1[[#This Row],[WA Rating Clean]]),Table1[[#This Row],[My Rating]])</f>
        <v>97</v>
      </c>
      <c r="AA1241" s="6">
        <v>2038</v>
      </c>
      <c r="AB1241" s="4">
        <v>59.99</v>
      </c>
      <c r="AC1241" s="2">
        <f t="shared" si="59"/>
        <v>59.99</v>
      </c>
      <c r="AD1241" s="8">
        <v>2</v>
      </c>
      <c r="AE1241" s="10">
        <f>IF(Table1[[#This Row],[P/750]]&lt;20,1,IF(Table1[[#This Row],[P/750]]&lt;50,2,3))</f>
        <v>3</v>
      </c>
      <c r="AF1241" s="10">
        <f>IF(Table1[[#This Row],[P/750]]&lt;Expenses!$C$30,1,IF(Table1[[#This Row],[P/750]]&lt;Expenses!$C$31,2,IF(Table1[[#This Row],[P/750]]&lt;Expenses!$C$32,3,4)))</f>
        <v>3</v>
      </c>
      <c r="AH1241" s="37" t="s">
        <v>384</v>
      </c>
      <c r="AI1241" s="11">
        <f>Table1[[#This Row],[Price]]/Table1[[#This Row],[Size (ml)]]*750</f>
        <v>59.989999999999995</v>
      </c>
      <c r="AJ1241" s="37">
        <v>97</v>
      </c>
      <c r="AK1241" s="10">
        <f>COUNTIF(UniqueID!A:A,Table1[[#This Row],[ID]])</f>
        <v>1</v>
      </c>
      <c r="AL1241" s="37" t="str">
        <f>VLOOKUP(Table1[[#This Row],[Cellar Location]],Location!A:F,6,FALSE)</f>
        <v>S</v>
      </c>
      <c r="AN1241" s="1">
        <v>43825</v>
      </c>
      <c r="AO1241" s="37" t="str">
        <f>TEXT(Table1[[#This Row],[Purchased]],"mmmm")</f>
        <v>December</v>
      </c>
      <c r="AP1241" s="10" t="str">
        <f>TEXT(Table1[[#This Row],[Purchased]],"yyyy")</f>
        <v>2019</v>
      </c>
      <c r="AQ1241" s="10"/>
    </row>
    <row r="1242" spans="1:43" s="37" customFormat="1" x14ac:dyDescent="0.25">
      <c r="A1242" s="37" t="str">
        <f t="shared" si="58"/>
        <v>2015FontodiFlaccianello della Pieve</v>
      </c>
      <c r="B1242" s="37">
        <v>2015</v>
      </c>
      <c r="C1242" s="37" t="s">
        <v>20</v>
      </c>
      <c r="D1242" s="37" t="s">
        <v>21</v>
      </c>
      <c r="E1242" s="67" t="s">
        <v>1250</v>
      </c>
      <c r="F1242" s="37" t="s">
        <v>728</v>
      </c>
      <c r="G1242" s="37" t="s">
        <v>790</v>
      </c>
      <c r="H1242" s="37" t="s">
        <v>836</v>
      </c>
      <c r="I1242" s="37">
        <v>1</v>
      </c>
      <c r="J1242" s="107">
        <v>750</v>
      </c>
      <c r="K1242" s="8" t="s">
        <v>1812</v>
      </c>
      <c r="L1242" s="10">
        <f>COUNTIF(Drank!A:A,Table1[[#This Row],[ID]])</f>
        <v>0</v>
      </c>
      <c r="M1242" s="37" t="s">
        <v>202</v>
      </c>
      <c r="N1242" s="37" t="s">
        <v>207</v>
      </c>
      <c r="O1242" s="37">
        <v>1</v>
      </c>
      <c r="P1242" s="37">
        <v>2020</v>
      </c>
      <c r="Q1242" s="37">
        <v>2050</v>
      </c>
      <c r="R1242" s="10" t="str">
        <f>IF(IFERROR(VLOOKUP(A1242,Drank!A:S,15,FALSE),"")=0,"",IFERROR(VLOOKUP(A1242,Drank!A:S,15,FALSE),""))</f>
        <v/>
      </c>
      <c r="S1242" s="10" t="str">
        <f>IF(IFERROR(VLOOKUP(A1242,Drank!A:S,16,FALSE),"")=0,"",IFERROR(VLOOKUP(A1242,Drank!A:S,16,FALSE),""))</f>
        <v/>
      </c>
      <c r="T1242" s="10"/>
      <c r="U1242" s="37">
        <v>98</v>
      </c>
      <c r="V1242" s="18" t="str">
        <f>IF(IFERROR(VLOOKUP(A1242,Drank!A:T,19,FALSE),"")=0,"",IFERROR(VLOOKUP(A1242,Drank!A:T,19,FALSE),""))</f>
        <v/>
      </c>
      <c r="W1242" s="1" t="str">
        <f>IF(IFERROR(VLOOKUP(A1242,Drank!A:T,20,FALSE),"")=0,"",IFERROR(VLOOKUP(A1242,Drank!A:T,20,FALSE),""))</f>
        <v/>
      </c>
      <c r="X1242" s="10">
        <f>SUMIF(A:A,A1242,I:I)</f>
        <v>6</v>
      </c>
      <c r="Y1242" s="10">
        <f>IF(Table1[[#This Row],[Drank]]&gt;0,VLOOKUP(Table1[[#This Row],[ID]],Drank!A:P,16,FALSE),IF(Table1[[#This Row],[WALDD]]&gt;0,VLOOKUP(Table1[[#This Row],[ID]],Wine1!A:Q,17,FALSE),Table1[[#This Row],[EP]]))</f>
        <v>2050</v>
      </c>
      <c r="Z1242" s="18">
        <f>IF(Table1[[#This Row],[My Rating]]="",IF(Table1[[#This Row],[WA Rating Clean]]="","",Table1[[#This Row],[WA Rating Clean]]),Table1[[#This Row],[My Rating]])</f>
        <v>98</v>
      </c>
      <c r="AA1242" s="8">
        <v>2038</v>
      </c>
      <c r="AB1242" s="4">
        <v>136.04</v>
      </c>
      <c r="AC1242" s="2">
        <f t="shared" si="59"/>
        <v>136.04</v>
      </c>
      <c r="AD1242" s="8">
        <v>1</v>
      </c>
      <c r="AE1242" s="10">
        <f>IF(Table1[[#This Row],[P/750]]&lt;20,1,IF(Table1[[#This Row],[P/750]]&lt;50,2,3))</f>
        <v>3</v>
      </c>
      <c r="AF1242" s="10">
        <f>IF(Table1[[#This Row],[P/750]]&lt;Expenses!$C$30,1,IF(Table1[[#This Row],[P/750]]&lt;Expenses!$C$31,2,IF(Table1[[#This Row],[P/750]]&lt;Expenses!$C$32,3,4)))</f>
        <v>4</v>
      </c>
      <c r="AH1242" s="37" t="s">
        <v>1749</v>
      </c>
      <c r="AI1242" s="11">
        <f>Table1[[#This Row],[Price]]/Table1[[#This Row],[Size (ml)]]*750</f>
        <v>136.04</v>
      </c>
      <c r="AJ1242" s="37">
        <v>98</v>
      </c>
      <c r="AK1242" s="10">
        <f>COUNTIF(UniqueID!A:A,Table1[[#This Row],[ID]])</f>
        <v>0</v>
      </c>
      <c r="AL1242" s="10" t="str">
        <f>VLOOKUP(Table1[[#This Row],[Cellar Location]],Location!A:F,6,FALSE)</f>
        <v>S</v>
      </c>
      <c r="AN1242" s="1">
        <v>44063</v>
      </c>
      <c r="AO1242" s="10" t="str">
        <f>TEXT(Table1[[#This Row],[Purchased]],"mmmm")</f>
        <v>August</v>
      </c>
      <c r="AP1242" s="10" t="str">
        <f>TEXT(Table1[[#This Row],[Purchased]],"yyyy")</f>
        <v>2020</v>
      </c>
      <c r="AQ1242" s="10"/>
    </row>
    <row r="1243" spans="1:43" s="37" customFormat="1" x14ac:dyDescent="0.25">
      <c r="A1243" s="37" t="str">
        <f t="shared" si="58"/>
        <v>2016FontodiFlaccianello della Pieve</v>
      </c>
      <c r="B1243" s="37">
        <v>2016</v>
      </c>
      <c r="C1243" s="37" t="s">
        <v>20</v>
      </c>
      <c r="D1243" s="37" t="s">
        <v>21</v>
      </c>
      <c r="E1243" s="67" t="s">
        <v>1250</v>
      </c>
      <c r="F1243" s="37" t="s">
        <v>728</v>
      </c>
      <c r="G1243" s="37" t="s">
        <v>790</v>
      </c>
      <c r="H1243" s="37" t="s">
        <v>836</v>
      </c>
      <c r="I1243" s="37">
        <v>1</v>
      </c>
      <c r="J1243" s="107">
        <v>750</v>
      </c>
      <c r="K1243" s="8" t="s">
        <v>1813</v>
      </c>
      <c r="L1243" s="10">
        <f>COUNTIF(Drank!A:A,Table1[[#This Row],[ID]])</f>
        <v>0</v>
      </c>
      <c r="M1243" s="37" t="s">
        <v>202</v>
      </c>
      <c r="N1243" s="37" t="s">
        <v>207</v>
      </c>
      <c r="O1243" s="37">
        <v>1</v>
      </c>
      <c r="P1243" s="37">
        <v>2020</v>
      </c>
      <c r="Q1243" s="37">
        <v>2050</v>
      </c>
      <c r="R1243" s="10" t="str">
        <f>IF(IFERROR(VLOOKUP(A1243,Drank!A:S,15,FALSE),"")=0,"",IFERROR(VLOOKUP(A1243,Drank!A:S,15,FALSE),""))</f>
        <v/>
      </c>
      <c r="S1243" s="10" t="str">
        <f>IF(IFERROR(VLOOKUP(A1243,Drank!A:S,16,FALSE),"")=0,"",IFERROR(VLOOKUP(A1243,Drank!A:S,16,FALSE),""))</f>
        <v/>
      </c>
      <c r="T1243" s="10"/>
      <c r="U1243" s="37">
        <v>100</v>
      </c>
      <c r="V1243" s="18" t="str">
        <f>IF(IFERROR(VLOOKUP(A1243,Drank!A:T,19,FALSE),"")=0,"",IFERROR(VLOOKUP(A1243,Drank!A:T,19,FALSE),""))</f>
        <v/>
      </c>
      <c r="W1243" s="1" t="str">
        <f>IF(IFERROR(VLOOKUP(A1243,Drank!A:T,20,FALSE),"")=0,"",IFERROR(VLOOKUP(A1243,Drank!A:T,20,FALSE),""))</f>
        <v/>
      </c>
      <c r="X1243" s="10">
        <f>SUMIF(A:A,A1243,I:I)</f>
        <v>6</v>
      </c>
      <c r="Y1243" s="10">
        <f>IF(Table1[[#This Row],[Drank]]&gt;0,VLOOKUP(Table1[[#This Row],[ID]],Drank!A:P,16,FALSE),IF(Table1[[#This Row],[WALDD]]&gt;0,VLOOKUP(Table1[[#This Row],[ID]],Wine1!A:Q,17,FALSE),Table1[[#This Row],[EP]]))</f>
        <v>2050</v>
      </c>
      <c r="Z1243" s="18">
        <f>IF(Table1[[#This Row],[My Rating]]="",IF(Table1[[#This Row],[WA Rating Clean]]="","",Table1[[#This Row],[WA Rating Clean]]),Table1[[#This Row],[My Rating]])</f>
        <v>100</v>
      </c>
      <c r="AA1243" s="8">
        <v>2038</v>
      </c>
      <c r="AB1243" s="4">
        <v>183.98</v>
      </c>
      <c r="AC1243" s="2">
        <f t="shared" si="59"/>
        <v>183.98</v>
      </c>
      <c r="AD1243" s="8">
        <v>1</v>
      </c>
      <c r="AE1243" s="10">
        <f>IF(Table1[[#This Row],[P/750]]&lt;20,1,IF(Table1[[#This Row],[P/750]]&lt;50,2,3))</f>
        <v>3</v>
      </c>
      <c r="AF1243" s="10">
        <f>IF(Table1[[#This Row],[P/750]]&lt;Expenses!$C$30,1,IF(Table1[[#This Row],[P/750]]&lt;Expenses!$C$31,2,IF(Table1[[#This Row],[P/750]]&lt;Expenses!$C$32,3,4)))</f>
        <v>4</v>
      </c>
      <c r="AH1243" s="37" t="s">
        <v>1750</v>
      </c>
      <c r="AI1243" s="11">
        <f>Table1[[#This Row],[Price]]/Table1[[#This Row],[Size (ml)]]*750</f>
        <v>183.98</v>
      </c>
      <c r="AJ1243" s="37">
        <v>100</v>
      </c>
      <c r="AK1243" s="10">
        <f>COUNTIF(UniqueID!A:A,Table1[[#This Row],[ID]])</f>
        <v>0</v>
      </c>
      <c r="AL1243" s="10" t="str">
        <f>VLOOKUP(Table1[[#This Row],[Cellar Location]],Location!A:F,6,FALSE)</f>
        <v>S</v>
      </c>
      <c r="AN1243" s="1">
        <v>44063</v>
      </c>
      <c r="AO1243" s="10" t="str">
        <f>TEXT(Table1[[#This Row],[Purchased]],"mmmm")</f>
        <v>August</v>
      </c>
      <c r="AP1243" s="10" t="str">
        <f>TEXT(Table1[[#This Row],[Purchased]],"yyyy")</f>
        <v>2020</v>
      </c>
      <c r="AQ1243" s="10"/>
    </row>
    <row r="1244" spans="1:43" s="37" customFormat="1" x14ac:dyDescent="0.25">
      <c r="A1244" s="37" t="str">
        <f t="shared" si="58"/>
        <v>2016Doisy-VedrinesPetit-Vedrines</v>
      </c>
      <c r="B1244" s="37">
        <v>2016</v>
      </c>
      <c r="C1244" s="37" t="s">
        <v>843</v>
      </c>
      <c r="D1244" s="37" t="s">
        <v>1686</v>
      </c>
      <c r="E1244" s="69" t="s">
        <v>1688</v>
      </c>
      <c r="F1244" s="37" t="s">
        <v>742</v>
      </c>
      <c r="G1244" s="37" t="s">
        <v>748</v>
      </c>
      <c r="H1244" s="37" t="s">
        <v>260</v>
      </c>
      <c r="I1244" s="8">
        <v>1</v>
      </c>
      <c r="J1244" s="38">
        <v>375</v>
      </c>
      <c r="K1244" s="38" t="s">
        <v>1687</v>
      </c>
      <c r="L1244" s="10">
        <f>COUNTIF(Drank!A:A,Table1[[#This Row],[ID]])</f>
        <v>0</v>
      </c>
      <c r="M1244" s="37" t="s">
        <v>201</v>
      </c>
      <c r="N1244" s="37" t="s">
        <v>206</v>
      </c>
      <c r="O1244" s="37">
        <v>0</v>
      </c>
      <c r="R1244" s="10" t="str">
        <f>IF(IFERROR(VLOOKUP(A1244,Drank!A:S,15,FALSE),"")=0,"",IFERROR(VLOOKUP(A1244,Drank!A:S,15,FALSE),""))</f>
        <v/>
      </c>
      <c r="S1244" s="10" t="str">
        <f>IF(IFERROR(VLOOKUP(A1244,Drank!A:S,16,FALSE),"")=0,"",IFERROR(VLOOKUP(A1244,Drank!A:S,16,FALSE),""))</f>
        <v/>
      </c>
      <c r="T1244" s="10"/>
      <c r="V1244" s="18" t="str">
        <f>IF(IFERROR(VLOOKUP(A1244,Drank!A:T,19,FALSE),"")=0,"",IFERROR(VLOOKUP(A1244,Drank!A:T,19,FALSE),""))</f>
        <v/>
      </c>
      <c r="W1244" s="1" t="str">
        <f>IF(IFERROR(VLOOKUP(A1244,Drank!A:T,20,FALSE),"")=0,"",IFERROR(VLOOKUP(A1244,Drank!A:T,20,FALSE),""))</f>
        <v/>
      </c>
      <c r="X1244" s="10">
        <f>SUMIF(A:A,A1244,I:I)</f>
        <v>24</v>
      </c>
      <c r="Y1244" s="10">
        <f>IF(Table1[[#This Row],[Drank]]&gt;0,VLOOKUP(Table1[[#This Row],[ID]],Drank!A:P,16,FALSE),IF(Table1[[#This Row],[WALDD]]&gt;0,VLOOKUP(Table1[[#This Row],[ID]],Wine1!A:Q,17,FALSE),Table1[[#This Row],[EP]]))</f>
        <v>0</v>
      </c>
      <c r="Z1244" s="18" t="str">
        <f>IF(Table1[[#This Row],[My Rating]]="",IF(Table1[[#This Row],[WA Rating Clean]]="","",Table1[[#This Row],[WA Rating Clean]]),Table1[[#This Row],[My Rating]])</f>
        <v/>
      </c>
      <c r="AA1244" s="8">
        <v>2039</v>
      </c>
      <c r="AB1244" s="4">
        <v>16.399999999999999</v>
      </c>
      <c r="AC1244" s="2">
        <f t="shared" si="59"/>
        <v>16.399999999999999</v>
      </c>
      <c r="AD1244" s="8">
        <v>1</v>
      </c>
      <c r="AE1244" s="10">
        <f>IF(Table1[[#This Row],[P/750]]&lt;20,1,IF(Table1[[#This Row],[P/750]]&lt;50,2,3))</f>
        <v>2</v>
      </c>
      <c r="AF1244" s="10">
        <f>IF(Table1[[#This Row],[P/750]]&lt;Expenses!$C$30,1,IF(Table1[[#This Row],[P/750]]&lt;Expenses!$C$31,2,IF(Table1[[#This Row],[P/750]]&lt;Expenses!$C$32,3,4)))</f>
        <v>3</v>
      </c>
      <c r="AH1244" s="37" t="s">
        <v>1189</v>
      </c>
      <c r="AI1244" s="11">
        <f>Table1[[#This Row],[Price]]/Table1[[#This Row],[Size (ml)]]*750</f>
        <v>32.799999999999997</v>
      </c>
      <c r="AK1244" s="10">
        <f>COUNTIF(UniqueID!A:A,Table1[[#This Row],[ID]])</f>
        <v>0</v>
      </c>
      <c r="AL1244" s="10" t="str">
        <f>VLOOKUP(Table1[[#This Row],[Cellar Location]],Location!A:F,6,FALSE)</f>
        <v>W</v>
      </c>
      <c r="AN1244" s="1">
        <v>44061</v>
      </c>
      <c r="AO1244" s="10" t="str">
        <f>TEXT(Table1[[#This Row],[Purchased]],"mmmm")</f>
        <v>August</v>
      </c>
      <c r="AP1244" s="10" t="str">
        <f>TEXT(Table1[[#This Row],[Purchased]],"yyyy")</f>
        <v>2020</v>
      </c>
      <c r="AQ1244" s="1">
        <v>44137</v>
      </c>
    </row>
    <row r="1245" spans="1:43" s="37" customFormat="1" x14ac:dyDescent="0.25">
      <c r="A1245" s="37" t="str">
        <f t="shared" ref="A1245:A1308" si="60">CONCATENATE(B1245,C1245,D1245)</f>
        <v>2016Produttori del BarbarescoBarbaresco</v>
      </c>
      <c r="B1245" s="37">
        <v>2016</v>
      </c>
      <c r="C1245" s="37" t="s">
        <v>248</v>
      </c>
      <c r="D1245" s="37" t="s">
        <v>249</v>
      </c>
      <c r="E1245" s="67" t="s">
        <v>1206</v>
      </c>
      <c r="F1245" s="37" t="s">
        <v>728</v>
      </c>
      <c r="G1245" s="37" t="s">
        <v>778</v>
      </c>
      <c r="H1245" s="37" t="s">
        <v>249</v>
      </c>
      <c r="I1245" s="37">
        <v>1</v>
      </c>
      <c r="J1245" s="107">
        <v>750</v>
      </c>
      <c r="K1245" s="8" t="s">
        <v>1851</v>
      </c>
      <c r="L1245" s="10">
        <f>COUNTIF(Drank!A:A,Table1[[#This Row],[ID]])</f>
        <v>2</v>
      </c>
      <c r="M1245" s="37" t="s">
        <v>202</v>
      </c>
      <c r="N1245" s="37" t="s">
        <v>207</v>
      </c>
      <c r="O1245" s="37">
        <v>1</v>
      </c>
      <c r="P1245" s="37">
        <v>2022</v>
      </c>
      <c r="Q1245" s="37">
        <v>2040</v>
      </c>
      <c r="R1245" s="10">
        <f>IF(IFERROR(VLOOKUP(A1245,Drank!A:S,15,FALSE),"")=0,"",IFERROR(VLOOKUP(A1245,Drank!A:S,15,FALSE),""))</f>
        <v>2021</v>
      </c>
      <c r="S1245" s="10">
        <f>IF(IFERROR(VLOOKUP(A1245,Drank!A:S,16,FALSE),"")=0,"",IFERROR(VLOOKUP(A1245,Drank!A:S,16,FALSE),""))</f>
        <v>2032</v>
      </c>
      <c r="T1245" s="10"/>
      <c r="U1245" s="37">
        <v>95</v>
      </c>
      <c r="V1245" s="18">
        <f>IF(IFERROR(VLOOKUP(A1245,Drank!A:T,19,FALSE),"")=0,"",IFERROR(VLOOKUP(A1245,Drank!A:T,19,FALSE),""))</f>
        <v>95.5</v>
      </c>
      <c r="W1245" s="1">
        <f>IF(IFERROR(VLOOKUP(A1245,Drank!A:T,20,FALSE),"")=0,"",IFERROR(VLOOKUP(A1245,Drank!A:T,20,FALSE),""))</f>
        <v>44079</v>
      </c>
      <c r="X1245" s="10">
        <f>SUMIF(A:A,A1245,I:I)</f>
        <v>41</v>
      </c>
      <c r="Y1245" s="10">
        <f>IF(Table1[[#This Row],[Drank]]&gt;0,VLOOKUP(Table1[[#This Row],[ID]],Drank!A:P,16,FALSE),IF(Table1[[#This Row],[WALDD]]&gt;0,VLOOKUP(Table1[[#This Row],[ID]],Wine1!A:Q,17,FALSE),Table1[[#This Row],[EP]]))</f>
        <v>2032</v>
      </c>
      <c r="Z1245" s="18">
        <f>IF(Table1[[#This Row],[My Rating]]="",IF(Table1[[#This Row],[WA Rating Clean]]="","",Table1[[#This Row],[WA Rating Clean]]),Table1[[#This Row],[My Rating]])</f>
        <v>95.5</v>
      </c>
      <c r="AA1245" s="37">
        <v>2039</v>
      </c>
      <c r="AB1245" s="129">
        <v>42.36</v>
      </c>
      <c r="AC1245" s="2">
        <f t="shared" ref="AC1245:AC1308" si="61">AB1245*I1245</f>
        <v>42.36</v>
      </c>
      <c r="AD1245" s="8">
        <v>1</v>
      </c>
      <c r="AE1245" s="10">
        <f>IF(Table1[[#This Row],[P/750]]&lt;20,1,IF(Table1[[#This Row],[P/750]]&lt;50,2,3))</f>
        <v>2</v>
      </c>
      <c r="AF1245" s="10">
        <f>IF(Table1[[#This Row],[P/750]]&lt;Expenses!$C$30,1,IF(Table1[[#This Row],[P/750]]&lt;Expenses!$C$31,2,IF(Table1[[#This Row],[P/750]]&lt;Expenses!$C$32,3,4)))</f>
        <v>3</v>
      </c>
      <c r="AH1245" s="37" t="s">
        <v>1128</v>
      </c>
      <c r="AI1245" s="11">
        <f>Table1[[#This Row],[Price]]/Table1[[#This Row],[Size (ml)]]*750</f>
        <v>42.36</v>
      </c>
      <c r="AJ1245" s="37">
        <v>95</v>
      </c>
      <c r="AK1245" s="10">
        <f>COUNTIF(UniqueID!A:A,Table1[[#This Row],[ID]])</f>
        <v>1</v>
      </c>
      <c r="AL1245" s="10" t="str">
        <f>VLOOKUP(Table1[[#This Row],[Cellar Location]],Location!A:F,6,FALSE)</f>
        <v>S</v>
      </c>
      <c r="AN1245" s="1">
        <v>44070</v>
      </c>
      <c r="AO1245" s="10" t="str">
        <f>TEXT(Table1[[#This Row],[Purchased]],"mmmm")</f>
        <v>August</v>
      </c>
      <c r="AP1245" s="10" t="str">
        <f>TEXT(Table1[[#This Row],[Purchased]],"yyyy")</f>
        <v>2020</v>
      </c>
      <c r="AQ1245" s="1"/>
    </row>
    <row r="1246" spans="1:43" s="37" customFormat="1" x14ac:dyDescent="0.25">
      <c r="A1246" s="37" t="str">
        <f t="shared" si="60"/>
        <v>2016Produttori del BarbarescoBarbaresco</v>
      </c>
      <c r="B1246" s="37">
        <v>2016</v>
      </c>
      <c r="C1246" s="37" t="s">
        <v>248</v>
      </c>
      <c r="D1246" s="37" t="s">
        <v>249</v>
      </c>
      <c r="E1246" s="67" t="s">
        <v>1206</v>
      </c>
      <c r="F1246" s="37" t="s">
        <v>728</v>
      </c>
      <c r="G1246" s="37" t="s">
        <v>778</v>
      </c>
      <c r="H1246" s="37" t="s">
        <v>249</v>
      </c>
      <c r="I1246" s="37">
        <v>1</v>
      </c>
      <c r="J1246" s="107">
        <v>750</v>
      </c>
      <c r="K1246" s="8" t="s">
        <v>1851</v>
      </c>
      <c r="L1246" s="10">
        <f>COUNTIF(Drank!A:A,Table1[[#This Row],[ID]])</f>
        <v>2</v>
      </c>
      <c r="M1246" s="37" t="s">
        <v>202</v>
      </c>
      <c r="N1246" s="37" t="s">
        <v>207</v>
      </c>
      <c r="O1246" s="37">
        <v>1</v>
      </c>
      <c r="P1246" s="37">
        <v>2022</v>
      </c>
      <c r="Q1246" s="37">
        <v>2040</v>
      </c>
      <c r="R1246" s="10">
        <f>IF(IFERROR(VLOOKUP(A1246,Drank!A:S,15,FALSE),"")=0,"",IFERROR(VLOOKUP(A1246,Drank!A:S,15,FALSE),""))</f>
        <v>2021</v>
      </c>
      <c r="S1246" s="10">
        <f>IF(IFERROR(VLOOKUP(A1246,Drank!A:S,16,FALSE),"")=0,"",IFERROR(VLOOKUP(A1246,Drank!A:S,16,FALSE),""))</f>
        <v>2032</v>
      </c>
      <c r="T1246" s="10"/>
      <c r="U1246" s="37">
        <v>95</v>
      </c>
      <c r="V1246" s="18">
        <f>IF(IFERROR(VLOOKUP(A1246,Drank!A:T,19,FALSE),"")=0,"",IFERROR(VLOOKUP(A1246,Drank!A:T,19,FALSE),""))</f>
        <v>95.5</v>
      </c>
      <c r="W1246" s="1">
        <f>IF(IFERROR(VLOOKUP(A1246,Drank!A:T,20,FALSE),"")=0,"",IFERROR(VLOOKUP(A1246,Drank!A:T,20,FALSE),""))</f>
        <v>44079</v>
      </c>
      <c r="X1246" s="10">
        <f>SUMIF(A:A,A1246,I:I)</f>
        <v>41</v>
      </c>
      <c r="Y1246" s="10">
        <f>IF(Table1[[#This Row],[Drank]]&gt;0,VLOOKUP(Table1[[#This Row],[ID]],Drank!A:P,16,FALSE),IF(Table1[[#This Row],[WALDD]]&gt;0,VLOOKUP(Table1[[#This Row],[ID]],Wine1!A:Q,17,FALSE),Table1[[#This Row],[EP]]))</f>
        <v>2032</v>
      </c>
      <c r="Z1246" s="18">
        <f>IF(Table1[[#This Row],[My Rating]]="",IF(Table1[[#This Row],[WA Rating Clean]]="","",Table1[[#This Row],[WA Rating Clean]]),Table1[[#This Row],[My Rating]])</f>
        <v>95.5</v>
      </c>
      <c r="AA1246" s="37">
        <v>2039</v>
      </c>
      <c r="AB1246" s="129">
        <v>42.36</v>
      </c>
      <c r="AC1246" s="2">
        <f t="shared" si="61"/>
        <v>42.36</v>
      </c>
      <c r="AD1246" s="8">
        <v>1</v>
      </c>
      <c r="AE1246" s="10">
        <f>IF(Table1[[#This Row],[P/750]]&lt;20,1,IF(Table1[[#This Row],[P/750]]&lt;50,2,3))</f>
        <v>2</v>
      </c>
      <c r="AF1246" s="10">
        <f>IF(Table1[[#This Row],[P/750]]&lt;Expenses!$C$30,1,IF(Table1[[#This Row],[P/750]]&lt;Expenses!$C$31,2,IF(Table1[[#This Row],[P/750]]&lt;Expenses!$C$32,3,4)))</f>
        <v>3</v>
      </c>
      <c r="AH1246" s="37" t="s">
        <v>1128</v>
      </c>
      <c r="AI1246" s="11">
        <f>Table1[[#This Row],[Price]]/Table1[[#This Row],[Size (ml)]]*750</f>
        <v>42.36</v>
      </c>
      <c r="AJ1246" s="37">
        <v>95</v>
      </c>
      <c r="AK1246" s="10">
        <f>COUNTIF(UniqueID!A:A,Table1[[#This Row],[ID]])</f>
        <v>1</v>
      </c>
      <c r="AL1246" s="10" t="str">
        <f>VLOOKUP(Table1[[#This Row],[Cellar Location]],Location!A:F,6,FALSE)</f>
        <v>S</v>
      </c>
      <c r="AN1246" s="1">
        <v>44070</v>
      </c>
      <c r="AO1246" s="10" t="str">
        <f>TEXT(Table1[[#This Row],[Purchased]],"mmmm")</f>
        <v>August</v>
      </c>
      <c r="AP1246" s="10" t="str">
        <f>TEXT(Table1[[#This Row],[Purchased]],"yyyy")</f>
        <v>2020</v>
      </c>
      <c r="AQ1246" s="1"/>
    </row>
    <row r="1247" spans="1:43" s="37" customFormat="1" x14ac:dyDescent="0.25">
      <c r="A1247" s="37" t="str">
        <f t="shared" si="60"/>
        <v>2017Domaine Roger SabonChateauneuf du Pape Reserve</v>
      </c>
      <c r="B1247" s="37">
        <v>2017</v>
      </c>
      <c r="C1247" s="9" t="s">
        <v>359</v>
      </c>
      <c r="D1247" s="30" t="s">
        <v>360</v>
      </c>
      <c r="E1247" s="67" t="s">
        <v>1222</v>
      </c>
      <c r="F1247" s="37" t="s">
        <v>742</v>
      </c>
      <c r="G1247" s="37" t="s">
        <v>759</v>
      </c>
      <c r="H1247" s="9" t="s">
        <v>762</v>
      </c>
      <c r="I1247" s="107">
        <v>1</v>
      </c>
      <c r="J1247" s="37">
        <v>750</v>
      </c>
      <c r="K1247" s="107" t="s">
        <v>656</v>
      </c>
      <c r="L1247" s="37">
        <f>COUNTIF(Drank!A:A,Table1[[#This Row],[ID]])</f>
        <v>0</v>
      </c>
      <c r="M1247" s="37" t="s">
        <v>202</v>
      </c>
      <c r="N1247" s="37" t="s">
        <v>207</v>
      </c>
      <c r="O1247" s="37">
        <v>1</v>
      </c>
      <c r="P1247" s="37">
        <v>2020</v>
      </c>
      <c r="Q1247" s="37">
        <v>2035</v>
      </c>
      <c r="R1247" s="10" t="str">
        <f>IF(IFERROR(VLOOKUP(A1247,Drank!A:S,15,FALSE),"")=0,"",IFERROR(VLOOKUP(A1247,Drank!A:S,15,FALSE),""))</f>
        <v/>
      </c>
      <c r="S1247" s="10" t="str">
        <f>IF(IFERROR(VLOOKUP(A1247,Drank!A:S,16,FALSE),"")=0,"",IFERROR(VLOOKUP(A1247,Drank!A:S,16,FALSE),""))</f>
        <v/>
      </c>
      <c r="T1247" s="10"/>
      <c r="U1247" s="37">
        <v>95</v>
      </c>
      <c r="V1247" s="18" t="str">
        <f>IF(IFERROR(VLOOKUP(A1247,Drank!A:T,19,FALSE),"")=0,"",IFERROR(VLOOKUP(A1247,Drank!A:T,19,FALSE),""))</f>
        <v/>
      </c>
      <c r="W1247" s="1" t="str">
        <f>IF(IFERROR(VLOOKUP(A1247,Drank!A:T,20,FALSE),"")=0,"",IFERROR(VLOOKUP(A1247,Drank!A:T,20,FALSE),""))</f>
        <v/>
      </c>
      <c r="X1247" s="10">
        <f>SUMIF(A:A,A1247,I:I)</f>
        <v>4</v>
      </c>
      <c r="Y1247" s="37">
        <f>IF(Table1[[#This Row],[Drank]]&gt;0,VLOOKUP(Table1[[#This Row],[ID]],Drank!A:P,16,FALSE),IF(Table1[[#This Row],[WALDD]]&gt;0,VLOOKUP(Table1[[#This Row],[ID]],Wine1!A:Q,17,FALSE),Table1[[#This Row],[EP]]))</f>
        <v>2035</v>
      </c>
      <c r="Z1247" s="18">
        <f>IF(Table1[[#This Row],[My Rating]]="",IF(Table1[[#This Row],[WA Rating Clean]]="","",Table1[[#This Row],[WA Rating Clean]]),Table1[[#This Row],[My Rating]])</f>
        <v>95</v>
      </c>
      <c r="AA1247" s="6">
        <v>2039</v>
      </c>
      <c r="AB1247" s="4">
        <v>39.99</v>
      </c>
      <c r="AC1247" s="2">
        <f t="shared" si="61"/>
        <v>39.99</v>
      </c>
      <c r="AD1247" s="8">
        <v>2</v>
      </c>
      <c r="AE1247" s="37">
        <f>IF(Table1[[#This Row],[P/750]]&lt;20,1,IF(Table1[[#This Row],[P/750]]&lt;50,2,3))</f>
        <v>2</v>
      </c>
      <c r="AF1247" s="37">
        <f>IF(Table1[[#This Row],[P/750]]&lt;Expenses!$C$30,1,IF(Table1[[#This Row],[P/750]]&lt;Expenses!$C$31,2,IF(Table1[[#This Row],[P/750]]&lt;Expenses!$C$32,3,4)))</f>
        <v>3</v>
      </c>
      <c r="AH1247" s="37" t="s">
        <v>384</v>
      </c>
      <c r="AI1247" s="11">
        <f>Table1[[#This Row],[Price]]/Table1[[#This Row],[Size (ml)]]*750</f>
        <v>39.99</v>
      </c>
      <c r="AJ1247" s="37">
        <v>95</v>
      </c>
      <c r="AK1247" s="37">
        <f>COUNTIF(UniqueID!A:A,Table1[[#This Row],[ID]])</f>
        <v>1</v>
      </c>
      <c r="AL1247" s="37" t="str">
        <f>VLOOKUP(Table1[[#This Row],[Cellar Location]],Location!A:F,6,FALSE)</f>
        <v>S</v>
      </c>
      <c r="AO1247" s="37" t="str">
        <f>TEXT(Table1[[#This Row],[Purchased]],"mmmm")</f>
        <v>January</v>
      </c>
      <c r="AP1247" s="10" t="str">
        <f>TEXT(Table1[[#This Row],[Purchased]],"yyyy")</f>
        <v>1900</v>
      </c>
      <c r="AQ1247" s="10"/>
    </row>
    <row r="1248" spans="1:43" s="37" customFormat="1" x14ac:dyDescent="0.25">
      <c r="A1248" s="37" t="str">
        <f t="shared" si="60"/>
        <v>2016Marchesi AntinoriTignanello</v>
      </c>
      <c r="B1248" s="37">
        <v>2016</v>
      </c>
      <c r="C1248" s="37" t="s">
        <v>1699</v>
      </c>
      <c r="D1248" s="37" t="s">
        <v>1774</v>
      </c>
      <c r="E1248" s="67" t="s">
        <v>1775</v>
      </c>
      <c r="F1248" s="37" t="s">
        <v>728</v>
      </c>
      <c r="G1248" s="37" t="s">
        <v>790</v>
      </c>
      <c r="H1248" s="37" t="s">
        <v>796</v>
      </c>
      <c r="I1248" s="37">
        <v>1</v>
      </c>
      <c r="J1248" s="107">
        <v>750</v>
      </c>
      <c r="K1248" s="8" t="s">
        <v>1845</v>
      </c>
      <c r="L1248" s="10">
        <f>COUNTIF(Drank!A:A,Table1[[#This Row],[ID]])</f>
        <v>0</v>
      </c>
      <c r="M1248" s="37" t="s">
        <v>202</v>
      </c>
      <c r="N1248" s="37" t="s">
        <v>207</v>
      </c>
      <c r="O1248" s="37">
        <v>1</v>
      </c>
      <c r="P1248" s="10">
        <v>2020</v>
      </c>
      <c r="Q1248" s="37">
        <v>2045</v>
      </c>
      <c r="R1248" s="10" t="str">
        <f>IF(IFERROR(VLOOKUP(A1248,Drank!A:S,15,FALSE),"")=0,"",IFERROR(VLOOKUP(A1248,Drank!A:S,15,FALSE),""))</f>
        <v/>
      </c>
      <c r="S1248" s="10" t="str">
        <f>IF(IFERROR(VLOOKUP(A1248,Drank!A:S,16,FALSE),"")=0,"",IFERROR(VLOOKUP(A1248,Drank!A:S,16,FALSE),""))</f>
        <v/>
      </c>
      <c r="T1248" s="10"/>
      <c r="U1248" s="37">
        <v>97</v>
      </c>
      <c r="V1248" s="18" t="str">
        <f>IF(IFERROR(VLOOKUP(A1248,Drank!A:T,19,FALSE),"")=0,"",IFERROR(VLOOKUP(A1248,Drank!A:T,19,FALSE),""))</f>
        <v/>
      </c>
      <c r="W1248" s="1" t="str">
        <f>IF(IFERROR(VLOOKUP(A1248,Drank!A:T,20,FALSE),"")=0,"",IFERROR(VLOOKUP(A1248,Drank!A:T,20,FALSE),""))</f>
        <v/>
      </c>
      <c r="X1248" s="10">
        <f>SUMIF(A:A,A1248,I:I)</f>
        <v>6</v>
      </c>
      <c r="Y1248" s="10">
        <f>IF(Table1[[#This Row],[Drank]]&gt;0,VLOOKUP(Table1[[#This Row],[ID]],Drank!A:P,16,FALSE),IF(Table1[[#This Row],[WALDD]]&gt;0,VLOOKUP(Table1[[#This Row],[ID]],Wine1!A:Q,17,FALSE),Table1[[#This Row],[EP]]))</f>
        <v>2045</v>
      </c>
      <c r="Z1248" s="18">
        <f>IF(Table1[[#This Row],[My Rating]]="",IF(Table1[[#This Row],[WA Rating Clean]]="","",Table1[[#This Row],[WA Rating Clean]]),Table1[[#This Row],[My Rating]])</f>
        <v>97</v>
      </c>
      <c r="AA1248" s="37">
        <v>2039</v>
      </c>
      <c r="AB1248" s="129">
        <v>146.63</v>
      </c>
      <c r="AC1248" s="2">
        <f t="shared" si="61"/>
        <v>146.63</v>
      </c>
      <c r="AD1248" s="8">
        <v>1</v>
      </c>
      <c r="AE1248" s="10">
        <f>IF(Table1[[#This Row],[P/750]]&lt;20,1,IF(Table1[[#This Row],[P/750]]&lt;50,2,3))</f>
        <v>3</v>
      </c>
      <c r="AF1248" s="10">
        <f>IF(Table1[[#This Row],[P/750]]&lt;Expenses!$C$30,1,IF(Table1[[#This Row],[P/750]]&lt;Expenses!$C$31,2,IF(Table1[[#This Row],[P/750]]&lt;Expenses!$C$32,3,4)))</f>
        <v>4</v>
      </c>
      <c r="AH1248" s="37" t="s">
        <v>1128</v>
      </c>
      <c r="AI1248" s="11">
        <f>Table1[[#This Row],[Price]]/Table1[[#This Row],[Size (ml)]]*750</f>
        <v>146.63</v>
      </c>
      <c r="AJ1248" s="37">
        <v>97</v>
      </c>
      <c r="AK1248" s="10">
        <f>COUNTIF(UniqueID!A:A,Table1[[#This Row],[ID]])</f>
        <v>0</v>
      </c>
      <c r="AL1248" s="10" t="str">
        <f>VLOOKUP(Table1[[#This Row],[Cellar Location]],Location!A:F,6,FALSE)</f>
        <v>S</v>
      </c>
      <c r="AN1248" s="1">
        <v>44070</v>
      </c>
      <c r="AO1248" s="10" t="str">
        <f>TEXT(Table1[[#This Row],[Purchased]],"mmmm")</f>
        <v>August</v>
      </c>
      <c r="AP1248" s="10" t="str">
        <f>TEXT(Table1[[#This Row],[Purchased]],"yyyy")</f>
        <v>2020</v>
      </c>
      <c r="AQ1248" s="1"/>
    </row>
    <row r="1249" spans="1:43" s="37" customFormat="1" x14ac:dyDescent="0.25">
      <c r="A1249" s="37" t="str">
        <f t="shared" si="60"/>
        <v>2016Clos du RoyClos du Roy</v>
      </c>
      <c r="B1249" s="37">
        <v>2016</v>
      </c>
      <c r="C1249" s="37" t="s">
        <v>854</v>
      </c>
      <c r="D1249" s="37" t="s">
        <v>854</v>
      </c>
      <c r="E1249" s="37" t="s">
        <v>1198</v>
      </c>
      <c r="F1249" s="37" t="s">
        <v>742</v>
      </c>
      <c r="G1249" s="37" t="s">
        <v>748</v>
      </c>
      <c r="H1249" s="37" t="s">
        <v>856</v>
      </c>
      <c r="I1249" s="107">
        <v>1</v>
      </c>
      <c r="J1249" s="37">
        <v>750</v>
      </c>
      <c r="K1249" s="107" t="s">
        <v>1145</v>
      </c>
      <c r="L1249" s="10">
        <f>COUNTIF(Drank!A:A,Table1[[#This Row],[ID]])</f>
        <v>1</v>
      </c>
      <c r="M1249" s="37" t="s">
        <v>202</v>
      </c>
      <c r="N1249" s="37" t="s">
        <v>207</v>
      </c>
      <c r="O1249" s="37">
        <v>1</v>
      </c>
      <c r="P1249" s="10">
        <v>2021</v>
      </c>
      <c r="Q1249" s="37">
        <v>2038</v>
      </c>
      <c r="R1249" s="10" t="str">
        <f>IF(IFERROR(VLOOKUP(A1249,Drank!A:S,15,FALSE),"")=0,"",IFERROR(VLOOKUP(A1249,Drank!A:S,15,FALSE),""))</f>
        <v/>
      </c>
      <c r="S1249" s="10">
        <f>IF(IFERROR(VLOOKUP(A1249,Drank!A:S,16,FALSE),"")=0,"",IFERROR(VLOOKUP(A1249,Drank!A:S,16,FALSE),""))</f>
        <v>2045</v>
      </c>
      <c r="T1249" s="10"/>
      <c r="U1249" s="37" t="s">
        <v>855</v>
      </c>
      <c r="V1249" s="18">
        <f>IF(IFERROR(VLOOKUP(A1249,Drank!A:T,19,FALSE),"")=0,"",IFERROR(VLOOKUP(A1249,Drank!A:T,19,FALSE),""))</f>
        <v>91</v>
      </c>
      <c r="W1249" s="1">
        <f>IF(IFERROR(VLOOKUP(A1249,Drank!A:T,20,FALSE),"")=0,"",IFERROR(VLOOKUP(A1249,Drank!A:T,20,FALSE),""))</f>
        <v>43830</v>
      </c>
      <c r="X1249" s="10">
        <f>SUMIF(A:A,A1249,I:I)</f>
        <v>15</v>
      </c>
      <c r="Y1249" s="10">
        <f>IF(Table1[[#This Row],[Drank]]&gt;0,VLOOKUP(Table1[[#This Row],[ID]],Drank!A:P,16,FALSE),IF(Table1[[#This Row],[WALDD]]&gt;0,VLOOKUP(Table1[[#This Row],[ID]],Wine1!A:Q,17,FALSE),Table1[[#This Row],[EP]]))</f>
        <v>2045</v>
      </c>
      <c r="Z1249" s="18">
        <f>IF(Table1[[#This Row],[My Rating]]="",IF(Table1[[#This Row],[WA Rating Clean]]="","",Table1[[#This Row],[WA Rating Clean]]),Table1[[#This Row],[My Rating]])</f>
        <v>91</v>
      </c>
      <c r="AA1249" s="37">
        <v>2039</v>
      </c>
      <c r="AB1249" s="4">
        <v>17.91</v>
      </c>
      <c r="AC1249" s="2">
        <f t="shared" si="61"/>
        <v>17.91</v>
      </c>
      <c r="AD1249" s="8">
        <v>2</v>
      </c>
      <c r="AE1249" s="10">
        <f>IF(Table1[[#This Row],[P/750]]&lt;20,1,IF(Table1[[#This Row],[P/750]]&lt;50,2,3))</f>
        <v>1</v>
      </c>
      <c r="AF1249" s="10">
        <f>IF(Table1[[#This Row],[P/750]]&lt;Expenses!$C$30,1,IF(Table1[[#This Row],[P/750]]&lt;Expenses!$C$31,2,IF(Table1[[#This Row],[P/750]]&lt;Expenses!$C$32,3,4)))</f>
        <v>2</v>
      </c>
      <c r="AH1249" s="37" t="s">
        <v>1128</v>
      </c>
      <c r="AI1249" s="11">
        <f>Table1[[#This Row],[Price]]/Table1[[#This Row],[Size (ml)]]*750</f>
        <v>17.91</v>
      </c>
      <c r="AJ1249" s="37">
        <v>92</v>
      </c>
      <c r="AK1249" s="10">
        <f>COUNTIF(UniqueID!A:A,Table1[[#This Row],[ID]])</f>
        <v>1</v>
      </c>
      <c r="AL1249" s="37" t="str">
        <f>VLOOKUP(Table1[[#This Row],[Cellar Location]],Location!A:F,6,FALSE)</f>
        <v>S</v>
      </c>
      <c r="AN1249" s="1">
        <v>43830</v>
      </c>
      <c r="AO1249" s="37" t="str">
        <f>TEXT(Table1[[#This Row],[Purchased]],"mmmm")</f>
        <v>December</v>
      </c>
      <c r="AP1249" s="10" t="str">
        <f>TEXT(Table1[[#This Row],[Purchased]],"yyyy")</f>
        <v>2019</v>
      </c>
      <c r="AQ1249" s="10"/>
    </row>
    <row r="1250" spans="1:43" s="37" customFormat="1" x14ac:dyDescent="0.25">
      <c r="A1250" s="37" t="str">
        <f t="shared" si="60"/>
        <v>2014Produttori del BarbarescoBarbaresco Riserva RabajÃ </v>
      </c>
      <c r="B1250" s="37">
        <v>2014</v>
      </c>
      <c r="C1250" s="9" t="s">
        <v>248</v>
      </c>
      <c r="D1250" s="9" t="s">
        <v>720</v>
      </c>
      <c r="E1250" s="67" t="s">
        <v>1206</v>
      </c>
      <c r="F1250" s="37" t="s">
        <v>728</v>
      </c>
      <c r="G1250" s="37" t="s">
        <v>778</v>
      </c>
      <c r="H1250" s="37" t="s">
        <v>249</v>
      </c>
      <c r="I1250" s="107">
        <v>1</v>
      </c>
      <c r="J1250" s="37">
        <v>750</v>
      </c>
      <c r="K1250" s="107" t="s">
        <v>1133</v>
      </c>
      <c r="L1250" s="10">
        <f>COUNTIF(Drank!A:A,Table1[[#This Row],[ID]])</f>
        <v>0</v>
      </c>
      <c r="M1250" s="37" t="s">
        <v>202</v>
      </c>
      <c r="N1250" s="37" t="s">
        <v>207</v>
      </c>
      <c r="O1250" s="37">
        <v>1</v>
      </c>
      <c r="P1250" s="10">
        <v>2022</v>
      </c>
      <c r="Q1250" s="37">
        <v>2045</v>
      </c>
      <c r="R1250" s="10" t="str">
        <f>IF(IFERROR(VLOOKUP(A1250,Drank!A:S,15,FALSE),"")=0,"",IFERROR(VLOOKUP(A1250,Drank!A:S,15,FALSE),""))</f>
        <v/>
      </c>
      <c r="S1250" s="10" t="str">
        <f>IF(IFERROR(VLOOKUP(A1250,Drank!A:S,16,FALSE),"")=0,"",IFERROR(VLOOKUP(A1250,Drank!A:S,16,FALSE),""))</f>
        <v/>
      </c>
      <c r="T1250" s="10"/>
      <c r="U1250" s="37">
        <v>96</v>
      </c>
      <c r="V1250" s="18" t="str">
        <f>IF(IFERROR(VLOOKUP(A1250,Drank!A:T,19,FALSE),"")=0,"",IFERROR(VLOOKUP(A1250,Drank!A:T,19,FALSE),""))</f>
        <v/>
      </c>
      <c r="W1250" s="1" t="str">
        <f>IF(IFERROR(VLOOKUP(A1250,Drank!A:T,20,FALSE),"")=0,"",IFERROR(VLOOKUP(A1250,Drank!A:T,20,FALSE),""))</f>
        <v/>
      </c>
      <c r="X1250" s="10">
        <f>SUMIF(A:A,A1250,I:I)</f>
        <v>3</v>
      </c>
      <c r="Y1250" s="10">
        <f>IF(Table1[[#This Row],[Drank]]&gt;0,VLOOKUP(Table1[[#This Row],[ID]],Drank!A:P,16,FALSE),IF(Table1[[#This Row],[WALDD]]&gt;0,VLOOKUP(Table1[[#This Row],[ID]],Wine1!A:Q,17,FALSE),Table1[[#This Row],[EP]]))</f>
        <v>2045</v>
      </c>
      <c r="Z1250" s="18">
        <f>IF(Table1[[#This Row],[My Rating]]="",IF(Table1[[#This Row],[WA Rating Clean]]="","",Table1[[#This Row],[WA Rating Clean]]),Table1[[#This Row],[My Rating]])</f>
        <v>96</v>
      </c>
      <c r="AA1250" s="37">
        <v>2039</v>
      </c>
      <c r="AB1250" s="4">
        <v>53.09</v>
      </c>
      <c r="AC1250" s="2">
        <f t="shared" si="61"/>
        <v>53.09</v>
      </c>
      <c r="AD1250" s="8">
        <v>2</v>
      </c>
      <c r="AE1250" s="10">
        <f>IF(Table1[[#This Row],[P/750]]&lt;20,1,IF(Table1[[#This Row],[P/750]]&lt;50,2,3))</f>
        <v>3</v>
      </c>
      <c r="AF1250" s="10">
        <f>IF(Table1[[#This Row],[P/750]]&lt;Expenses!$C$30,1,IF(Table1[[#This Row],[P/750]]&lt;Expenses!$C$31,2,IF(Table1[[#This Row],[P/750]]&lt;Expenses!$C$32,3,4)))</f>
        <v>3</v>
      </c>
      <c r="AH1250" s="37" t="s">
        <v>1132</v>
      </c>
      <c r="AI1250" s="11">
        <f>Table1[[#This Row],[Price]]/Table1[[#This Row],[Size (ml)]]*750</f>
        <v>53.089999999999996</v>
      </c>
      <c r="AJ1250" s="37">
        <v>96</v>
      </c>
      <c r="AK1250" s="10">
        <f>COUNTIF(UniqueID!A:A,Table1[[#This Row],[ID]])</f>
        <v>1</v>
      </c>
      <c r="AL1250" s="37" t="str">
        <f>VLOOKUP(Table1[[#This Row],[Cellar Location]],Location!A:F,6,FALSE)</f>
        <v>S</v>
      </c>
      <c r="AN1250" s="1">
        <v>43833</v>
      </c>
      <c r="AO1250" s="37" t="str">
        <f>TEXT(Table1[[#This Row],[Purchased]],"mmmm")</f>
        <v>January</v>
      </c>
      <c r="AP1250" s="10" t="str">
        <f>TEXT(Table1[[#This Row],[Purchased]],"yyyy")</f>
        <v>2020</v>
      </c>
      <c r="AQ1250" s="10"/>
    </row>
    <row r="1251" spans="1:43" s="37" customFormat="1" x14ac:dyDescent="0.25">
      <c r="A1251" s="37" t="str">
        <f t="shared" si="60"/>
        <v>2016Lafaurie-PeyragueyLafaurie-Peyraguey</v>
      </c>
      <c r="B1251" s="37">
        <v>2016</v>
      </c>
      <c r="C1251" s="9" t="s">
        <v>125</v>
      </c>
      <c r="D1251" s="9" t="s">
        <v>125</v>
      </c>
      <c r="E1251" s="67" t="s">
        <v>1205</v>
      </c>
      <c r="F1251" s="37" t="s">
        <v>742</v>
      </c>
      <c r="G1251" s="37" t="s">
        <v>748</v>
      </c>
      <c r="H1251" s="37" t="s">
        <v>260</v>
      </c>
      <c r="I1251" s="107">
        <v>1</v>
      </c>
      <c r="J1251" s="37">
        <v>375</v>
      </c>
      <c r="K1251" s="107" t="s">
        <v>629</v>
      </c>
      <c r="L1251" s="37">
        <f>COUNTIF(Drank!A:A,Table1[[#This Row],[ID]])</f>
        <v>0</v>
      </c>
      <c r="M1251" s="37" t="s">
        <v>201</v>
      </c>
      <c r="N1251" s="37" t="s">
        <v>206</v>
      </c>
      <c r="O1251" s="37">
        <v>1</v>
      </c>
      <c r="P1251" s="10">
        <v>2021</v>
      </c>
      <c r="Q1251" s="37">
        <v>2060</v>
      </c>
      <c r="R1251" s="10" t="str">
        <f>IF(IFERROR(VLOOKUP(A1251,Drank!A:S,15,FALSE),"")=0,"",IFERROR(VLOOKUP(A1251,Drank!A:S,15,FALSE),""))</f>
        <v/>
      </c>
      <c r="S1251" s="10" t="str">
        <f>IF(IFERROR(VLOOKUP(A1251,Drank!A:S,16,FALSE),"")=0,"",IFERROR(VLOOKUP(A1251,Drank!A:S,16,FALSE),""))</f>
        <v/>
      </c>
      <c r="T1251" s="10"/>
      <c r="U1251" s="37" t="s">
        <v>441</v>
      </c>
      <c r="V1251" s="18" t="str">
        <f>IF(IFERROR(VLOOKUP(A1251,Drank!A:T,19,FALSE),"")=0,"",IFERROR(VLOOKUP(A1251,Drank!A:T,19,FALSE),""))</f>
        <v/>
      </c>
      <c r="W1251" s="1" t="str">
        <f>IF(IFERROR(VLOOKUP(A1251,Drank!A:T,20,FALSE),"")=0,"",IFERROR(VLOOKUP(A1251,Drank!A:T,20,FALSE),""))</f>
        <v/>
      </c>
      <c r="X1251" s="10">
        <f>SUMIF(A:A,A1251,I:I)</f>
        <v>12</v>
      </c>
      <c r="Y1251" s="10">
        <f>IF(Table1[[#This Row],[Drank]]&gt;0,VLOOKUP(Table1[[#This Row],[ID]],Drank!A:P,16,FALSE),IF(Table1[[#This Row],[WALDD]]&gt;0,VLOOKUP(Table1[[#This Row],[ID]],Wine1!A:Q,17,FALSE),Table1[[#This Row],[EP]]))</f>
        <v>2060</v>
      </c>
      <c r="Z1251" s="18">
        <f>IF(Table1[[#This Row],[My Rating]]="",IF(Table1[[#This Row],[WA Rating Clean]]="","",Table1[[#This Row],[WA Rating Clean]]),Table1[[#This Row],[My Rating]])</f>
        <v>95</v>
      </c>
      <c r="AA1251" s="37">
        <v>2039</v>
      </c>
      <c r="AB1251" s="4">
        <v>16</v>
      </c>
      <c r="AC1251" s="2">
        <f t="shared" si="61"/>
        <v>16</v>
      </c>
      <c r="AD1251" s="8">
        <v>2</v>
      </c>
      <c r="AE1251" s="37">
        <f>IF(Table1[[#This Row],[P/750]]&lt;20,1,IF(Table1[[#This Row],[P/750]]&lt;50,2,3))</f>
        <v>2</v>
      </c>
      <c r="AF1251" s="37">
        <f>IF(Table1[[#This Row],[P/750]]&lt;Expenses!$C$30,1,IF(Table1[[#This Row],[P/750]]&lt;Expenses!$C$31,2,IF(Table1[[#This Row],[P/750]]&lt;Expenses!$C$32,3,4)))</f>
        <v>3</v>
      </c>
      <c r="AH1251" s="37" t="s">
        <v>385</v>
      </c>
      <c r="AI1251" s="11">
        <f>Table1[[#This Row],[Price]]/Table1[[#This Row],[Size (ml)]]*750</f>
        <v>32</v>
      </c>
      <c r="AJ1251" s="37">
        <v>95</v>
      </c>
      <c r="AK1251" s="37">
        <f>COUNTIF(UniqueID!A:A,Table1[[#This Row],[ID]])</f>
        <v>1</v>
      </c>
      <c r="AL1251" s="37" t="str">
        <f>VLOOKUP(Table1[[#This Row],[Cellar Location]],Location!A:F,6,FALSE)</f>
        <v>S</v>
      </c>
      <c r="AO1251" s="37" t="str">
        <f>TEXT(Table1[[#This Row],[Purchased]],"mmmm")</f>
        <v>January</v>
      </c>
      <c r="AP1251" s="10" t="str">
        <f>TEXT(Table1[[#This Row],[Purchased]],"yyyy")</f>
        <v>1900</v>
      </c>
      <c r="AQ1251" s="10"/>
    </row>
    <row r="1252" spans="1:43" s="37" customFormat="1" x14ac:dyDescent="0.25">
      <c r="A1252" s="37" t="str">
        <f t="shared" si="60"/>
        <v>2016Produttori del BarbarescoBarbaresco</v>
      </c>
      <c r="B1252" s="37">
        <v>2016</v>
      </c>
      <c r="C1252" s="37" t="s">
        <v>248</v>
      </c>
      <c r="D1252" s="37" t="s">
        <v>249</v>
      </c>
      <c r="E1252" s="67" t="s">
        <v>1206</v>
      </c>
      <c r="F1252" s="37" t="s">
        <v>728</v>
      </c>
      <c r="G1252" s="37" t="s">
        <v>778</v>
      </c>
      <c r="H1252" s="37" t="s">
        <v>249</v>
      </c>
      <c r="I1252" s="37">
        <v>1</v>
      </c>
      <c r="J1252" s="107">
        <v>750</v>
      </c>
      <c r="K1252" s="8" t="s">
        <v>1851</v>
      </c>
      <c r="L1252" s="10">
        <f>COUNTIF(Drank!A:A,Table1[[#This Row],[ID]])</f>
        <v>2</v>
      </c>
      <c r="M1252" s="37" t="s">
        <v>202</v>
      </c>
      <c r="N1252" s="37" t="s">
        <v>207</v>
      </c>
      <c r="O1252" s="37">
        <v>1</v>
      </c>
      <c r="P1252" s="37">
        <v>2022</v>
      </c>
      <c r="Q1252" s="37">
        <v>2040</v>
      </c>
      <c r="R1252" s="10">
        <f>IF(IFERROR(VLOOKUP(A1252,Drank!A:S,15,FALSE),"")=0,"",IFERROR(VLOOKUP(A1252,Drank!A:S,15,FALSE),""))</f>
        <v>2021</v>
      </c>
      <c r="S1252" s="10">
        <f>IF(IFERROR(VLOOKUP(A1252,Drank!A:S,16,FALSE),"")=0,"",IFERROR(VLOOKUP(A1252,Drank!A:S,16,FALSE),""))</f>
        <v>2032</v>
      </c>
      <c r="T1252" s="10"/>
      <c r="U1252" s="37">
        <v>95</v>
      </c>
      <c r="V1252" s="18">
        <f>IF(IFERROR(VLOOKUP(A1252,Drank!A:T,19,FALSE),"")=0,"",IFERROR(VLOOKUP(A1252,Drank!A:T,19,FALSE),""))</f>
        <v>95.5</v>
      </c>
      <c r="W1252" s="1">
        <f>IF(IFERROR(VLOOKUP(A1252,Drank!A:T,20,FALSE),"")=0,"",IFERROR(VLOOKUP(A1252,Drank!A:T,20,FALSE),""))</f>
        <v>44079</v>
      </c>
      <c r="X1252" s="10">
        <f>SUMIF(A:A,A1252,I:I)</f>
        <v>41</v>
      </c>
      <c r="Y1252" s="10">
        <f>IF(Table1[[#This Row],[Drank]]&gt;0,VLOOKUP(Table1[[#This Row],[ID]],Drank!A:P,16,FALSE),IF(Table1[[#This Row],[WALDD]]&gt;0,VLOOKUP(Table1[[#This Row],[ID]],Wine1!A:Q,17,FALSE),Table1[[#This Row],[EP]]))</f>
        <v>2032</v>
      </c>
      <c r="Z1252" s="18">
        <f>IF(Table1[[#This Row],[My Rating]]="",IF(Table1[[#This Row],[WA Rating Clean]]="","",Table1[[#This Row],[WA Rating Clean]]),Table1[[#This Row],[My Rating]])</f>
        <v>95.5</v>
      </c>
      <c r="AA1252" s="37">
        <v>2040</v>
      </c>
      <c r="AB1252" s="129">
        <v>42.36</v>
      </c>
      <c r="AC1252" s="2">
        <f t="shared" si="61"/>
        <v>42.36</v>
      </c>
      <c r="AD1252" s="8">
        <v>1</v>
      </c>
      <c r="AE1252" s="10">
        <f>IF(Table1[[#This Row],[P/750]]&lt;20,1,IF(Table1[[#This Row],[P/750]]&lt;50,2,3))</f>
        <v>2</v>
      </c>
      <c r="AF1252" s="10">
        <f>IF(Table1[[#This Row],[P/750]]&lt;Expenses!$C$30,1,IF(Table1[[#This Row],[P/750]]&lt;Expenses!$C$31,2,IF(Table1[[#This Row],[P/750]]&lt;Expenses!$C$32,3,4)))</f>
        <v>3</v>
      </c>
      <c r="AH1252" s="37" t="s">
        <v>1128</v>
      </c>
      <c r="AI1252" s="11">
        <f>Table1[[#This Row],[Price]]/Table1[[#This Row],[Size (ml)]]*750</f>
        <v>42.36</v>
      </c>
      <c r="AJ1252" s="37">
        <v>95</v>
      </c>
      <c r="AK1252" s="10">
        <f>COUNTIF(UniqueID!A:A,Table1[[#This Row],[ID]])</f>
        <v>1</v>
      </c>
      <c r="AL1252" s="10" t="str">
        <f>VLOOKUP(Table1[[#This Row],[Cellar Location]],Location!A:F,6,FALSE)</f>
        <v>S</v>
      </c>
      <c r="AN1252" s="1">
        <v>44070</v>
      </c>
      <c r="AO1252" s="10" t="str">
        <f>TEXT(Table1[[#This Row],[Purchased]],"mmmm")</f>
        <v>August</v>
      </c>
      <c r="AP1252" s="10" t="str">
        <f>TEXT(Table1[[#This Row],[Purchased]],"yyyy")</f>
        <v>2020</v>
      </c>
      <c r="AQ1252" s="1"/>
    </row>
    <row r="1253" spans="1:43" s="37" customFormat="1" x14ac:dyDescent="0.25">
      <c r="A1253" s="37" t="str">
        <f t="shared" si="60"/>
        <v>2010La Rioja AltaGran Reserva 904</v>
      </c>
      <c r="B1253" s="37">
        <v>2010</v>
      </c>
      <c r="C1253" s="37" t="s">
        <v>221</v>
      </c>
      <c r="D1253" s="37" t="s">
        <v>222</v>
      </c>
      <c r="E1253" s="67" t="s">
        <v>1296</v>
      </c>
      <c r="F1253" s="37" t="s">
        <v>729</v>
      </c>
      <c r="G1253" s="37" t="s">
        <v>823</v>
      </c>
      <c r="H1253" s="37" t="s">
        <v>824</v>
      </c>
      <c r="I1253" s="37">
        <v>1</v>
      </c>
      <c r="J1253" s="107">
        <v>1500</v>
      </c>
      <c r="K1253" s="8" t="s">
        <v>1814</v>
      </c>
      <c r="L1253" s="10">
        <f>COUNTIF(Drank!A:A,Table1[[#This Row],[ID]])</f>
        <v>0</v>
      </c>
      <c r="M1253" s="37" t="s">
        <v>202</v>
      </c>
      <c r="N1253" s="37" t="s">
        <v>207</v>
      </c>
      <c r="O1253" s="37">
        <v>1</v>
      </c>
      <c r="P1253" s="10">
        <v>2019</v>
      </c>
      <c r="Q1253" s="37">
        <v>2035</v>
      </c>
      <c r="R1253" s="10" t="str">
        <f>IF(IFERROR(VLOOKUP(A1253,Drank!A:S,15,FALSE),"")=0,"",IFERROR(VLOOKUP(A1253,Drank!A:S,15,FALSE),""))</f>
        <v/>
      </c>
      <c r="S1253" s="10" t="str">
        <f>IF(IFERROR(VLOOKUP(A1253,Drank!A:S,16,FALSE),"")=0,"",IFERROR(VLOOKUP(A1253,Drank!A:S,16,FALSE),""))</f>
        <v/>
      </c>
      <c r="T1253" s="10"/>
      <c r="U1253" s="37" t="s">
        <v>1180</v>
      </c>
      <c r="V1253" s="18" t="str">
        <f>IF(IFERROR(VLOOKUP(A1253,Drank!A:T,19,FALSE),"")=0,"",IFERROR(VLOOKUP(A1253,Drank!A:T,19,FALSE),""))</f>
        <v/>
      </c>
      <c r="W1253" s="1" t="str">
        <f>IF(IFERROR(VLOOKUP(A1253,Drank!A:T,20,FALSE),"")=0,"",IFERROR(VLOOKUP(A1253,Drank!A:T,20,FALSE),""))</f>
        <v/>
      </c>
      <c r="X1253" s="10">
        <f>SUMIF(A:A,A1253,I:I)</f>
        <v>9</v>
      </c>
      <c r="Y1253" s="10">
        <f>IF(Table1[[#This Row],[Drank]]&gt;0,VLOOKUP(Table1[[#This Row],[ID]],Drank!A:P,16,FALSE),IF(Table1[[#This Row],[WALDD]]&gt;0,VLOOKUP(Table1[[#This Row],[ID]],Wine1!A:Q,17,FALSE),Table1[[#This Row],[EP]]))</f>
        <v>2035</v>
      </c>
      <c r="Z1253" s="18">
        <f>IF(Table1[[#This Row],[My Rating]]="",IF(Table1[[#This Row],[WA Rating Clean]]="","",Table1[[#This Row],[WA Rating Clean]]),Table1[[#This Row],[My Rating]])</f>
        <v>96</v>
      </c>
      <c r="AA1253" s="37">
        <v>2040</v>
      </c>
      <c r="AB1253" s="128">
        <v>134.11000000000001</v>
      </c>
      <c r="AC1253" s="2">
        <f t="shared" si="61"/>
        <v>134.11000000000001</v>
      </c>
      <c r="AD1253" s="8">
        <v>1</v>
      </c>
      <c r="AE1253" s="10">
        <f>IF(Table1[[#This Row],[P/750]]&lt;20,1,IF(Table1[[#This Row],[P/750]]&lt;50,2,3))</f>
        <v>3</v>
      </c>
      <c r="AF1253" s="10">
        <f>IF(Table1[[#This Row],[P/750]]&lt;Expenses!$C$30,1,IF(Table1[[#This Row],[P/750]]&lt;Expenses!$C$31,2,IF(Table1[[#This Row],[P/750]]&lt;Expenses!$C$32,3,4)))</f>
        <v>4</v>
      </c>
      <c r="AH1253" s="25" t="s">
        <v>1803</v>
      </c>
      <c r="AI1253" s="11">
        <f>Table1[[#This Row],[Price]]/Table1[[#This Row],[Size (ml)]]*750</f>
        <v>67.055000000000007</v>
      </c>
      <c r="AJ1253" s="37">
        <v>96</v>
      </c>
      <c r="AK1253" s="10">
        <f>COUNTIF(UniqueID!A:A,Table1[[#This Row],[ID]])</f>
        <v>0</v>
      </c>
      <c r="AL1253" s="10" t="str">
        <f>VLOOKUP(Table1[[#This Row],[Cellar Location]],Location!A:F,6,FALSE)</f>
        <v>S</v>
      </c>
      <c r="AN1253" s="1">
        <v>44065</v>
      </c>
      <c r="AO1253" s="10" t="str">
        <f>TEXT(Table1[[#This Row],[Purchased]],"mmmm")</f>
        <v>August</v>
      </c>
      <c r="AP1253" s="10" t="str">
        <f>TEXT(Table1[[#This Row],[Purchased]],"yyyy")</f>
        <v>2020</v>
      </c>
      <c r="AQ1253" s="10"/>
    </row>
    <row r="1254" spans="1:43" s="37" customFormat="1" x14ac:dyDescent="0.25">
      <c r="A1254" s="37" t="str">
        <f t="shared" si="60"/>
        <v>2016Produttori del BarbarescoBarbaresco</v>
      </c>
      <c r="B1254" s="37">
        <v>2016</v>
      </c>
      <c r="C1254" s="37" t="s">
        <v>248</v>
      </c>
      <c r="D1254" s="37" t="s">
        <v>249</v>
      </c>
      <c r="E1254" s="67" t="s">
        <v>1206</v>
      </c>
      <c r="F1254" s="37" t="s">
        <v>728</v>
      </c>
      <c r="G1254" s="37" t="s">
        <v>778</v>
      </c>
      <c r="H1254" s="37" t="s">
        <v>249</v>
      </c>
      <c r="I1254" s="8">
        <v>1</v>
      </c>
      <c r="J1254" s="38">
        <v>1500</v>
      </c>
      <c r="K1254" s="38" t="s">
        <v>1139</v>
      </c>
      <c r="L1254" s="37">
        <f>COUNTIF(Drank!A:A,Table1[[#This Row],[ID]])</f>
        <v>2</v>
      </c>
      <c r="M1254" s="37" t="s">
        <v>202</v>
      </c>
      <c r="N1254" s="37" t="s">
        <v>207</v>
      </c>
      <c r="O1254" s="37">
        <v>1</v>
      </c>
      <c r="P1254" s="37">
        <v>2022</v>
      </c>
      <c r="Q1254" s="37">
        <v>2040</v>
      </c>
      <c r="R1254" s="10">
        <f>IF(IFERROR(VLOOKUP(A1254,Drank!A:S,15,FALSE),"")=0,"",IFERROR(VLOOKUP(A1254,Drank!A:S,15,FALSE),""))</f>
        <v>2021</v>
      </c>
      <c r="S1254" s="10">
        <f>IF(IFERROR(VLOOKUP(A1254,Drank!A:S,16,FALSE),"")=0,"",IFERROR(VLOOKUP(A1254,Drank!A:S,16,FALSE),""))</f>
        <v>2032</v>
      </c>
      <c r="T1254" s="10"/>
      <c r="U1254" s="37">
        <v>95</v>
      </c>
      <c r="V1254" s="18">
        <f>IF(IFERROR(VLOOKUP(A1254,Drank!A:T,19,FALSE),"")=0,"",IFERROR(VLOOKUP(A1254,Drank!A:T,19,FALSE),""))</f>
        <v>95.5</v>
      </c>
      <c r="W1254" s="1">
        <f>IF(IFERROR(VLOOKUP(A1254,Drank!A:T,20,FALSE),"")=0,"",IFERROR(VLOOKUP(A1254,Drank!A:T,20,FALSE),""))</f>
        <v>44079</v>
      </c>
      <c r="X1254" s="10">
        <f>SUMIF(A:A,A1254,I:I)</f>
        <v>41</v>
      </c>
      <c r="Y1254" s="37">
        <f>IF(Table1[[#This Row],[Drank]]&gt;0,VLOOKUP(Table1[[#This Row],[ID]],Drank!A:P,16,FALSE),IF(Table1[[#This Row],[WALDD]]&gt;0,VLOOKUP(Table1[[#This Row],[ID]],Wine1!A:Q,17,FALSE),Table1[[#This Row],[EP]]))</f>
        <v>2032</v>
      </c>
      <c r="Z1254" s="18">
        <f>IF(Table1[[#This Row],[My Rating]]="",IF(Table1[[#This Row],[WA Rating Clean]]="","",Table1[[#This Row],[WA Rating Clean]]),Table1[[#This Row],[My Rating]])</f>
        <v>95.5</v>
      </c>
      <c r="AA1254" s="8">
        <v>2040</v>
      </c>
      <c r="AB1254" s="4">
        <v>97.74</v>
      </c>
      <c r="AC1254" s="2">
        <f t="shared" si="61"/>
        <v>97.74</v>
      </c>
      <c r="AD1254" s="8">
        <v>1</v>
      </c>
      <c r="AE1254" s="37">
        <f>IF(Table1[[#This Row],[P/750]]&lt;20,1,IF(Table1[[#This Row],[P/750]]&lt;50,2,3))</f>
        <v>2</v>
      </c>
      <c r="AF1254" s="37">
        <f>IF(Table1[[#This Row],[P/750]]&lt;Expenses!$C$30,1,IF(Table1[[#This Row],[P/750]]&lt;Expenses!$C$31,2,IF(Table1[[#This Row],[P/750]]&lt;Expenses!$C$32,3,4)))</f>
        <v>3</v>
      </c>
      <c r="AH1254" s="37" t="s">
        <v>1139</v>
      </c>
      <c r="AI1254" s="11">
        <f>Table1[[#This Row],[Price]]/Table1[[#This Row],[Size (ml)]]*750</f>
        <v>48.87</v>
      </c>
      <c r="AJ1254" s="37">
        <v>95</v>
      </c>
      <c r="AK1254" s="37">
        <f>COUNTIF(UniqueID!A:A,Table1[[#This Row],[ID]])</f>
        <v>1</v>
      </c>
      <c r="AL1254" s="37" t="str">
        <f>VLOOKUP(Table1[[#This Row],[Cellar Location]],Location!A:F,6,FALSE)</f>
        <v>W</v>
      </c>
      <c r="AN1254" s="1">
        <v>44058</v>
      </c>
      <c r="AO1254" s="37" t="str">
        <f>TEXT(Table1[[#This Row],[Purchased]],"mmmm")</f>
        <v>August</v>
      </c>
      <c r="AP1254" s="10" t="str">
        <f>TEXT(Table1[[#This Row],[Purchased]],"yyyy")</f>
        <v>2020</v>
      </c>
      <c r="AQ1254" s="1">
        <v>44132</v>
      </c>
    </row>
    <row r="1255" spans="1:43" s="37" customFormat="1" x14ac:dyDescent="0.25">
      <c r="A1255" s="37" t="str">
        <f t="shared" si="60"/>
        <v>2016Produttori del BarbarescoBarbaresco</v>
      </c>
      <c r="B1255" s="37">
        <v>2016</v>
      </c>
      <c r="C1255" s="37" t="s">
        <v>248</v>
      </c>
      <c r="D1255" s="37" t="s">
        <v>249</v>
      </c>
      <c r="E1255" s="67" t="s">
        <v>1206</v>
      </c>
      <c r="F1255" s="37" t="s">
        <v>728</v>
      </c>
      <c r="G1255" s="37" t="s">
        <v>778</v>
      </c>
      <c r="H1255" s="37" t="s">
        <v>249</v>
      </c>
      <c r="I1255" s="8">
        <v>1</v>
      </c>
      <c r="J1255" s="38">
        <v>3000</v>
      </c>
      <c r="K1255" s="38" t="s">
        <v>1139</v>
      </c>
      <c r="L1255" s="37">
        <f>COUNTIF(Drank!A:A,Table1[[#This Row],[ID]])</f>
        <v>2</v>
      </c>
      <c r="M1255" s="37" t="s">
        <v>202</v>
      </c>
      <c r="N1255" s="37" t="s">
        <v>207</v>
      </c>
      <c r="O1255" s="37">
        <v>1</v>
      </c>
      <c r="P1255" s="37">
        <v>2022</v>
      </c>
      <c r="Q1255" s="37">
        <v>2040</v>
      </c>
      <c r="R1255" s="10">
        <f>IF(IFERROR(VLOOKUP(A1255,Drank!A:S,15,FALSE),"")=0,"",IFERROR(VLOOKUP(A1255,Drank!A:S,15,FALSE),""))</f>
        <v>2021</v>
      </c>
      <c r="S1255" s="10">
        <f>IF(IFERROR(VLOOKUP(A1255,Drank!A:S,16,FALSE),"")=0,"",IFERROR(VLOOKUP(A1255,Drank!A:S,16,FALSE),""))</f>
        <v>2032</v>
      </c>
      <c r="T1255" s="10"/>
      <c r="U1255" s="37">
        <v>95</v>
      </c>
      <c r="V1255" s="18">
        <f>IF(IFERROR(VLOOKUP(A1255,Drank!A:T,19,FALSE),"")=0,"",IFERROR(VLOOKUP(A1255,Drank!A:T,19,FALSE),""))</f>
        <v>95.5</v>
      </c>
      <c r="W1255" s="1">
        <f>IF(IFERROR(VLOOKUP(A1255,Drank!A:T,20,FALSE),"")=0,"",IFERROR(VLOOKUP(A1255,Drank!A:T,20,FALSE),""))</f>
        <v>44079</v>
      </c>
      <c r="X1255" s="10">
        <f>SUMIF(A:A,A1255,I:I)</f>
        <v>41</v>
      </c>
      <c r="Y1255" s="37">
        <f>IF(Table1[[#This Row],[Drank]]&gt;0,VLOOKUP(Table1[[#This Row],[ID]],Drank!A:P,16,FALSE),IF(Table1[[#This Row],[WALDD]]&gt;0,VLOOKUP(Table1[[#This Row],[ID]],Wine1!A:Q,17,FALSE),Table1[[#This Row],[EP]]))</f>
        <v>2032</v>
      </c>
      <c r="Z1255" s="18">
        <f>IF(Table1[[#This Row],[My Rating]]="",IF(Table1[[#This Row],[WA Rating Clean]]="","",Table1[[#This Row],[WA Rating Clean]]),Table1[[#This Row],[My Rating]])</f>
        <v>95.5</v>
      </c>
      <c r="AA1255" s="8">
        <v>2040</v>
      </c>
      <c r="AB1255" s="4">
        <v>249.82</v>
      </c>
      <c r="AC1255" s="2">
        <f t="shared" si="61"/>
        <v>249.82</v>
      </c>
      <c r="AD1255" s="8">
        <v>1</v>
      </c>
      <c r="AE1255" s="37">
        <f>IF(Table1[[#This Row],[P/750]]&lt;20,1,IF(Table1[[#This Row],[P/750]]&lt;50,2,3))</f>
        <v>3</v>
      </c>
      <c r="AF1255" s="37">
        <f>IF(Table1[[#This Row],[P/750]]&lt;Expenses!$C$30,1,IF(Table1[[#This Row],[P/750]]&lt;Expenses!$C$31,2,IF(Table1[[#This Row],[P/750]]&lt;Expenses!$C$32,3,4)))</f>
        <v>3</v>
      </c>
      <c r="AH1255" s="37" t="s">
        <v>1139</v>
      </c>
      <c r="AI1255" s="11">
        <f>Table1[[#This Row],[Price]]/Table1[[#This Row],[Size (ml)]]*750</f>
        <v>62.454999999999991</v>
      </c>
      <c r="AJ1255" s="37">
        <v>95</v>
      </c>
      <c r="AK1255" s="37">
        <f>COUNTIF(UniqueID!A:A,Table1[[#This Row],[ID]])</f>
        <v>1</v>
      </c>
      <c r="AL1255" s="37" t="str">
        <f>VLOOKUP(Table1[[#This Row],[Cellar Location]],Location!A:F,6,FALSE)</f>
        <v>W</v>
      </c>
      <c r="AN1255" s="1">
        <v>44058</v>
      </c>
      <c r="AO1255" s="37" t="str">
        <f>TEXT(Table1[[#This Row],[Purchased]],"mmmm")</f>
        <v>August</v>
      </c>
      <c r="AP1255" s="10" t="str">
        <f>TEXT(Table1[[#This Row],[Purchased]],"yyyy")</f>
        <v>2020</v>
      </c>
      <c r="AQ1255" s="1">
        <v>44132</v>
      </c>
    </row>
    <row r="1256" spans="1:43" s="37" customFormat="1" x14ac:dyDescent="0.25">
      <c r="A1256" s="37" t="str">
        <f t="shared" si="60"/>
        <v>2015OdderoBarolo</v>
      </c>
      <c r="B1256" s="37">
        <v>2015</v>
      </c>
      <c r="C1256" s="37" t="s">
        <v>1173</v>
      </c>
      <c r="D1256" s="37" t="s">
        <v>268</v>
      </c>
      <c r="E1256" s="37" t="s">
        <v>1206</v>
      </c>
      <c r="F1256" s="37" t="s">
        <v>728</v>
      </c>
      <c r="G1256" s="37" t="s">
        <v>778</v>
      </c>
      <c r="H1256" s="37" t="s">
        <v>268</v>
      </c>
      <c r="I1256" s="107">
        <v>1</v>
      </c>
      <c r="J1256" s="37">
        <v>375</v>
      </c>
      <c r="K1256" s="107" t="s">
        <v>1234</v>
      </c>
      <c r="L1256" s="10">
        <f>COUNTIF(Drank!A:A,Table1[[#This Row],[ID]])</f>
        <v>2</v>
      </c>
      <c r="M1256" s="37" t="s">
        <v>202</v>
      </c>
      <c r="N1256" s="37" t="s">
        <v>207</v>
      </c>
      <c r="O1256" s="37">
        <v>1</v>
      </c>
      <c r="P1256" s="37">
        <v>2020</v>
      </c>
      <c r="Q1256" s="37">
        <v>2035</v>
      </c>
      <c r="R1256" s="10">
        <f>IF(IFERROR(VLOOKUP(A1256,Drank!A:S,15,FALSE),"")=0,"",IFERROR(VLOOKUP(A1256,Drank!A:S,15,FALSE),""))</f>
        <v>2022</v>
      </c>
      <c r="S1256" s="10">
        <f>IF(IFERROR(VLOOKUP(A1256,Drank!A:S,16,FALSE),"")=0,"",IFERROR(VLOOKUP(A1256,Drank!A:S,16,FALSE),""))</f>
        <v>2035</v>
      </c>
      <c r="T1256" s="10"/>
      <c r="U1256" s="37" t="s">
        <v>74</v>
      </c>
      <c r="V1256" s="18">
        <f>IF(IFERROR(VLOOKUP(A1256,Drank!A:T,19,FALSE),"")=0,"",IFERROR(VLOOKUP(A1256,Drank!A:T,19,FALSE),""))</f>
        <v>93</v>
      </c>
      <c r="W1256" s="1">
        <f>IF(IFERROR(VLOOKUP(A1256,Drank!A:T,20,FALSE),"")=0,"",IFERROR(VLOOKUP(A1256,Drank!A:T,20,FALSE),""))</f>
        <v>43905</v>
      </c>
      <c r="X1256" s="10">
        <f>SUMIF(A:A,A1256,I:I)</f>
        <v>22</v>
      </c>
      <c r="Y1256" s="10">
        <f>IF(Table1[[#This Row],[Drank]]&gt;0,VLOOKUP(Table1[[#This Row],[ID]],Drank!A:P,16,FALSE),IF(Table1[[#This Row],[WALDD]]&gt;0,VLOOKUP(Table1[[#This Row],[ID]],Wine1!A:Q,17,FALSE),Table1[[#This Row],[EP]]))</f>
        <v>2035</v>
      </c>
      <c r="Z1256" s="18">
        <f>IF(Table1[[#This Row],[My Rating]]="",IF(Table1[[#This Row],[WA Rating Clean]]="","",Table1[[#This Row],[WA Rating Clean]]),Table1[[#This Row],[My Rating]])</f>
        <v>93</v>
      </c>
      <c r="AA1256" s="8">
        <v>2040</v>
      </c>
      <c r="AB1256" s="4">
        <v>26.48</v>
      </c>
      <c r="AC1256" s="2">
        <f t="shared" si="61"/>
        <v>26.48</v>
      </c>
      <c r="AD1256" s="8">
        <v>2</v>
      </c>
      <c r="AE1256" s="10">
        <f>IF(Table1[[#This Row],[P/750]]&lt;20,1,IF(Table1[[#This Row],[P/750]]&lt;50,2,3))</f>
        <v>3</v>
      </c>
      <c r="AF1256" s="10">
        <f>IF(Table1[[#This Row],[P/750]]&lt;Expenses!$C$30,1,IF(Table1[[#This Row],[P/750]]&lt;Expenses!$C$31,2,IF(Table1[[#This Row],[P/750]]&lt;Expenses!$C$32,3,4)))</f>
        <v>3</v>
      </c>
      <c r="AH1256" s="37" t="s">
        <v>1175</v>
      </c>
      <c r="AI1256" s="11">
        <f>Table1[[#This Row],[Price]]/Table1[[#This Row],[Size (ml)]]*750</f>
        <v>52.96</v>
      </c>
      <c r="AJ1256" s="37">
        <v>93</v>
      </c>
      <c r="AK1256" s="10">
        <f>COUNTIF(UniqueID!A:A,Table1[[#This Row],[ID]])</f>
        <v>1</v>
      </c>
      <c r="AL1256" s="10" t="str">
        <f>VLOOKUP(Table1[[#This Row],[Cellar Location]],Location!A:F,6,FALSE)</f>
        <v>S</v>
      </c>
      <c r="AN1256" s="1">
        <v>43858</v>
      </c>
      <c r="AO1256" s="37" t="str">
        <f>TEXT(Table1[[#This Row],[Purchased]],"mmmm")</f>
        <v>January</v>
      </c>
      <c r="AP1256" s="10" t="str">
        <f>TEXT(Table1[[#This Row],[Purchased]],"yyyy")</f>
        <v>2020</v>
      </c>
      <c r="AQ1256" s="10"/>
    </row>
    <row r="1257" spans="1:43" s="37" customFormat="1" x14ac:dyDescent="0.25">
      <c r="A1257" s="37" t="str">
        <f t="shared" si="60"/>
        <v>2015OdderoBarolo</v>
      </c>
      <c r="B1257" s="37">
        <v>2015</v>
      </c>
      <c r="C1257" s="37" t="s">
        <v>1173</v>
      </c>
      <c r="D1257" s="37" t="s">
        <v>268</v>
      </c>
      <c r="E1257" s="37" t="s">
        <v>1206</v>
      </c>
      <c r="F1257" s="37" t="s">
        <v>728</v>
      </c>
      <c r="G1257" s="37" t="s">
        <v>778</v>
      </c>
      <c r="H1257" s="37" t="s">
        <v>268</v>
      </c>
      <c r="I1257" s="107">
        <v>1</v>
      </c>
      <c r="J1257" s="37">
        <v>750</v>
      </c>
      <c r="K1257" s="107" t="s">
        <v>1235</v>
      </c>
      <c r="L1257" s="10">
        <f>COUNTIF(Drank!A:A,Table1[[#This Row],[ID]])</f>
        <v>2</v>
      </c>
      <c r="M1257" s="37" t="s">
        <v>202</v>
      </c>
      <c r="N1257" s="37" t="s">
        <v>207</v>
      </c>
      <c r="O1257" s="37">
        <v>1</v>
      </c>
      <c r="P1257" s="37">
        <v>2020</v>
      </c>
      <c r="Q1257" s="37">
        <v>2035</v>
      </c>
      <c r="R1257" s="10">
        <f>IF(IFERROR(VLOOKUP(A1257,Drank!A:S,15,FALSE),"")=0,"",IFERROR(VLOOKUP(A1257,Drank!A:S,15,FALSE),""))</f>
        <v>2022</v>
      </c>
      <c r="S1257" s="10">
        <f>IF(IFERROR(VLOOKUP(A1257,Drank!A:S,16,FALSE),"")=0,"",IFERROR(VLOOKUP(A1257,Drank!A:S,16,FALSE),""))</f>
        <v>2035</v>
      </c>
      <c r="T1257" s="10"/>
      <c r="U1257" s="37" t="s">
        <v>74</v>
      </c>
      <c r="V1257" s="18">
        <f>IF(IFERROR(VLOOKUP(A1257,Drank!A:T,19,FALSE),"")=0,"",IFERROR(VLOOKUP(A1257,Drank!A:T,19,FALSE),""))</f>
        <v>93</v>
      </c>
      <c r="W1257" s="1">
        <f>IF(IFERROR(VLOOKUP(A1257,Drank!A:T,20,FALSE),"")=0,"",IFERROR(VLOOKUP(A1257,Drank!A:T,20,FALSE),""))</f>
        <v>43905</v>
      </c>
      <c r="X1257" s="10">
        <f>SUMIF(A:A,A1257,I:I)</f>
        <v>22</v>
      </c>
      <c r="Y1257" s="10">
        <f>IF(Table1[[#This Row],[Drank]]&gt;0,VLOOKUP(Table1[[#This Row],[ID]],Drank!A:P,16,FALSE),IF(Table1[[#This Row],[WALDD]]&gt;0,VLOOKUP(Table1[[#This Row],[ID]],Wine1!A:Q,17,FALSE),Table1[[#This Row],[EP]]))</f>
        <v>2035</v>
      </c>
      <c r="Z1257" s="18">
        <f>IF(Table1[[#This Row],[My Rating]]="",IF(Table1[[#This Row],[WA Rating Clean]]="","",Table1[[#This Row],[WA Rating Clean]]),Table1[[#This Row],[My Rating]])</f>
        <v>93</v>
      </c>
      <c r="AA1257" s="8">
        <v>2040</v>
      </c>
      <c r="AB1257" s="4">
        <v>40.229999999999997</v>
      </c>
      <c r="AC1257" s="2">
        <f t="shared" si="61"/>
        <v>40.229999999999997</v>
      </c>
      <c r="AD1257" s="8">
        <v>2</v>
      </c>
      <c r="AE1257" s="10">
        <f>IF(Table1[[#This Row],[P/750]]&lt;20,1,IF(Table1[[#This Row],[P/750]]&lt;50,2,3))</f>
        <v>2</v>
      </c>
      <c r="AF1257" s="10">
        <f>IF(Table1[[#This Row],[P/750]]&lt;Expenses!$C$30,1,IF(Table1[[#This Row],[P/750]]&lt;Expenses!$C$31,2,IF(Table1[[#This Row],[P/750]]&lt;Expenses!$C$32,3,4)))</f>
        <v>3</v>
      </c>
      <c r="AH1257" s="37" t="s">
        <v>1174</v>
      </c>
      <c r="AI1257" s="11">
        <f>Table1[[#This Row],[Price]]/Table1[[#This Row],[Size (ml)]]*750</f>
        <v>40.229999999999997</v>
      </c>
      <c r="AJ1257" s="37">
        <v>93</v>
      </c>
      <c r="AK1257" s="10">
        <f>COUNTIF(UniqueID!A:A,Table1[[#This Row],[ID]])</f>
        <v>1</v>
      </c>
      <c r="AL1257" s="10" t="str">
        <f>VLOOKUP(Table1[[#This Row],[Cellar Location]],Location!A:F,6,FALSE)</f>
        <v>S</v>
      </c>
      <c r="AN1257" s="1">
        <v>43858</v>
      </c>
      <c r="AO1257" s="37" t="str">
        <f>TEXT(Table1[[#This Row],[Purchased]],"mmmm")</f>
        <v>January</v>
      </c>
      <c r="AP1257" s="10" t="str">
        <f>TEXT(Table1[[#This Row],[Purchased]],"yyyy")</f>
        <v>2020</v>
      </c>
      <c r="AQ1257" s="10"/>
    </row>
    <row r="1258" spans="1:43" s="37" customFormat="1" x14ac:dyDescent="0.25">
      <c r="A1258" s="37" t="str">
        <f t="shared" si="60"/>
        <v>2016Produttori del BarbarescoBarbaresco</v>
      </c>
      <c r="B1258" s="37">
        <v>2016</v>
      </c>
      <c r="C1258" s="9" t="s">
        <v>248</v>
      </c>
      <c r="D1258" s="9" t="s">
        <v>249</v>
      </c>
      <c r="E1258" s="67" t="s">
        <v>1206</v>
      </c>
      <c r="F1258" s="37" t="s">
        <v>728</v>
      </c>
      <c r="G1258" s="37" t="s">
        <v>778</v>
      </c>
      <c r="H1258" s="37" t="s">
        <v>249</v>
      </c>
      <c r="I1258" s="107">
        <v>1</v>
      </c>
      <c r="J1258" s="37">
        <v>750</v>
      </c>
      <c r="K1258" s="107" t="s">
        <v>1313</v>
      </c>
      <c r="L1258" s="37">
        <f>COUNTIF(Drank!A:A,Table1[[#This Row],[ID]])</f>
        <v>2</v>
      </c>
      <c r="M1258" s="37" t="s">
        <v>202</v>
      </c>
      <c r="N1258" s="37" t="s">
        <v>207</v>
      </c>
      <c r="O1258" s="37">
        <v>1</v>
      </c>
      <c r="P1258" s="37">
        <v>2022</v>
      </c>
      <c r="Q1258" s="37">
        <v>2040</v>
      </c>
      <c r="R1258" s="10">
        <f>IF(IFERROR(VLOOKUP(A1258,Drank!A:S,15,FALSE),"")=0,"",IFERROR(VLOOKUP(A1258,Drank!A:S,15,FALSE),""))</f>
        <v>2021</v>
      </c>
      <c r="S1258" s="10">
        <f>IF(IFERROR(VLOOKUP(A1258,Drank!A:S,16,FALSE),"")=0,"",IFERROR(VLOOKUP(A1258,Drank!A:S,16,FALSE),""))</f>
        <v>2032</v>
      </c>
      <c r="T1258" s="10"/>
      <c r="U1258" s="37">
        <v>95</v>
      </c>
      <c r="V1258" s="18">
        <f>IF(IFERROR(VLOOKUP(A1258,Drank!A:T,19,FALSE),"")=0,"",IFERROR(VLOOKUP(A1258,Drank!A:T,19,FALSE),""))</f>
        <v>95.5</v>
      </c>
      <c r="W1258" s="1">
        <f>IF(IFERROR(VLOOKUP(A1258,Drank!A:T,20,FALSE),"")=0,"",IFERROR(VLOOKUP(A1258,Drank!A:T,20,FALSE),""))</f>
        <v>44079</v>
      </c>
      <c r="X1258" s="10">
        <f>SUMIF(A:A,A1258,I:I)</f>
        <v>41</v>
      </c>
      <c r="Y1258" s="37">
        <f>IF(Table1[[#This Row],[Drank]]&gt;0,VLOOKUP(Table1[[#This Row],[ID]],Drank!A:P,16,FALSE),IF(Table1[[#This Row],[WALDD]]&gt;0,VLOOKUP(Table1[[#This Row],[ID]],Wine1!A:Q,17,FALSE),Table1[[#This Row],[EP]]))</f>
        <v>2032</v>
      </c>
      <c r="Z1258" s="18">
        <f>IF(Table1[[#This Row],[My Rating]]="",IF(Table1[[#This Row],[WA Rating Clean]]="","",Table1[[#This Row],[WA Rating Clean]]),Table1[[#This Row],[My Rating]])</f>
        <v>95.5</v>
      </c>
      <c r="AA1258" s="8">
        <v>2040</v>
      </c>
      <c r="AB1258" s="4">
        <v>40.39</v>
      </c>
      <c r="AC1258" s="2">
        <f t="shared" si="61"/>
        <v>40.39</v>
      </c>
      <c r="AD1258" s="8">
        <v>2</v>
      </c>
      <c r="AE1258" s="37">
        <f>IF(Table1[[#This Row],[P/750]]&lt;20,1,IF(Table1[[#This Row],[P/750]]&lt;50,2,3))</f>
        <v>2</v>
      </c>
      <c r="AF1258" s="37">
        <f>IF(Table1[[#This Row],[P/750]]&lt;Expenses!$C$30,1,IF(Table1[[#This Row],[P/750]]&lt;Expenses!$C$31,2,IF(Table1[[#This Row],[P/750]]&lt;Expenses!$C$32,3,4)))</f>
        <v>3</v>
      </c>
      <c r="AH1258" s="37" t="s">
        <v>1128</v>
      </c>
      <c r="AI1258" s="11">
        <f>Table1[[#This Row],[Price]]/Table1[[#This Row],[Size (ml)]]*750</f>
        <v>40.39</v>
      </c>
      <c r="AJ1258" s="37">
        <v>95</v>
      </c>
      <c r="AK1258" s="37">
        <f>COUNTIF(UniqueID!A:A,Table1[[#This Row],[ID]])</f>
        <v>1</v>
      </c>
      <c r="AL1258" s="37" t="str">
        <f>VLOOKUP(Table1[[#This Row],[Cellar Location]],Location!A:F,6,FALSE)</f>
        <v>S</v>
      </c>
      <c r="AN1258" s="1">
        <v>43879</v>
      </c>
      <c r="AO1258" s="37" t="str">
        <f>TEXT(Table1[[#This Row],[Purchased]],"mmmm")</f>
        <v>February</v>
      </c>
      <c r="AP1258" s="10" t="str">
        <f>TEXT(Table1[[#This Row],[Purchased]],"yyyy")</f>
        <v>2020</v>
      </c>
      <c r="AQ1258" s="10"/>
    </row>
    <row r="1259" spans="1:43" s="37" customFormat="1" x14ac:dyDescent="0.25">
      <c r="A1259" s="37" t="str">
        <f t="shared" si="60"/>
        <v>2016FelsinaChianti Classico Riserva Rancia</v>
      </c>
      <c r="B1259" s="37">
        <v>2016</v>
      </c>
      <c r="C1259" s="37" t="s">
        <v>795</v>
      </c>
      <c r="D1259" s="37" t="s">
        <v>845</v>
      </c>
      <c r="E1259" s="67" t="s">
        <v>1250</v>
      </c>
      <c r="F1259" s="37" t="s">
        <v>728</v>
      </c>
      <c r="G1259" s="37" t="s">
        <v>790</v>
      </c>
      <c r="H1259" s="37" t="s">
        <v>792</v>
      </c>
      <c r="I1259" s="8">
        <v>1</v>
      </c>
      <c r="J1259" s="38">
        <v>1500</v>
      </c>
      <c r="K1259" s="38" t="s">
        <v>1139</v>
      </c>
      <c r="L1259" s="10">
        <f>COUNTIF(Drank!A:A,Table1[[#This Row],[ID]])</f>
        <v>1</v>
      </c>
      <c r="M1259" s="37" t="s">
        <v>202</v>
      </c>
      <c r="N1259" s="37" t="s">
        <v>207</v>
      </c>
      <c r="O1259" s="37">
        <v>1</v>
      </c>
      <c r="P1259" s="10">
        <v>2020</v>
      </c>
      <c r="Q1259" s="37">
        <v>2040</v>
      </c>
      <c r="R1259" s="10">
        <f>IF(IFERROR(VLOOKUP(A1259,Drank!A:S,15,FALSE),"")=0,"",IFERROR(VLOOKUP(A1259,Drank!A:S,15,FALSE),""))</f>
        <v>2027</v>
      </c>
      <c r="S1259" s="10">
        <f>IF(IFERROR(VLOOKUP(A1259,Drank!A:S,16,FALSE),"")=0,"",IFERROR(VLOOKUP(A1259,Drank!A:S,16,FALSE),""))</f>
        <v>2037</v>
      </c>
      <c r="T1259" s="10"/>
      <c r="U1259" s="37">
        <v>96</v>
      </c>
      <c r="V1259" s="18">
        <f>IF(IFERROR(VLOOKUP(A1259,Drank!A:T,19,FALSE),"")=0,"",IFERROR(VLOOKUP(A1259,Drank!A:T,19,FALSE),""))</f>
        <v>96</v>
      </c>
      <c r="W1259" s="1">
        <f>IF(IFERROR(VLOOKUP(A1259,Drank!A:T,20,FALSE),"")=0,"",IFERROR(VLOOKUP(A1259,Drank!A:T,20,FALSE),""))</f>
        <v>43897</v>
      </c>
      <c r="X1259" s="10">
        <f>SUMIF(A:A,A1259,I:I)</f>
        <v>5</v>
      </c>
      <c r="Y1259" s="10">
        <f>IF(Table1[[#This Row],[Drank]]&gt;0,VLOOKUP(Table1[[#This Row],[ID]],Drank!A:P,16,FALSE),IF(Table1[[#This Row],[WALDD]]&gt;0,VLOOKUP(Table1[[#This Row],[ID]],Wine1!A:Q,17,FALSE),Table1[[#This Row],[EP]]))</f>
        <v>2037</v>
      </c>
      <c r="Z1259" s="18">
        <f>IF(Table1[[#This Row],[My Rating]]="",IF(Table1[[#This Row],[WA Rating Clean]]="","",Table1[[#This Row],[WA Rating Clean]]),Table1[[#This Row],[My Rating]])</f>
        <v>96</v>
      </c>
      <c r="AA1259" s="37">
        <v>2040</v>
      </c>
      <c r="AB1259" s="4">
        <v>126.12</v>
      </c>
      <c r="AC1259" s="2">
        <f t="shared" si="61"/>
        <v>126.12</v>
      </c>
      <c r="AD1259" s="8">
        <v>1</v>
      </c>
      <c r="AE1259" s="10">
        <f>IF(Table1[[#This Row],[P/750]]&lt;20,1,IF(Table1[[#This Row],[P/750]]&lt;50,2,3))</f>
        <v>3</v>
      </c>
      <c r="AF1259" s="10">
        <f>IF(Table1[[#This Row],[P/750]]&lt;Expenses!$C$30,1,IF(Table1[[#This Row],[P/750]]&lt;Expenses!$C$31,2,IF(Table1[[#This Row],[P/750]]&lt;Expenses!$C$32,3,4)))</f>
        <v>3</v>
      </c>
      <c r="AH1259" s="37" t="s">
        <v>1139</v>
      </c>
      <c r="AI1259" s="11">
        <f>Table1[[#This Row],[Price]]/Table1[[#This Row],[Size (ml)]]*750</f>
        <v>63.06</v>
      </c>
      <c r="AJ1259" s="37">
        <v>96</v>
      </c>
      <c r="AK1259" s="10">
        <f>COUNTIF(UniqueID!A:A,Table1[[#This Row],[ID]])</f>
        <v>0</v>
      </c>
      <c r="AL1259" s="10" t="str">
        <f>VLOOKUP(Table1[[#This Row],[Cellar Location]],Location!A:F,6,FALSE)</f>
        <v>W</v>
      </c>
      <c r="AN1259" s="1">
        <v>44058</v>
      </c>
      <c r="AO1259" s="10" t="str">
        <f>TEXT(Table1[[#This Row],[Purchased]],"mmmm")</f>
        <v>August</v>
      </c>
      <c r="AP1259" s="10" t="str">
        <f>TEXT(Table1[[#This Row],[Purchased]],"yyyy")</f>
        <v>2020</v>
      </c>
      <c r="AQ1259" s="1">
        <v>44132</v>
      </c>
    </row>
    <row r="1260" spans="1:43" s="37" customFormat="1" x14ac:dyDescent="0.25">
      <c r="A1260" s="37" t="str">
        <f t="shared" si="60"/>
        <v>2016ViettiBarolo Castiglione</v>
      </c>
      <c r="B1260" s="37">
        <v>2016</v>
      </c>
      <c r="C1260" s="37" t="s">
        <v>1186</v>
      </c>
      <c r="D1260" s="9" t="s">
        <v>1794</v>
      </c>
      <c r="E1260" s="67" t="s">
        <v>1206</v>
      </c>
      <c r="F1260" s="37" t="s">
        <v>728</v>
      </c>
      <c r="G1260" s="37" t="s">
        <v>778</v>
      </c>
      <c r="H1260" s="37" t="s">
        <v>1692</v>
      </c>
      <c r="I1260" s="37">
        <v>1</v>
      </c>
      <c r="J1260" s="107">
        <v>750</v>
      </c>
      <c r="K1260" s="8" t="s">
        <v>1831</v>
      </c>
      <c r="L1260" s="10">
        <f>COUNTIF(Drank!A:A,Table1[[#This Row],[ID]])</f>
        <v>0</v>
      </c>
      <c r="M1260" s="37" t="s">
        <v>202</v>
      </c>
      <c r="N1260" s="37" t="s">
        <v>207</v>
      </c>
      <c r="O1260" s="37">
        <v>1</v>
      </c>
      <c r="P1260" s="10">
        <v>2022</v>
      </c>
      <c r="Q1260" s="37">
        <v>2040</v>
      </c>
      <c r="R1260" s="10" t="str">
        <f>IF(IFERROR(VLOOKUP(A1260,Drank!A:S,15,FALSE),"")=0,"",IFERROR(VLOOKUP(A1260,Drank!A:S,15,FALSE),""))</f>
        <v/>
      </c>
      <c r="S1260" s="10" t="str">
        <f>IF(IFERROR(VLOOKUP(A1260,Drank!A:S,16,FALSE),"")=0,"",IFERROR(VLOOKUP(A1260,Drank!A:S,16,FALSE),""))</f>
        <v/>
      </c>
      <c r="T1260" s="10"/>
      <c r="U1260" s="37" t="s">
        <v>17</v>
      </c>
      <c r="V1260" s="18" t="str">
        <f>IF(IFERROR(VLOOKUP(A1260,Drank!A:T,19,FALSE),"")=0,"",IFERROR(VLOOKUP(A1260,Drank!A:T,19,FALSE),""))</f>
        <v/>
      </c>
      <c r="W1260" s="1" t="str">
        <f>IF(IFERROR(VLOOKUP(A1260,Drank!A:T,20,FALSE),"")=0,"",IFERROR(VLOOKUP(A1260,Drank!A:T,20,FALSE),""))</f>
        <v/>
      </c>
      <c r="X1260" s="10">
        <f>SUMIF(A:A,A1260,I:I)</f>
        <v>6</v>
      </c>
      <c r="Y1260" s="10">
        <f>IF(Table1[[#This Row],[Drank]]&gt;0,VLOOKUP(Table1[[#This Row],[ID]],Drank!A:P,16,FALSE),IF(Table1[[#This Row],[WALDD]]&gt;0,VLOOKUP(Table1[[#This Row],[ID]],Wine1!A:Q,17,FALSE),Table1[[#This Row],[EP]]))</f>
        <v>2040</v>
      </c>
      <c r="Z1260" s="18" t="str">
        <f>IF(Table1[[#This Row],[My Rating]]="",IF(Table1[[#This Row],[WA Rating Clean]]="","",Table1[[#This Row],[WA Rating Clean]]),Table1[[#This Row],[My Rating]])</f>
        <v>94+</v>
      </c>
      <c r="AA1260" s="37">
        <v>2040</v>
      </c>
      <c r="AB1260" s="129">
        <v>52.14</v>
      </c>
      <c r="AC1260" s="2">
        <f t="shared" si="61"/>
        <v>52.14</v>
      </c>
      <c r="AD1260" s="8">
        <v>1</v>
      </c>
      <c r="AE1260" s="10">
        <f>IF(Table1[[#This Row],[P/750]]&lt;20,1,IF(Table1[[#This Row],[P/750]]&lt;50,2,3))</f>
        <v>3</v>
      </c>
      <c r="AF1260" s="10">
        <f>IF(Table1[[#This Row],[P/750]]&lt;Expenses!$C$30,1,IF(Table1[[#This Row],[P/750]]&lt;Expenses!$C$31,2,IF(Table1[[#This Row],[P/750]]&lt;Expenses!$C$32,3,4)))</f>
        <v>3</v>
      </c>
      <c r="AH1260" s="25" t="s">
        <v>1128</v>
      </c>
      <c r="AI1260" s="11">
        <f>Table1[[#This Row],[Price]]/Table1[[#This Row],[Size (ml)]]*750</f>
        <v>52.14</v>
      </c>
      <c r="AJ1260" s="37" t="s">
        <v>17</v>
      </c>
      <c r="AK1260" s="10">
        <f>COUNTIF(UniqueID!A:A,Table1[[#This Row],[ID]])</f>
        <v>0</v>
      </c>
      <c r="AL1260" s="10" t="str">
        <f>VLOOKUP(Table1[[#This Row],[Cellar Location]],Location!A:F,6,FALSE)</f>
        <v>S</v>
      </c>
      <c r="AN1260" s="1">
        <v>44070</v>
      </c>
      <c r="AO1260" s="10" t="str">
        <f>TEXT(Table1[[#This Row],[Purchased]],"mmmm")</f>
        <v>August</v>
      </c>
      <c r="AP1260" s="10" t="str">
        <f>TEXT(Table1[[#This Row],[Purchased]],"yyyy")</f>
        <v>2020</v>
      </c>
      <c r="AQ1260" s="1"/>
    </row>
    <row r="1261" spans="1:43" s="37" customFormat="1" x14ac:dyDescent="0.25">
      <c r="A1261" s="37" t="str">
        <f t="shared" si="60"/>
        <v>2016OdderoBarolo</v>
      </c>
      <c r="B1261" s="37">
        <v>2016</v>
      </c>
      <c r="C1261" s="37" t="s">
        <v>1173</v>
      </c>
      <c r="D1261" s="37" t="s">
        <v>268</v>
      </c>
      <c r="E1261" s="37" t="s">
        <v>1206</v>
      </c>
      <c r="F1261" s="37" t="s">
        <v>728</v>
      </c>
      <c r="G1261" s="37" t="s">
        <v>778</v>
      </c>
      <c r="H1261" s="37" t="s">
        <v>268</v>
      </c>
      <c r="I1261" s="8">
        <v>1</v>
      </c>
      <c r="J1261" s="38">
        <v>750</v>
      </c>
      <c r="K1261" s="38" t="s">
        <v>1526</v>
      </c>
      <c r="L1261" s="10">
        <f>COUNTIF(Drank!A:A,Table1[[#This Row],[ID]])</f>
        <v>0</v>
      </c>
      <c r="M1261" s="37" t="s">
        <v>202</v>
      </c>
      <c r="N1261" s="37" t="s">
        <v>207</v>
      </c>
      <c r="O1261" s="37">
        <v>1</v>
      </c>
      <c r="P1261" s="37">
        <v>2022</v>
      </c>
      <c r="Q1261" s="37">
        <v>2040</v>
      </c>
      <c r="R1261" s="10" t="str">
        <f>IF(IFERROR(VLOOKUP(A1261,Drank!A:S,15,FALSE),"")=0,"",IFERROR(VLOOKUP(A1261,Drank!A:S,15,FALSE),""))</f>
        <v/>
      </c>
      <c r="S1261" s="10" t="str">
        <f>IF(IFERROR(VLOOKUP(A1261,Drank!A:S,16,FALSE),"")=0,"",IFERROR(VLOOKUP(A1261,Drank!A:S,16,FALSE),""))</f>
        <v/>
      </c>
      <c r="T1261" s="10"/>
      <c r="U1261" s="37" t="s">
        <v>17</v>
      </c>
      <c r="V1261" s="18" t="str">
        <f>IF(IFERROR(VLOOKUP(A1261,Drank!A:T,19,FALSE),"")=0,"",IFERROR(VLOOKUP(A1261,Drank!A:T,19,FALSE),""))</f>
        <v/>
      </c>
      <c r="W1261" s="1" t="str">
        <f>IF(IFERROR(VLOOKUP(A1261,Drank!A:T,20,FALSE),"")=0,"",IFERROR(VLOOKUP(A1261,Drank!A:T,20,FALSE),""))</f>
        <v/>
      </c>
      <c r="X1261" s="10">
        <f>SUMIF(A:A,A1261,I:I)</f>
        <v>4</v>
      </c>
      <c r="Y1261" s="10">
        <f>IF(Table1[[#This Row],[Drank]]&gt;0,VLOOKUP(Table1[[#This Row],[ID]],Drank!A:P,16,FALSE),IF(Table1[[#This Row],[WALDD]]&gt;0,VLOOKUP(Table1[[#This Row],[ID]],Wine1!A:Q,17,FALSE),Table1[[#This Row],[EP]]))</f>
        <v>2040</v>
      </c>
      <c r="Z1261" s="18">
        <f>IF(Table1[[#This Row],[My Rating]]="",IF(Table1[[#This Row],[WA Rating Clean]]="","",Table1[[#This Row],[WA Rating Clean]]),Table1[[#This Row],[My Rating]])</f>
        <v>94</v>
      </c>
      <c r="AA1261" s="8">
        <v>2040</v>
      </c>
      <c r="AB1261" s="4">
        <v>43.44</v>
      </c>
      <c r="AC1261" s="2">
        <f t="shared" si="61"/>
        <v>43.44</v>
      </c>
      <c r="AD1261" s="8">
        <v>1</v>
      </c>
      <c r="AE1261" s="10">
        <f>IF(Table1[[#This Row],[P/750]]&lt;20,1,IF(Table1[[#This Row],[P/750]]&lt;50,2,3))</f>
        <v>2</v>
      </c>
      <c r="AF1261" s="10">
        <f>IF(Table1[[#This Row],[P/750]]&lt;Expenses!$C$30,1,IF(Table1[[#This Row],[P/750]]&lt;Expenses!$C$31,2,IF(Table1[[#This Row],[P/750]]&lt;Expenses!$C$32,3,4)))</f>
        <v>3</v>
      </c>
      <c r="AH1261" s="37" t="s">
        <v>1478</v>
      </c>
      <c r="AI1261" s="11">
        <f>Table1[[#This Row],[Price]]/Table1[[#This Row],[Size (ml)]]*750</f>
        <v>43.44</v>
      </c>
      <c r="AJ1261" s="37">
        <v>94</v>
      </c>
      <c r="AK1261" s="10">
        <f>COUNTIF(UniqueID!A:A,Table1[[#This Row],[ID]])</f>
        <v>0</v>
      </c>
      <c r="AL1261" s="10" t="str">
        <f>VLOOKUP(Table1[[#This Row],[Cellar Location]],Location!A:F,6,FALSE)</f>
        <v>W</v>
      </c>
      <c r="AN1261" s="1">
        <v>44064</v>
      </c>
      <c r="AO1261" s="10" t="str">
        <f>TEXT(Table1[[#This Row],[Purchased]],"mmmm")</f>
        <v>August</v>
      </c>
      <c r="AP1261" s="10" t="str">
        <f>TEXT(Table1[[#This Row],[Purchased]],"yyyy")</f>
        <v>2020</v>
      </c>
      <c r="AQ1261" s="1">
        <v>44114</v>
      </c>
    </row>
    <row r="1262" spans="1:43" s="37" customFormat="1" x14ac:dyDescent="0.25">
      <c r="A1262" s="37" t="str">
        <f t="shared" si="60"/>
        <v>2015GrattamaccoBlogheri Superiore</v>
      </c>
      <c r="B1262" s="37">
        <v>2015</v>
      </c>
      <c r="C1262" s="37" t="s">
        <v>1802</v>
      </c>
      <c r="D1262" s="37" t="s">
        <v>1745</v>
      </c>
      <c r="E1262" s="67" t="s">
        <v>1746</v>
      </c>
      <c r="F1262" s="37" t="s">
        <v>728</v>
      </c>
      <c r="G1262" s="37" t="s">
        <v>790</v>
      </c>
      <c r="H1262" s="37" t="s">
        <v>1336</v>
      </c>
      <c r="I1262" s="8">
        <v>1</v>
      </c>
      <c r="J1262" s="38">
        <v>750</v>
      </c>
      <c r="K1262" s="38" t="s">
        <v>435</v>
      </c>
      <c r="L1262" s="10">
        <f>COUNTIF(Drank!A:A,Table1[[#This Row],[ID]])</f>
        <v>0</v>
      </c>
      <c r="M1262" s="37" t="s">
        <v>202</v>
      </c>
      <c r="N1262" s="37" t="s">
        <v>207</v>
      </c>
      <c r="O1262" s="37">
        <v>1</v>
      </c>
      <c r="P1262" s="10">
        <v>2019</v>
      </c>
      <c r="Q1262" s="37">
        <v>2040</v>
      </c>
      <c r="R1262" s="10" t="str">
        <f>IF(IFERROR(VLOOKUP(A1262,Drank!A:S,15,FALSE),"")=0,"",IFERROR(VLOOKUP(A1262,Drank!A:S,15,FALSE),""))</f>
        <v/>
      </c>
      <c r="S1262" s="10" t="str">
        <f>IF(IFERROR(VLOOKUP(A1262,Drank!A:S,16,FALSE),"")=0,"",IFERROR(VLOOKUP(A1262,Drank!A:S,16,FALSE),""))</f>
        <v/>
      </c>
      <c r="T1262" s="10"/>
      <c r="U1262" s="37">
        <v>97</v>
      </c>
      <c r="V1262" s="18" t="str">
        <f>IF(IFERROR(VLOOKUP(A1262,Drank!A:T,19,FALSE),"")=0,"",IFERROR(VLOOKUP(A1262,Drank!A:T,19,FALSE),""))</f>
        <v/>
      </c>
      <c r="W1262" s="1" t="str">
        <f>IF(IFERROR(VLOOKUP(A1262,Drank!A:T,20,FALSE),"")=0,"",IFERROR(VLOOKUP(A1262,Drank!A:T,20,FALSE),""))</f>
        <v/>
      </c>
      <c r="X1262" s="10">
        <f>SUMIF(A:A,A1262,I:I)</f>
        <v>2</v>
      </c>
      <c r="Y1262" s="10">
        <f>IF(Table1[[#This Row],[Drank]]&gt;0,VLOOKUP(Table1[[#This Row],[ID]],Drank!A:P,16,FALSE),IF(Table1[[#This Row],[WALDD]]&gt;0,VLOOKUP(Table1[[#This Row],[ID]],Wine1!A:Q,17,FALSE),Table1[[#This Row],[EP]]))</f>
        <v>2040</v>
      </c>
      <c r="Z1262" s="18">
        <f>IF(Table1[[#This Row],[My Rating]]="",IF(Table1[[#This Row],[WA Rating Clean]]="","",Table1[[#This Row],[WA Rating Clean]]),Table1[[#This Row],[My Rating]])</f>
        <v>97</v>
      </c>
      <c r="AA1262" s="37">
        <v>2040</v>
      </c>
      <c r="AB1262" s="4">
        <v>67.989999999999995</v>
      </c>
      <c r="AC1262" s="2">
        <f t="shared" si="61"/>
        <v>67.989999999999995</v>
      </c>
      <c r="AD1262" s="8">
        <v>1</v>
      </c>
      <c r="AE1262" s="10">
        <f>IF(Table1[[#This Row],[P/750]]&lt;20,1,IF(Table1[[#This Row],[P/750]]&lt;50,2,3))</f>
        <v>3</v>
      </c>
      <c r="AF1262" s="10">
        <f>IF(Table1[[#This Row],[P/750]]&lt;Expenses!$C$30,1,IF(Table1[[#This Row],[P/750]]&lt;Expenses!$C$31,2,IF(Table1[[#This Row],[P/750]]&lt;Expenses!$C$32,3,4)))</f>
        <v>4</v>
      </c>
      <c r="AH1262" s="37" t="s">
        <v>1744</v>
      </c>
      <c r="AI1262" s="11">
        <f>Table1[[#This Row],[Price]]/Table1[[#This Row],[Size (ml)]]*750</f>
        <v>67.989999999999995</v>
      </c>
      <c r="AJ1262" s="37">
        <v>97</v>
      </c>
      <c r="AK1262" s="10">
        <f>COUNTIF(UniqueID!A:A,Table1[[#This Row],[ID]])</f>
        <v>0</v>
      </c>
      <c r="AL1262" s="10" t="str">
        <f>VLOOKUP(Table1[[#This Row],[Cellar Location]],Location!A:F,6,FALSE)</f>
        <v>W</v>
      </c>
      <c r="AN1262" s="1">
        <v>44063</v>
      </c>
      <c r="AO1262" s="10" t="str">
        <f>TEXT(Table1[[#This Row],[Purchased]],"mmmm")</f>
        <v>August</v>
      </c>
      <c r="AP1262" s="10" t="str">
        <f>TEXT(Table1[[#This Row],[Purchased]],"yyyy")</f>
        <v>2020</v>
      </c>
      <c r="AQ1262" s="1">
        <v>44114</v>
      </c>
    </row>
    <row r="1263" spans="1:43" s="37" customFormat="1" x14ac:dyDescent="0.25">
      <c r="A1263" s="37" t="str">
        <f t="shared" si="60"/>
        <v>2016Fattoria le PupilleSaffredi</v>
      </c>
      <c r="B1263" s="37">
        <v>2016</v>
      </c>
      <c r="C1263" s="37" t="s">
        <v>1474</v>
      </c>
      <c r="D1263" s="37" t="s">
        <v>1689</v>
      </c>
      <c r="E1263" s="67" t="s">
        <v>1690</v>
      </c>
      <c r="F1263" s="37" t="s">
        <v>728</v>
      </c>
      <c r="G1263" s="37" t="s">
        <v>790</v>
      </c>
      <c r="H1263" s="37" t="s">
        <v>796</v>
      </c>
      <c r="I1263" s="8">
        <v>1</v>
      </c>
      <c r="J1263" s="38">
        <v>750</v>
      </c>
      <c r="K1263" s="38" t="s">
        <v>1687</v>
      </c>
      <c r="L1263" s="10">
        <f>COUNTIF(Drank!A:A,Table1[[#This Row],[ID]])</f>
        <v>0</v>
      </c>
      <c r="M1263" s="37" t="s">
        <v>202</v>
      </c>
      <c r="N1263" s="37" t="s">
        <v>207</v>
      </c>
      <c r="O1263" s="37">
        <v>1</v>
      </c>
      <c r="P1263" s="37">
        <v>2020</v>
      </c>
      <c r="Q1263" s="37">
        <v>2040</v>
      </c>
      <c r="R1263" s="10" t="str">
        <f>IF(IFERROR(VLOOKUP(A1263,Drank!A:S,15,FALSE),"")=0,"",IFERROR(VLOOKUP(A1263,Drank!A:S,15,FALSE),""))</f>
        <v/>
      </c>
      <c r="S1263" s="10" t="str">
        <f>IF(IFERROR(VLOOKUP(A1263,Drank!A:S,16,FALSE),"")=0,"",IFERROR(VLOOKUP(A1263,Drank!A:S,16,FALSE),""))</f>
        <v/>
      </c>
      <c r="T1263" s="10"/>
      <c r="U1263" s="37">
        <v>98</v>
      </c>
      <c r="V1263" s="18" t="str">
        <f>IF(IFERROR(VLOOKUP(A1263,Drank!A:T,19,FALSE),"")=0,"",IFERROR(VLOOKUP(A1263,Drank!A:T,19,FALSE),""))</f>
        <v/>
      </c>
      <c r="W1263" s="1" t="str">
        <f>IF(IFERROR(VLOOKUP(A1263,Drank!A:T,20,FALSE),"")=0,"",IFERROR(VLOOKUP(A1263,Drank!A:T,20,FALSE),""))</f>
        <v/>
      </c>
      <c r="X1263" s="10">
        <f>SUMIF(A:A,A1263,I:I)</f>
        <v>2</v>
      </c>
      <c r="Y1263" s="10">
        <f>IF(Table1[[#This Row],[Drank]]&gt;0,VLOOKUP(Table1[[#This Row],[ID]],Drank!A:P,16,FALSE),IF(Table1[[#This Row],[WALDD]]&gt;0,VLOOKUP(Table1[[#This Row],[ID]],Wine1!A:Q,17,FALSE),Table1[[#This Row],[EP]]))</f>
        <v>2040</v>
      </c>
      <c r="Z1263" s="18">
        <f>IF(Table1[[#This Row],[My Rating]]="",IF(Table1[[#This Row],[WA Rating Clean]]="","",Table1[[#This Row],[WA Rating Clean]]),Table1[[#This Row],[My Rating]])</f>
        <v>98</v>
      </c>
      <c r="AA1263" s="8">
        <v>2040</v>
      </c>
      <c r="AB1263" s="4">
        <v>94.1</v>
      </c>
      <c r="AC1263" s="2">
        <f t="shared" si="61"/>
        <v>94.1</v>
      </c>
      <c r="AD1263" s="8">
        <v>1</v>
      </c>
      <c r="AE1263" s="10">
        <f>IF(Table1[[#This Row],[P/750]]&lt;20,1,IF(Table1[[#This Row],[P/750]]&lt;50,2,3))</f>
        <v>3</v>
      </c>
      <c r="AF1263" s="10">
        <f>IF(Table1[[#This Row],[P/750]]&lt;Expenses!$C$30,1,IF(Table1[[#This Row],[P/750]]&lt;Expenses!$C$31,2,IF(Table1[[#This Row],[P/750]]&lt;Expenses!$C$32,3,4)))</f>
        <v>4</v>
      </c>
      <c r="AH1263" s="37" t="s">
        <v>1189</v>
      </c>
      <c r="AI1263" s="11">
        <f>Table1[[#This Row],[Price]]/Table1[[#This Row],[Size (ml)]]*750</f>
        <v>94.100000000000009</v>
      </c>
      <c r="AJ1263" s="37">
        <v>98</v>
      </c>
      <c r="AK1263" s="10">
        <f>COUNTIF(UniqueID!A:A,Table1[[#This Row],[ID]])</f>
        <v>0</v>
      </c>
      <c r="AL1263" s="10" t="str">
        <f>VLOOKUP(Table1[[#This Row],[Cellar Location]],Location!A:F,6,FALSE)</f>
        <v>W</v>
      </c>
      <c r="AN1263" s="1">
        <v>44061</v>
      </c>
      <c r="AO1263" s="10" t="str">
        <f>TEXT(Table1[[#This Row],[Purchased]],"mmmm")</f>
        <v>August</v>
      </c>
      <c r="AP1263" s="10" t="str">
        <f>TEXT(Table1[[#This Row],[Purchased]],"yyyy")</f>
        <v>2020</v>
      </c>
      <c r="AQ1263" s="1">
        <v>44137</v>
      </c>
    </row>
    <row r="1264" spans="1:43" s="37" customFormat="1" x14ac:dyDescent="0.25">
      <c r="A1264" s="37" t="str">
        <f t="shared" si="60"/>
        <v>2015UccellieraBrunello di Montalcino</v>
      </c>
      <c r="B1264" s="37">
        <v>2015</v>
      </c>
      <c r="C1264" s="37" t="s">
        <v>1470</v>
      </c>
      <c r="D1264" s="37" t="s">
        <v>19</v>
      </c>
      <c r="E1264" s="67" t="s">
        <v>1250</v>
      </c>
      <c r="F1264" s="37" t="s">
        <v>728</v>
      </c>
      <c r="G1264" s="37" t="s">
        <v>790</v>
      </c>
      <c r="H1264" s="37" t="s">
        <v>19</v>
      </c>
      <c r="I1264" s="37">
        <v>1</v>
      </c>
      <c r="J1264" s="38">
        <v>750</v>
      </c>
      <c r="K1264" s="38" t="s">
        <v>415</v>
      </c>
      <c r="L1264" s="10">
        <f>COUNTIF(Drank!A:A,Table1[[#This Row],[ID]])</f>
        <v>0</v>
      </c>
      <c r="M1264" s="37" t="s">
        <v>202</v>
      </c>
      <c r="N1264" s="37" t="s">
        <v>206</v>
      </c>
      <c r="O1264" s="37">
        <v>1</v>
      </c>
      <c r="P1264" s="10">
        <v>2021</v>
      </c>
      <c r="Q1264" s="37">
        <v>2040</v>
      </c>
      <c r="R1264" s="10" t="str">
        <f>IF(IFERROR(VLOOKUP(A1264,Drank!A:S,15,FALSE),"")=0,"",IFERROR(VLOOKUP(A1264,Drank!A:S,15,FALSE),""))</f>
        <v/>
      </c>
      <c r="S1264" s="10" t="str">
        <f>IF(IFERROR(VLOOKUP(A1264,Drank!A:S,16,FALSE),"")=0,"",IFERROR(VLOOKUP(A1264,Drank!A:S,16,FALSE),""))</f>
        <v/>
      </c>
      <c r="T1264" s="10"/>
      <c r="U1264" s="37">
        <v>97</v>
      </c>
      <c r="V1264" s="18" t="str">
        <f>IF(IFERROR(VLOOKUP(A1264,Drank!A:T,19,FALSE),"")=0,"",IFERROR(VLOOKUP(A1264,Drank!A:T,19,FALSE),""))</f>
        <v/>
      </c>
      <c r="W1264" s="1" t="str">
        <f>IF(IFERROR(VLOOKUP(A1264,Drank!A:T,20,FALSE),"")=0,"",IFERROR(VLOOKUP(A1264,Drank!A:T,20,FALSE),""))</f>
        <v/>
      </c>
      <c r="X1264" s="10">
        <f>SUMIF(A:A,A1264,I:I)</f>
        <v>3</v>
      </c>
      <c r="Y1264" s="10">
        <f>IF(Table1[[#This Row],[Drank]]&gt;0,VLOOKUP(Table1[[#This Row],[ID]],Drank!A:P,16,FALSE),IF(Table1[[#This Row],[WALDD]]&gt;0,VLOOKUP(Table1[[#This Row],[ID]],Wine1!A:Q,17,FALSE),Table1[[#This Row],[EP]]))</f>
        <v>2040</v>
      </c>
      <c r="Z1264" s="18">
        <f>IF(Table1[[#This Row],[My Rating]]="",IF(Table1[[#This Row],[WA Rating Clean]]="","",Table1[[#This Row],[WA Rating Clean]]),Table1[[#This Row],[My Rating]])</f>
        <v>97</v>
      </c>
      <c r="AA1264" s="6">
        <v>2040</v>
      </c>
      <c r="AB1264" s="4">
        <v>62.99</v>
      </c>
      <c r="AC1264" s="2">
        <f t="shared" si="61"/>
        <v>62.99</v>
      </c>
      <c r="AD1264" s="8">
        <v>1</v>
      </c>
      <c r="AE1264" s="10">
        <f>IF(Table1[[#This Row],[P/750]]&lt;20,1,IF(Table1[[#This Row],[P/750]]&lt;50,2,3))</f>
        <v>3</v>
      </c>
      <c r="AF1264" s="10">
        <f>IF(Table1[[#This Row],[P/750]]&lt;Expenses!$C$30,1,IF(Table1[[#This Row],[P/750]]&lt;Expenses!$C$31,2,IF(Table1[[#This Row],[P/750]]&lt;Expenses!$C$32,3,4)))</f>
        <v>3</v>
      </c>
      <c r="AH1264" s="37" t="s">
        <v>415</v>
      </c>
      <c r="AI1264" s="11">
        <f>Table1[[#This Row],[Price]]/Table1[[#This Row],[Size (ml)]]*750</f>
        <v>62.99</v>
      </c>
      <c r="AJ1264" s="37">
        <v>97</v>
      </c>
      <c r="AK1264" s="10">
        <f>COUNTIF(UniqueID!A:A,Table1[[#This Row],[ID]])</f>
        <v>0</v>
      </c>
      <c r="AL1264" s="10" t="str">
        <f>VLOOKUP(Table1[[#This Row],[Cellar Location]],Location!A:F,6,FALSE)</f>
        <v>W</v>
      </c>
      <c r="AN1264" s="1">
        <v>44015</v>
      </c>
      <c r="AO1264" s="10" t="str">
        <f>TEXT(Table1[[#This Row],[Purchased]],"mmmm")</f>
        <v>July</v>
      </c>
      <c r="AP1264" s="10" t="str">
        <f>TEXT(Table1[[#This Row],[Purchased]],"yyyy")</f>
        <v>2020</v>
      </c>
      <c r="AQ1264" s="1">
        <v>44114</v>
      </c>
    </row>
    <row r="1265" spans="1:43" s="37" customFormat="1" x14ac:dyDescent="0.25">
      <c r="A1265" s="37" t="str">
        <f t="shared" si="60"/>
        <v>2009Chateau La Tour BlancheLa Tour Blanche</v>
      </c>
      <c r="B1265" s="37">
        <v>2009</v>
      </c>
      <c r="C1265" s="9" t="s">
        <v>1208</v>
      </c>
      <c r="D1265" s="9" t="s">
        <v>216</v>
      </c>
      <c r="E1265" s="69" t="s">
        <v>1215</v>
      </c>
      <c r="F1265" s="37" t="s">
        <v>742</v>
      </c>
      <c r="G1265" s="37" t="s">
        <v>748</v>
      </c>
      <c r="H1265" s="37" t="s">
        <v>260</v>
      </c>
      <c r="I1265" s="107">
        <v>1</v>
      </c>
      <c r="J1265" s="37">
        <v>375</v>
      </c>
      <c r="K1265" s="107" t="s">
        <v>628</v>
      </c>
      <c r="L1265" s="37">
        <f>COUNTIF(Drank!A:A,Table1[[#This Row],[ID]])</f>
        <v>4</v>
      </c>
      <c r="M1265" s="37" t="s">
        <v>201</v>
      </c>
      <c r="N1265" s="37" t="s">
        <v>206</v>
      </c>
      <c r="O1265" s="37">
        <v>1</v>
      </c>
      <c r="P1265" s="37">
        <v>2019</v>
      </c>
      <c r="Q1265" s="37">
        <v>2042</v>
      </c>
      <c r="R1265" s="37">
        <f>IF(IFERROR(VLOOKUP(A1265,Drank!A:S,15,FALSE),"")=0,"",IFERROR(VLOOKUP(A1265,Drank!A:S,15,FALSE),""))</f>
        <v>2020</v>
      </c>
      <c r="S1265" s="37">
        <f>IF(IFERROR(VLOOKUP(A1265,Drank!A:S,16,FALSE),"")=0,"",IFERROR(VLOOKUP(A1265,Drank!A:S,16,FALSE),""))</f>
        <v>2040</v>
      </c>
      <c r="U1265" s="37">
        <v>93</v>
      </c>
      <c r="V1265" s="18">
        <f>IF(IFERROR(VLOOKUP(A1265,Drank!A:T,19,FALSE),"")=0,"",IFERROR(VLOOKUP(A1265,Drank!A:T,19,FALSE),""))</f>
        <v>92.25</v>
      </c>
      <c r="W1265" s="1">
        <f>IF(IFERROR(VLOOKUP(A1265,Drank!A:T,20,FALSE),"")=0,"",IFERROR(VLOOKUP(A1265,Drank!A:T,20,FALSE),""))</f>
        <v>43646</v>
      </c>
      <c r="X1265" s="37">
        <f>SUMIF(A:A,A1265,I:I)</f>
        <v>9</v>
      </c>
      <c r="Y1265" s="37">
        <f>IF(Table1[[#This Row],[Drank]]&gt;0,VLOOKUP(Table1[[#This Row],[ID]],Drank!A:P,16,FALSE),IF(Table1[[#This Row],[WALDD]]&gt;0,VLOOKUP(Table1[[#This Row],[ID]],Wine1!A:Q,17,FALSE),Table1[[#This Row],[EP]]))</f>
        <v>2040</v>
      </c>
      <c r="Z1265" s="18">
        <f>IF(Table1[[#This Row],[My Rating]]="",IF(Table1[[#This Row],[WA Rating Clean]]="","",Table1[[#This Row],[WA Rating Clean]]),Table1[[#This Row],[My Rating]])</f>
        <v>92.25</v>
      </c>
      <c r="AA1265" s="37">
        <v>2040</v>
      </c>
      <c r="AB1265" s="4">
        <v>20.99</v>
      </c>
      <c r="AC1265" s="2">
        <f t="shared" si="61"/>
        <v>20.99</v>
      </c>
      <c r="AD1265" s="8">
        <v>2</v>
      </c>
      <c r="AE1265" s="37">
        <f>IF(Table1[[#This Row],[P/750]]&lt;20,1,IF(Table1[[#This Row],[P/750]]&lt;50,2,3))</f>
        <v>2</v>
      </c>
      <c r="AF1265" s="37">
        <f>IF(Table1[[#This Row],[P/750]]&lt;Expenses!$C$30,1,IF(Table1[[#This Row],[P/750]]&lt;Expenses!$C$31,2,IF(Table1[[#This Row],[P/750]]&lt;Expenses!$C$32,3,4)))</f>
        <v>3</v>
      </c>
      <c r="AH1265" s="37" t="s">
        <v>385</v>
      </c>
      <c r="AI1265" s="11">
        <f>Table1[[#This Row],[Price]]/Table1[[#This Row],[Size (ml)]]*750</f>
        <v>41.98</v>
      </c>
      <c r="AJ1265" s="37">
        <v>93</v>
      </c>
      <c r="AK1265" s="37">
        <f>COUNTIF(UniqueID!A:A,Table1[[#This Row],[ID]])</f>
        <v>1</v>
      </c>
      <c r="AL1265" s="37" t="str">
        <f>VLOOKUP(Table1[[#This Row],[Cellar Location]],Location!A:F,6,FALSE)</f>
        <v>S</v>
      </c>
      <c r="AO1265" s="37" t="str">
        <f>TEXT(Table1[[#This Row],[Purchased]],"mmmm")</f>
        <v>January</v>
      </c>
      <c r="AP1265" s="10" t="str">
        <f>TEXT(Table1[[#This Row],[Purchased]],"yyyy")</f>
        <v>1900</v>
      </c>
      <c r="AQ1265" s="10"/>
    </row>
    <row r="1266" spans="1:43" s="37" customFormat="1" x14ac:dyDescent="0.25">
      <c r="A1266" s="37" t="str">
        <f t="shared" si="60"/>
        <v>2016CoutetCoutet</v>
      </c>
      <c r="B1266" s="37">
        <v>2016</v>
      </c>
      <c r="C1266" s="37" t="s">
        <v>847</v>
      </c>
      <c r="D1266" s="37" t="s">
        <v>847</v>
      </c>
      <c r="E1266" s="64" t="s">
        <v>260</v>
      </c>
      <c r="F1266" s="37" t="s">
        <v>742</v>
      </c>
      <c r="G1266" s="37" t="s">
        <v>748</v>
      </c>
      <c r="H1266" s="37" t="s">
        <v>753</v>
      </c>
      <c r="I1266" s="37">
        <v>1</v>
      </c>
      <c r="J1266" s="37">
        <v>375</v>
      </c>
      <c r="K1266" s="8" t="s">
        <v>658</v>
      </c>
      <c r="L1266" s="10">
        <f>COUNTIF(Drank!A:A,Table1[[#This Row],[ID]])</f>
        <v>0</v>
      </c>
      <c r="M1266" s="37" t="s">
        <v>201</v>
      </c>
      <c r="N1266" s="37" t="s">
        <v>206</v>
      </c>
      <c r="O1266" s="37">
        <v>1</v>
      </c>
      <c r="P1266" s="10">
        <v>2021</v>
      </c>
      <c r="Q1266" s="37">
        <v>2044</v>
      </c>
      <c r="R1266" s="10" t="str">
        <f>IF(IFERROR(VLOOKUP(A1266,Drank!A:S,15,FALSE),"")=0,"",IFERROR(VLOOKUP(A1266,Drank!A:S,15,FALSE),""))</f>
        <v/>
      </c>
      <c r="S1266" s="10" t="str">
        <f>IF(IFERROR(VLOOKUP(A1266,Drank!A:S,16,FALSE),"")=0,"",IFERROR(VLOOKUP(A1266,Drank!A:S,16,FALSE),""))</f>
        <v/>
      </c>
      <c r="T1266" s="10"/>
      <c r="U1266" s="37">
        <v>95</v>
      </c>
      <c r="V1266" s="18" t="str">
        <f>IF(IFERROR(VLOOKUP(A1266,Drank!A:T,19,FALSE),"")=0,"",IFERROR(VLOOKUP(A1266,Drank!A:T,19,FALSE),""))</f>
        <v/>
      </c>
      <c r="W1266" s="1" t="str">
        <f>IF(IFERROR(VLOOKUP(A1266,Drank!A:T,20,FALSE),"")=0,"",IFERROR(VLOOKUP(A1266,Drank!A:T,20,FALSE),""))</f>
        <v/>
      </c>
      <c r="X1266" s="10">
        <f>SUMIF(A:A,A1266,I:I)</f>
        <v>3</v>
      </c>
      <c r="Y1266" s="10">
        <f>IF(Table1[[#This Row],[Drank]]&gt;0,VLOOKUP(Table1[[#This Row],[ID]],Drank!A:P,16,FALSE),IF(Table1[[#This Row],[WALDD]]&gt;0,VLOOKUP(Table1[[#This Row],[ID]],Wine1!A:Q,17,FALSE),Table1[[#This Row],[EP]]))</f>
        <v>2044</v>
      </c>
      <c r="Z1266" s="18">
        <f>IF(Table1[[#This Row],[My Rating]]="",IF(Table1[[#This Row],[WA Rating Clean]]="","",Table1[[#This Row],[WA Rating Clean]]),Table1[[#This Row],[My Rating]])</f>
        <v>95</v>
      </c>
      <c r="AA1266" s="37">
        <v>2040</v>
      </c>
      <c r="AB1266" s="4">
        <v>21.99</v>
      </c>
      <c r="AC1266" s="2">
        <f t="shared" si="61"/>
        <v>21.99</v>
      </c>
      <c r="AD1266" s="8">
        <v>0</v>
      </c>
      <c r="AE1266" s="10">
        <f>IF(Table1[[#This Row],[P/750]]&lt;20,1,IF(Table1[[#This Row],[P/750]]&lt;50,2,3))</f>
        <v>2</v>
      </c>
      <c r="AF1266" s="10">
        <f>IF(Table1[[#This Row],[P/750]]&lt;Expenses!$C$30,1,IF(Table1[[#This Row],[P/750]]&lt;Expenses!$C$31,2,IF(Table1[[#This Row],[P/750]]&lt;Expenses!$C$32,3,4)))</f>
        <v>3</v>
      </c>
      <c r="AH1266" s="37" t="s">
        <v>1139</v>
      </c>
      <c r="AI1266" s="11">
        <f>Table1[[#This Row],[Price]]/Table1[[#This Row],[Size (ml)]]*750</f>
        <v>43.98</v>
      </c>
      <c r="AJ1266" s="37">
        <v>95</v>
      </c>
      <c r="AK1266" s="10">
        <f>COUNTIF(UniqueID!A:A,Table1[[#This Row],[ID]])</f>
        <v>1</v>
      </c>
      <c r="AL1266" s="37" t="str">
        <f>VLOOKUP(Table1[[#This Row],[Cellar Location]],Location!A:F,6,FALSE)</f>
        <v>C</v>
      </c>
      <c r="AO1266" s="37" t="str">
        <f>TEXT(Table1[[#This Row],[Purchased]],"mmmm")</f>
        <v>January</v>
      </c>
      <c r="AP1266" s="10" t="str">
        <f>TEXT(Table1[[#This Row],[Purchased]],"yyyy")</f>
        <v>1900</v>
      </c>
      <c r="AQ1266" s="10"/>
    </row>
    <row r="1267" spans="1:43" s="37" customFormat="1" x14ac:dyDescent="0.25">
      <c r="A1267" s="8" t="str">
        <f t="shared" si="60"/>
        <v>2015Il PoggioneBrunello di Montalcino</v>
      </c>
      <c r="B1267" s="8">
        <v>2015</v>
      </c>
      <c r="C1267" s="37" t="s">
        <v>1124</v>
      </c>
      <c r="D1267" s="8" t="s">
        <v>19</v>
      </c>
      <c r="E1267" s="67" t="s">
        <v>1250</v>
      </c>
      <c r="F1267" s="37" t="s">
        <v>728</v>
      </c>
      <c r="G1267" s="37" t="s">
        <v>790</v>
      </c>
      <c r="H1267" s="37" t="s">
        <v>19</v>
      </c>
      <c r="I1267" s="107">
        <v>1</v>
      </c>
      <c r="J1267" s="37">
        <v>750</v>
      </c>
      <c r="K1267" s="107" t="s">
        <v>590</v>
      </c>
      <c r="L1267" s="10">
        <f>COUNTIF(Drank!A:A,Table1[[#This Row],[ID]])</f>
        <v>0</v>
      </c>
      <c r="M1267" s="37" t="s">
        <v>202</v>
      </c>
      <c r="N1267" s="37" t="s">
        <v>207</v>
      </c>
      <c r="O1267" s="37">
        <v>1</v>
      </c>
      <c r="P1267" s="37">
        <v>2021</v>
      </c>
      <c r="Q1267" s="37">
        <v>2045</v>
      </c>
      <c r="R1267" s="10" t="str">
        <f>IF(IFERROR(VLOOKUP(A1267,Drank!A:S,15,FALSE),"")=0,"",IFERROR(VLOOKUP(A1267,Drank!A:S,15,FALSE),""))</f>
        <v/>
      </c>
      <c r="S1267" s="10" t="str">
        <f>IF(IFERROR(VLOOKUP(A1267,Drank!A:S,16,FALSE),"")=0,"",IFERROR(VLOOKUP(A1267,Drank!A:S,16,FALSE),""))</f>
        <v/>
      </c>
      <c r="T1267" s="10"/>
      <c r="U1267" s="37">
        <v>97</v>
      </c>
      <c r="V1267" s="18" t="str">
        <f>IF(IFERROR(VLOOKUP(A1267,Drank!A:T,19,FALSE),"")=0,"",IFERROR(VLOOKUP(A1267,Drank!A:T,19,FALSE),""))</f>
        <v/>
      </c>
      <c r="W1267" s="1" t="str">
        <f>IF(IFERROR(VLOOKUP(A1267,Drank!A:T,20,FALSE),"")=0,"",IFERROR(VLOOKUP(A1267,Drank!A:T,20,FALSE),""))</f>
        <v/>
      </c>
      <c r="X1267" s="10">
        <f>SUMIF(A:A,A1267,I:I)</f>
        <v>6</v>
      </c>
      <c r="Y1267" s="10">
        <f>IF(Table1[[#This Row],[Drank]]&gt;0,VLOOKUP(Table1[[#This Row],[ID]],Drank!A:P,16,FALSE),IF(Table1[[#This Row],[WALDD]]&gt;0,VLOOKUP(Table1[[#This Row],[ID]],Wine1!A:Q,17,FALSE),Table1[[#This Row],[EP]]))</f>
        <v>2045</v>
      </c>
      <c r="Z1267" s="18">
        <f>IF(Table1[[#This Row],[My Rating]]="",IF(Table1[[#This Row],[WA Rating Clean]]="","",Table1[[#This Row],[WA Rating Clean]]),Table1[[#This Row],[My Rating]])</f>
        <v>97</v>
      </c>
      <c r="AA1267" s="6">
        <v>2040</v>
      </c>
      <c r="AB1267" s="4">
        <v>73.849999999999994</v>
      </c>
      <c r="AC1267" s="2">
        <f t="shared" si="61"/>
        <v>73.849999999999994</v>
      </c>
      <c r="AD1267" s="8">
        <v>2</v>
      </c>
      <c r="AE1267" s="10">
        <f>IF(Table1[[#This Row],[P/750]]&lt;20,1,IF(Table1[[#This Row],[P/750]]&lt;50,2,3))</f>
        <v>3</v>
      </c>
      <c r="AF1267" s="10">
        <f>IF(Table1[[#This Row],[P/750]]&lt;Expenses!$C$30,1,IF(Table1[[#This Row],[P/750]]&lt;Expenses!$C$31,2,IF(Table1[[#This Row],[P/750]]&lt;Expenses!$C$32,3,4)))</f>
        <v>4</v>
      </c>
      <c r="AH1267" s="37" t="s">
        <v>1478</v>
      </c>
      <c r="AI1267" s="11">
        <f>Table1[[#This Row],[Price]]/Table1[[#This Row],[Size (ml)]]*750</f>
        <v>73.849999999999994</v>
      </c>
      <c r="AJ1267" s="37">
        <v>97</v>
      </c>
      <c r="AK1267" s="10">
        <f>COUNTIF(UniqueID!A:A,Table1[[#This Row],[ID]])</f>
        <v>0</v>
      </c>
      <c r="AL1267" s="10" t="str">
        <f>VLOOKUP(Table1[[#This Row],[Cellar Location]],Location!A:F,6,FALSE)</f>
        <v>S</v>
      </c>
      <c r="AN1267" s="1">
        <v>44019</v>
      </c>
      <c r="AO1267" s="10" t="str">
        <f>TEXT(Table1[[#This Row],[Purchased]],"mmmm")</f>
        <v>July</v>
      </c>
      <c r="AP1267" s="10" t="str">
        <f>TEXT(Table1[[#This Row],[Purchased]],"yyyy")</f>
        <v>2020</v>
      </c>
      <c r="AQ1267" s="10"/>
    </row>
    <row r="1268" spans="1:43" s="37" customFormat="1" x14ac:dyDescent="0.25">
      <c r="A1268" s="37" t="str">
        <f t="shared" si="60"/>
        <v>2016FelsinaFontalloro</v>
      </c>
      <c r="B1268" s="37">
        <v>2016</v>
      </c>
      <c r="C1268" s="37" t="s">
        <v>795</v>
      </c>
      <c r="D1268" s="37" t="s">
        <v>387</v>
      </c>
      <c r="E1268" s="67" t="s">
        <v>1250</v>
      </c>
      <c r="F1268" s="37" t="s">
        <v>728</v>
      </c>
      <c r="G1268" s="37" t="s">
        <v>790</v>
      </c>
      <c r="H1268" s="37" t="s">
        <v>796</v>
      </c>
      <c r="I1268" s="107">
        <v>1</v>
      </c>
      <c r="J1268" s="37">
        <v>750</v>
      </c>
      <c r="K1268" s="107" t="s">
        <v>928</v>
      </c>
      <c r="L1268" s="10">
        <f>COUNTIF(Drank!A:A,Table1[[#This Row],[ID]])</f>
        <v>1</v>
      </c>
      <c r="M1268" s="37" t="s">
        <v>202</v>
      </c>
      <c r="N1268" s="37" t="s">
        <v>207</v>
      </c>
      <c r="O1268" s="37">
        <v>1</v>
      </c>
      <c r="P1268" s="10">
        <v>2021</v>
      </c>
      <c r="Q1268" s="37">
        <v>2045</v>
      </c>
      <c r="R1268" s="10" t="str">
        <f>IF(IFERROR(VLOOKUP(A1268,Drank!A:S,15,FALSE),"")=0,"",IFERROR(VLOOKUP(A1268,Drank!A:S,15,FALSE),""))</f>
        <v/>
      </c>
      <c r="S1268" s="10" t="str">
        <f>IF(IFERROR(VLOOKUP(A1268,Drank!A:S,16,FALSE),"")=0,"",IFERROR(VLOOKUP(A1268,Drank!A:S,16,FALSE),""))</f>
        <v/>
      </c>
      <c r="T1268" s="10"/>
      <c r="U1268" s="37" t="s">
        <v>852</v>
      </c>
      <c r="V1268" s="18">
        <f>IF(IFERROR(VLOOKUP(A1268,Drank!A:T,19,FALSE),"")=0,"",IFERROR(VLOOKUP(A1268,Drank!A:T,19,FALSE),""))</f>
        <v>94</v>
      </c>
      <c r="W1268" s="1">
        <f>IF(IFERROR(VLOOKUP(A1268,Drank!A:T,20,FALSE),"")=0,"",IFERROR(VLOOKUP(A1268,Drank!A:T,20,FALSE),""))</f>
        <v>44074</v>
      </c>
      <c r="X1268" s="10">
        <f>SUMIF(A:A,A1268,I:I)</f>
        <v>6</v>
      </c>
      <c r="Y1268" s="10">
        <f>IF(Table1[[#This Row],[Drank]]&gt;0,VLOOKUP(Table1[[#This Row],[ID]],Drank!A:P,16,FALSE),IF(Table1[[#This Row],[WALDD]]&gt;0,VLOOKUP(Table1[[#This Row],[ID]],Wine1!A:Q,17,FALSE),Table1[[#This Row],[EP]]))</f>
        <v>0</v>
      </c>
      <c r="Z1268" s="18">
        <f>IF(Table1[[#This Row],[My Rating]]="",IF(Table1[[#This Row],[WA Rating Clean]]="","",Table1[[#This Row],[WA Rating Clean]]),Table1[[#This Row],[My Rating]])</f>
        <v>94</v>
      </c>
      <c r="AA1268" s="6">
        <v>2040</v>
      </c>
      <c r="AB1268" s="4">
        <v>69.989999999999995</v>
      </c>
      <c r="AC1268" s="2">
        <f t="shared" si="61"/>
        <v>69.989999999999995</v>
      </c>
      <c r="AD1268" s="8">
        <v>2</v>
      </c>
      <c r="AE1268" s="10">
        <f>IF(Table1[[#This Row],[P/750]]&lt;20,1,IF(Table1[[#This Row],[P/750]]&lt;50,2,3))</f>
        <v>3</v>
      </c>
      <c r="AF1268" s="10">
        <f>IF(Table1[[#This Row],[P/750]]&lt;Expenses!$C$30,1,IF(Table1[[#This Row],[P/750]]&lt;Expenses!$C$31,2,IF(Table1[[#This Row],[P/750]]&lt;Expenses!$C$32,3,4)))</f>
        <v>4</v>
      </c>
      <c r="AH1268" s="37" t="s">
        <v>1139</v>
      </c>
      <c r="AI1268" s="11">
        <f>Table1[[#This Row],[Price]]/Table1[[#This Row],[Size (ml)]]*750</f>
        <v>69.989999999999995</v>
      </c>
      <c r="AJ1268" s="37">
        <v>98</v>
      </c>
      <c r="AK1268" s="10">
        <f>COUNTIF(UniqueID!A:A,Table1[[#This Row],[ID]])</f>
        <v>0</v>
      </c>
      <c r="AL1268" s="37" t="str">
        <f>VLOOKUP(Table1[[#This Row],[Cellar Location]],Location!A:F,6,FALSE)</f>
        <v>S</v>
      </c>
      <c r="AO1268" s="37" t="str">
        <f>TEXT(Table1[[#This Row],[Purchased]],"mmmm")</f>
        <v>January</v>
      </c>
      <c r="AP1268" s="10" t="str">
        <f>TEXT(Table1[[#This Row],[Purchased]],"yyyy")</f>
        <v>1900</v>
      </c>
      <c r="AQ1268" s="10"/>
    </row>
    <row r="1269" spans="1:43" s="37" customFormat="1" x14ac:dyDescent="0.25">
      <c r="A1269" s="37" t="str">
        <f t="shared" si="60"/>
        <v>2014Produttori del BarbarescoBarbaresco Riserva Ovello</v>
      </c>
      <c r="B1269" s="37">
        <v>2014</v>
      </c>
      <c r="C1269" s="37" t="s">
        <v>248</v>
      </c>
      <c r="D1269" s="37" t="s">
        <v>1136</v>
      </c>
      <c r="E1269" s="67" t="s">
        <v>1206</v>
      </c>
      <c r="F1269" s="37" t="s">
        <v>728</v>
      </c>
      <c r="G1269" s="37" t="s">
        <v>778</v>
      </c>
      <c r="H1269" s="37" t="s">
        <v>249</v>
      </c>
      <c r="I1269" s="107">
        <v>1</v>
      </c>
      <c r="J1269" s="37">
        <v>750</v>
      </c>
      <c r="K1269" s="107" t="s">
        <v>1133</v>
      </c>
      <c r="L1269" s="10">
        <f>COUNTIF(Drank!A:A,Table1[[#This Row],[ID]])</f>
        <v>0</v>
      </c>
      <c r="M1269" s="37" t="s">
        <v>202</v>
      </c>
      <c r="N1269" s="37" t="s">
        <v>207</v>
      </c>
      <c r="O1269" s="37">
        <v>1</v>
      </c>
      <c r="P1269" s="10">
        <v>2021</v>
      </c>
      <c r="Q1269" s="37">
        <v>2045</v>
      </c>
      <c r="R1269" s="10" t="str">
        <f>IF(IFERROR(VLOOKUP(A1269,Drank!A:S,15,FALSE),"")=0,"",IFERROR(VLOOKUP(A1269,Drank!A:S,15,FALSE),""))</f>
        <v/>
      </c>
      <c r="S1269" s="10" t="str">
        <f>IF(IFERROR(VLOOKUP(A1269,Drank!A:S,16,FALSE),"")=0,"",IFERROR(VLOOKUP(A1269,Drank!A:S,16,FALSE),""))</f>
        <v/>
      </c>
      <c r="T1269" s="10"/>
      <c r="U1269" s="37">
        <v>95</v>
      </c>
      <c r="V1269" s="18" t="str">
        <f>IF(IFERROR(VLOOKUP(A1269,Drank!A:T,19,FALSE),"")=0,"",IFERROR(VLOOKUP(A1269,Drank!A:T,19,FALSE),""))</f>
        <v/>
      </c>
      <c r="W1269" s="1" t="str">
        <f>IF(IFERROR(VLOOKUP(A1269,Drank!A:T,20,FALSE),"")=0,"",IFERROR(VLOOKUP(A1269,Drank!A:T,20,FALSE),""))</f>
        <v/>
      </c>
      <c r="X1269" s="10">
        <f>SUMIF(A:A,A1269,I:I)</f>
        <v>1</v>
      </c>
      <c r="Y1269" s="10">
        <f>IF(Table1[[#This Row],[Drank]]&gt;0,VLOOKUP(Table1[[#This Row],[ID]],Drank!A:P,16,FALSE),IF(Table1[[#This Row],[WALDD]]&gt;0,VLOOKUP(Table1[[#This Row],[ID]],Wine1!A:Q,17,FALSE),Table1[[#This Row],[EP]]))</f>
        <v>2045</v>
      </c>
      <c r="Z1269" s="18">
        <f>IF(Table1[[#This Row],[My Rating]]="",IF(Table1[[#This Row],[WA Rating Clean]]="","",Table1[[#This Row],[WA Rating Clean]]),Table1[[#This Row],[My Rating]])</f>
        <v>95</v>
      </c>
      <c r="AA1269" s="37">
        <v>2040</v>
      </c>
      <c r="AB1269" s="4">
        <v>49.49</v>
      </c>
      <c r="AC1269" s="2">
        <f t="shared" si="61"/>
        <v>49.49</v>
      </c>
      <c r="AD1269" s="8">
        <v>2</v>
      </c>
      <c r="AE1269" s="10">
        <f>IF(Table1[[#This Row],[P/750]]&lt;20,1,IF(Table1[[#This Row],[P/750]]&lt;50,2,3))</f>
        <v>2</v>
      </c>
      <c r="AF1269" s="10">
        <f>IF(Table1[[#This Row],[P/750]]&lt;Expenses!$C$30,1,IF(Table1[[#This Row],[P/750]]&lt;Expenses!$C$31,2,IF(Table1[[#This Row],[P/750]]&lt;Expenses!$C$32,3,4)))</f>
        <v>3</v>
      </c>
      <c r="AH1269" s="37" t="s">
        <v>1132</v>
      </c>
      <c r="AI1269" s="11">
        <f>Table1[[#This Row],[Price]]/Table1[[#This Row],[Size (ml)]]*750</f>
        <v>49.49</v>
      </c>
      <c r="AJ1269" s="37">
        <v>95</v>
      </c>
      <c r="AK1269" s="10">
        <f>COUNTIF(UniqueID!A:A,Table1[[#This Row],[ID]])</f>
        <v>1</v>
      </c>
      <c r="AL1269" s="10" t="str">
        <f>VLOOKUP(Table1[[#This Row],[Cellar Location]],Location!A:F,6,FALSE)</f>
        <v>S</v>
      </c>
      <c r="AN1269" s="1">
        <v>43833</v>
      </c>
      <c r="AO1269" s="37" t="str">
        <f>TEXT(Table1[[#This Row],[Purchased]],"mmmm")</f>
        <v>January</v>
      </c>
      <c r="AP1269" s="10" t="str">
        <f>TEXT(Table1[[#This Row],[Purchased]],"yyyy")</f>
        <v>2020</v>
      </c>
      <c r="AQ1269" s="10"/>
    </row>
    <row r="1270" spans="1:43" s="37" customFormat="1" x14ac:dyDescent="0.25">
      <c r="A1270" s="37" t="str">
        <f t="shared" si="60"/>
        <v>NVAlvearPedro Ximenez Solera 1927</v>
      </c>
      <c r="B1270" s="37" t="s">
        <v>167</v>
      </c>
      <c r="C1270" s="37" t="s">
        <v>1654</v>
      </c>
      <c r="D1270" s="21" t="s">
        <v>1655</v>
      </c>
      <c r="E1270" s="67" t="s">
        <v>1469</v>
      </c>
      <c r="F1270" s="37" t="s">
        <v>729</v>
      </c>
      <c r="G1270" s="37" t="s">
        <v>809</v>
      </c>
      <c r="H1270" s="37" t="s">
        <v>810</v>
      </c>
      <c r="I1270" s="37">
        <v>1</v>
      </c>
      <c r="J1270" s="37">
        <v>375</v>
      </c>
      <c r="K1270" s="8" t="s">
        <v>236</v>
      </c>
      <c r="L1270" s="10">
        <f>COUNTIF(Drank!A:A,Table1[[#This Row],[ID]])</f>
        <v>0</v>
      </c>
      <c r="M1270" s="37" t="s">
        <v>201</v>
      </c>
      <c r="N1270" s="37" t="s">
        <v>206</v>
      </c>
      <c r="O1270" s="37">
        <v>1</v>
      </c>
      <c r="P1270" s="37">
        <v>2016</v>
      </c>
      <c r="Q1270" s="37">
        <v>2050</v>
      </c>
      <c r="R1270" s="10" t="str">
        <f>IF(IFERROR(VLOOKUP(A1270,Drank!A:S,15,FALSE),"")=0,"",IFERROR(VLOOKUP(A1270,Drank!A:S,15,FALSE),""))</f>
        <v/>
      </c>
      <c r="S1270" s="10" t="str">
        <f>IF(IFERROR(VLOOKUP(A1270,Drank!A:S,16,FALSE),"")=0,"",IFERROR(VLOOKUP(A1270,Drank!A:S,16,FALSE),""))</f>
        <v/>
      </c>
      <c r="T1270" s="10">
        <v>98</v>
      </c>
      <c r="V1270" s="18" t="str">
        <f>IF(IFERROR(VLOOKUP(A1270,Drank!A:T,19,FALSE),"")=0,"",IFERROR(VLOOKUP(A1270,Drank!A:T,19,FALSE),""))</f>
        <v/>
      </c>
      <c r="W1270" s="1" t="str">
        <f>IF(IFERROR(VLOOKUP(A1270,Drank!A:T,20,FALSE),"")=0,"",IFERROR(VLOOKUP(A1270,Drank!A:T,20,FALSE),""))</f>
        <v/>
      </c>
      <c r="X1270" s="10">
        <f>SUMIF(A:A,A1270,I:I)</f>
        <v>2</v>
      </c>
      <c r="Y1270" s="10">
        <f>IF(Table1[[#This Row],[Drank]]&gt;0,VLOOKUP(Table1[[#This Row],[ID]],Drank!A:P,16,FALSE),IF(Table1[[#This Row],[WALDD]]&gt;0,VLOOKUP(Table1[[#This Row],[ID]],Wine1!A:Q,17,FALSE),Table1[[#This Row],[EP]]))</f>
        <v>2050</v>
      </c>
      <c r="Z1270" s="18">
        <f>IF(Table1[[#This Row],[My Rating]]="",IF(Table1[[#This Row],[WA Rating Clean]]="","",Table1[[#This Row],[WA Rating Clean]]),Table1[[#This Row],[My Rating]])</f>
        <v>98</v>
      </c>
      <c r="AA1270" s="8">
        <v>2040</v>
      </c>
      <c r="AB1270" s="4">
        <v>28.97</v>
      </c>
      <c r="AC1270" s="2">
        <f t="shared" si="61"/>
        <v>28.97</v>
      </c>
      <c r="AD1270" s="8">
        <v>0</v>
      </c>
      <c r="AE1270" s="10">
        <f>IF(Table1[[#This Row],[P/750]]&lt;20,1,IF(Table1[[#This Row],[P/750]]&lt;50,2,3))</f>
        <v>3</v>
      </c>
      <c r="AF1270" s="10">
        <f>IF(Table1[[#This Row],[P/750]]&lt;Expenses!$C$30,1,IF(Table1[[#This Row],[P/750]]&lt;Expenses!$C$31,2,IF(Table1[[#This Row],[P/750]]&lt;Expenses!$C$32,3,4)))</f>
        <v>3</v>
      </c>
      <c r="AH1270" s="37" t="s">
        <v>1645</v>
      </c>
      <c r="AI1270" s="11">
        <f>Table1[[#This Row],[Price]]/Table1[[#This Row],[Size (ml)]]*750</f>
        <v>57.94</v>
      </c>
      <c r="AJ1270" s="37">
        <v>98</v>
      </c>
      <c r="AK1270" s="10">
        <f>COUNTIF(UniqueID!A:A,Table1[[#This Row],[ID]])</f>
        <v>0</v>
      </c>
      <c r="AL1270" s="10" t="str">
        <f>VLOOKUP(Table1[[#This Row],[Cellar Location]],Location!A:F,6,FALSE)</f>
        <v>C</v>
      </c>
      <c r="AN1270" s="1">
        <v>44060</v>
      </c>
      <c r="AO1270" s="10" t="str">
        <f>TEXT(Table1[[#This Row],[Purchased]],"mmmm")</f>
        <v>August</v>
      </c>
      <c r="AP1270" s="10" t="str">
        <f>TEXT(Table1[[#This Row],[Purchased]],"yyyy")</f>
        <v>2020</v>
      </c>
      <c r="AQ1270" s="10"/>
    </row>
    <row r="1271" spans="1:43" s="37" customFormat="1" x14ac:dyDescent="0.25">
      <c r="A1271" s="37" t="str">
        <f t="shared" si="60"/>
        <v>2016Tenuta San GuidoSassicaia</v>
      </c>
      <c r="B1271" s="37">
        <v>2016</v>
      </c>
      <c r="C1271" s="37" t="s">
        <v>91</v>
      </c>
      <c r="D1271" s="37" t="s">
        <v>304</v>
      </c>
      <c r="E1271" s="67" t="s">
        <v>1251</v>
      </c>
      <c r="F1271" s="37" t="s">
        <v>728</v>
      </c>
      <c r="G1271" s="37" t="s">
        <v>790</v>
      </c>
      <c r="H1271" s="37" t="s">
        <v>791</v>
      </c>
      <c r="I1271" s="37">
        <v>1</v>
      </c>
      <c r="J1271" s="37">
        <v>750</v>
      </c>
      <c r="K1271" s="8" t="s">
        <v>11</v>
      </c>
      <c r="L1271" s="37">
        <f>COUNTIF(Drank!A:A,Table1[[#This Row],[ID]])</f>
        <v>0</v>
      </c>
      <c r="M1271" s="37" t="s">
        <v>202</v>
      </c>
      <c r="N1271" s="37" t="s">
        <v>207</v>
      </c>
      <c r="O1271" s="37">
        <v>1</v>
      </c>
      <c r="P1271" s="37">
        <v>2021</v>
      </c>
      <c r="Q1271" s="37">
        <v>2050</v>
      </c>
      <c r="R1271" s="10" t="str">
        <f>IF(IFERROR(VLOOKUP(A1271,Drank!A:S,15,FALSE),"")=0,"",IFERROR(VLOOKUP(A1271,Drank!A:S,15,FALSE),""))</f>
        <v/>
      </c>
      <c r="S1271" s="10" t="str">
        <f>IF(IFERROR(VLOOKUP(A1271,Drank!A:S,16,FALSE),"")=0,"",IFERROR(VLOOKUP(A1271,Drank!A:S,16,FALSE),""))</f>
        <v/>
      </c>
      <c r="T1271" s="10"/>
      <c r="U1271" s="37">
        <v>100</v>
      </c>
      <c r="V1271" s="18" t="str">
        <f>IF(IFERROR(VLOOKUP(A1271,Drank!A:T,19,FALSE),"")=0,"",IFERROR(VLOOKUP(A1271,Drank!A:T,19,FALSE),""))</f>
        <v/>
      </c>
      <c r="W1271" s="1" t="str">
        <f>IF(IFERROR(VLOOKUP(A1271,Drank!A:T,20,FALSE),"")=0,"",IFERROR(VLOOKUP(A1271,Drank!A:T,20,FALSE),""))</f>
        <v/>
      </c>
      <c r="X1271" s="10">
        <f>SUMIF(A:A,A1271,I:I)</f>
        <v>6</v>
      </c>
      <c r="Y1271" s="37">
        <f>IF(Table1[[#This Row],[Drank]]&gt;0,VLOOKUP(Table1[[#This Row],[ID]],Drank!A:P,16,FALSE),IF(Table1[[#This Row],[WALDD]]&gt;0,VLOOKUP(Table1[[#This Row],[ID]],Wine1!A:Q,17,FALSE),Table1[[#This Row],[EP]]))</f>
        <v>2050</v>
      </c>
      <c r="Z1271" s="18">
        <f>IF(Table1[[#This Row],[My Rating]]="",IF(Table1[[#This Row],[WA Rating Clean]]="","",Table1[[#This Row],[WA Rating Clean]]),Table1[[#This Row],[My Rating]])</f>
        <v>100</v>
      </c>
      <c r="AA1271" s="37">
        <v>2040</v>
      </c>
      <c r="AB1271" s="4">
        <v>225.32</v>
      </c>
      <c r="AC1271" s="2">
        <f t="shared" si="61"/>
        <v>225.32</v>
      </c>
      <c r="AD1271" s="8">
        <v>0</v>
      </c>
      <c r="AE1271" s="37">
        <f>IF(Table1[[#This Row],[P/750]]&lt;20,1,IF(Table1[[#This Row],[P/750]]&lt;50,2,3))</f>
        <v>3</v>
      </c>
      <c r="AF1271" s="37">
        <f>IF(Table1[[#This Row],[P/750]]&lt;Expenses!$C$30,1,IF(Table1[[#This Row],[P/750]]&lt;Expenses!$C$31,2,IF(Table1[[#This Row],[P/750]]&lt;Expenses!$C$32,3,4)))</f>
        <v>4</v>
      </c>
      <c r="AH1271" s="37" t="s">
        <v>1128</v>
      </c>
      <c r="AI1271" s="11">
        <f>Table1[[#This Row],[Price]]/Table1[[#This Row],[Size (ml)]]*750</f>
        <v>225.32</v>
      </c>
      <c r="AJ1271" s="37">
        <v>100</v>
      </c>
      <c r="AK1271" s="37">
        <f>COUNTIF(UniqueID!A:A,Table1[[#This Row],[ID]])</f>
        <v>1</v>
      </c>
      <c r="AL1271" s="37" t="str">
        <f>VLOOKUP(Table1[[#This Row],[Cellar Location]],Location!A:F,6,FALSE)</f>
        <v>K</v>
      </c>
      <c r="AO1271" s="37" t="str">
        <f>TEXT(Table1[[#This Row],[Purchased]],"mmmm")</f>
        <v>January</v>
      </c>
      <c r="AP1271" s="10" t="str">
        <f>TEXT(Table1[[#This Row],[Purchased]],"yyyy")</f>
        <v>1900</v>
      </c>
      <c r="AQ1271" s="10"/>
    </row>
    <row r="1272" spans="1:43" s="37" customFormat="1" x14ac:dyDescent="0.25">
      <c r="A1272" s="37" t="str">
        <f t="shared" si="60"/>
        <v>2017RieussecRieussec</v>
      </c>
      <c r="B1272" s="37">
        <v>2017</v>
      </c>
      <c r="C1272" s="37" t="s">
        <v>848</v>
      </c>
      <c r="D1272" s="37" t="s">
        <v>848</v>
      </c>
      <c r="E1272" s="64" t="s">
        <v>260</v>
      </c>
      <c r="F1272" s="37" t="s">
        <v>742</v>
      </c>
      <c r="G1272" s="37" t="s">
        <v>748</v>
      </c>
      <c r="H1272" s="37" t="s">
        <v>260</v>
      </c>
      <c r="I1272" s="37">
        <v>1</v>
      </c>
      <c r="J1272" s="38">
        <v>750</v>
      </c>
      <c r="K1272" s="38" t="s">
        <v>371</v>
      </c>
      <c r="L1272" s="10">
        <f>COUNTIF(Drank!A:A,Table1[[#This Row],[ID]])</f>
        <v>0</v>
      </c>
      <c r="M1272" s="37" t="s">
        <v>201</v>
      </c>
      <c r="N1272" s="37" t="s">
        <v>206</v>
      </c>
      <c r="O1272" s="37">
        <v>1</v>
      </c>
      <c r="P1272" s="10"/>
      <c r="R1272" s="10" t="str">
        <f>IF(IFERROR(VLOOKUP(A1272,Drank!A:S,15,FALSE),"")=0,"",IFERROR(VLOOKUP(A1272,Drank!A:S,15,FALSE),""))</f>
        <v/>
      </c>
      <c r="S1272" s="10" t="str">
        <f>IF(IFERROR(VLOOKUP(A1272,Drank!A:S,16,FALSE),"")=0,"",IFERROR(VLOOKUP(A1272,Drank!A:S,16,FALSE),""))</f>
        <v/>
      </c>
      <c r="T1272" s="10">
        <v>2060</v>
      </c>
      <c r="U1272" s="37" t="s">
        <v>851</v>
      </c>
      <c r="V1272" s="18" t="str">
        <f>IF(IFERROR(VLOOKUP(A1272,Drank!A:T,19,FALSE),"")=0,"",IFERROR(VLOOKUP(A1272,Drank!A:T,19,FALSE),""))</f>
        <v/>
      </c>
      <c r="W1272" s="1" t="str">
        <f>IF(IFERROR(VLOOKUP(A1272,Drank!A:T,20,FALSE),"")=0,"",IFERROR(VLOOKUP(A1272,Drank!A:T,20,FALSE),""))</f>
        <v/>
      </c>
      <c r="X1272" s="10">
        <f>SUMIF(A:A,A1272,I:I)</f>
        <v>3</v>
      </c>
      <c r="Y1272" s="10">
        <f>IF(Table1[[#This Row],[Drank]]&gt;0,VLOOKUP(Table1[[#This Row],[ID]],Drank!A:P,16,FALSE),IF(Table1[[#This Row],[WALDD]]&gt;0,VLOOKUP(Table1[[#This Row],[ID]],Wine1!A:Q,17,FALSE),Table1[[#This Row],[EP]]))</f>
        <v>2060</v>
      </c>
      <c r="Z1272" s="18">
        <f>IF(Table1[[#This Row],[My Rating]]="",IF(Table1[[#This Row],[WA Rating Clean]]="","",Table1[[#This Row],[WA Rating Clean]]),Table1[[#This Row],[My Rating]])</f>
        <v>97</v>
      </c>
      <c r="AA1272" s="37">
        <v>2040</v>
      </c>
      <c r="AB1272" s="4">
        <v>59.97</v>
      </c>
      <c r="AC1272" s="2">
        <f t="shared" si="61"/>
        <v>59.97</v>
      </c>
      <c r="AD1272" s="8">
        <v>1</v>
      </c>
      <c r="AE1272" s="10">
        <f>IF(Table1[[#This Row],[P/750]]&lt;20,1,IF(Table1[[#This Row],[P/750]]&lt;50,2,3))</f>
        <v>3</v>
      </c>
      <c r="AF1272" s="10">
        <f>IF(Table1[[#This Row],[P/750]]&lt;Expenses!$C$30,1,IF(Table1[[#This Row],[P/750]]&lt;Expenses!$C$31,2,IF(Table1[[#This Row],[P/750]]&lt;Expenses!$C$32,3,4)))</f>
        <v>3</v>
      </c>
      <c r="AH1272" s="37" t="s">
        <v>371</v>
      </c>
      <c r="AI1272" s="11">
        <f>Table1[[#This Row],[Price]]/Table1[[#This Row],[Size (ml)]]*750</f>
        <v>59.970000000000006</v>
      </c>
      <c r="AJ1272" s="37">
        <v>97</v>
      </c>
      <c r="AK1272" s="10">
        <f>COUNTIF(UniqueID!A:A,Table1[[#This Row],[ID]])</f>
        <v>1</v>
      </c>
      <c r="AL1272" s="37" t="str">
        <f>VLOOKUP(Table1[[#This Row],[Cellar Location]],Location!A:F,6,FALSE)</f>
        <v>W</v>
      </c>
      <c r="AO1272" s="37" t="str">
        <f>TEXT(Table1[[#This Row],[Purchased]],"mmmm")</f>
        <v>January</v>
      </c>
      <c r="AP1272" s="10" t="str">
        <f>TEXT(Table1[[#This Row],[Purchased]],"yyyy")</f>
        <v>1900</v>
      </c>
      <c r="AQ1272" s="1">
        <v>44135</v>
      </c>
    </row>
    <row r="1273" spans="1:43" s="37" customFormat="1" x14ac:dyDescent="0.25">
      <c r="A1273" s="37" t="str">
        <f t="shared" si="60"/>
        <v>2016Doisy-VedrinesPetit-Vedrines</v>
      </c>
      <c r="B1273" s="37">
        <v>2016</v>
      </c>
      <c r="C1273" s="37" t="s">
        <v>843</v>
      </c>
      <c r="D1273" s="37" t="s">
        <v>1686</v>
      </c>
      <c r="E1273" s="69" t="s">
        <v>1688</v>
      </c>
      <c r="F1273" s="37" t="s">
        <v>742</v>
      </c>
      <c r="G1273" s="37" t="s">
        <v>748</v>
      </c>
      <c r="H1273" s="37" t="s">
        <v>260</v>
      </c>
      <c r="I1273" s="8">
        <v>1</v>
      </c>
      <c r="J1273" s="38">
        <v>375</v>
      </c>
      <c r="K1273" s="38" t="s">
        <v>1687</v>
      </c>
      <c r="L1273" s="10">
        <f>COUNTIF(Drank!A:A,Table1[[#This Row],[ID]])</f>
        <v>0</v>
      </c>
      <c r="M1273" s="37" t="s">
        <v>201</v>
      </c>
      <c r="N1273" s="37" t="s">
        <v>206</v>
      </c>
      <c r="O1273" s="37">
        <v>0</v>
      </c>
      <c r="R1273" s="10" t="str">
        <f>IF(IFERROR(VLOOKUP(A1273,Drank!A:S,15,FALSE),"")=0,"",IFERROR(VLOOKUP(A1273,Drank!A:S,15,FALSE),""))</f>
        <v/>
      </c>
      <c r="S1273" s="10" t="str">
        <f>IF(IFERROR(VLOOKUP(A1273,Drank!A:S,16,FALSE),"")=0,"",IFERROR(VLOOKUP(A1273,Drank!A:S,16,FALSE),""))</f>
        <v/>
      </c>
      <c r="T1273" s="10"/>
      <c r="V1273" s="18" t="str">
        <f>IF(IFERROR(VLOOKUP(A1273,Drank!A:T,19,FALSE),"")=0,"",IFERROR(VLOOKUP(A1273,Drank!A:T,19,FALSE),""))</f>
        <v/>
      </c>
      <c r="W1273" s="1" t="str">
        <f>IF(IFERROR(VLOOKUP(A1273,Drank!A:T,20,FALSE),"")=0,"",IFERROR(VLOOKUP(A1273,Drank!A:T,20,FALSE),""))</f>
        <v/>
      </c>
      <c r="X1273" s="10">
        <f>SUMIF(A:A,A1273,I:I)</f>
        <v>24</v>
      </c>
      <c r="Y1273" s="10">
        <f>IF(Table1[[#This Row],[Drank]]&gt;0,VLOOKUP(Table1[[#This Row],[ID]],Drank!A:P,16,FALSE),IF(Table1[[#This Row],[WALDD]]&gt;0,VLOOKUP(Table1[[#This Row],[ID]],Wine1!A:Q,17,FALSE),Table1[[#This Row],[EP]]))</f>
        <v>0</v>
      </c>
      <c r="Z1273" s="18" t="str">
        <f>IF(Table1[[#This Row],[My Rating]]="",IF(Table1[[#This Row],[WA Rating Clean]]="","",Table1[[#This Row],[WA Rating Clean]]),Table1[[#This Row],[My Rating]])</f>
        <v/>
      </c>
      <c r="AA1273" s="8">
        <v>2041</v>
      </c>
      <c r="AB1273" s="4">
        <v>16.399999999999999</v>
      </c>
      <c r="AC1273" s="2">
        <f t="shared" si="61"/>
        <v>16.399999999999999</v>
      </c>
      <c r="AD1273" s="8">
        <v>1</v>
      </c>
      <c r="AE1273" s="10">
        <f>IF(Table1[[#This Row],[P/750]]&lt;20,1,IF(Table1[[#This Row],[P/750]]&lt;50,2,3))</f>
        <v>2</v>
      </c>
      <c r="AF1273" s="10">
        <f>IF(Table1[[#This Row],[P/750]]&lt;Expenses!$C$30,1,IF(Table1[[#This Row],[P/750]]&lt;Expenses!$C$31,2,IF(Table1[[#This Row],[P/750]]&lt;Expenses!$C$32,3,4)))</f>
        <v>3</v>
      </c>
      <c r="AH1273" s="37" t="s">
        <v>1189</v>
      </c>
      <c r="AI1273" s="11">
        <f>Table1[[#This Row],[Price]]/Table1[[#This Row],[Size (ml)]]*750</f>
        <v>32.799999999999997</v>
      </c>
      <c r="AK1273" s="10">
        <f>COUNTIF(UniqueID!A:A,Table1[[#This Row],[ID]])</f>
        <v>0</v>
      </c>
      <c r="AL1273" s="10" t="str">
        <f>VLOOKUP(Table1[[#This Row],[Cellar Location]],Location!A:F,6,FALSE)</f>
        <v>W</v>
      </c>
      <c r="AN1273" s="1">
        <v>44061</v>
      </c>
      <c r="AO1273" s="10" t="str">
        <f>TEXT(Table1[[#This Row],[Purchased]],"mmmm")</f>
        <v>August</v>
      </c>
      <c r="AP1273" s="10" t="str">
        <f>TEXT(Table1[[#This Row],[Purchased]],"yyyy")</f>
        <v>2020</v>
      </c>
      <c r="AQ1273" s="1">
        <v>44137</v>
      </c>
    </row>
    <row r="1274" spans="1:43" s="37" customFormat="1" x14ac:dyDescent="0.25">
      <c r="A1274" s="37" t="str">
        <f t="shared" si="60"/>
        <v>2016Quinta do ValladoField Blend Reserva</v>
      </c>
      <c r="B1274" s="8">
        <v>2016</v>
      </c>
      <c r="C1274" s="30" t="s">
        <v>210</v>
      </c>
      <c r="D1274" s="9" t="s">
        <v>1423</v>
      </c>
      <c r="E1274" s="65" t="s">
        <v>274</v>
      </c>
      <c r="F1274" s="37" t="s">
        <v>804</v>
      </c>
      <c r="G1274" s="37" t="s">
        <v>1422</v>
      </c>
      <c r="H1274" s="9"/>
      <c r="I1274" s="107">
        <v>1</v>
      </c>
      <c r="J1274" s="37">
        <v>750</v>
      </c>
      <c r="K1274" s="107" t="s">
        <v>1195</v>
      </c>
      <c r="L1274" s="10">
        <f>COUNTIF(Drank!A:A,Table1[[#This Row],[ID]])</f>
        <v>1</v>
      </c>
      <c r="M1274" s="37" t="s">
        <v>202</v>
      </c>
      <c r="N1274" s="37" t="s">
        <v>207</v>
      </c>
      <c r="O1274" s="37">
        <v>1</v>
      </c>
      <c r="P1274" s="37">
        <v>2021</v>
      </c>
      <c r="Q1274" s="37">
        <v>2041</v>
      </c>
      <c r="R1274" s="10">
        <f>IF(IFERROR(VLOOKUP(A1274,Drank!A:S,15,FALSE),"")=0,"",IFERROR(VLOOKUP(A1274,Drank!A:S,15,FALSE),""))</f>
        <v>2025</v>
      </c>
      <c r="S1274" s="10">
        <f>IF(IFERROR(VLOOKUP(A1274,Drank!A:S,16,FALSE),"")=0,"",IFERROR(VLOOKUP(A1274,Drank!A:S,16,FALSE),""))</f>
        <v>2037</v>
      </c>
      <c r="T1274" s="10"/>
      <c r="U1274" s="37">
        <v>95</v>
      </c>
      <c r="V1274" s="18">
        <f>IF(IFERROR(VLOOKUP(A1274,Drank!A:T,19,FALSE),"")=0,"",IFERROR(VLOOKUP(A1274,Drank!A:T,19,FALSE),""))</f>
        <v>92</v>
      </c>
      <c r="W1274" s="1">
        <f>IF(IFERROR(VLOOKUP(A1274,Drank!A:T,20,FALSE),"")=0,"",IFERROR(VLOOKUP(A1274,Drank!A:T,20,FALSE),""))</f>
        <v>43987</v>
      </c>
      <c r="X1274" s="10">
        <f>SUMIF(A:A,A1274,I:I)</f>
        <v>5</v>
      </c>
      <c r="Y1274" s="10">
        <f>IF(Table1[[#This Row],[Drank]]&gt;0,VLOOKUP(Table1[[#This Row],[ID]],Drank!A:P,16,FALSE),IF(Table1[[#This Row],[WALDD]]&gt;0,VLOOKUP(Table1[[#This Row],[ID]],Wine1!A:Q,17,FALSE),Table1[[#This Row],[EP]]))</f>
        <v>2037</v>
      </c>
      <c r="Z1274" s="18">
        <f>IF(Table1[[#This Row],[My Rating]]="",IF(Table1[[#This Row],[WA Rating Clean]]="","",Table1[[#This Row],[WA Rating Clean]]),Table1[[#This Row],[My Rating]])</f>
        <v>92</v>
      </c>
      <c r="AA1274" s="37">
        <v>2041</v>
      </c>
      <c r="AB1274" s="4">
        <v>32.58</v>
      </c>
      <c r="AC1274" s="2">
        <f t="shared" si="61"/>
        <v>32.58</v>
      </c>
      <c r="AD1274" s="8">
        <v>2</v>
      </c>
      <c r="AE1274" s="10">
        <f>IF(Table1[[#This Row],[P/750]]&lt;20,1,IF(Table1[[#This Row],[P/750]]&lt;50,2,3))</f>
        <v>2</v>
      </c>
      <c r="AF1274" s="10">
        <f>IF(Table1[[#This Row],[P/750]]&lt;Expenses!$C$30,1,IF(Table1[[#This Row],[P/750]]&lt;Expenses!$C$31,2,IF(Table1[[#This Row],[P/750]]&lt;Expenses!$C$32,3,4)))</f>
        <v>3</v>
      </c>
      <c r="AH1274" s="37" t="s">
        <v>384</v>
      </c>
      <c r="AI1274" s="11">
        <f>Table1[[#This Row],[Price]]/Table1[[#This Row],[Size (ml)]]*750</f>
        <v>32.58</v>
      </c>
      <c r="AJ1274" s="37">
        <v>95</v>
      </c>
      <c r="AK1274" s="10">
        <f>COUNTIF(UniqueID!A:A,Table1[[#This Row],[ID]])</f>
        <v>0</v>
      </c>
      <c r="AL1274" s="10" t="str">
        <f>VLOOKUP(Table1[[#This Row],[Cellar Location]],Location!A:F,6,FALSE)</f>
        <v>S</v>
      </c>
      <c r="AN1274" s="1">
        <v>43984</v>
      </c>
      <c r="AO1274" s="10" t="str">
        <f>TEXT(Table1[[#This Row],[Purchased]],"mmmm")</f>
        <v>June</v>
      </c>
      <c r="AP1274" s="10" t="str">
        <f>TEXT(Table1[[#This Row],[Purchased]],"yyyy")</f>
        <v>2020</v>
      </c>
      <c r="AQ1274" s="10"/>
    </row>
    <row r="1275" spans="1:43" s="37" customFormat="1" x14ac:dyDescent="0.25">
      <c r="A1275" s="37" t="str">
        <f t="shared" si="60"/>
        <v>2016Clos du RoyClos du Roy</v>
      </c>
      <c r="B1275" s="37">
        <v>2016</v>
      </c>
      <c r="C1275" s="37" t="s">
        <v>854</v>
      </c>
      <c r="D1275" s="37" t="s">
        <v>854</v>
      </c>
      <c r="E1275" s="37" t="s">
        <v>1198</v>
      </c>
      <c r="F1275" s="37" t="s">
        <v>742</v>
      </c>
      <c r="G1275" s="37" t="s">
        <v>748</v>
      </c>
      <c r="H1275" s="37" t="s">
        <v>856</v>
      </c>
      <c r="I1275" s="107">
        <v>1</v>
      </c>
      <c r="J1275" s="37">
        <v>750</v>
      </c>
      <c r="K1275" s="107" t="s">
        <v>928</v>
      </c>
      <c r="L1275" s="10">
        <f>COUNTIF(Drank!A:A,Table1[[#This Row],[ID]])</f>
        <v>1</v>
      </c>
      <c r="M1275" s="37" t="s">
        <v>202</v>
      </c>
      <c r="N1275" s="37" t="s">
        <v>207</v>
      </c>
      <c r="O1275" s="37">
        <v>1</v>
      </c>
      <c r="P1275" s="10">
        <v>2021</v>
      </c>
      <c r="Q1275" s="37">
        <v>2038</v>
      </c>
      <c r="R1275" s="10" t="str">
        <f>IF(IFERROR(VLOOKUP(A1275,Drank!A:S,15,FALSE),"")=0,"",IFERROR(VLOOKUP(A1275,Drank!A:S,15,FALSE),""))</f>
        <v/>
      </c>
      <c r="S1275" s="10">
        <f>IF(IFERROR(VLOOKUP(A1275,Drank!A:S,16,FALSE),"")=0,"",IFERROR(VLOOKUP(A1275,Drank!A:S,16,FALSE),""))</f>
        <v>2045</v>
      </c>
      <c r="T1275" s="10"/>
      <c r="U1275" s="37" t="s">
        <v>855</v>
      </c>
      <c r="V1275" s="18">
        <f>IF(IFERROR(VLOOKUP(A1275,Drank!A:T,19,FALSE),"")=0,"",IFERROR(VLOOKUP(A1275,Drank!A:T,19,FALSE),""))</f>
        <v>91</v>
      </c>
      <c r="W1275" s="1">
        <f>IF(IFERROR(VLOOKUP(A1275,Drank!A:T,20,FALSE),"")=0,"",IFERROR(VLOOKUP(A1275,Drank!A:T,20,FALSE),""))</f>
        <v>43830</v>
      </c>
      <c r="X1275" s="10">
        <f>SUMIF(A:A,A1275,I:I)</f>
        <v>15</v>
      </c>
      <c r="Y1275" s="10">
        <f>IF(Table1[[#This Row],[Drank]]&gt;0,VLOOKUP(Table1[[#This Row],[ID]],Drank!A:P,16,FALSE),IF(Table1[[#This Row],[WALDD]]&gt;0,VLOOKUP(Table1[[#This Row],[ID]],Wine1!A:Q,17,FALSE),Table1[[#This Row],[EP]]))</f>
        <v>2045</v>
      </c>
      <c r="Z1275" s="18">
        <f>IF(Table1[[#This Row],[My Rating]]="",IF(Table1[[#This Row],[WA Rating Clean]]="","",Table1[[#This Row],[WA Rating Clean]]),Table1[[#This Row],[My Rating]])</f>
        <v>91</v>
      </c>
      <c r="AA1275" s="37">
        <v>2041</v>
      </c>
      <c r="AB1275" s="4">
        <v>16.989999999999998</v>
      </c>
      <c r="AC1275" s="2">
        <f t="shared" si="61"/>
        <v>16.989999999999998</v>
      </c>
      <c r="AD1275" s="8">
        <v>2</v>
      </c>
      <c r="AE1275" s="10">
        <f>IF(Table1[[#This Row],[P/750]]&lt;20,1,IF(Table1[[#This Row],[P/750]]&lt;50,2,3))</f>
        <v>1</v>
      </c>
      <c r="AF1275" s="10">
        <f>IF(Table1[[#This Row],[P/750]]&lt;Expenses!$C$30,1,IF(Table1[[#This Row],[P/750]]&lt;Expenses!$C$31,2,IF(Table1[[#This Row],[P/750]]&lt;Expenses!$C$32,3,4)))</f>
        <v>2</v>
      </c>
      <c r="AH1275" s="37" t="s">
        <v>371</v>
      </c>
      <c r="AI1275" s="11">
        <f>Table1[[#This Row],[Price]]/Table1[[#This Row],[Size (ml)]]*750</f>
        <v>16.989999999999998</v>
      </c>
      <c r="AJ1275" s="37">
        <v>92</v>
      </c>
      <c r="AK1275" s="10">
        <f>COUNTIF(UniqueID!A:A,Table1[[#This Row],[ID]])</f>
        <v>1</v>
      </c>
      <c r="AL1275" s="37" t="str">
        <f>VLOOKUP(Table1[[#This Row],[Cellar Location]],Location!A:F,6,FALSE)</f>
        <v>S</v>
      </c>
      <c r="AO1275" s="37" t="str">
        <f>TEXT(Table1[[#This Row],[Purchased]],"mmmm")</f>
        <v>January</v>
      </c>
      <c r="AP1275" s="10" t="str">
        <f>TEXT(Table1[[#This Row],[Purchased]],"yyyy")</f>
        <v>1900</v>
      </c>
      <c r="AQ1275" s="10"/>
    </row>
    <row r="1276" spans="1:43" s="37" customFormat="1" x14ac:dyDescent="0.25">
      <c r="A1276" s="37" t="str">
        <f t="shared" si="60"/>
        <v>2015Chateau GuiraudChateau Guiraud</v>
      </c>
      <c r="B1276" s="37">
        <v>2015</v>
      </c>
      <c r="C1276" s="37" t="s">
        <v>1210</v>
      </c>
      <c r="D1276" s="37" t="s">
        <v>1210</v>
      </c>
      <c r="E1276" s="67" t="s">
        <v>1272</v>
      </c>
      <c r="F1276" s="37" t="s">
        <v>742</v>
      </c>
      <c r="G1276" s="37" t="s">
        <v>748</v>
      </c>
      <c r="H1276" s="37" t="s">
        <v>260</v>
      </c>
      <c r="I1276" s="107">
        <v>1</v>
      </c>
      <c r="J1276" s="37">
        <v>750</v>
      </c>
      <c r="K1276" s="107" t="s">
        <v>648</v>
      </c>
      <c r="L1276" s="37">
        <f>COUNTIF(Drank!A:A,Table1[[#This Row],[ID]])</f>
        <v>0</v>
      </c>
      <c r="M1276" s="37" t="s">
        <v>201</v>
      </c>
      <c r="N1276" s="37" t="s">
        <v>206</v>
      </c>
      <c r="O1276" s="37">
        <v>1</v>
      </c>
      <c r="P1276" s="37">
        <v>2022</v>
      </c>
      <c r="Q1276" s="37">
        <v>2046</v>
      </c>
      <c r="R1276" s="37" t="str">
        <f>IF(IFERROR(VLOOKUP(A1276,Drank!A:S,15,FALSE),"")=0,"",IFERROR(VLOOKUP(A1276,Drank!A:S,15,FALSE),""))</f>
        <v/>
      </c>
      <c r="S1276" s="37" t="str">
        <f>IF(IFERROR(VLOOKUP(A1276,Drank!A:S,16,FALSE),"")=0,"",IFERROR(VLOOKUP(A1276,Drank!A:S,16,FALSE),""))</f>
        <v/>
      </c>
      <c r="U1276" s="37" t="s">
        <v>17</v>
      </c>
      <c r="V1276" s="18" t="str">
        <f>IF(IFERROR(VLOOKUP(A1276,Drank!A:T,19,FALSE),"")=0,"",IFERROR(VLOOKUP(A1276,Drank!A:T,19,FALSE),""))</f>
        <v/>
      </c>
      <c r="W1276" s="1" t="str">
        <f>IF(IFERROR(VLOOKUP(A1276,Drank!A:T,20,FALSE),"")=0,"",IFERROR(VLOOKUP(A1276,Drank!A:T,20,FALSE),""))</f>
        <v/>
      </c>
      <c r="X1276" s="37">
        <f>SUMIF(A:A,A1276,I:I)</f>
        <v>3</v>
      </c>
      <c r="Y1276" s="37">
        <f>IF(Table1[[#This Row],[Drank]]&gt;0,VLOOKUP(Table1[[#This Row],[ID]],Drank!A:P,16,FALSE),IF(Table1[[#This Row],[WALDD]]&gt;0,VLOOKUP(Table1[[#This Row],[ID]],Wine1!A:Q,17,FALSE),Table1[[#This Row],[EP]]))</f>
        <v>2046</v>
      </c>
      <c r="Z1276" s="18">
        <f>IF(Table1[[#This Row],[My Rating]]="",IF(Table1[[#This Row],[WA Rating Clean]]="","",Table1[[#This Row],[WA Rating Clean]]),Table1[[#This Row],[My Rating]])</f>
        <v>94</v>
      </c>
      <c r="AA1276" s="6">
        <v>2041</v>
      </c>
      <c r="AB1276" s="3">
        <v>49.99</v>
      </c>
      <c r="AC1276" s="2">
        <f t="shared" si="61"/>
        <v>49.99</v>
      </c>
      <c r="AD1276" s="8">
        <v>2</v>
      </c>
      <c r="AE1276" s="37">
        <f>IF(Table1[[#This Row],[P/750]]&lt;20,1,IF(Table1[[#This Row],[P/750]]&lt;50,2,3))</f>
        <v>2</v>
      </c>
      <c r="AF1276" s="37">
        <f>IF(Table1[[#This Row],[P/750]]&lt;Expenses!$C$30,1,IF(Table1[[#This Row],[P/750]]&lt;Expenses!$C$31,2,IF(Table1[[#This Row],[P/750]]&lt;Expenses!$C$32,3,4)))</f>
        <v>3</v>
      </c>
      <c r="AH1276" s="37" t="s">
        <v>1139</v>
      </c>
      <c r="AI1276" s="11">
        <f>Table1[[#This Row],[Price]]/Table1[[#This Row],[Size (ml)]]*750</f>
        <v>49.990000000000009</v>
      </c>
      <c r="AJ1276" s="37">
        <v>94</v>
      </c>
      <c r="AK1276" s="37">
        <f>COUNTIF(UniqueID!A:A,Table1[[#This Row],[ID]])</f>
        <v>1</v>
      </c>
      <c r="AL1276" s="37" t="str">
        <f>VLOOKUP(Table1[[#This Row],[Cellar Location]],Location!A:F,6,FALSE)</f>
        <v>S</v>
      </c>
      <c r="AO1276" s="37" t="str">
        <f>TEXT(Table1[[#This Row],[Purchased]],"mmmm")</f>
        <v>January</v>
      </c>
      <c r="AP1276" s="10" t="str">
        <f>TEXT(Table1[[#This Row],[Purchased]],"yyyy")</f>
        <v>1900</v>
      </c>
      <c r="AQ1276" s="10"/>
    </row>
    <row r="1277" spans="1:43" s="37" customFormat="1" x14ac:dyDescent="0.25">
      <c r="A1277" s="37" t="str">
        <f t="shared" si="60"/>
        <v>2009Chateau SuduirautChateau Suduiraut</v>
      </c>
      <c r="B1277" s="37">
        <v>2009</v>
      </c>
      <c r="C1277" s="37" t="s">
        <v>1742</v>
      </c>
      <c r="D1277" s="37" t="s">
        <v>1742</v>
      </c>
      <c r="E1277" s="67" t="s">
        <v>1743</v>
      </c>
      <c r="F1277" s="37" t="s">
        <v>742</v>
      </c>
      <c r="G1277" s="37" t="s">
        <v>748</v>
      </c>
      <c r="H1277" s="37" t="s">
        <v>260</v>
      </c>
      <c r="I1277" s="8">
        <v>1</v>
      </c>
      <c r="J1277" s="38">
        <v>375</v>
      </c>
      <c r="K1277" s="38" t="s">
        <v>385</v>
      </c>
      <c r="L1277" s="10">
        <f>COUNTIF(Drank!A:A,Table1[[#This Row],[ID]])</f>
        <v>0</v>
      </c>
      <c r="M1277" s="37" t="s">
        <v>201</v>
      </c>
      <c r="N1277" s="37" t="s">
        <v>206</v>
      </c>
      <c r="O1277" s="37">
        <v>1</v>
      </c>
      <c r="P1277" s="37">
        <v>2019</v>
      </c>
      <c r="Q1277" s="37">
        <v>2055</v>
      </c>
      <c r="R1277" s="10" t="str">
        <f>IF(IFERROR(VLOOKUP(A1277,Drank!A:S,15,FALSE),"")=0,"",IFERROR(VLOOKUP(A1277,Drank!A:S,15,FALSE),""))</f>
        <v/>
      </c>
      <c r="S1277" s="10" t="str">
        <f>IF(IFERROR(VLOOKUP(A1277,Drank!A:S,16,FALSE),"")=0,"",IFERROR(VLOOKUP(A1277,Drank!A:S,16,FALSE),""))</f>
        <v/>
      </c>
      <c r="T1277" s="10"/>
      <c r="U1277" s="37">
        <v>98</v>
      </c>
      <c r="V1277" s="18" t="str">
        <f>IF(IFERROR(VLOOKUP(A1277,Drank!A:T,19,FALSE),"")=0,"",IFERROR(VLOOKUP(A1277,Drank!A:T,19,FALSE),""))</f>
        <v/>
      </c>
      <c r="W1277" s="1" t="str">
        <f>IF(IFERROR(VLOOKUP(A1277,Drank!A:T,20,FALSE),"")=0,"",IFERROR(VLOOKUP(A1277,Drank!A:T,20,FALSE),""))</f>
        <v/>
      </c>
      <c r="X1277" s="10">
        <f>SUMIF(A:A,A1277,I:I)</f>
        <v>6</v>
      </c>
      <c r="Y1277" s="10">
        <f>IF(Table1[[#This Row],[Drank]]&gt;0,VLOOKUP(Table1[[#This Row],[ID]],Drank!A:P,16,FALSE),IF(Table1[[#This Row],[WALDD]]&gt;0,VLOOKUP(Table1[[#This Row],[ID]],Wine1!A:Q,17,FALSE),Table1[[#This Row],[EP]]))</f>
        <v>2055</v>
      </c>
      <c r="Z1277" s="18" t="str">
        <f>IF(Table1[[#This Row],[My Rating]]="",IF(Table1[[#This Row],[WA Rating Clean]]="","",Table1[[#This Row],[WA Rating Clean]]),Table1[[#This Row],[My Rating]])</f>
        <v/>
      </c>
      <c r="AA1277" s="8">
        <v>2041</v>
      </c>
      <c r="AB1277" s="4">
        <v>42.6</v>
      </c>
      <c r="AC1277" s="2">
        <f t="shared" si="61"/>
        <v>42.6</v>
      </c>
      <c r="AD1277" s="8">
        <v>1</v>
      </c>
      <c r="AE1277" s="10">
        <f>IF(Table1[[#This Row],[P/750]]&lt;20,1,IF(Table1[[#This Row],[P/750]]&lt;50,2,3))</f>
        <v>3</v>
      </c>
      <c r="AF1277" s="10">
        <f>IF(Table1[[#This Row],[P/750]]&lt;Expenses!$C$30,1,IF(Table1[[#This Row],[P/750]]&lt;Expenses!$C$31,2,IF(Table1[[#This Row],[P/750]]&lt;Expenses!$C$32,3,4)))</f>
        <v>4</v>
      </c>
      <c r="AH1277" s="37" t="s">
        <v>385</v>
      </c>
      <c r="AI1277" s="11">
        <f>Table1[[#This Row],[Price]]/Table1[[#This Row],[Size (ml)]]*750</f>
        <v>85.2</v>
      </c>
      <c r="AK1277" s="10">
        <f>COUNTIF(UniqueID!A:A,Table1[[#This Row],[ID]])</f>
        <v>0</v>
      </c>
      <c r="AL1277" s="10" t="str">
        <f>VLOOKUP(Table1[[#This Row],[Cellar Location]],Location!A:F,6,FALSE)</f>
        <v>W</v>
      </c>
      <c r="AN1277" s="1">
        <v>44062</v>
      </c>
      <c r="AO1277" s="10" t="str">
        <f>TEXT(Table1[[#This Row],[Purchased]],"mmmm")</f>
        <v>August</v>
      </c>
      <c r="AP1277" s="10" t="str">
        <f>TEXT(Table1[[#This Row],[Purchased]],"yyyy")</f>
        <v>2020</v>
      </c>
      <c r="AQ1277" s="1">
        <v>44114</v>
      </c>
    </row>
    <row r="1278" spans="1:43" s="37" customFormat="1" x14ac:dyDescent="0.25">
      <c r="A1278" s="37" t="str">
        <f t="shared" si="60"/>
        <v>2010La Rioja AltaGran Reserva 904</v>
      </c>
      <c r="B1278" s="37">
        <v>2010</v>
      </c>
      <c r="C1278" s="37" t="s">
        <v>221</v>
      </c>
      <c r="D1278" s="37" t="s">
        <v>222</v>
      </c>
      <c r="E1278" s="67" t="s">
        <v>1296</v>
      </c>
      <c r="F1278" s="37" t="s">
        <v>729</v>
      </c>
      <c r="G1278" s="37" t="s">
        <v>823</v>
      </c>
      <c r="H1278" s="37" t="s">
        <v>824</v>
      </c>
      <c r="I1278" s="37">
        <v>1</v>
      </c>
      <c r="J1278" s="107">
        <v>1500</v>
      </c>
      <c r="K1278" s="8" t="s">
        <v>1814</v>
      </c>
      <c r="L1278" s="10">
        <f>COUNTIF(Drank!A:A,Table1[[#This Row],[ID]])</f>
        <v>0</v>
      </c>
      <c r="M1278" s="37" t="s">
        <v>202</v>
      </c>
      <c r="N1278" s="37" t="s">
        <v>207</v>
      </c>
      <c r="O1278" s="37">
        <v>1</v>
      </c>
      <c r="P1278" s="10">
        <v>2019</v>
      </c>
      <c r="Q1278" s="37">
        <v>2035</v>
      </c>
      <c r="R1278" s="10" t="str">
        <f>IF(IFERROR(VLOOKUP(A1278,Drank!A:S,15,FALSE),"")=0,"",IFERROR(VLOOKUP(A1278,Drank!A:S,15,FALSE),""))</f>
        <v/>
      </c>
      <c r="S1278" s="10" t="str">
        <f>IF(IFERROR(VLOOKUP(A1278,Drank!A:S,16,FALSE),"")=0,"",IFERROR(VLOOKUP(A1278,Drank!A:S,16,FALSE),""))</f>
        <v/>
      </c>
      <c r="T1278" s="10"/>
      <c r="U1278" s="37" t="s">
        <v>1180</v>
      </c>
      <c r="V1278" s="18" t="str">
        <f>IF(IFERROR(VLOOKUP(A1278,Drank!A:T,19,FALSE),"")=0,"",IFERROR(VLOOKUP(A1278,Drank!A:T,19,FALSE),""))</f>
        <v/>
      </c>
      <c r="W1278" s="1" t="str">
        <f>IF(IFERROR(VLOOKUP(A1278,Drank!A:T,20,FALSE),"")=0,"",IFERROR(VLOOKUP(A1278,Drank!A:T,20,FALSE),""))</f>
        <v/>
      </c>
      <c r="X1278" s="10">
        <f>SUMIF(A:A,A1278,I:I)</f>
        <v>9</v>
      </c>
      <c r="Y1278" s="10">
        <f>IF(Table1[[#This Row],[Drank]]&gt;0,VLOOKUP(Table1[[#This Row],[ID]],Drank!A:P,16,FALSE),IF(Table1[[#This Row],[WALDD]]&gt;0,VLOOKUP(Table1[[#This Row],[ID]],Wine1!A:Q,17,FALSE),Table1[[#This Row],[EP]]))</f>
        <v>2035</v>
      </c>
      <c r="Z1278" s="18">
        <f>IF(Table1[[#This Row],[My Rating]]="",IF(Table1[[#This Row],[WA Rating Clean]]="","",Table1[[#This Row],[WA Rating Clean]]),Table1[[#This Row],[My Rating]])</f>
        <v>96</v>
      </c>
      <c r="AA1278" s="37">
        <v>2042</v>
      </c>
      <c r="AB1278" s="128">
        <v>134.11000000000001</v>
      </c>
      <c r="AC1278" s="2">
        <f t="shared" si="61"/>
        <v>134.11000000000001</v>
      </c>
      <c r="AD1278" s="8">
        <v>1</v>
      </c>
      <c r="AE1278" s="10">
        <f>IF(Table1[[#This Row],[P/750]]&lt;20,1,IF(Table1[[#This Row],[P/750]]&lt;50,2,3))</f>
        <v>3</v>
      </c>
      <c r="AF1278" s="10">
        <f>IF(Table1[[#This Row],[P/750]]&lt;Expenses!$C$30,1,IF(Table1[[#This Row],[P/750]]&lt;Expenses!$C$31,2,IF(Table1[[#This Row],[P/750]]&lt;Expenses!$C$32,3,4)))</f>
        <v>4</v>
      </c>
      <c r="AH1278" s="25" t="s">
        <v>1803</v>
      </c>
      <c r="AI1278" s="11">
        <f>Table1[[#This Row],[Price]]/Table1[[#This Row],[Size (ml)]]*750</f>
        <v>67.055000000000007</v>
      </c>
      <c r="AJ1278" s="37">
        <v>96</v>
      </c>
      <c r="AK1278" s="10">
        <f>COUNTIF(UniqueID!A:A,Table1[[#This Row],[ID]])</f>
        <v>0</v>
      </c>
      <c r="AL1278" s="10" t="str">
        <f>VLOOKUP(Table1[[#This Row],[Cellar Location]],Location!A:F,6,FALSE)</f>
        <v>S</v>
      </c>
      <c r="AN1278" s="1">
        <v>44065</v>
      </c>
      <c r="AO1278" s="10" t="str">
        <f>TEXT(Table1[[#This Row],[Purchased]],"mmmm")</f>
        <v>August</v>
      </c>
      <c r="AP1278" s="10" t="str">
        <f>TEXT(Table1[[#This Row],[Purchased]],"yyyy")</f>
        <v>2020</v>
      </c>
      <c r="AQ1278" s="10"/>
    </row>
    <row r="1279" spans="1:43" s="37" customFormat="1" x14ac:dyDescent="0.25">
      <c r="A1279" s="37" t="str">
        <f t="shared" si="60"/>
        <v>2016Produttori del BarbarescoBarbaresco</v>
      </c>
      <c r="B1279" s="37">
        <v>2016</v>
      </c>
      <c r="C1279" s="37" t="s">
        <v>248</v>
      </c>
      <c r="D1279" s="37" t="s">
        <v>249</v>
      </c>
      <c r="E1279" s="67" t="s">
        <v>1206</v>
      </c>
      <c r="F1279" s="37" t="s">
        <v>728</v>
      </c>
      <c r="G1279" s="37" t="s">
        <v>778</v>
      </c>
      <c r="H1279" s="37" t="s">
        <v>249</v>
      </c>
      <c r="I1279" s="8">
        <v>1</v>
      </c>
      <c r="J1279" s="38">
        <v>1500</v>
      </c>
      <c r="K1279" s="38" t="s">
        <v>1139</v>
      </c>
      <c r="L1279" s="37">
        <f>COUNTIF(Drank!A:A,Table1[[#This Row],[ID]])</f>
        <v>2</v>
      </c>
      <c r="M1279" s="37" t="s">
        <v>202</v>
      </c>
      <c r="N1279" s="37" t="s">
        <v>207</v>
      </c>
      <c r="O1279" s="37">
        <v>1</v>
      </c>
      <c r="P1279" s="37">
        <v>2022</v>
      </c>
      <c r="Q1279" s="37">
        <v>2040</v>
      </c>
      <c r="R1279" s="10">
        <f>IF(IFERROR(VLOOKUP(A1279,Drank!A:S,15,FALSE),"")=0,"",IFERROR(VLOOKUP(A1279,Drank!A:S,15,FALSE),""))</f>
        <v>2021</v>
      </c>
      <c r="S1279" s="10">
        <f>IF(IFERROR(VLOOKUP(A1279,Drank!A:S,16,FALSE),"")=0,"",IFERROR(VLOOKUP(A1279,Drank!A:S,16,FALSE),""))</f>
        <v>2032</v>
      </c>
      <c r="T1279" s="10"/>
      <c r="U1279" s="37">
        <v>95</v>
      </c>
      <c r="V1279" s="18">
        <f>IF(IFERROR(VLOOKUP(A1279,Drank!A:T,19,FALSE),"")=0,"",IFERROR(VLOOKUP(A1279,Drank!A:T,19,FALSE),""))</f>
        <v>95.5</v>
      </c>
      <c r="W1279" s="1">
        <f>IF(IFERROR(VLOOKUP(A1279,Drank!A:T,20,FALSE),"")=0,"",IFERROR(VLOOKUP(A1279,Drank!A:T,20,FALSE),""))</f>
        <v>44079</v>
      </c>
      <c r="X1279" s="10">
        <f>SUMIF(A:A,A1279,I:I)</f>
        <v>41</v>
      </c>
      <c r="Y1279" s="37">
        <f>IF(Table1[[#This Row],[Drank]]&gt;0,VLOOKUP(Table1[[#This Row],[ID]],Drank!A:P,16,FALSE),IF(Table1[[#This Row],[WALDD]]&gt;0,VLOOKUP(Table1[[#This Row],[ID]],Wine1!A:Q,17,FALSE),Table1[[#This Row],[EP]]))</f>
        <v>2032</v>
      </c>
      <c r="Z1279" s="18">
        <f>IF(Table1[[#This Row],[My Rating]]="",IF(Table1[[#This Row],[WA Rating Clean]]="","",Table1[[#This Row],[WA Rating Clean]]),Table1[[#This Row],[My Rating]])</f>
        <v>95.5</v>
      </c>
      <c r="AA1279" s="8">
        <v>2042</v>
      </c>
      <c r="AB1279" s="4">
        <v>97.74</v>
      </c>
      <c r="AC1279" s="2">
        <f t="shared" si="61"/>
        <v>97.74</v>
      </c>
      <c r="AD1279" s="8">
        <v>1</v>
      </c>
      <c r="AE1279" s="37">
        <f>IF(Table1[[#This Row],[P/750]]&lt;20,1,IF(Table1[[#This Row],[P/750]]&lt;50,2,3))</f>
        <v>2</v>
      </c>
      <c r="AF1279" s="37">
        <f>IF(Table1[[#This Row],[P/750]]&lt;Expenses!$C$30,1,IF(Table1[[#This Row],[P/750]]&lt;Expenses!$C$31,2,IF(Table1[[#This Row],[P/750]]&lt;Expenses!$C$32,3,4)))</f>
        <v>3</v>
      </c>
      <c r="AH1279" s="37" t="s">
        <v>1139</v>
      </c>
      <c r="AI1279" s="11">
        <f>Table1[[#This Row],[Price]]/Table1[[#This Row],[Size (ml)]]*750</f>
        <v>48.87</v>
      </c>
      <c r="AJ1279" s="37">
        <v>95</v>
      </c>
      <c r="AK1279" s="37">
        <f>COUNTIF(UniqueID!A:A,Table1[[#This Row],[ID]])</f>
        <v>1</v>
      </c>
      <c r="AL1279" s="37" t="str">
        <f>VLOOKUP(Table1[[#This Row],[Cellar Location]],Location!A:F,6,FALSE)</f>
        <v>W</v>
      </c>
      <c r="AN1279" s="1">
        <v>44058</v>
      </c>
      <c r="AO1279" s="37" t="str">
        <f>TEXT(Table1[[#This Row],[Purchased]],"mmmm")</f>
        <v>August</v>
      </c>
      <c r="AP1279" s="10" t="str">
        <f>TEXT(Table1[[#This Row],[Purchased]],"yyyy")</f>
        <v>2020</v>
      </c>
      <c r="AQ1279" s="1">
        <v>44132</v>
      </c>
    </row>
    <row r="1280" spans="1:43" s="37" customFormat="1" x14ac:dyDescent="0.25">
      <c r="A1280" s="37" t="str">
        <f t="shared" si="60"/>
        <v>2015OdderoBarolo</v>
      </c>
      <c r="B1280" s="37">
        <v>2015</v>
      </c>
      <c r="C1280" s="37" t="s">
        <v>1173</v>
      </c>
      <c r="D1280" s="37" t="s">
        <v>268</v>
      </c>
      <c r="E1280" s="37" t="s">
        <v>1206</v>
      </c>
      <c r="F1280" s="37" t="s">
        <v>728</v>
      </c>
      <c r="G1280" s="37" t="s">
        <v>778</v>
      </c>
      <c r="H1280" s="37" t="s">
        <v>268</v>
      </c>
      <c r="I1280" s="107">
        <v>1</v>
      </c>
      <c r="J1280" s="37">
        <v>375</v>
      </c>
      <c r="K1280" s="107" t="s">
        <v>1234</v>
      </c>
      <c r="L1280" s="10">
        <f>COUNTIF(Drank!A:A,Table1[[#This Row],[ID]])</f>
        <v>2</v>
      </c>
      <c r="M1280" s="37" t="s">
        <v>202</v>
      </c>
      <c r="N1280" s="37" t="s">
        <v>207</v>
      </c>
      <c r="O1280" s="37">
        <v>1</v>
      </c>
      <c r="P1280" s="37">
        <v>2020</v>
      </c>
      <c r="Q1280" s="37">
        <v>2035</v>
      </c>
      <c r="R1280" s="10">
        <f>IF(IFERROR(VLOOKUP(A1280,Drank!A:S,15,FALSE),"")=0,"",IFERROR(VLOOKUP(A1280,Drank!A:S,15,FALSE),""))</f>
        <v>2022</v>
      </c>
      <c r="S1280" s="10">
        <f>IF(IFERROR(VLOOKUP(A1280,Drank!A:S,16,FALSE),"")=0,"",IFERROR(VLOOKUP(A1280,Drank!A:S,16,FALSE),""))</f>
        <v>2035</v>
      </c>
      <c r="T1280" s="10"/>
      <c r="U1280" s="37" t="s">
        <v>74</v>
      </c>
      <c r="V1280" s="18">
        <f>IF(IFERROR(VLOOKUP(A1280,Drank!A:T,19,FALSE),"")=0,"",IFERROR(VLOOKUP(A1280,Drank!A:T,19,FALSE),""))</f>
        <v>93</v>
      </c>
      <c r="W1280" s="1">
        <f>IF(IFERROR(VLOOKUP(A1280,Drank!A:T,20,FALSE),"")=0,"",IFERROR(VLOOKUP(A1280,Drank!A:T,20,FALSE),""))</f>
        <v>43905</v>
      </c>
      <c r="X1280" s="10">
        <f>SUMIF(A:A,A1280,I:I)</f>
        <v>22</v>
      </c>
      <c r="Y1280" s="10">
        <f>IF(Table1[[#This Row],[Drank]]&gt;0,VLOOKUP(Table1[[#This Row],[ID]],Drank!A:P,16,FALSE),IF(Table1[[#This Row],[WALDD]]&gt;0,VLOOKUP(Table1[[#This Row],[ID]],Wine1!A:Q,17,FALSE),Table1[[#This Row],[EP]]))</f>
        <v>2035</v>
      </c>
      <c r="Z1280" s="18">
        <f>IF(Table1[[#This Row],[My Rating]]="",IF(Table1[[#This Row],[WA Rating Clean]]="","",Table1[[#This Row],[WA Rating Clean]]),Table1[[#This Row],[My Rating]])</f>
        <v>93</v>
      </c>
      <c r="AA1280" s="8">
        <v>2042</v>
      </c>
      <c r="AB1280" s="4">
        <v>26.48</v>
      </c>
      <c r="AC1280" s="2">
        <f t="shared" si="61"/>
        <v>26.48</v>
      </c>
      <c r="AD1280" s="8">
        <v>2</v>
      </c>
      <c r="AE1280" s="10">
        <f>IF(Table1[[#This Row],[P/750]]&lt;20,1,IF(Table1[[#This Row],[P/750]]&lt;50,2,3))</f>
        <v>3</v>
      </c>
      <c r="AF1280" s="10">
        <f>IF(Table1[[#This Row],[P/750]]&lt;Expenses!$C$30,1,IF(Table1[[#This Row],[P/750]]&lt;Expenses!$C$31,2,IF(Table1[[#This Row],[P/750]]&lt;Expenses!$C$32,3,4)))</f>
        <v>3</v>
      </c>
      <c r="AH1280" s="37" t="s">
        <v>1175</v>
      </c>
      <c r="AI1280" s="11">
        <f>Table1[[#This Row],[Price]]/Table1[[#This Row],[Size (ml)]]*750</f>
        <v>52.96</v>
      </c>
      <c r="AJ1280" s="37">
        <v>93</v>
      </c>
      <c r="AK1280" s="10">
        <f>COUNTIF(UniqueID!A:A,Table1[[#This Row],[ID]])</f>
        <v>1</v>
      </c>
      <c r="AL1280" s="10" t="str">
        <f>VLOOKUP(Table1[[#This Row],[Cellar Location]],Location!A:F,6,FALSE)</f>
        <v>S</v>
      </c>
      <c r="AN1280" s="1">
        <v>43858</v>
      </c>
      <c r="AO1280" s="37" t="str">
        <f>TEXT(Table1[[#This Row],[Purchased]],"mmmm")</f>
        <v>January</v>
      </c>
      <c r="AP1280" s="10" t="str">
        <f>TEXT(Table1[[#This Row],[Purchased]],"yyyy")</f>
        <v>2020</v>
      </c>
      <c r="AQ1280" s="10"/>
    </row>
    <row r="1281" spans="1:43" s="37" customFormat="1" x14ac:dyDescent="0.25">
      <c r="A1281" s="37" t="str">
        <f t="shared" si="60"/>
        <v>2015OdderoBarolo</v>
      </c>
      <c r="B1281" s="37">
        <v>2015</v>
      </c>
      <c r="C1281" s="37" t="s">
        <v>1173</v>
      </c>
      <c r="D1281" s="37" t="s">
        <v>268</v>
      </c>
      <c r="E1281" s="37" t="s">
        <v>1206</v>
      </c>
      <c r="F1281" s="37" t="s">
        <v>728</v>
      </c>
      <c r="G1281" s="37" t="s">
        <v>778</v>
      </c>
      <c r="H1281" s="37" t="s">
        <v>268</v>
      </c>
      <c r="I1281" s="107">
        <v>1</v>
      </c>
      <c r="J1281" s="37">
        <v>750</v>
      </c>
      <c r="K1281" s="107" t="s">
        <v>1235</v>
      </c>
      <c r="L1281" s="10">
        <f>COUNTIF(Drank!A:A,Table1[[#This Row],[ID]])</f>
        <v>2</v>
      </c>
      <c r="M1281" s="37" t="s">
        <v>202</v>
      </c>
      <c r="N1281" s="37" t="s">
        <v>207</v>
      </c>
      <c r="O1281" s="37">
        <v>1</v>
      </c>
      <c r="P1281" s="37">
        <v>2020</v>
      </c>
      <c r="Q1281" s="37">
        <v>2035</v>
      </c>
      <c r="R1281" s="10">
        <f>IF(IFERROR(VLOOKUP(A1281,Drank!A:S,15,FALSE),"")=0,"",IFERROR(VLOOKUP(A1281,Drank!A:S,15,FALSE),""))</f>
        <v>2022</v>
      </c>
      <c r="S1281" s="10">
        <f>IF(IFERROR(VLOOKUP(A1281,Drank!A:S,16,FALSE),"")=0,"",IFERROR(VLOOKUP(A1281,Drank!A:S,16,FALSE),""))</f>
        <v>2035</v>
      </c>
      <c r="T1281" s="10"/>
      <c r="U1281" s="37" t="s">
        <v>74</v>
      </c>
      <c r="V1281" s="18">
        <f>IF(IFERROR(VLOOKUP(A1281,Drank!A:T,19,FALSE),"")=0,"",IFERROR(VLOOKUP(A1281,Drank!A:T,19,FALSE),""))</f>
        <v>93</v>
      </c>
      <c r="W1281" s="1">
        <f>IF(IFERROR(VLOOKUP(A1281,Drank!A:T,20,FALSE),"")=0,"",IFERROR(VLOOKUP(A1281,Drank!A:T,20,FALSE),""))</f>
        <v>43905</v>
      </c>
      <c r="X1281" s="10">
        <f>SUMIF(A:A,A1281,I:I)</f>
        <v>22</v>
      </c>
      <c r="Y1281" s="10">
        <f>IF(Table1[[#This Row],[Drank]]&gt;0,VLOOKUP(Table1[[#This Row],[ID]],Drank!A:P,16,FALSE),IF(Table1[[#This Row],[WALDD]]&gt;0,VLOOKUP(Table1[[#This Row],[ID]],Wine1!A:Q,17,FALSE),Table1[[#This Row],[EP]]))</f>
        <v>2035</v>
      </c>
      <c r="Z1281" s="18">
        <f>IF(Table1[[#This Row],[My Rating]]="",IF(Table1[[#This Row],[WA Rating Clean]]="","",Table1[[#This Row],[WA Rating Clean]]),Table1[[#This Row],[My Rating]])</f>
        <v>93</v>
      </c>
      <c r="AA1281" s="8">
        <v>2042</v>
      </c>
      <c r="AB1281" s="4">
        <v>40.229999999999997</v>
      </c>
      <c r="AC1281" s="2">
        <f t="shared" si="61"/>
        <v>40.229999999999997</v>
      </c>
      <c r="AD1281" s="8">
        <v>2</v>
      </c>
      <c r="AE1281" s="10">
        <f>IF(Table1[[#This Row],[P/750]]&lt;20,1,IF(Table1[[#This Row],[P/750]]&lt;50,2,3))</f>
        <v>2</v>
      </c>
      <c r="AF1281" s="10">
        <f>IF(Table1[[#This Row],[P/750]]&lt;Expenses!$C$30,1,IF(Table1[[#This Row],[P/750]]&lt;Expenses!$C$31,2,IF(Table1[[#This Row],[P/750]]&lt;Expenses!$C$32,3,4)))</f>
        <v>3</v>
      </c>
      <c r="AH1281" s="37" t="s">
        <v>1174</v>
      </c>
      <c r="AI1281" s="11">
        <f>Table1[[#This Row],[Price]]/Table1[[#This Row],[Size (ml)]]*750</f>
        <v>40.229999999999997</v>
      </c>
      <c r="AJ1281" s="37">
        <v>93</v>
      </c>
      <c r="AK1281" s="10">
        <f>COUNTIF(UniqueID!A:A,Table1[[#This Row],[ID]])</f>
        <v>1</v>
      </c>
      <c r="AL1281" s="10" t="str">
        <f>VLOOKUP(Table1[[#This Row],[Cellar Location]],Location!A:F,6,FALSE)</f>
        <v>S</v>
      </c>
      <c r="AN1281" s="1">
        <v>43858</v>
      </c>
      <c r="AO1281" s="37" t="str">
        <f>TEXT(Table1[[#This Row],[Purchased]],"mmmm")</f>
        <v>January</v>
      </c>
      <c r="AP1281" s="10" t="str">
        <f>TEXT(Table1[[#This Row],[Purchased]],"yyyy")</f>
        <v>2020</v>
      </c>
      <c r="AQ1281" s="10"/>
    </row>
    <row r="1282" spans="1:43" s="37" customFormat="1" x14ac:dyDescent="0.25">
      <c r="A1282" s="37" t="str">
        <f t="shared" si="60"/>
        <v>2016Paolo ScavinoBarolo</v>
      </c>
      <c r="B1282" s="37">
        <v>2016</v>
      </c>
      <c r="C1282" s="37" t="s">
        <v>1796</v>
      </c>
      <c r="D1282" s="9" t="s">
        <v>268</v>
      </c>
      <c r="E1282" s="67" t="s">
        <v>1206</v>
      </c>
      <c r="F1282" s="37" t="s">
        <v>728</v>
      </c>
      <c r="G1282" s="37" t="s">
        <v>778</v>
      </c>
      <c r="H1282" s="37" t="s">
        <v>268</v>
      </c>
      <c r="I1282" s="78">
        <v>1</v>
      </c>
      <c r="J1282" s="37">
        <v>1500</v>
      </c>
      <c r="K1282" s="78" t="s">
        <v>1545</v>
      </c>
      <c r="L1282" s="10">
        <f>COUNTIF(Drank!A:A,Table1[[#This Row],[ID]])</f>
        <v>0</v>
      </c>
      <c r="M1282" s="37" t="s">
        <v>202</v>
      </c>
      <c r="N1282" s="37" t="s">
        <v>207</v>
      </c>
      <c r="O1282" s="37">
        <v>1</v>
      </c>
      <c r="P1282" s="10">
        <v>2023</v>
      </c>
      <c r="Q1282" s="37">
        <v>2040</v>
      </c>
      <c r="R1282" s="10" t="str">
        <f>IF(IFERROR(VLOOKUP(A1282,Drank!A:S,15,FALSE),"")=0,"",IFERROR(VLOOKUP(A1282,Drank!A:S,15,FALSE),""))</f>
        <v/>
      </c>
      <c r="S1282" s="10" t="str">
        <f>IF(IFERROR(VLOOKUP(A1282,Drank!A:S,16,FALSE),"")=0,"",IFERROR(VLOOKUP(A1282,Drank!A:S,16,FALSE),""))</f>
        <v/>
      </c>
      <c r="T1282" s="10"/>
      <c r="U1282" s="37">
        <v>95</v>
      </c>
      <c r="V1282" s="18" t="str">
        <f>IF(IFERROR(VLOOKUP(A1282,Drank!A:T,19,FALSE),"")=0,"",IFERROR(VLOOKUP(A1282,Drank!A:T,19,FALSE),""))</f>
        <v/>
      </c>
      <c r="W1282" s="1" t="str">
        <f>IF(IFERROR(VLOOKUP(A1282,Drank!A:T,20,FALSE),"")=0,"",IFERROR(VLOOKUP(A1282,Drank!A:T,20,FALSE),""))</f>
        <v/>
      </c>
      <c r="X1282" s="10">
        <f>SUMIF(A:A,A1282,I:I)</f>
        <v>6</v>
      </c>
      <c r="Y1282" s="10">
        <f>IF(Table1[[#This Row],[Drank]]&gt;0,VLOOKUP(Table1[[#This Row],[ID]],Drank!A:P,16,FALSE),IF(Table1[[#This Row],[WALDD]]&gt;0,VLOOKUP(Table1[[#This Row],[ID]],Wine1!A:Q,17,FALSE),Table1[[#This Row],[EP]]))</f>
        <v>2040</v>
      </c>
      <c r="Z1282" s="18">
        <f>IF(Table1[[#This Row],[My Rating]]="",IF(Table1[[#This Row],[WA Rating Clean]]="","",Table1[[#This Row],[WA Rating Clean]]),Table1[[#This Row],[My Rating]])</f>
        <v>95</v>
      </c>
      <c r="AA1282" s="37">
        <v>2042</v>
      </c>
      <c r="AB1282" s="128">
        <v>104.23</v>
      </c>
      <c r="AC1282" s="2">
        <f t="shared" si="61"/>
        <v>104.23</v>
      </c>
      <c r="AD1282" s="8"/>
      <c r="AE1282" s="10">
        <f>IF(Table1[[#This Row],[P/750]]&lt;20,1,IF(Table1[[#This Row],[P/750]]&lt;50,2,3))</f>
        <v>3</v>
      </c>
      <c r="AF1282" s="10">
        <f>IF(Table1[[#This Row],[P/750]]&lt;Expenses!$C$30,1,IF(Table1[[#This Row],[P/750]]&lt;Expenses!$C$31,2,IF(Table1[[#This Row],[P/750]]&lt;Expenses!$C$32,3,4)))</f>
        <v>3</v>
      </c>
      <c r="AH1282" s="25" t="s">
        <v>1545</v>
      </c>
      <c r="AI1282" s="11">
        <f>Table1[[#This Row],[Price]]/Table1[[#This Row],[Size (ml)]]*750</f>
        <v>52.115000000000002</v>
      </c>
      <c r="AJ1282" s="37">
        <v>95</v>
      </c>
      <c r="AK1282" s="10">
        <f>COUNTIF(UniqueID!A:A,Table1[[#This Row],[ID]])</f>
        <v>0</v>
      </c>
      <c r="AL1282" s="10" t="str">
        <f>VLOOKUP(Table1[[#This Row],[Cellar Location]],Location!A:F,6,FALSE)</f>
        <v>W</v>
      </c>
      <c r="AN1282" s="1">
        <v>44065</v>
      </c>
      <c r="AO1282" s="10" t="str">
        <f>TEXT(Table1[[#This Row],[Purchased]],"mmmm")</f>
        <v>August</v>
      </c>
      <c r="AP1282" s="10" t="str">
        <f>TEXT(Table1[[#This Row],[Purchased]],"yyyy")</f>
        <v>2020</v>
      </c>
      <c r="AQ1282" s="10"/>
    </row>
    <row r="1283" spans="1:43" s="37" customFormat="1" x14ac:dyDescent="0.25">
      <c r="A1283" s="37" t="str">
        <f t="shared" si="60"/>
        <v>2016Marchesi AntinoriTignanello</v>
      </c>
      <c r="B1283" s="37">
        <v>2016</v>
      </c>
      <c r="C1283" s="37" t="s">
        <v>1699</v>
      </c>
      <c r="D1283" s="37" t="s">
        <v>1774</v>
      </c>
      <c r="E1283" s="67" t="s">
        <v>1775</v>
      </c>
      <c r="F1283" s="37" t="s">
        <v>728</v>
      </c>
      <c r="G1283" s="37" t="s">
        <v>790</v>
      </c>
      <c r="H1283" s="37" t="s">
        <v>796</v>
      </c>
      <c r="I1283" s="37">
        <v>1</v>
      </c>
      <c r="J1283" s="107">
        <v>750</v>
      </c>
      <c r="K1283" s="8" t="s">
        <v>1845</v>
      </c>
      <c r="L1283" s="10">
        <f>COUNTIF(Drank!A:A,Table1[[#This Row],[ID]])</f>
        <v>0</v>
      </c>
      <c r="M1283" s="37" t="s">
        <v>202</v>
      </c>
      <c r="N1283" s="37" t="s">
        <v>207</v>
      </c>
      <c r="O1283" s="37">
        <v>1</v>
      </c>
      <c r="P1283" s="10">
        <v>2020</v>
      </c>
      <c r="Q1283" s="37">
        <v>2045</v>
      </c>
      <c r="R1283" s="10" t="str">
        <f>IF(IFERROR(VLOOKUP(A1283,Drank!A:S,15,FALSE),"")=0,"",IFERROR(VLOOKUP(A1283,Drank!A:S,15,FALSE),""))</f>
        <v/>
      </c>
      <c r="S1283" s="10" t="str">
        <f>IF(IFERROR(VLOOKUP(A1283,Drank!A:S,16,FALSE),"")=0,"",IFERROR(VLOOKUP(A1283,Drank!A:S,16,FALSE),""))</f>
        <v/>
      </c>
      <c r="T1283" s="10"/>
      <c r="U1283" s="37">
        <v>97</v>
      </c>
      <c r="V1283" s="18" t="str">
        <f>IF(IFERROR(VLOOKUP(A1283,Drank!A:T,19,FALSE),"")=0,"",IFERROR(VLOOKUP(A1283,Drank!A:T,19,FALSE),""))</f>
        <v/>
      </c>
      <c r="W1283" s="1" t="str">
        <f>IF(IFERROR(VLOOKUP(A1283,Drank!A:T,20,FALSE),"")=0,"",IFERROR(VLOOKUP(A1283,Drank!A:T,20,FALSE),""))</f>
        <v/>
      </c>
      <c r="X1283" s="10">
        <f>SUMIF(A:A,A1283,I:I)</f>
        <v>6</v>
      </c>
      <c r="Y1283" s="10">
        <f>IF(Table1[[#This Row],[Drank]]&gt;0,VLOOKUP(Table1[[#This Row],[ID]],Drank!A:P,16,FALSE),IF(Table1[[#This Row],[WALDD]]&gt;0,VLOOKUP(Table1[[#This Row],[ID]],Wine1!A:Q,17,FALSE),Table1[[#This Row],[EP]]))</f>
        <v>2045</v>
      </c>
      <c r="Z1283" s="18">
        <f>IF(Table1[[#This Row],[My Rating]]="",IF(Table1[[#This Row],[WA Rating Clean]]="","",Table1[[#This Row],[WA Rating Clean]]),Table1[[#This Row],[My Rating]])</f>
        <v>97</v>
      </c>
      <c r="AA1283" s="37">
        <v>2042</v>
      </c>
      <c r="AB1283" s="129">
        <v>146.63</v>
      </c>
      <c r="AC1283" s="2">
        <f t="shared" si="61"/>
        <v>146.63</v>
      </c>
      <c r="AD1283" s="8">
        <v>1</v>
      </c>
      <c r="AE1283" s="10">
        <f>IF(Table1[[#This Row],[P/750]]&lt;20,1,IF(Table1[[#This Row],[P/750]]&lt;50,2,3))</f>
        <v>3</v>
      </c>
      <c r="AF1283" s="10">
        <f>IF(Table1[[#This Row],[P/750]]&lt;Expenses!$C$30,1,IF(Table1[[#This Row],[P/750]]&lt;Expenses!$C$31,2,IF(Table1[[#This Row],[P/750]]&lt;Expenses!$C$32,3,4)))</f>
        <v>4</v>
      </c>
      <c r="AH1283" s="37" t="s">
        <v>1128</v>
      </c>
      <c r="AI1283" s="11">
        <f>Table1[[#This Row],[Price]]/Table1[[#This Row],[Size (ml)]]*750</f>
        <v>146.63</v>
      </c>
      <c r="AJ1283" s="37">
        <v>97</v>
      </c>
      <c r="AK1283" s="10">
        <f>COUNTIF(UniqueID!A:A,Table1[[#This Row],[ID]])</f>
        <v>0</v>
      </c>
      <c r="AL1283" s="10" t="str">
        <f>VLOOKUP(Table1[[#This Row],[Cellar Location]],Location!A:F,6,FALSE)</f>
        <v>S</v>
      </c>
      <c r="AN1283" s="1">
        <v>44070</v>
      </c>
      <c r="AO1283" s="10" t="str">
        <f>TEXT(Table1[[#This Row],[Purchased]],"mmmm")</f>
        <v>August</v>
      </c>
      <c r="AP1283" s="10" t="str">
        <f>TEXT(Table1[[#This Row],[Purchased]],"yyyy")</f>
        <v>2020</v>
      </c>
      <c r="AQ1283" s="1"/>
    </row>
    <row r="1284" spans="1:43" s="37" customFormat="1" x14ac:dyDescent="0.25">
      <c r="A1284" s="37" t="str">
        <f t="shared" si="60"/>
        <v>2014Produttori del BarbarescoBarbaresco Riserva Asili</v>
      </c>
      <c r="B1284" s="37">
        <v>2014</v>
      </c>
      <c r="C1284" s="37" t="s">
        <v>248</v>
      </c>
      <c r="D1284" s="37" t="s">
        <v>1134</v>
      </c>
      <c r="E1284" s="67" t="s">
        <v>1206</v>
      </c>
      <c r="F1284" s="37" t="s">
        <v>728</v>
      </c>
      <c r="G1284" s="37" t="s">
        <v>778</v>
      </c>
      <c r="H1284" s="37" t="s">
        <v>249</v>
      </c>
      <c r="I1284" s="107">
        <v>1</v>
      </c>
      <c r="J1284" s="37">
        <v>750</v>
      </c>
      <c r="K1284" s="107" t="s">
        <v>1133</v>
      </c>
      <c r="L1284" s="10">
        <f>COUNTIF(Drank!A:A,Table1[[#This Row],[ID]])</f>
        <v>0</v>
      </c>
      <c r="M1284" s="37" t="s">
        <v>202</v>
      </c>
      <c r="N1284" s="37" t="s">
        <v>207</v>
      </c>
      <c r="O1284" s="37">
        <v>1</v>
      </c>
      <c r="P1284" s="10">
        <v>2021</v>
      </c>
      <c r="Q1284" s="37">
        <v>2045</v>
      </c>
      <c r="R1284" s="10" t="str">
        <f>IF(IFERROR(VLOOKUP(A1284,Drank!A:S,15,FALSE),"")=0,"",IFERROR(VLOOKUP(A1284,Drank!A:S,15,FALSE),""))</f>
        <v/>
      </c>
      <c r="S1284" s="10" t="str">
        <f>IF(IFERROR(VLOOKUP(A1284,Drank!A:S,16,FALSE),"")=0,"",IFERROR(VLOOKUP(A1284,Drank!A:S,16,FALSE),""))</f>
        <v/>
      </c>
      <c r="T1284" s="10"/>
      <c r="U1284" s="37">
        <v>95</v>
      </c>
      <c r="V1284" s="18" t="str">
        <f>IF(IFERROR(VLOOKUP(A1284,Drank!A:T,19,FALSE),"")=0,"",IFERROR(VLOOKUP(A1284,Drank!A:T,19,FALSE),""))</f>
        <v/>
      </c>
      <c r="W1284" s="1" t="str">
        <f>IF(IFERROR(VLOOKUP(A1284,Drank!A:T,20,FALSE),"")=0,"",IFERROR(VLOOKUP(A1284,Drank!A:T,20,FALSE),""))</f>
        <v/>
      </c>
      <c r="X1284" s="10">
        <f>SUMIF(A:A,A1284,I:I)</f>
        <v>2</v>
      </c>
      <c r="Y1284" s="10">
        <f>IF(Table1[[#This Row],[Drank]]&gt;0,VLOOKUP(Table1[[#This Row],[ID]],Drank!A:P,16,FALSE),IF(Table1[[#This Row],[WALDD]]&gt;0,VLOOKUP(Table1[[#This Row],[ID]],Wine1!A:Q,17,FALSE),Table1[[#This Row],[EP]]))</f>
        <v>2045</v>
      </c>
      <c r="Z1284" s="18">
        <f>IF(Table1[[#This Row],[My Rating]]="",IF(Table1[[#This Row],[WA Rating Clean]]="","",Table1[[#This Row],[WA Rating Clean]]),Table1[[#This Row],[My Rating]])</f>
        <v>95</v>
      </c>
      <c r="AA1284" s="37">
        <v>2042</v>
      </c>
      <c r="AB1284" s="4">
        <v>49.49</v>
      </c>
      <c r="AC1284" s="2">
        <f t="shared" si="61"/>
        <v>49.49</v>
      </c>
      <c r="AD1284" s="8">
        <v>2</v>
      </c>
      <c r="AE1284" s="10">
        <f>IF(Table1[[#This Row],[P/750]]&lt;20,1,IF(Table1[[#This Row],[P/750]]&lt;50,2,3))</f>
        <v>2</v>
      </c>
      <c r="AF1284" s="10">
        <f>IF(Table1[[#This Row],[P/750]]&lt;Expenses!$C$30,1,IF(Table1[[#This Row],[P/750]]&lt;Expenses!$C$31,2,IF(Table1[[#This Row],[P/750]]&lt;Expenses!$C$32,3,4)))</f>
        <v>3</v>
      </c>
      <c r="AH1284" s="37" t="s">
        <v>1132</v>
      </c>
      <c r="AI1284" s="11">
        <f>Table1[[#This Row],[Price]]/Table1[[#This Row],[Size (ml)]]*750</f>
        <v>49.49</v>
      </c>
      <c r="AJ1284" s="37">
        <v>95</v>
      </c>
      <c r="AK1284" s="10">
        <f>COUNTIF(UniqueID!A:A,Table1[[#This Row],[ID]])</f>
        <v>1</v>
      </c>
      <c r="AL1284" s="10" t="str">
        <f>VLOOKUP(Table1[[#This Row],[Cellar Location]],Location!A:F,6,FALSE)</f>
        <v>S</v>
      </c>
      <c r="AN1284" s="1">
        <v>43833</v>
      </c>
      <c r="AO1284" s="37" t="str">
        <f>TEXT(Table1[[#This Row],[Purchased]],"mmmm")</f>
        <v>January</v>
      </c>
      <c r="AP1284" s="10" t="str">
        <f>TEXT(Table1[[#This Row],[Purchased]],"yyyy")</f>
        <v>2020</v>
      </c>
      <c r="AQ1284" s="10"/>
    </row>
    <row r="1285" spans="1:43" s="37" customFormat="1" x14ac:dyDescent="0.25">
      <c r="A1285" s="37" t="str">
        <f t="shared" si="60"/>
        <v>2014Anderson's Conn ValleyCabernet Sauvignon Reserve</v>
      </c>
      <c r="B1285" s="37">
        <v>2014</v>
      </c>
      <c r="C1285" s="37" t="s">
        <v>252</v>
      </c>
      <c r="D1285" s="37" t="s">
        <v>430</v>
      </c>
      <c r="E1285" s="69" t="s">
        <v>1259</v>
      </c>
      <c r="F1285" s="37" t="s">
        <v>727</v>
      </c>
      <c r="G1285" s="37" t="s">
        <v>806</v>
      </c>
      <c r="H1285" s="37" t="s">
        <v>832</v>
      </c>
      <c r="I1285" s="107">
        <v>1</v>
      </c>
      <c r="J1285" s="37">
        <v>750</v>
      </c>
      <c r="K1285" s="107" t="s">
        <v>641</v>
      </c>
      <c r="L1285" s="37">
        <f>COUNTIF(Drank!A:A,Table1[[#This Row],[ID]])</f>
        <v>0</v>
      </c>
      <c r="M1285" s="37" t="s">
        <v>202</v>
      </c>
      <c r="N1285" s="37" t="s">
        <v>207</v>
      </c>
      <c r="O1285" s="37">
        <v>1</v>
      </c>
      <c r="P1285" s="37">
        <v>2016</v>
      </c>
      <c r="Q1285" s="37">
        <v>2046</v>
      </c>
      <c r="R1285" s="10" t="str">
        <f>IF(IFERROR(VLOOKUP(A1285,Drank!A:S,15,FALSE),"")=0,"",IFERROR(VLOOKUP(A1285,Drank!A:S,15,FALSE),""))</f>
        <v/>
      </c>
      <c r="S1285" s="10" t="str">
        <f>IF(IFERROR(VLOOKUP(A1285,Drank!A:S,16,FALSE),"")=0,"",IFERROR(VLOOKUP(A1285,Drank!A:S,16,FALSE),""))</f>
        <v/>
      </c>
      <c r="T1285" s="10"/>
      <c r="U1285" s="37">
        <v>95</v>
      </c>
      <c r="V1285" s="18" t="str">
        <f>IF(IFERROR(VLOOKUP(A1285,Drank!A:T,19,FALSE),"")=0,"",IFERROR(VLOOKUP(A1285,Drank!A:T,19,FALSE),""))</f>
        <v/>
      </c>
      <c r="W1285" s="1" t="str">
        <f>IF(IFERROR(VLOOKUP(A1285,Drank!A:T,20,FALSE),"")=0,"",IFERROR(VLOOKUP(A1285,Drank!A:T,20,FALSE),""))</f>
        <v/>
      </c>
      <c r="X1285" s="10">
        <f>SUMIF(A:A,A1285,I:I)</f>
        <v>4</v>
      </c>
      <c r="Y1285" s="37">
        <f>IF(Table1[[#This Row],[Drank]]&gt;0,VLOOKUP(Table1[[#This Row],[ID]],Drank!A:P,16,FALSE),IF(Table1[[#This Row],[WALDD]]&gt;0,VLOOKUP(Table1[[#This Row],[ID]],Wine1!A:Q,17,FALSE),Table1[[#This Row],[EP]]))</f>
        <v>2046</v>
      </c>
      <c r="Z1285" s="18">
        <f>IF(Table1[[#This Row],[My Rating]]="",IF(Table1[[#This Row],[WA Rating Clean]]="","",Table1[[#This Row],[WA Rating Clean]]),Table1[[#This Row],[My Rating]])</f>
        <v>95</v>
      </c>
      <c r="AA1285" s="37">
        <v>2042</v>
      </c>
      <c r="AB1285" s="4">
        <v>60</v>
      </c>
      <c r="AC1285" s="2">
        <f t="shared" si="61"/>
        <v>60</v>
      </c>
      <c r="AD1285" s="8">
        <v>2</v>
      </c>
      <c r="AE1285" s="37">
        <f>IF(Table1[[#This Row],[P/750]]&lt;20,1,IF(Table1[[#This Row],[P/750]]&lt;50,2,3))</f>
        <v>3</v>
      </c>
      <c r="AF1285" s="37">
        <f>IF(Table1[[#This Row],[P/750]]&lt;Expenses!$C$30,1,IF(Table1[[#This Row],[P/750]]&lt;Expenses!$C$31,2,IF(Table1[[#This Row],[P/750]]&lt;Expenses!$C$32,3,4)))</f>
        <v>3</v>
      </c>
      <c r="AH1285" s="37" t="s">
        <v>384</v>
      </c>
      <c r="AI1285" s="11">
        <f>Table1[[#This Row],[Price]]/Table1[[#This Row],[Size (ml)]]*750</f>
        <v>60</v>
      </c>
      <c r="AJ1285" s="37">
        <v>95</v>
      </c>
      <c r="AK1285" s="37">
        <f>COUNTIF(UniqueID!A:A,Table1[[#This Row],[ID]])</f>
        <v>1</v>
      </c>
      <c r="AL1285" s="37" t="str">
        <f>VLOOKUP(Table1[[#This Row],[Cellar Location]],Location!A:F,6,FALSE)</f>
        <v>S</v>
      </c>
      <c r="AO1285" s="37" t="str">
        <f>TEXT(Table1[[#This Row],[Purchased]],"mmmm")</f>
        <v>January</v>
      </c>
      <c r="AP1285" s="10" t="str">
        <f>TEXT(Table1[[#This Row],[Purchased]],"yyyy")</f>
        <v>1900</v>
      </c>
      <c r="AQ1285" s="10"/>
    </row>
    <row r="1286" spans="1:43" s="37" customFormat="1" x14ac:dyDescent="0.25">
      <c r="A1286" s="37" t="str">
        <f t="shared" si="60"/>
        <v>2015FontodiFlaccianello della Pieve</v>
      </c>
      <c r="B1286" s="37">
        <v>2015</v>
      </c>
      <c r="C1286" s="37" t="s">
        <v>20</v>
      </c>
      <c r="D1286" s="37" t="s">
        <v>21</v>
      </c>
      <c r="E1286" s="67" t="s">
        <v>1250</v>
      </c>
      <c r="F1286" s="37" t="s">
        <v>728</v>
      </c>
      <c r="G1286" s="37" t="s">
        <v>790</v>
      </c>
      <c r="H1286" s="37" t="s">
        <v>836</v>
      </c>
      <c r="I1286" s="37">
        <v>1</v>
      </c>
      <c r="J1286" s="107">
        <v>750</v>
      </c>
      <c r="K1286" s="8" t="s">
        <v>1812</v>
      </c>
      <c r="L1286" s="10">
        <f>COUNTIF(Drank!A:A,Table1[[#This Row],[ID]])</f>
        <v>0</v>
      </c>
      <c r="M1286" s="37" t="s">
        <v>202</v>
      </c>
      <c r="N1286" s="37" t="s">
        <v>207</v>
      </c>
      <c r="O1286" s="37">
        <v>1</v>
      </c>
      <c r="P1286" s="37">
        <v>2020</v>
      </c>
      <c r="Q1286" s="37">
        <v>2050</v>
      </c>
      <c r="R1286" s="10" t="str">
        <f>IF(IFERROR(VLOOKUP(A1286,Drank!A:S,15,FALSE),"")=0,"",IFERROR(VLOOKUP(A1286,Drank!A:S,15,FALSE),""))</f>
        <v/>
      </c>
      <c r="S1286" s="10" t="str">
        <f>IF(IFERROR(VLOOKUP(A1286,Drank!A:S,16,FALSE),"")=0,"",IFERROR(VLOOKUP(A1286,Drank!A:S,16,FALSE),""))</f>
        <v/>
      </c>
      <c r="T1286" s="10"/>
      <c r="U1286" s="37">
        <v>98</v>
      </c>
      <c r="V1286" s="18" t="str">
        <f>IF(IFERROR(VLOOKUP(A1286,Drank!A:T,19,FALSE),"")=0,"",IFERROR(VLOOKUP(A1286,Drank!A:T,19,FALSE),""))</f>
        <v/>
      </c>
      <c r="W1286" s="1" t="str">
        <f>IF(IFERROR(VLOOKUP(A1286,Drank!A:T,20,FALSE),"")=0,"",IFERROR(VLOOKUP(A1286,Drank!A:T,20,FALSE),""))</f>
        <v/>
      </c>
      <c r="X1286" s="10">
        <f>SUMIF(A:A,A1286,I:I)</f>
        <v>6</v>
      </c>
      <c r="Y1286" s="10">
        <f>IF(Table1[[#This Row],[Drank]]&gt;0,VLOOKUP(Table1[[#This Row],[ID]],Drank!A:P,16,FALSE),IF(Table1[[#This Row],[WALDD]]&gt;0,VLOOKUP(Table1[[#This Row],[ID]],Wine1!A:Q,17,FALSE),Table1[[#This Row],[EP]]))</f>
        <v>2050</v>
      </c>
      <c r="Z1286" s="18">
        <f>IF(Table1[[#This Row],[My Rating]]="",IF(Table1[[#This Row],[WA Rating Clean]]="","",Table1[[#This Row],[WA Rating Clean]]),Table1[[#This Row],[My Rating]])</f>
        <v>98</v>
      </c>
      <c r="AA1286" s="8">
        <v>2042</v>
      </c>
      <c r="AB1286" s="4">
        <v>136.04</v>
      </c>
      <c r="AC1286" s="2">
        <f t="shared" si="61"/>
        <v>136.04</v>
      </c>
      <c r="AD1286" s="8">
        <v>1</v>
      </c>
      <c r="AE1286" s="10">
        <f>IF(Table1[[#This Row],[P/750]]&lt;20,1,IF(Table1[[#This Row],[P/750]]&lt;50,2,3))</f>
        <v>3</v>
      </c>
      <c r="AF1286" s="10">
        <f>IF(Table1[[#This Row],[P/750]]&lt;Expenses!$C$30,1,IF(Table1[[#This Row],[P/750]]&lt;Expenses!$C$31,2,IF(Table1[[#This Row],[P/750]]&lt;Expenses!$C$32,3,4)))</f>
        <v>4</v>
      </c>
      <c r="AH1286" s="37" t="s">
        <v>1749</v>
      </c>
      <c r="AI1286" s="11">
        <f>Table1[[#This Row],[Price]]/Table1[[#This Row],[Size (ml)]]*750</f>
        <v>136.04</v>
      </c>
      <c r="AJ1286" s="37">
        <v>98</v>
      </c>
      <c r="AK1286" s="10">
        <f>COUNTIF(UniqueID!A:A,Table1[[#This Row],[ID]])</f>
        <v>0</v>
      </c>
      <c r="AL1286" s="10" t="str">
        <f>VLOOKUP(Table1[[#This Row],[Cellar Location]],Location!A:F,6,FALSE)</f>
        <v>S</v>
      </c>
      <c r="AN1286" s="1">
        <v>44063</v>
      </c>
      <c r="AO1286" s="10" t="str">
        <f>TEXT(Table1[[#This Row],[Purchased]],"mmmm")</f>
        <v>August</v>
      </c>
      <c r="AP1286" s="10" t="str">
        <f>TEXT(Table1[[#This Row],[Purchased]],"yyyy")</f>
        <v>2020</v>
      </c>
      <c r="AQ1286" s="10"/>
    </row>
    <row r="1287" spans="1:43" s="37" customFormat="1" x14ac:dyDescent="0.25">
      <c r="A1287" s="37" t="str">
        <f t="shared" si="60"/>
        <v>2016FontodiFlaccianello della Pieve</v>
      </c>
      <c r="B1287" s="37">
        <v>2016</v>
      </c>
      <c r="C1287" s="37" t="s">
        <v>20</v>
      </c>
      <c r="D1287" s="37" t="s">
        <v>21</v>
      </c>
      <c r="E1287" s="67" t="s">
        <v>1250</v>
      </c>
      <c r="F1287" s="37" t="s">
        <v>728</v>
      </c>
      <c r="G1287" s="37" t="s">
        <v>790</v>
      </c>
      <c r="H1287" s="37" t="s">
        <v>836</v>
      </c>
      <c r="I1287" s="37">
        <v>1</v>
      </c>
      <c r="J1287" s="107">
        <v>750</v>
      </c>
      <c r="K1287" s="8" t="s">
        <v>1813</v>
      </c>
      <c r="L1287" s="10">
        <f>COUNTIF(Drank!A:A,Table1[[#This Row],[ID]])</f>
        <v>0</v>
      </c>
      <c r="M1287" s="37" t="s">
        <v>202</v>
      </c>
      <c r="N1287" s="37" t="s">
        <v>207</v>
      </c>
      <c r="O1287" s="37">
        <v>1</v>
      </c>
      <c r="P1287" s="37">
        <v>2020</v>
      </c>
      <c r="Q1287" s="37">
        <v>2050</v>
      </c>
      <c r="R1287" s="10" t="str">
        <f>IF(IFERROR(VLOOKUP(A1287,Drank!A:S,15,FALSE),"")=0,"",IFERROR(VLOOKUP(A1287,Drank!A:S,15,FALSE),""))</f>
        <v/>
      </c>
      <c r="S1287" s="10" t="str">
        <f>IF(IFERROR(VLOOKUP(A1287,Drank!A:S,16,FALSE),"")=0,"",IFERROR(VLOOKUP(A1287,Drank!A:S,16,FALSE),""))</f>
        <v/>
      </c>
      <c r="T1287" s="10"/>
      <c r="U1287" s="37">
        <v>100</v>
      </c>
      <c r="V1287" s="18" t="str">
        <f>IF(IFERROR(VLOOKUP(A1287,Drank!A:T,19,FALSE),"")=0,"",IFERROR(VLOOKUP(A1287,Drank!A:T,19,FALSE),""))</f>
        <v/>
      </c>
      <c r="W1287" s="1" t="str">
        <f>IF(IFERROR(VLOOKUP(A1287,Drank!A:T,20,FALSE),"")=0,"",IFERROR(VLOOKUP(A1287,Drank!A:T,20,FALSE),""))</f>
        <v/>
      </c>
      <c r="X1287" s="10">
        <f>SUMIF(A:A,A1287,I:I)</f>
        <v>6</v>
      </c>
      <c r="Y1287" s="10">
        <f>IF(Table1[[#This Row],[Drank]]&gt;0,VLOOKUP(Table1[[#This Row],[ID]],Drank!A:P,16,FALSE),IF(Table1[[#This Row],[WALDD]]&gt;0,VLOOKUP(Table1[[#This Row],[ID]],Wine1!A:Q,17,FALSE),Table1[[#This Row],[EP]]))</f>
        <v>2050</v>
      </c>
      <c r="Z1287" s="18">
        <f>IF(Table1[[#This Row],[My Rating]]="",IF(Table1[[#This Row],[WA Rating Clean]]="","",Table1[[#This Row],[WA Rating Clean]]),Table1[[#This Row],[My Rating]])</f>
        <v>100</v>
      </c>
      <c r="AA1287" s="8">
        <v>2042</v>
      </c>
      <c r="AB1287" s="4">
        <v>183.98</v>
      </c>
      <c r="AC1287" s="2">
        <f t="shared" si="61"/>
        <v>183.98</v>
      </c>
      <c r="AD1287" s="8">
        <v>1</v>
      </c>
      <c r="AE1287" s="10">
        <f>IF(Table1[[#This Row],[P/750]]&lt;20,1,IF(Table1[[#This Row],[P/750]]&lt;50,2,3))</f>
        <v>3</v>
      </c>
      <c r="AF1287" s="10">
        <f>IF(Table1[[#This Row],[P/750]]&lt;Expenses!$C$30,1,IF(Table1[[#This Row],[P/750]]&lt;Expenses!$C$31,2,IF(Table1[[#This Row],[P/750]]&lt;Expenses!$C$32,3,4)))</f>
        <v>4</v>
      </c>
      <c r="AH1287" s="37" t="s">
        <v>1750</v>
      </c>
      <c r="AI1287" s="11">
        <f>Table1[[#This Row],[Price]]/Table1[[#This Row],[Size (ml)]]*750</f>
        <v>183.98</v>
      </c>
      <c r="AJ1287" s="37">
        <v>100</v>
      </c>
      <c r="AK1287" s="10">
        <f>COUNTIF(UniqueID!A:A,Table1[[#This Row],[ID]])</f>
        <v>0</v>
      </c>
      <c r="AL1287" s="10" t="str">
        <f>VLOOKUP(Table1[[#This Row],[Cellar Location]],Location!A:F,6,FALSE)</f>
        <v>S</v>
      </c>
      <c r="AN1287" s="1">
        <v>44063</v>
      </c>
      <c r="AO1287" s="10" t="str">
        <f>TEXT(Table1[[#This Row],[Purchased]],"mmmm")</f>
        <v>August</v>
      </c>
      <c r="AP1287" s="10" t="str">
        <f>TEXT(Table1[[#This Row],[Purchased]],"yyyy")</f>
        <v>2020</v>
      </c>
      <c r="AQ1287" s="10"/>
    </row>
    <row r="1288" spans="1:43" s="37" customFormat="1" x14ac:dyDescent="0.25">
      <c r="A1288" s="37" t="str">
        <f t="shared" si="60"/>
        <v>2016Lafaurie-PeyragueyLafaurie-Peyraguey</v>
      </c>
      <c r="B1288" s="37">
        <v>2016</v>
      </c>
      <c r="C1288" s="9" t="s">
        <v>125</v>
      </c>
      <c r="D1288" s="9" t="s">
        <v>125</v>
      </c>
      <c r="E1288" s="67" t="s">
        <v>1205</v>
      </c>
      <c r="F1288" s="37" t="s">
        <v>742</v>
      </c>
      <c r="G1288" s="37" t="s">
        <v>748</v>
      </c>
      <c r="H1288" s="37" t="s">
        <v>260</v>
      </c>
      <c r="I1288" s="107">
        <v>1</v>
      </c>
      <c r="J1288" s="37">
        <v>375</v>
      </c>
      <c r="K1288" s="107" t="s">
        <v>629</v>
      </c>
      <c r="L1288" s="37">
        <f>COUNTIF(Drank!A:A,Table1[[#This Row],[ID]])</f>
        <v>0</v>
      </c>
      <c r="M1288" s="37" t="s">
        <v>201</v>
      </c>
      <c r="N1288" s="37" t="s">
        <v>206</v>
      </c>
      <c r="O1288" s="37">
        <v>1</v>
      </c>
      <c r="P1288" s="10">
        <v>2021</v>
      </c>
      <c r="Q1288" s="37">
        <v>2060</v>
      </c>
      <c r="R1288" s="10" t="str">
        <f>IF(IFERROR(VLOOKUP(A1288,Drank!A:S,15,FALSE),"")=0,"",IFERROR(VLOOKUP(A1288,Drank!A:S,15,FALSE),""))</f>
        <v/>
      </c>
      <c r="S1288" s="10" t="str">
        <f>IF(IFERROR(VLOOKUP(A1288,Drank!A:S,16,FALSE),"")=0,"",IFERROR(VLOOKUP(A1288,Drank!A:S,16,FALSE),""))</f>
        <v/>
      </c>
      <c r="T1288" s="10"/>
      <c r="U1288" s="37" t="s">
        <v>441</v>
      </c>
      <c r="V1288" s="18" t="str">
        <f>IF(IFERROR(VLOOKUP(A1288,Drank!A:T,19,FALSE),"")=0,"",IFERROR(VLOOKUP(A1288,Drank!A:T,19,FALSE),""))</f>
        <v/>
      </c>
      <c r="W1288" s="1" t="str">
        <f>IF(IFERROR(VLOOKUP(A1288,Drank!A:T,20,FALSE),"")=0,"",IFERROR(VLOOKUP(A1288,Drank!A:T,20,FALSE),""))</f>
        <v/>
      </c>
      <c r="X1288" s="10">
        <f>SUMIF(A:A,A1288,I:I)</f>
        <v>12</v>
      </c>
      <c r="Y1288" s="10">
        <f>IF(Table1[[#This Row],[Drank]]&gt;0,VLOOKUP(Table1[[#This Row],[ID]],Drank!A:P,16,FALSE),IF(Table1[[#This Row],[WALDD]]&gt;0,VLOOKUP(Table1[[#This Row],[ID]],Wine1!A:Q,17,FALSE),Table1[[#This Row],[EP]]))</f>
        <v>2060</v>
      </c>
      <c r="Z1288" s="18">
        <f>IF(Table1[[#This Row],[My Rating]]="",IF(Table1[[#This Row],[WA Rating Clean]]="","",Table1[[#This Row],[WA Rating Clean]]),Table1[[#This Row],[My Rating]])</f>
        <v>95</v>
      </c>
      <c r="AA1288" s="37">
        <v>2042</v>
      </c>
      <c r="AB1288" s="4">
        <v>16</v>
      </c>
      <c r="AC1288" s="2">
        <f t="shared" si="61"/>
        <v>16</v>
      </c>
      <c r="AD1288" s="8">
        <v>2</v>
      </c>
      <c r="AE1288" s="37">
        <f>IF(Table1[[#This Row],[P/750]]&lt;20,1,IF(Table1[[#This Row],[P/750]]&lt;50,2,3))</f>
        <v>2</v>
      </c>
      <c r="AF1288" s="37">
        <f>IF(Table1[[#This Row],[P/750]]&lt;Expenses!$C$30,1,IF(Table1[[#This Row],[P/750]]&lt;Expenses!$C$31,2,IF(Table1[[#This Row],[P/750]]&lt;Expenses!$C$32,3,4)))</f>
        <v>3</v>
      </c>
      <c r="AH1288" s="37" t="s">
        <v>385</v>
      </c>
      <c r="AI1288" s="11">
        <f>Table1[[#This Row],[Price]]/Table1[[#This Row],[Size (ml)]]*750</f>
        <v>32</v>
      </c>
      <c r="AJ1288" s="37">
        <v>95</v>
      </c>
      <c r="AK1288" s="37">
        <f>COUNTIF(UniqueID!A:A,Table1[[#This Row],[ID]])</f>
        <v>1</v>
      </c>
      <c r="AL1288" s="37" t="str">
        <f>VLOOKUP(Table1[[#This Row],[Cellar Location]],Location!A:F,6,FALSE)</f>
        <v>S</v>
      </c>
      <c r="AO1288" s="37" t="str">
        <f>TEXT(Table1[[#This Row],[Purchased]],"mmmm")</f>
        <v>January</v>
      </c>
      <c r="AP1288" s="10" t="str">
        <f>TEXT(Table1[[#This Row],[Purchased]],"yyyy")</f>
        <v>1900</v>
      </c>
      <c r="AQ1288" s="10"/>
    </row>
    <row r="1289" spans="1:43" s="37" customFormat="1" x14ac:dyDescent="0.25">
      <c r="A1289" s="37" t="str">
        <f t="shared" si="60"/>
        <v>2008BollingerLa Grande Annee</v>
      </c>
      <c r="B1289" s="37">
        <v>2008</v>
      </c>
      <c r="C1289" s="8" t="s">
        <v>1806</v>
      </c>
      <c r="D1289" s="37" t="s">
        <v>1808</v>
      </c>
      <c r="E1289" s="67" t="s">
        <v>1810</v>
      </c>
      <c r="F1289" s="37" t="s">
        <v>742</v>
      </c>
      <c r="G1289" s="37" t="s">
        <v>416</v>
      </c>
      <c r="I1289" s="78">
        <v>1</v>
      </c>
      <c r="J1289" s="37">
        <v>750</v>
      </c>
      <c r="K1289" s="78" t="s">
        <v>1545</v>
      </c>
      <c r="L1289" s="10">
        <f>COUNTIF(Drank!A:A,Table1[[#This Row],[ID]])</f>
        <v>0</v>
      </c>
      <c r="M1289" s="37" t="s">
        <v>201</v>
      </c>
      <c r="N1289" s="37" t="s">
        <v>638</v>
      </c>
      <c r="O1289" s="37">
        <v>1</v>
      </c>
      <c r="P1289" s="10">
        <v>2022</v>
      </c>
      <c r="Q1289" s="37">
        <v>2060</v>
      </c>
      <c r="R1289" s="10" t="str">
        <f>IF(IFERROR(VLOOKUP(A1289,Drank!A:S,15,FALSE),"")=0,"",IFERROR(VLOOKUP(A1289,Drank!A:S,15,FALSE),""))</f>
        <v/>
      </c>
      <c r="S1289" s="10" t="str">
        <f>IF(IFERROR(VLOOKUP(A1289,Drank!A:S,16,FALSE),"")=0,"",IFERROR(VLOOKUP(A1289,Drank!A:S,16,FALSE),""))</f>
        <v/>
      </c>
      <c r="T1289" s="10"/>
      <c r="U1289" s="37" t="s">
        <v>1809</v>
      </c>
      <c r="V1289" s="18" t="str">
        <f>IF(IFERROR(VLOOKUP(A1289,Drank!A:T,19,FALSE),"")=0,"",IFERROR(VLOOKUP(A1289,Drank!A:T,19,FALSE),""))</f>
        <v/>
      </c>
      <c r="W1289" s="1" t="str">
        <f>IF(IFERROR(VLOOKUP(A1289,Drank!A:T,20,FALSE),"")=0,"",IFERROR(VLOOKUP(A1289,Drank!A:T,20,FALSE),""))</f>
        <v/>
      </c>
      <c r="X1289" s="10">
        <f>SUMIF(A:A,A1289,I:I)</f>
        <v>2</v>
      </c>
      <c r="Y1289" s="10">
        <f>IF(Table1[[#This Row],[Drank]]&gt;0,VLOOKUP(Table1[[#This Row],[ID]],Drank!A:P,16,FALSE),IF(Table1[[#This Row],[WALDD]]&gt;0,VLOOKUP(Table1[[#This Row],[ID]],Wine1!A:Q,17,FALSE),Table1[[#This Row],[EP]]))</f>
        <v>2060</v>
      </c>
      <c r="Z1289" s="18">
        <f>IF(Table1[[#This Row],[My Rating]]="",IF(Table1[[#This Row],[WA Rating Clean]]="","",Table1[[#This Row],[WA Rating Clean]]),Table1[[#This Row],[My Rating]])</f>
        <v>97</v>
      </c>
      <c r="AA1289" s="37">
        <v>2042</v>
      </c>
      <c r="AB1289" s="128">
        <v>163.47</v>
      </c>
      <c r="AC1289" s="2">
        <f t="shared" si="61"/>
        <v>163.47</v>
      </c>
      <c r="AD1289" s="8"/>
      <c r="AE1289" s="10">
        <f>IF(Table1[[#This Row],[P/750]]&lt;20,1,IF(Table1[[#This Row],[P/750]]&lt;50,2,3))</f>
        <v>3</v>
      </c>
      <c r="AF1289" s="10">
        <f>IF(Table1[[#This Row],[P/750]]&lt;Expenses!$C$30,1,IF(Table1[[#This Row],[P/750]]&lt;Expenses!$C$31,2,IF(Table1[[#This Row],[P/750]]&lt;Expenses!$C$32,3,4)))</f>
        <v>4</v>
      </c>
      <c r="AH1289" s="25" t="s">
        <v>1545</v>
      </c>
      <c r="AI1289" s="11">
        <f>Table1[[#This Row],[Price]]/Table1[[#This Row],[Size (ml)]]*750</f>
        <v>163.47</v>
      </c>
      <c r="AJ1289" s="37">
        <v>97</v>
      </c>
      <c r="AK1289" s="10">
        <f>COUNTIF(UniqueID!A:A,Table1[[#This Row],[ID]])</f>
        <v>0</v>
      </c>
      <c r="AL1289" s="10" t="str">
        <f>VLOOKUP(Table1[[#This Row],[Cellar Location]],Location!A:F,6,FALSE)</f>
        <v>W</v>
      </c>
      <c r="AN1289" s="1">
        <v>44065</v>
      </c>
      <c r="AO1289" s="10" t="str">
        <f>TEXT(Table1[[#This Row],[Purchased]],"mmmm")</f>
        <v>August</v>
      </c>
      <c r="AP1289" s="10" t="str">
        <f>TEXT(Table1[[#This Row],[Purchased]],"yyyy")</f>
        <v>2020</v>
      </c>
      <c r="AQ1289" s="10"/>
    </row>
    <row r="1290" spans="1:43" s="37" customFormat="1" x14ac:dyDescent="0.25">
      <c r="A1290" s="37" t="str">
        <f t="shared" si="60"/>
        <v>2016Doisy-VedrinesPetit-Vedrines</v>
      </c>
      <c r="B1290" s="37">
        <v>2016</v>
      </c>
      <c r="C1290" s="37" t="s">
        <v>843</v>
      </c>
      <c r="D1290" s="37" t="s">
        <v>1686</v>
      </c>
      <c r="E1290" s="69" t="s">
        <v>1688</v>
      </c>
      <c r="F1290" s="37" t="s">
        <v>742</v>
      </c>
      <c r="G1290" s="37" t="s">
        <v>748</v>
      </c>
      <c r="H1290" s="37" t="s">
        <v>260</v>
      </c>
      <c r="I1290" s="8">
        <v>1</v>
      </c>
      <c r="J1290" s="38">
        <v>375</v>
      </c>
      <c r="K1290" s="38" t="s">
        <v>1687</v>
      </c>
      <c r="L1290" s="10">
        <f>COUNTIF(Drank!A:A,Table1[[#This Row],[ID]])</f>
        <v>0</v>
      </c>
      <c r="M1290" s="37" t="s">
        <v>201</v>
      </c>
      <c r="N1290" s="37" t="s">
        <v>206</v>
      </c>
      <c r="O1290" s="37">
        <v>0</v>
      </c>
      <c r="R1290" s="10" t="str">
        <f>IF(IFERROR(VLOOKUP(A1290,Drank!A:S,15,FALSE),"")=0,"",IFERROR(VLOOKUP(A1290,Drank!A:S,15,FALSE),""))</f>
        <v/>
      </c>
      <c r="S1290" s="10" t="str">
        <f>IF(IFERROR(VLOOKUP(A1290,Drank!A:S,16,FALSE),"")=0,"",IFERROR(VLOOKUP(A1290,Drank!A:S,16,FALSE),""))</f>
        <v/>
      </c>
      <c r="T1290" s="10"/>
      <c r="V1290" s="18" t="str">
        <f>IF(IFERROR(VLOOKUP(A1290,Drank!A:T,19,FALSE),"")=0,"",IFERROR(VLOOKUP(A1290,Drank!A:T,19,FALSE),""))</f>
        <v/>
      </c>
      <c r="W1290" s="1" t="str">
        <f>IF(IFERROR(VLOOKUP(A1290,Drank!A:T,20,FALSE),"")=0,"",IFERROR(VLOOKUP(A1290,Drank!A:T,20,FALSE),""))</f>
        <v/>
      </c>
      <c r="X1290" s="10">
        <f>SUMIF(A:A,A1290,I:I)</f>
        <v>24</v>
      </c>
      <c r="Y1290" s="10">
        <f>IF(Table1[[#This Row],[Drank]]&gt;0,VLOOKUP(Table1[[#This Row],[ID]],Drank!A:P,16,FALSE),IF(Table1[[#This Row],[WALDD]]&gt;0,VLOOKUP(Table1[[#This Row],[ID]],Wine1!A:Q,17,FALSE),Table1[[#This Row],[EP]]))</f>
        <v>0</v>
      </c>
      <c r="Z1290" s="18" t="str">
        <f>IF(Table1[[#This Row],[My Rating]]="",IF(Table1[[#This Row],[WA Rating Clean]]="","",Table1[[#This Row],[WA Rating Clean]]),Table1[[#This Row],[My Rating]])</f>
        <v/>
      </c>
      <c r="AA1290" s="8">
        <v>2043</v>
      </c>
      <c r="AB1290" s="4">
        <v>16.399999999999999</v>
      </c>
      <c r="AC1290" s="2">
        <f t="shared" si="61"/>
        <v>16.399999999999999</v>
      </c>
      <c r="AD1290" s="8">
        <v>1</v>
      </c>
      <c r="AE1290" s="10">
        <f>IF(Table1[[#This Row],[P/750]]&lt;20,1,IF(Table1[[#This Row],[P/750]]&lt;50,2,3))</f>
        <v>2</v>
      </c>
      <c r="AF1290" s="10">
        <f>IF(Table1[[#This Row],[P/750]]&lt;Expenses!$C$30,1,IF(Table1[[#This Row],[P/750]]&lt;Expenses!$C$31,2,IF(Table1[[#This Row],[P/750]]&lt;Expenses!$C$32,3,4)))</f>
        <v>3</v>
      </c>
      <c r="AH1290" s="37" t="s">
        <v>1189</v>
      </c>
      <c r="AI1290" s="11">
        <f>Table1[[#This Row],[Price]]/Table1[[#This Row],[Size (ml)]]*750</f>
        <v>32.799999999999997</v>
      </c>
      <c r="AK1290" s="10">
        <f>COUNTIF(UniqueID!A:A,Table1[[#This Row],[ID]])</f>
        <v>0</v>
      </c>
      <c r="AL1290" s="10" t="str">
        <f>VLOOKUP(Table1[[#This Row],[Cellar Location]],Location!A:F,6,FALSE)</f>
        <v>W</v>
      </c>
      <c r="AN1290" s="1">
        <v>44061</v>
      </c>
      <c r="AO1290" s="10" t="str">
        <f>TEXT(Table1[[#This Row],[Purchased]],"mmmm")</f>
        <v>August</v>
      </c>
      <c r="AP1290" s="10" t="str">
        <f>TEXT(Table1[[#This Row],[Purchased]],"yyyy")</f>
        <v>2020</v>
      </c>
      <c r="AQ1290" s="1">
        <v>44137</v>
      </c>
    </row>
    <row r="1291" spans="1:43" s="37" customFormat="1" x14ac:dyDescent="0.25">
      <c r="A1291" s="37" t="str">
        <f t="shared" si="60"/>
        <v>2016Clos du RoyClos du Roy</v>
      </c>
      <c r="B1291" s="37">
        <v>2016</v>
      </c>
      <c r="C1291" s="37" t="s">
        <v>854</v>
      </c>
      <c r="D1291" s="37" t="s">
        <v>854</v>
      </c>
      <c r="E1291" s="37" t="s">
        <v>1198</v>
      </c>
      <c r="F1291" s="37" t="s">
        <v>742</v>
      </c>
      <c r="G1291" s="37" t="s">
        <v>748</v>
      </c>
      <c r="H1291" s="37" t="s">
        <v>856</v>
      </c>
      <c r="I1291" s="107">
        <v>1</v>
      </c>
      <c r="J1291" s="37">
        <v>750</v>
      </c>
      <c r="K1291" s="107" t="s">
        <v>928</v>
      </c>
      <c r="L1291" s="10">
        <f>COUNTIF(Drank!A:A,Table1[[#This Row],[ID]])</f>
        <v>1</v>
      </c>
      <c r="M1291" s="37" t="s">
        <v>202</v>
      </c>
      <c r="N1291" s="37" t="s">
        <v>207</v>
      </c>
      <c r="O1291" s="37">
        <v>1</v>
      </c>
      <c r="P1291" s="10">
        <v>2021</v>
      </c>
      <c r="Q1291" s="37">
        <v>2038</v>
      </c>
      <c r="R1291" s="10" t="str">
        <f>IF(IFERROR(VLOOKUP(A1291,Drank!A:S,15,FALSE),"")=0,"",IFERROR(VLOOKUP(A1291,Drank!A:S,15,FALSE),""))</f>
        <v/>
      </c>
      <c r="S1291" s="10">
        <f>IF(IFERROR(VLOOKUP(A1291,Drank!A:S,16,FALSE),"")=0,"",IFERROR(VLOOKUP(A1291,Drank!A:S,16,FALSE),""))</f>
        <v>2045</v>
      </c>
      <c r="T1291" s="10"/>
      <c r="U1291" s="37" t="s">
        <v>855</v>
      </c>
      <c r="V1291" s="18">
        <f>IF(IFERROR(VLOOKUP(A1291,Drank!A:T,19,FALSE),"")=0,"",IFERROR(VLOOKUP(A1291,Drank!A:T,19,FALSE),""))</f>
        <v>91</v>
      </c>
      <c r="W1291" s="1">
        <f>IF(IFERROR(VLOOKUP(A1291,Drank!A:T,20,FALSE),"")=0,"",IFERROR(VLOOKUP(A1291,Drank!A:T,20,FALSE),""))</f>
        <v>43830</v>
      </c>
      <c r="X1291" s="10">
        <f>SUMIF(A:A,A1291,I:I)</f>
        <v>15</v>
      </c>
      <c r="Y1291" s="10">
        <f>IF(Table1[[#This Row],[Drank]]&gt;0,VLOOKUP(Table1[[#This Row],[ID]],Drank!A:P,16,FALSE),IF(Table1[[#This Row],[WALDD]]&gt;0,VLOOKUP(Table1[[#This Row],[ID]],Wine1!A:Q,17,FALSE),Table1[[#This Row],[EP]]))</f>
        <v>2045</v>
      </c>
      <c r="Z1291" s="18">
        <f>IF(Table1[[#This Row],[My Rating]]="",IF(Table1[[#This Row],[WA Rating Clean]]="","",Table1[[#This Row],[WA Rating Clean]]),Table1[[#This Row],[My Rating]])</f>
        <v>91</v>
      </c>
      <c r="AA1291" s="37">
        <v>2043</v>
      </c>
      <c r="AB1291" s="4">
        <v>16.989999999999998</v>
      </c>
      <c r="AC1291" s="2">
        <f t="shared" si="61"/>
        <v>16.989999999999998</v>
      </c>
      <c r="AD1291" s="8">
        <v>2</v>
      </c>
      <c r="AE1291" s="10">
        <f>IF(Table1[[#This Row],[P/750]]&lt;20,1,IF(Table1[[#This Row],[P/750]]&lt;50,2,3))</f>
        <v>1</v>
      </c>
      <c r="AF1291" s="10">
        <f>IF(Table1[[#This Row],[P/750]]&lt;Expenses!$C$30,1,IF(Table1[[#This Row],[P/750]]&lt;Expenses!$C$31,2,IF(Table1[[#This Row],[P/750]]&lt;Expenses!$C$32,3,4)))</f>
        <v>2</v>
      </c>
      <c r="AH1291" s="37" t="s">
        <v>371</v>
      </c>
      <c r="AI1291" s="11">
        <f>Table1[[#This Row],[Price]]/Table1[[#This Row],[Size (ml)]]*750</f>
        <v>16.989999999999998</v>
      </c>
      <c r="AJ1291" s="37">
        <v>92</v>
      </c>
      <c r="AK1291" s="10">
        <f>COUNTIF(UniqueID!A:A,Table1[[#This Row],[ID]])</f>
        <v>1</v>
      </c>
      <c r="AL1291" s="37" t="str">
        <f>VLOOKUP(Table1[[#This Row],[Cellar Location]],Location!A:F,6,FALSE)</f>
        <v>S</v>
      </c>
      <c r="AO1291" s="37" t="str">
        <f>TEXT(Table1[[#This Row],[Purchased]],"mmmm")</f>
        <v>January</v>
      </c>
      <c r="AP1291" s="10" t="str">
        <f>TEXT(Table1[[#This Row],[Purchased]],"yyyy")</f>
        <v>1900</v>
      </c>
      <c r="AQ1291" s="10"/>
    </row>
    <row r="1292" spans="1:43" s="37" customFormat="1" x14ac:dyDescent="0.25">
      <c r="A1292" s="37" t="str">
        <f t="shared" si="60"/>
        <v>2009Chateau La Tour BlancheLa Tour Blanche</v>
      </c>
      <c r="B1292" s="37">
        <v>2009</v>
      </c>
      <c r="C1292" s="9" t="s">
        <v>1208</v>
      </c>
      <c r="D1292" s="9" t="s">
        <v>216</v>
      </c>
      <c r="E1292" s="69" t="s">
        <v>1215</v>
      </c>
      <c r="F1292" s="37" t="s">
        <v>742</v>
      </c>
      <c r="G1292" s="37" t="s">
        <v>748</v>
      </c>
      <c r="H1292" s="37" t="s">
        <v>260</v>
      </c>
      <c r="I1292" s="37">
        <v>1</v>
      </c>
      <c r="J1292" s="37">
        <v>375</v>
      </c>
      <c r="K1292" s="8" t="s">
        <v>8</v>
      </c>
      <c r="L1292" s="37">
        <f>COUNTIF(Drank!A:A,Table1[[#This Row],[ID]])</f>
        <v>4</v>
      </c>
      <c r="M1292" s="37" t="s">
        <v>201</v>
      </c>
      <c r="N1292" s="37" t="s">
        <v>206</v>
      </c>
      <c r="O1292" s="37">
        <v>1</v>
      </c>
      <c r="P1292" s="37">
        <v>2019</v>
      </c>
      <c r="Q1292" s="37">
        <v>2042</v>
      </c>
      <c r="R1292" s="37">
        <f>IF(IFERROR(VLOOKUP(A1292,Drank!A:S,15,FALSE),"")=0,"",IFERROR(VLOOKUP(A1292,Drank!A:S,15,FALSE),""))</f>
        <v>2020</v>
      </c>
      <c r="S1292" s="37">
        <f>IF(IFERROR(VLOOKUP(A1292,Drank!A:S,16,FALSE),"")=0,"",IFERROR(VLOOKUP(A1292,Drank!A:S,16,FALSE),""))</f>
        <v>2040</v>
      </c>
      <c r="U1292" s="37">
        <v>93</v>
      </c>
      <c r="V1292" s="18">
        <f>IF(IFERROR(VLOOKUP(A1292,Drank!A:T,19,FALSE),"")=0,"",IFERROR(VLOOKUP(A1292,Drank!A:T,19,FALSE),""))</f>
        <v>92.25</v>
      </c>
      <c r="W1292" s="1">
        <f>IF(IFERROR(VLOOKUP(A1292,Drank!A:T,20,FALSE),"")=0,"",IFERROR(VLOOKUP(A1292,Drank!A:T,20,FALSE),""))</f>
        <v>43646</v>
      </c>
      <c r="X1292" s="37">
        <f>SUMIF(A:A,A1292,I:I)</f>
        <v>9</v>
      </c>
      <c r="Y1292" s="37">
        <f>IF(Table1[[#This Row],[Drank]]&gt;0,VLOOKUP(Table1[[#This Row],[ID]],Drank!A:P,16,FALSE),IF(Table1[[#This Row],[WALDD]]&gt;0,VLOOKUP(Table1[[#This Row],[ID]],Wine1!A:Q,17,FALSE),Table1[[#This Row],[EP]]))</f>
        <v>2040</v>
      </c>
      <c r="Z1292" s="18">
        <f>IF(Table1[[#This Row],[My Rating]]="",IF(Table1[[#This Row],[WA Rating Clean]]="","",Table1[[#This Row],[WA Rating Clean]]),Table1[[#This Row],[My Rating]])</f>
        <v>92.25</v>
      </c>
      <c r="AA1292" s="37">
        <v>2044</v>
      </c>
      <c r="AB1292" s="4">
        <v>20.99</v>
      </c>
      <c r="AC1292" s="2">
        <f t="shared" si="61"/>
        <v>20.99</v>
      </c>
      <c r="AD1292" s="8">
        <v>0</v>
      </c>
      <c r="AE1292" s="37">
        <f>IF(Table1[[#This Row],[P/750]]&lt;20,1,IF(Table1[[#This Row],[P/750]]&lt;50,2,3))</f>
        <v>2</v>
      </c>
      <c r="AF1292" s="37">
        <f>IF(Table1[[#This Row],[P/750]]&lt;Expenses!$C$30,1,IF(Table1[[#This Row],[P/750]]&lt;Expenses!$C$31,2,IF(Table1[[#This Row],[P/750]]&lt;Expenses!$C$32,3,4)))</f>
        <v>3</v>
      </c>
      <c r="AH1292" s="37" t="s">
        <v>385</v>
      </c>
      <c r="AI1292" s="11">
        <f>Table1[[#This Row],[Price]]/Table1[[#This Row],[Size (ml)]]*750</f>
        <v>41.98</v>
      </c>
      <c r="AJ1292" s="37">
        <v>93</v>
      </c>
      <c r="AK1292" s="37">
        <f>COUNTIF(UniqueID!A:A,Table1[[#This Row],[ID]])</f>
        <v>1</v>
      </c>
      <c r="AL1292" s="37" t="str">
        <f>VLOOKUP(Table1[[#This Row],[Cellar Location]],Location!A:F,6,FALSE)</f>
        <v>K</v>
      </c>
      <c r="AO1292" s="37" t="str">
        <f>TEXT(Table1[[#This Row],[Purchased]],"mmmm")</f>
        <v>January</v>
      </c>
      <c r="AP1292" s="10" t="str">
        <f>TEXT(Table1[[#This Row],[Purchased]],"yyyy")</f>
        <v>1900</v>
      </c>
      <c r="AQ1292" s="10"/>
    </row>
    <row r="1293" spans="1:43" s="37" customFormat="1" x14ac:dyDescent="0.25">
      <c r="A1293" s="37" t="str">
        <f t="shared" si="60"/>
        <v>2014Produttori del BarbarescoBarbaresco Riserva RabajÃ </v>
      </c>
      <c r="B1293" s="37">
        <v>2014</v>
      </c>
      <c r="C1293" s="37" t="s">
        <v>248</v>
      </c>
      <c r="D1293" s="37" t="s">
        <v>720</v>
      </c>
      <c r="E1293" s="67" t="s">
        <v>1206</v>
      </c>
      <c r="F1293" s="37" t="s">
        <v>728</v>
      </c>
      <c r="G1293" s="37" t="s">
        <v>778</v>
      </c>
      <c r="H1293" s="37" t="s">
        <v>249</v>
      </c>
      <c r="I1293" s="107">
        <v>1</v>
      </c>
      <c r="J1293" s="37">
        <v>750</v>
      </c>
      <c r="K1293" s="107" t="s">
        <v>1133</v>
      </c>
      <c r="L1293" s="10">
        <f>COUNTIF(Drank!A:A,Table1[[#This Row],[ID]])</f>
        <v>0</v>
      </c>
      <c r="M1293" s="37" t="s">
        <v>202</v>
      </c>
      <c r="N1293" s="37" t="s">
        <v>207</v>
      </c>
      <c r="O1293" s="37">
        <v>1</v>
      </c>
      <c r="P1293" s="10">
        <v>2022</v>
      </c>
      <c r="Q1293" s="37">
        <v>2045</v>
      </c>
      <c r="R1293" s="10" t="str">
        <f>IF(IFERROR(VLOOKUP(A1293,Drank!A:S,15,FALSE),"")=0,"",IFERROR(VLOOKUP(A1293,Drank!A:S,15,FALSE),""))</f>
        <v/>
      </c>
      <c r="S1293" s="10" t="str">
        <f>IF(IFERROR(VLOOKUP(A1293,Drank!A:S,16,FALSE),"")=0,"",IFERROR(VLOOKUP(A1293,Drank!A:S,16,FALSE),""))</f>
        <v/>
      </c>
      <c r="T1293" s="10"/>
      <c r="U1293" s="37">
        <v>96</v>
      </c>
      <c r="V1293" s="18" t="str">
        <f>IF(IFERROR(VLOOKUP(A1293,Drank!A:T,19,FALSE),"")=0,"",IFERROR(VLOOKUP(A1293,Drank!A:T,19,FALSE),""))</f>
        <v/>
      </c>
      <c r="W1293" s="1" t="str">
        <f>IF(IFERROR(VLOOKUP(A1293,Drank!A:T,20,FALSE),"")=0,"",IFERROR(VLOOKUP(A1293,Drank!A:T,20,FALSE),""))</f>
        <v/>
      </c>
      <c r="X1293" s="10">
        <f>SUMIF(A:A,A1293,I:I)</f>
        <v>3</v>
      </c>
      <c r="Y1293" s="10">
        <f>IF(Table1[[#This Row],[Drank]]&gt;0,VLOOKUP(Table1[[#This Row],[ID]],Drank!A:P,16,FALSE),IF(Table1[[#This Row],[WALDD]]&gt;0,VLOOKUP(Table1[[#This Row],[ID]],Wine1!A:Q,17,FALSE),Table1[[#This Row],[EP]]))</f>
        <v>2045</v>
      </c>
      <c r="Z1293" s="18">
        <f>IF(Table1[[#This Row],[My Rating]]="",IF(Table1[[#This Row],[WA Rating Clean]]="","",Table1[[#This Row],[WA Rating Clean]]),Table1[[#This Row],[My Rating]])</f>
        <v>96</v>
      </c>
      <c r="AA1293" s="37">
        <v>2044</v>
      </c>
      <c r="AB1293" s="4">
        <v>53.09</v>
      </c>
      <c r="AC1293" s="2">
        <f t="shared" si="61"/>
        <v>53.09</v>
      </c>
      <c r="AD1293" s="8">
        <v>2</v>
      </c>
      <c r="AE1293" s="10">
        <f>IF(Table1[[#This Row],[P/750]]&lt;20,1,IF(Table1[[#This Row],[P/750]]&lt;50,2,3))</f>
        <v>3</v>
      </c>
      <c r="AF1293" s="10">
        <f>IF(Table1[[#This Row],[P/750]]&lt;Expenses!$C$30,1,IF(Table1[[#This Row],[P/750]]&lt;Expenses!$C$31,2,IF(Table1[[#This Row],[P/750]]&lt;Expenses!$C$32,3,4)))</f>
        <v>3</v>
      </c>
      <c r="AH1293" s="37" t="s">
        <v>1132</v>
      </c>
      <c r="AI1293" s="11">
        <f>Table1[[#This Row],[Price]]/Table1[[#This Row],[Size (ml)]]*750</f>
        <v>53.089999999999996</v>
      </c>
      <c r="AJ1293" s="37">
        <v>96</v>
      </c>
      <c r="AK1293" s="10">
        <f>COUNTIF(UniqueID!A:A,Table1[[#This Row],[ID]])</f>
        <v>1</v>
      </c>
      <c r="AL1293" s="37" t="str">
        <f>VLOOKUP(Table1[[#This Row],[Cellar Location]],Location!A:F,6,FALSE)</f>
        <v>S</v>
      </c>
      <c r="AN1293" s="1">
        <v>43833</v>
      </c>
      <c r="AO1293" s="37" t="str">
        <f>TEXT(Table1[[#This Row],[Purchased]],"mmmm")</f>
        <v>January</v>
      </c>
      <c r="AP1293" s="10" t="str">
        <f>TEXT(Table1[[#This Row],[Purchased]],"yyyy")</f>
        <v>2020</v>
      </c>
      <c r="AQ1293" s="10"/>
    </row>
    <row r="1294" spans="1:43" s="37" customFormat="1" x14ac:dyDescent="0.25">
      <c r="A1294" s="37" t="str">
        <f t="shared" si="60"/>
        <v>2016Doisy-VedrinesPetit-Vedrines</v>
      </c>
      <c r="B1294" s="37">
        <v>2016</v>
      </c>
      <c r="C1294" s="37" t="s">
        <v>843</v>
      </c>
      <c r="D1294" s="37" t="s">
        <v>1686</v>
      </c>
      <c r="E1294" s="69" t="s">
        <v>1688</v>
      </c>
      <c r="F1294" s="37" t="s">
        <v>742</v>
      </c>
      <c r="G1294" s="37" t="s">
        <v>748</v>
      </c>
      <c r="H1294" s="37" t="s">
        <v>260</v>
      </c>
      <c r="I1294" s="8">
        <v>1</v>
      </c>
      <c r="J1294" s="38">
        <v>375</v>
      </c>
      <c r="K1294" s="38" t="s">
        <v>1687</v>
      </c>
      <c r="L1294" s="10">
        <f>COUNTIF(Drank!A:A,Table1[[#This Row],[ID]])</f>
        <v>0</v>
      </c>
      <c r="M1294" s="37" t="s">
        <v>201</v>
      </c>
      <c r="N1294" s="37" t="s">
        <v>206</v>
      </c>
      <c r="O1294" s="37">
        <v>0</v>
      </c>
      <c r="R1294" s="10" t="str">
        <f>IF(IFERROR(VLOOKUP(A1294,Drank!A:S,15,FALSE),"")=0,"",IFERROR(VLOOKUP(A1294,Drank!A:S,15,FALSE),""))</f>
        <v/>
      </c>
      <c r="S1294" s="10" t="str">
        <f>IF(IFERROR(VLOOKUP(A1294,Drank!A:S,16,FALSE),"")=0,"",IFERROR(VLOOKUP(A1294,Drank!A:S,16,FALSE),""))</f>
        <v/>
      </c>
      <c r="T1294" s="10"/>
      <c r="V1294" s="18" t="str">
        <f>IF(IFERROR(VLOOKUP(A1294,Drank!A:T,19,FALSE),"")=0,"",IFERROR(VLOOKUP(A1294,Drank!A:T,19,FALSE),""))</f>
        <v/>
      </c>
      <c r="W1294" s="1" t="str">
        <f>IF(IFERROR(VLOOKUP(A1294,Drank!A:T,20,FALSE),"")=0,"",IFERROR(VLOOKUP(A1294,Drank!A:T,20,FALSE),""))</f>
        <v/>
      </c>
      <c r="X1294" s="10">
        <f>SUMIF(A:A,A1294,I:I)</f>
        <v>24</v>
      </c>
      <c r="Y1294" s="10">
        <f>IF(Table1[[#This Row],[Drank]]&gt;0,VLOOKUP(Table1[[#This Row],[ID]],Drank!A:P,16,FALSE),IF(Table1[[#This Row],[WALDD]]&gt;0,VLOOKUP(Table1[[#This Row],[ID]],Wine1!A:Q,17,FALSE),Table1[[#This Row],[EP]]))</f>
        <v>0</v>
      </c>
      <c r="Z1294" s="18" t="str">
        <f>IF(Table1[[#This Row],[My Rating]]="",IF(Table1[[#This Row],[WA Rating Clean]]="","",Table1[[#This Row],[WA Rating Clean]]),Table1[[#This Row],[My Rating]])</f>
        <v/>
      </c>
      <c r="AA1294" s="8">
        <v>2045</v>
      </c>
      <c r="AB1294" s="4">
        <v>16.399999999999999</v>
      </c>
      <c r="AC1294" s="2">
        <f t="shared" si="61"/>
        <v>16.399999999999999</v>
      </c>
      <c r="AD1294" s="8">
        <v>1</v>
      </c>
      <c r="AE1294" s="10">
        <f>IF(Table1[[#This Row],[P/750]]&lt;20,1,IF(Table1[[#This Row],[P/750]]&lt;50,2,3))</f>
        <v>2</v>
      </c>
      <c r="AF1294" s="10">
        <f>IF(Table1[[#This Row],[P/750]]&lt;Expenses!$C$30,1,IF(Table1[[#This Row],[P/750]]&lt;Expenses!$C$31,2,IF(Table1[[#This Row],[P/750]]&lt;Expenses!$C$32,3,4)))</f>
        <v>3</v>
      </c>
      <c r="AH1294" s="37" t="s">
        <v>1189</v>
      </c>
      <c r="AI1294" s="11">
        <f>Table1[[#This Row],[Price]]/Table1[[#This Row],[Size (ml)]]*750</f>
        <v>32.799999999999997</v>
      </c>
      <c r="AK1294" s="10">
        <f>COUNTIF(UniqueID!A:A,Table1[[#This Row],[ID]])</f>
        <v>0</v>
      </c>
      <c r="AL1294" s="10" t="str">
        <f>VLOOKUP(Table1[[#This Row],[Cellar Location]],Location!A:F,6,FALSE)</f>
        <v>W</v>
      </c>
      <c r="AN1294" s="1">
        <v>44061</v>
      </c>
      <c r="AO1294" s="10" t="str">
        <f>TEXT(Table1[[#This Row],[Purchased]],"mmmm")</f>
        <v>August</v>
      </c>
      <c r="AP1294" s="10" t="str">
        <f>TEXT(Table1[[#This Row],[Purchased]],"yyyy")</f>
        <v>2020</v>
      </c>
      <c r="AQ1294" s="1">
        <v>44137</v>
      </c>
    </row>
    <row r="1295" spans="1:43" s="37" customFormat="1" x14ac:dyDescent="0.25">
      <c r="A1295" s="37" t="str">
        <f t="shared" si="60"/>
        <v>2016Doisy DaeneDoisy Daene</v>
      </c>
      <c r="B1295" s="37">
        <v>2016</v>
      </c>
      <c r="C1295" s="37" t="s">
        <v>593</v>
      </c>
      <c r="D1295" s="37" t="s">
        <v>593</v>
      </c>
      <c r="E1295" s="64" t="s">
        <v>260</v>
      </c>
      <c r="F1295" s="37" t="s">
        <v>742</v>
      </c>
      <c r="G1295" s="37" t="s">
        <v>748</v>
      </c>
      <c r="H1295" s="37" t="s">
        <v>753</v>
      </c>
      <c r="I1295" s="107">
        <v>1</v>
      </c>
      <c r="J1295" s="37">
        <v>750</v>
      </c>
      <c r="K1295" s="107" t="s">
        <v>642</v>
      </c>
      <c r="L1295" s="37">
        <f>COUNTIF(Drank!A:A,Table1[[#This Row],[ID]])</f>
        <v>0</v>
      </c>
      <c r="M1295" s="37" t="s">
        <v>201</v>
      </c>
      <c r="N1295" s="37" t="s">
        <v>206</v>
      </c>
      <c r="O1295" s="37">
        <v>1</v>
      </c>
      <c r="P1295" s="10">
        <v>2019</v>
      </c>
      <c r="Q1295" s="37">
        <v>2034</v>
      </c>
      <c r="R1295" s="10" t="str">
        <f>IF(IFERROR(VLOOKUP(A1295,Drank!A:S,15,FALSE),"")=0,"",IFERROR(VLOOKUP(A1295,Drank!A:S,15,FALSE),""))</f>
        <v/>
      </c>
      <c r="S1295" s="10" t="str">
        <f>IF(IFERROR(VLOOKUP(A1295,Drank!A:S,16,FALSE),"")=0,"",IFERROR(VLOOKUP(A1295,Drank!A:S,16,FALSE),""))</f>
        <v/>
      </c>
      <c r="T1295" s="10"/>
      <c r="U1295" s="37">
        <v>94</v>
      </c>
      <c r="V1295" s="18" t="str">
        <f>IF(IFERROR(VLOOKUP(A1295,Drank!A:T,19,FALSE),"")=0,"",IFERROR(VLOOKUP(A1295,Drank!A:T,19,FALSE),""))</f>
        <v/>
      </c>
      <c r="W1295" s="1" t="str">
        <f>IF(IFERROR(VLOOKUP(A1295,Drank!A:T,20,FALSE),"")=0,"",IFERROR(VLOOKUP(A1295,Drank!A:T,20,FALSE),""))</f>
        <v/>
      </c>
      <c r="X1295" s="10">
        <f>SUMIF(A:A,A1295,I:I)</f>
        <v>2</v>
      </c>
      <c r="Y1295" s="10">
        <f>IF(Table1[[#This Row],[Drank]]&gt;0,VLOOKUP(Table1[[#This Row],[ID]],Drank!A:P,16,FALSE),IF(Table1[[#This Row],[WALDD]]&gt;0,VLOOKUP(Table1[[#This Row],[ID]],Wine1!A:Q,17,FALSE),Table1[[#This Row],[EP]]))</f>
        <v>2034</v>
      </c>
      <c r="Z1295" s="18">
        <f>IF(Table1[[#This Row],[My Rating]]="",IF(Table1[[#This Row],[WA Rating Clean]]="","",Table1[[#This Row],[WA Rating Clean]]),Table1[[#This Row],[My Rating]])</f>
        <v>94</v>
      </c>
      <c r="AA1295" s="37">
        <v>2045</v>
      </c>
      <c r="AB1295" s="4">
        <v>42.39</v>
      </c>
      <c r="AC1295" s="2">
        <f t="shared" si="61"/>
        <v>42.39</v>
      </c>
      <c r="AD1295" s="8">
        <v>2</v>
      </c>
      <c r="AE1295" s="10">
        <f>IF(Table1[[#This Row],[P/750]]&lt;20,1,IF(Table1[[#This Row],[P/750]]&lt;50,2,3))</f>
        <v>2</v>
      </c>
      <c r="AF1295" s="10">
        <f>IF(Table1[[#This Row],[P/750]]&lt;Expenses!$C$30,1,IF(Table1[[#This Row],[P/750]]&lt;Expenses!$C$31,2,IF(Table1[[#This Row],[P/750]]&lt;Expenses!$C$32,3,4)))</f>
        <v>3</v>
      </c>
      <c r="AH1295" s="37" t="s">
        <v>1130</v>
      </c>
      <c r="AI1295" s="11">
        <f>Table1[[#This Row],[Price]]/Table1[[#This Row],[Size (ml)]]*750</f>
        <v>42.39</v>
      </c>
      <c r="AJ1295" s="37">
        <v>94</v>
      </c>
      <c r="AK1295" s="37">
        <f>COUNTIF(UniqueID!A:A,Table1[[#This Row],[ID]])</f>
        <v>1</v>
      </c>
      <c r="AL1295" s="37" t="str">
        <f>VLOOKUP(Table1[[#This Row],[Cellar Location]],Location!A:F,6,FALSE)</f>
        <v>S</v>
      </c>
      <c r="AO1295" s="37" t="str">
        <f>TEXT(Table1[[#This Row],[Purchased]],"mmmm")</f>
        <v>January</v>
      </c>
      <c r="AP1295" s="10" t="str">
        <f>TEXT(Table1[[#This Row],[Purchased]],"yyyy")</f>
        <v>1900</v>
      </c>
      <c r="AQ1295" s="10"/>
    </row>
    <row r="1296" spans="1:43" s="37" customFormat="1" x14ac:dyDescent="0.25">
      <c r="A1296" s="37" t="str">
        <f t="shared" si="60"/>
        <v>2016Produttori del BarbarescoBarbaresco</v>
      </c>
      <c r="B1296" s="37">
        <v>2016</v>
      </c>
      <c r="C1296" s="37" t="s">
        <v>248</v>
      </c>
      <c r="D1296" s="37" t="s">
        <v>249</v>
      </c>
      <c r="E1296" s="67" t="s">
        <v>1206</v>
      </c>
      <c r="F1296" s="37" t="s">
        <v>728</v>
      </c>
      <c r="G1296" s="37" t="s">
        <v>778</v>
      </c>
      <c r="H1296" s="37" t="s">
        <v>249</v>
      </c>
      <c r="I1296" s="8">
        <v>1</v>
      </c>
      <c r="J1296" s="38">
        <v>3000</v>
      </c>
      <c r="K1296" s="38" t="s">
        <v>1139</v>
      </c>
      <c r="L1296" s="37">
        <f>COUNTIF(Drank!A:A,Table1[[#This Row],[ID]])</f>
        <v>2</v>
      </c>
      <c r="M1296" s="37" t="s">
        <v>202</v>
      </c>
      <c r="N1296" s="37" t="s">
        <v>207</v>
      </c>
      <c r="O1296" s="37">
        <v>1</v>
      </c>
      <c r="P1296" s="37">
        <v>2022</v>
      </c>
      <c r="Q1296" s="37">
        <v>2040</v>
      </c>
      <c r="R1296" s="10">
        <f>IF(IFERROR(VLOOKUP(A1296,Drank!A:S,15,FALSE),"")=0,"",IFERROR(VLOOKUP(A1296,Drank!A:S,15,FALSE),""))</f>
        <v>2021</v>
      </c>
      <c r="S1296" s="10">
        <f>IF(IFERROR(VLOOKUP(A1296,Drank!A:S,16,FALSE),"")=0,"",IFERROR(VLOOKUP(A1296,Drank!A:S,16,FALSE),""))</f>
        <v>2032</v>
      </c>
      <c r="T1296" s="10"/>
      <c r="U1296" s="37">
        <v>95</v>
      </c>
      <c r="V1296" s="18">
        <f>IF(IFERROR(VLOOKUP(A1296,Drank!A:T,19,FALSE),"")=0,"",IFERROR(VLOOKUP(A1296,Drank!A:T,19,FALSE),""))</f>
        <v>95.5</v>
      </c>
      <c r="W1296" s="1">
        <f>IF(IFERROR(VLOOKUP(A1296,Drank!A:T,20,FALSE),"")=0,"",IFERROR(VLOOKUP(A1296,Drank!A:T,20,FALSE),""))</f>
        <v>44079</v>
      </c>
      <c r="X1296" s="10">
        <f>SUMIF(A:A,A1296,I:I)</f>
        <v>41</v>
      </c>
      <c r="Y1296" s="37">
        <f>IF(Table1[[#This Row],[Drank]]&gt;0,VLOOKUP(Table1[[#This Row],[ID]],Drank!A:P,16,FALSE),IF(Table1[[#This Row],[WALDD]]&gt;0,VLOOKUP(Table1[[#This Row],[ID]],Wine1!A:Q,17,FALSE),Table1[[#This Row],[EP]]))</f>
        <v>2032</v>
      </c>
      <c r="Z1296" s="18">
        <f>IF(Table1[[#This Row],[My Rating]]="",IF(Table1[[#This Row],[WA Rating Clean]]="","",Table1[[#This Row],[WA Rating Clean]]),Table1[[#This Row],[My Rating]])</f>
        <v>95.5</v>
      </c>
      <c r="AA1296" s="8">
        <v>2045</v>
      </c>
      <c r="AB1296" s="4">
        <v>249.82</v>
      </c>
      <c r="AC1296" s="2">
        <f t="shared" si="61"/>
        <v>249.82</v>
      </c>
      <c r="AD1296" s="8">
        <v>1</v>
      </c>
      <c r="AE1296" s="37">
        <f>IF(Table1[[#This Row],[P/750]]&lt;20,1,IF(Table1[[#This Row],[P/750]]&lt;50,2,3))</f>
        <v>3</v>
      </c>
      <c r="AF1296" s="37">
        <f>IF(Table1[[#This Row],[P/750]]&lt;Expenses!$C$30,1,IF(Table1[[#This Row],[P/750]]&lt;Expenses!$C$31,2,IF(Table1[[#This Row],[P/750]]&lt;Expenses!$C$32,3,4)))</f>
        <v>3</v>
      </c>
      <c r="AH1296" s="37" t="s">
        <v>1139</v>
      </c>
      <c r="AI1296" s="11">
        <f>Table1[[#This Row],[Price]]/Table1[[#This Row],[Size (ml)]]*750</f>
        <v>62.454999999999991</v>
      </c>
      <c r="AJ1296" s="37">
        <v>95</v>
      </c>
      <c r="AK1296" s="37">
        <f>COUNTIF(UniqueID!A:A,Table1[[#This Row],[ID]])</f>
        <v>1</v>
      </c>
      <c r="AL1296" s="37" t="str">
        <f>VLOOKUP(Table1[[#This Row],[Cellar Location]],Location!A:F,6,FALSE)</f>
        <v>W</v>
      </c>
      <c r="AN1296" s="1">
        <v>44058</v>
      </c>
      <c r="AO1296" s="37" t="str">
        <f>TEXT(Table1[[#This Row],[Purchased]],"mmmm")</f>
        <v>August</v>
      </c>
      <c r="AP1296" s="10" t="str">
        <f>TEXT(Table1[[#This Row],[Purchased]],"yyyy")</f>
        <v>2020</v>
      </c>
      <c r="AQ1296" s="1">
        <v>44132</v>
      </c>
    </row>
    <row r="1297" spans="1:43" s="37" customFormat="1" x14ac:dyDescent="0.25">
      <c r="A1297" s="37" t="str">
        <f t="shared" si="60"/>
        <v>2016Marchesi AntinoriTignanello</v>
      </c>
      <c r="B1297" s="37">
        <v>2016</v>
      </c>
      <c r="C1297" s="37" t="s">
        <v>1699</v>
      </c>
      <c r="D1297" s="37" t="s">
        <v>1774</v>
      </c>
      <c r="E1297" s="67" t="s">
        <v>1775</v>
      </c>
      <c r="F1297" s="37" t="s">
        <v>728</v>
      </c>
      <c r="G1297" s="37" t="s">
        <v>790</v>
      </c>
      <c r="H1297" s="37" t="s">
        <v>796</v>
      </c>
      <c r="I1297" s="37">
        <v>1</v>
      </c>
      <c r="J1297" s="107">
        <v>750</v>
      </c>
      <c r="K1297" s="8" t="s">
        <v>1845</v>
      </c>
      <c r="L1297" s="10">
        <f>COUNTIF(Drank!A:A,Table1[[#This Row],[ID]])</f>
        <v>0</v>
      </c>
      <c r="M1297" s="37" t="s">
        <v>202</v>
      </c>
      <c r="N1297" s="37" t="s">
        <v>207</v>
      </c>
      <c r="O1297" s="37">
        <v>1</v>
      </c>
      <c r="P1297" s="10">
        <v>2020</v>
      </c>
      <c r="Q1297" s="37">
        <v>2045</v>
      </c>
      <c r="R1297" s="10" t="str">
        <f>IF(IFERROR(VLOOKUP(A1297,Drank!A:S,15,FALSE),"")=0,"",IFERROR(VLOOKUP(A1297,Drank!A:S,15,FALSE),""))</f>
        <v/>
      </c>
      <c r="S1297" s="10" t="str">
        <f>IF(IFERROR(VLOOKUP(A1297,Drank!A:S,16,FALSE),"")=0,"",IFERROR(VLOOKUP(A1297,Drank!A:S,16,FALSE),""))</f>
        <v/>
      </c>
      <c r="T1297" s="10"/>
      <c r="U1297" s="37">
        <v>97</v>
      </c>
      <c r="V1297" s="18" t="str">
        <f>IF(IFERROR(VLOOKUP(A1297,Drank!A:T,19,FALSE),"")=0,"",IFERROR(VLOOKUP(A1297,Drank!A:T,19,FALSE),""))</f>
        <v/>
      </c>
      <c r="W1297" s="1" t="str">
        <f>IF(IFERROR(VLOOKUP(A1297,Drank!A:T,20,FALSE),"")=0,"",IFERROR(VLOOKUP(A1297,Drank!A:T,20,FALSE),""))</f>
        <v/>
      </c>
      <c r="X1297" s="10">
        <f>SUMIF(A:A,A1297,I:I)</f>
        <v>6</v>
      </c>
      <c r="Y1297" s="10">
        <f>IF(Table1[[#This Row],[Drank]]&gt;0,VLOOKUP(Table1[[#This Row],[ID]],Drank!A:P,16,FALSE),IF(Table1[[#This Row],[WALDD]]&gt;0,VLOOKUP(Table1[[#This Row],[ID]],Wine1!A:Q,17,FALSE),Table1[[#This Row],[EP]]))</f>
        <v>2045</v>
      </c>
      <c r="Z1297" s="18">
        <f>IF(Table1[[#This Row],[My Rating]]="",IF(Table1[[#This Row],[WA Rating Clean]]="","",Table1[[#This Row],[WA Rating Clean]]),Table1[[#This Row],[My Rating]])</f>
        <v>97</v>
      </c>
      <c r="AA1297" s="37">
        <v>2045</v>
      </c>
      <c r="AB1297" s="129">
        <v>146.63</v>
      </c>
      <c r="AC1297" s="2">
        <f t="shared" si="61"/>
        <v>146.63</v>
      </c>
      <c r="AD1297" s="8">
        <v>1</v>
      </c>
      <c r="AE1297" s="10">
        <f>IF(Table1[[#This Row],[P/750]]&lt;20,1,IF(Table1[[#This Row],[P/750]]&lt;50,2,3))</f>
        <v>3</v>
      </c>
      <c r="AF1297" s="10">
        <f>IF(Table1[[#This Row],[P/750]]&lt;Expenses!$C$30,1,IF(Table1[[#This Row],[P/750]]&lt;Expenses!$C$31,2,IF(Table1[[#This Row],[P/750]]&lt;Expenses!$C$32,3,4)))</f>
        <v>4</v>
      </c>
      <c r="AH1297" s="37" t="s">
        <v>1128</v>
      </c>
      <c r="AI1297" s="11">
        <f>Table1[[#This Row],[Price]]/Table1[[#This Row],[Size (ml)]]*750</f>
        <v>146.63</v>
      </c>
      <c r="AJ1297" s="37">
        <v>97</v>
      </c>
      <c r="AK1297" s="10">
        <f>COUNTIF(UniqueID!A:A,Table1[[#This Row],[ID]])</f>
        <v>0</v>
      </c>
      <c r="AL1297" s="10" t="str">
        <f>VLOOKUP(Table1[[#This Row],[Cellar Location]],Location!A:F,6,FALSE)</f>
        <v>S</v>
      </c>
      <c r="AN1297" s="1">
        <v>44070</v>
      </c>
      <c r="AO1297" s="10" t="str">
        <f>TEXT(Table1[[#This Row],[Purchased]],"mmmm")</f>
        <v>August</v>
      </c>
      <c r="AP1297" s="10" t="str">
        <f>TEXT(Table1[[#This Row],[Purchased]],"yyyy")</f>
        <v>2020</v>
      </c>
      <c r="AQ1297" s="1"/>
    </row>
    <row r="1298" spans="1:43" s="37" customFormat="1" x14ac:dyDescent="0.25">
      <c r="A1298" s="37" t="str">
        <f t="shared" si="60"/>
        <v>2016FelsinaFontalloro</v>
      </c>
      <c r="B1298" s="37">
        <v>2016</v>
      </c>
      <c r="C1298" s="37" t="s">
        <v>795</v>
      </c>
      <c r="D1298" s="25" t="s">
        <v>387</v>
      </c>
      <c r="E1298" s="67" t="s">
        <v>1250</v>
      </c>
      <c r="F1298" s="37" t="s">
        <v>728</v>
      </c>
      <c r="G1298" s="37" t="s">
        <v>790</v>
      </c>
      <c r="H1298" s="37" t="s">
        <v>796</v>
      </c>
      <c r="I1298" s="78">
        <v>1</v>
      </c>
      <c r="J1298" s="72">
        <v>750</v>
      </c>
      <c r="K1298" s="78" t="s">
        <v>1545</v>
      </c>
      <c r="L1298" s="10">
        <f>COUNTIF(Drank!A:A,Table1[[#This Row],[ID]])</f>
        <v>1</v>
      </c>
      <c r="M1298" s="37" t="s">
        <v>202</v>
      </c>
      <c r="N1298" s="37" t="s">
        <v>207</v>
      </c>
      <c r="O1298" s="37">
        <v>1</v>
      </c>
      <c r="P1298" s="10">
        <v>2021</v>
      </c>
      <c r="Q1298" s="37">
        <v>2045</v>
      </c>
      <c r="R1298" s="10" t="str">
        <f>IF(IFERROR(VLOOKUP(A1298,Drank!A:S,15,FALSE),"")=0,"",IFERROR(VLOOKUP(A1298,Drank!A:S,15,FALSE),""))</f>
        <v/>
      </c>
      <c r="S1298" s="10" t="str">
        <f>IF(IFERROR(VLOOKUP(A1298,Drank!A:S,16,FALSE),"")=0,"",IFERROR(VLOOKUP(A1298,Drank!A:S,16,FALSE),""))</f>
        <v/>
      </c>
      <c r="T1298" s="10"/>
      <c r="U1298" s="37" t="s">
        <v>852</v>
      </c>
      <c r="V1298" s="18">
        <f>IF(IFERROR(VLOOKUP(A1298,Drank!A:T,19,FALSE),"")=0,"",IFERROR(VLOOKUP(A1298,Drank!A:T,19,FALSE),""))</f>
        <v>94</v>
      </c>
      <c r="W1298" s="1">
        <f>IF(IFERROR(VLOOKUP(A1298,Drank!A:T,20,FALSE),"")=0,"",IFERROR(VLOOKUP(A1298,Drank!A:T,20,FALSE),""))</f>
        <v>44074</v>
      </c>
      <c r="X1298" s="10">
        <f>SUMIF(A:A,A1298,I:I)</f>
        <v>6</v>
      </c>
      <c r="Y1298" s="10">
        <f>IF(Table1[[#This Row],[Drank]]&gt;0,VLOOKUP(Table1[[#This Row],[ID]],Drank!A:P,16,FALSE),IF(Table1[[#This Row],[WALDD]]&gt;0,VLOOKUP(Table1[[#This Row],[ID]],Wine1!A:Q,17,FALSE),Table1[[#This Row],[EP]]))</f>
        <v>0</v>
      </c>
      <c r="Z1298" s="18">
        <f>IF(Table1[[#This Row],[My Rating]]="",IF(Table1[[#This Row],[WA Rating Clean]]="","",Table1[[#This Row],[WA Rating Clean]]),Table1[[#This Row],[My Rating]])</f>
        <v>94</v>
      </c>
      <c r="AA1298" s="37">
        <v>2045</v>
      </c>
      <c r="AB1298" s="128">
        <v>60.29</v>
      </c>
      <c r="AC1298" s="2">
        <f t="shared" si="61"/>
        <v>60.29</v>
      </c>
      <c r="AD1298" s="8"/>
      <c r="AE1298" s="10">
        <f>IF(Table1[[#This Row],[P/750]]&lt;20,1,IF(Table1[[#This Row],[P/750]]&lt;50,2,3))</f>
        <v>3</v>
      </c>
      <c r="AF1298" s="10">
        <f>IF(Table1[[#This Row],[P/750]]&lt;Expenses!$C$30,1,IF(Table1[[#This Row],[P/750]]&lt;Expenses!$C$31,2,IF(Table1[[#This Row],[P/750]]&lt;Expenses!$C$32,3,4)))</f>
        <v>3</v>
      </c>
      <c r="AH1298" s="25" t="s">
        <v>1545</v>
      </c>
      <c r="AI1298" s="11">
        <f>Table1[[#This Row],[Price]]/Table1[[#This Row],[Size (ml)]]*750</f>
        <v>60.29</v>
      </c>
      <c r="AJ1298" s="37">
        <v>98</v>
      </c>
      <c r="AK1298" s="10">
        <f>COUNTIF(UniqueID!A:A,Table1[[#This Row],[ID]])</f>
        <v>0</v>
      </c>
      <c r="AL1298" s="10" t="str">
        <f>VLOOKUP(Table1[[#This Row],[Cellar Location]],Location!A:F,6,FALSE)</f>
        <v>W</v>
      </c>
      <c r="AN1298" s="1">
        <v>44065</v>
      </c>
      <c r="AO1298" s="10" t="str">
        <f>TEXT(Table1[[#This Row],[Purchased]],"mmmm")</f>
        <v>August</v>
      </c>
      <c r="AP1298" s="10" t="str">
        <f>TEXT(Table1[[#This Row],[Purchased]],"yyyy")</f>
        <v>2020</v>
      </c>
      <c r="AQ1298" s="10"/>
    </row>
    <row r="1299" spans="1:43" s="37" customFormat="1" x14ac:dyDescent="0.25">
      <c r="A1299" s="37" t="str">
        <f t="shared" si="60"/>
        <v>2016CavallottoBarolo Bricco Boschis</v>
      </c>
      <c r="B1299" s="37">
        <v>2016</v>
      </c>
      <c r="C1299" s="37" t="s">
        <v>51</v>
      </c>
      <c r="D1299" s="37" t="s">
        <v>1691</v>
      </c>
      <c r="E1299" s="67" t="s">
        <v>1206</v>
      </c>
      <c r="F1299" s="37" t="s">
        <v>728</v>
      </c>
      <c r="G1299" s="37" t="s">
        <v>778</v>
      </c>
      <c r="H1299" s="37" t="s">
        <v>1692</v>
      </c>
      <c r="I1299" s="8">
        <v>1</v>
      </c>
      <c r="J1299" s="38">
        <v>750</v>
      </c>
      <c r="K1299" s="38" t="s">
        <v>1687</v>
      </c>
      <c r="L1299" s="10">
        <f>COUNTIF(Drank!A:A,Table1[[#This Row],[ID]])</f>
        <v>0</v>
      </c>
      <c r="M1299" s="37" t="s">
        <v>202</v>
      </c>
      <c r="N1299" s="37" t="s">
        <v>207</v>
      </c>
      <c r="O1299" s="37">
        <v>1</v>
      </c>
      <c r="P1299" s="37">
        <v>2024</v>
      </c>
      <c r="Q1299" s="37">
        <v>2045</v>
      </c>
      <c r="R1299" s="10" t="str">
        <f>IF(IFERROR(VLOOKUP(A1299,Drank!A:S,15,FALSE),"")=0,"",IFERROR(VLOOKUP(A1299,Drank!A:S,15,FALSE),""))</f>
        <v/>
      </c>
      <c r="S1299" s="10" t="str">
        <f>IF(IFERROR(VLOOKUP(A1299,Drank!A:S,16,FALSE),"")=0,"",IFERROR(VLOOKUP(A1299,Drank!A:S,16,FALSE),""))</f>
        <v/>
      </c>
      <c r="T1299" s="10"/>
      <c r="U1299" s="37">
        <v>98</v>
      </c>
      <c r="V1299" s="18" t="str">
        <f>IF(IFERROR(VLOOKUP(A1299,Drank!A:T,19,FALSE),"")=0,"",IFERROR(VLOOKUP(A1299,Drank!A:T,19,FALSE),""))</f>
        <v/>
      </c>
      <c r="W1299" s="1" t="str">
        <f>IF(IFERROR(VLOOKUP(A1299,Drank!A:T,20,FALSE),"")=0,"",IFERROR(VLOOKUP(A1299,Drank!A:T,20,FALSE),""))</f>
        <v/>
      </c>
      <c r="X1299" s="10">
        <f>SUMIF(A:A,A1299,I:I)</f>
        <v>2</v>
      </c>
      <c r="Y1299" s="10">
        <f>IF(Table1[[#This Row],[Drank]]&gt;0,VLOOKUP(Table1[[#This Row],[ID]],Drank!A:P,16,FALSE),IF(Table1[[#This Row],[WALDD]]&gt;0,VLOOKUP(Table1[[#This Row],[ID]],Wine1!A:Q,17,FALSE),Table1[[#This Row],[EP]]))</f>
        <v>2045</v>
      </c>
      <c r="Z1299" s="18">
        <f>IF(Table1[[#This Row],[My Rating]]="",IF(Table1[[#This Row],[WA Rating Clean]]="","",Table1[[#This Row],[WA Rating Clean]]),Table1[[#This Row],[My Rating]])</f>
        <v>98</v>
      </c>
      <c r="AA1299" s="8">
        <v>2045</v>
      </c>
      <c r="AB1299" s="4">
        <v>88.66</v>
      </c>
      <c r="AC1299" s="2">
        <f t="shared" si="61"/>
        <v>88.66</v>
      </c>
      <c r="AD1299" s="8">
        <v>1</v>
      </c>
      <c r="AE1299" s="10">
        <f>IF(Table1[[#This Row],[P/750]]&lt;20,1,IF(Table1[[#This Row],[P/750]]&lt;50,2,3))</f>
        <v>3</v>
      </c>
      <c r="AF1299" s="10">
        <f>IF(Table1[[#This Row],[P/750]]&lt;Expenses!$C$30,1,IF(Table1[[#This Row],[P/750]]&lt;Expenses!$C$31,2,IF(Table1[[#This Row],[P/750]]&lt;Expenses!$C$32,3,4)))</f>
        <v>4</v>
      </c>
      <c r="AH1299" s="37" t="s">
        <v>1189</v>
      </c>
      <c r="AI1299" s="11">
        <f>Table1[[#This Row],[Price]]/Table1[[#This Row],[Size (ml)]]*750</f>
        <v>88.66</v>
      </c>
      <c r="AJ1299" s="37">
        <v>98</v>
      </c>
      <c r="AK1299" s="10">
        <f>COUNTIF(UniqueID!A:A,Table1[[#This Row],[ID]])</f>
        <v>0</v>
      </c>
      <c r="AL1299" s="10" t="str">
        <f>VLOOKUP(Table1[[#This Row],[Cellar Location]],Location!A:F,6,FALSE)</f>
        <v>W</v>
      </c>
      <c r="AN1299" s="1">
        <v>44061</v>
      </c>
      <c r="AO1299" s="10" t="str">
        <f>TEXT(Table1[[#This Row],[Purchased]],"mmmm")</f>
        <v>August</v>
      </c>
      <c r="AP1299" s="10" t="str">
        <f>TEXT(Table1[[#This Row],[Purchased]],"yyyy")</f>
        <v>2020</v>
      </c>
      <c r="AQ1299" s="1">
        <v>44137</v>
      </c>
    </row>
    <row r="1300" spans="1:43" s="37" customFormat="1" x14ac:dyDescent="0.25">
      <c r="A1300" s="37" t="str">
        <f t="shared" si="60"/>
        <v>2015Casanova di NeriBrunello di Montalcino Tenuta Nuova</v>
      </c>
      <c r="B1300" s="37">
        <v>2015</v>
      </c>
      <c r="C1300" s="37" t="s">
        <v>18</v>
      </c>
      <c r="D1300" s="37" t="s">
        <v>1471</v>
      </c>
      <c r="E1300" s="9" t="s">
        <v>1250</v>
      </c>
      <c r="F1300" s="37" t="s">
        <v>728</v>
      </c>
      <c r="G1300" s="37" t="s">
        <v>790</v>
      </c>
      <c r="H1300" s="37" t="s">
        <v>19</v>
      </c>
      <c r="I1300" s="37">
        <v>1</v>
      </c>
      <c r="J1300" s="38">
        <v>750</v>
      </c>
      <c r="K1300" s="38" t="s">
        <v>415</v>
      </c>
      <c r="L1300" s="10">
        <f>COUNTIF(Drank!A:A,Table1[[#This Row],[ID]])</f>
        <v>0</v>
      </c>
      <c r="M1300" s="37" t="s">
        <v>202</v>
      </c>
      <c r="N1300" s="37" t="s">
        <v>207</v>
      </c>
      <c r="O1300" s="37">
        <v>1</v>
      </c>
      <c r="P1300" s="10">
        <v>2022</v>
      </c>
      <c r="Q1300" s="37">
        <v>2045</v>
      </c>
      <c r="R1300" s="10" t="str">
        <f>IF(IFERROR(VLOOKUP(A1300,Drank!A:S,15,FALSE),"")=0,"",IFERROR(VLOOKUP(A1300,Drank!A:S,15,FALSE),""))</f>
        <v/>
      </c>
      <c r="S1300" s="10" t="str">
        <f>IF(IFERROR(VLOOKUP(A1300,Drank!A:S,16,FALSE),"")=0,"",IFERROR(VLOOKUP(A1300,Drank!A:S,16,FALSE),""))</f>
        <v/>
      </c>
      <c r="T1300" s="10"/>
      <c r="U1300" s="37" t="s">
        <v>852</v>
      </c>
      <c r="V1300" s="18" t="str">
        <f>IF(IFERROR(VLOOKUP(A1300,Drank!A:T,19,FALSE),"")=0,"",IFERROR(VLOOKUP(A1300,Drank!A:T,19,FALSE),""))</f>
        <v/>
      </c>
      <c r="W1300" s="1" t="str">
        <f>IF(IFERROR(VLOOKUP(A1300,Drank!A:T,20,FALSE),"")=0,"",IFERROR(VLOOKUP(A1300,Drank!A:T,20,FALSE),""))</f>
        <v/>
      </c>
      <c r="X1300" s="10">
        <f>SUMIF(A:A,A1300,I:I)</f>
        <v>2</v>
      </c>
      <c r="Y1300" s="10">
        <f>IF(Table1[[#This Row],[Drank]]&gt;0,VLOOKUP(Table1[[#This Row],[ID]],Drank!A:P,16,FALSE),IF(Table1[[#This Row],[WALDD]]&gt;0,VLOOKUP(Table1[[#This Row],[ID]],Wine1!A:Q,17,FALSE),Table1[[#This Row],[EP]]))</f>
        <v>2045</v>
      </c>
      <c r="Z1300" s="18">
        <f>IF(Table1[[#This Row],[My Rating]]="",IF(Table1[[#This Row],[WA Rating Clean]]="","",Table1[[#This Row],[WA Rating Clean]]),Table1[[#This Row],[My Rating]])</f>
        <v>98</v>
      </c>
      <c r="AA1300" s="6">
        <v>2045</v>
      </c>
      <c r="AB1300" s="4">
        <v>99</v>
      </c>
      <c r="AC1300" s="2">
        <f t="shared" si="61"/>
        <v>99</v>
      </c>
      <c r="AD1300" s="8">
        <v>1</v>
      </c>
      <c r="AE1300" s="10">
        <f>IF(Table1[[#This Row],[P/750]]&lt;20,1,IF(Table1[[#This Row],[P/750]]&lt;50,2,3))</f>
        <v>3</v>
      </c>
      <c r="AF1300" s="10">
        <f>IF(Table1[[#This Row],[P/750]]&lt;Expenses!$C$30,1,IF(Table1[[#This Row],[P/750]]&lt;Expenses!$C$31,2,IF(Table1[[#This Row],[P/750]]&lt;Expenses!$C$32,3,4)))</f>
        <v>4</v>
      </c>
      <c r="AH1300" s="37" t="s">
        <v>415</v>
      </c>
      <c r="AI1300" s="11">
        <f>Table1[[#This Row],[Price]]/Table1[[#This Row],[Size (ml)]]*750</f>
        <v>99</v>
      </c>
      <c r="AJ1300" s="37">
        <v>98</v>
      </c>
      <c r="AK1300" s="10">
        <f>COUNTIF(UniqueID!A:A,Table1[[#This Row],[ID]])</f>
        <v>0</v>
      </c>
      <c r="AL1300" s="10" t="str">
        <f>VLOOKUP(Table1[[#This Row],[Cellar Location]],Location!A:F,6,FALSE)</f>
        <v>W</v>
      </c>
      <c r="AN1300" s="1">
        <v>44015</v>
      </c>
      <c r="AO1300" s="10" t="str">
        <f>TEXT(Table1[[#This Row],[Purchased]],"mmmm")</f>
        <v>July</v>
      </c>
      <c r="AP1300" s="10" t="str">
        <f>TEXT(Table1[[#This Row],[Purchased]],"yyyy")</f>
        <v>2020</v>
      </c>
      <c r="AQ1300" s="1">
        <v>44114</v>
      </c>
    </row>
    <row r="1301" spans="1:43" s="37" customFormat="1" x14ac:dyDescent="0.25">
      <c r="A1301" s="8" t="str">
        <f t="shared" si="60"/>
        <v>2015Il PoggioneBrunello di Montalcino</v>
      </c>
      <c r="B1301" s="8">
        <v>2015</v>
      </c>
      <c r="C1301" s="37" t="s">
        <v>1124</v>
      </c>
      <c r="D1301" s="8" t="s">
        <v>19</v>
      </c>
      <c r="E1301" s="67" t="s">
        <v>1250</v>
      </c>
      <c r="F1301" s="37" t="s">
        <v>728</v>
      </c>
      <c r="G1301" s="37" t="s">
        <v>790</v>
      </c>
      <c r="H1301" s="37" t="s">
        <v>19</v>
      </c>
      <c r="I1301" s="107">
        <v>1</v>
      </c>
      <c r="J1301" s="37">
        <v>750</v>
      </c>
      <c r="K1301" s="107" t="s">
        <v>645</v>
      </c>
      <c r="L1301" s="10">
        <f>COUNTIF(Drank!A:A,Table1[[#This Row],[ID]])</f>
        <v>0</v>
      </c>
      <c r="M1301" s="37" t="s">
        <v>202</v>
      </c>
      <c r="N1301" s="37" t="s">
        <v>207</v>
      </c>
      <c r="O1301" s="37">
        <v>1</v>
      </c>
      <c r="P1301" s="37">
        <v>2021</v>
      </c>
      <c r="Q1301" s="37">
        <v>2045</v>
      </c>
      <c r="R1301" s="10" t="str">
        <f>IF(IFERROR(VLOOKUP(A1301,Drank!A:S,15,FALSE),"")=0,"",IFERROR(VLOOKUP(A1301,Drank!A:S,15,FALSE),""))</f>
        <v/>
      </c>
      <c r="S1301" s="10" t="str">
        <f>IF(IFERROR(VLOOKUP(A1301,Drank!A:S,16,FALSE),"")=0,"",IFERROR(VLOOKUP(A1301,Drank!A:S,16,FALSE),""))</f>
        <v/>
      </c>
      <c r="T1301" s="10"/>
      <c r="U1301" s="37">
        <v>97</v>
      </c>
      <c r="V1301" s="18" t="str">
        <f>IF(IFERROR(VLOOKUP(A1301,Drank!A:T,19,FALSE),"")=0,"",IFERROR(VLOOKUP(A1301,Drank!A:T,19,FALSE),""))</f>
        <v/>
      </c>
      <c r="W1301" s="1" t="str">
        <f>IF(IFERROR(VLOOKUP(A1301,Drank!A:T,20,FALSE),"")=0,"",IFERROR(VLOOKUP(A1301,Drank!A:T,20,FALSE),""))</f>
        <v/>
      </c>
      <c r="X1301" s="10">
        <f>SUMIF(A:A,A1301,I:I)</f>
        <v>6</v>
      </c>
      <c r="Y1301" s="10">
        <f>IF(Table1[[#This Row],[Drank]]&gt;0,VLOOKUP(Table1[[#This Row],[ID]],Drank!A:P,16,FALSE),IF(Table1[[#This Row],[WALDD]]&gt;0,VLOOKUP(Table1[[#This Row],[ID]],Wine1!A:Q,17,FALSE),Table1[[#This Row],[EP]]))</f>
        <v>2045</v>
      </c>
      <c r="Z1301" s="18">
        <f>IF(Table1[[#This Row],[My Rating]]="",IF(Table1[[#This Row],[WA Rating Clean]]="","",Table1[[#This Row],[WA Rating Clean]]),Table1[[#This Row],[My Rating]])</f>
        <v>97</v>
      </c>
      <c r="AA1301" s="6">
        <v>2045</v>
      </c>
      <c r="AB1301" s="4">
        <v>73.849999999999994</v>
      </c>
      <c r="AC1301" s="2">
        <f t="shared" si="61"/>
        <v>73.849999999999994</v>
      </c>
      <c r="AD1301" s="8">
        <v>2</v>
      </c>
      <c r="AE1301" s="10">
        <f>IF(Table1[[#This Row],[P/750]]&lt;20,1,IF(Table1[[#This Row],[P/750]]&lt;50,2,3))</f>
        <v>3</v>
      </c>
      <c r="AF1301" s="10">
        <f>IF(Table1[[#This Row],[P/750]]&lt;Expenses!$C$30,1,IF(Table1[[#This Row],[P/750]]&lt;Expenses!$C$31,2,IF(Table1[[#This Row],[P/750]]&lt;Expenses!$C$32,3,4)))</f>
        <v>4</v>
      </c>
      <c r="AH1301" s="37" t="s">
        <v>1478</v>
      </c>
      <c r="AI1301" s="11">
        <f>Table1[[#This Row],[Price]]/Table1[[#This Row],[Size (ml)]]*750</f>
        <v>73.849999999999994</v>
      </c>
      <c r="AJ1301" s="37">
        <v>97</v>
      </c>
      <c r="AK1301" s="10">
        <f>COUNTIF(UniqueID!A:A,Table1[[#This Row],[ID]])</f>
        <v>0</v>
      </c>
      <c r="AL1301" s="10" t="str">
        <f>VLOOKUP(Table1[[#This Row],[Cellar Location]],Location!A:F,6,FALSE)</f>
        <v>S</v>
      </c>
      <c r="AN1301" s="1">
        <v>44019</v>
      </c>
      <c r="AO1301" s="10" t="str">
        <f>TEXT(Table1[[#This Row],[Purchased]],"mmmm")</f>
        <v>July</v>
      </c>
      <c r="AP1301" s="10" t="str">
        <f>TEXT(Table1[[#This Row],[Purchased]],"yyyy")</f>
        <v>2020</v>
      </c>
      <c r="AQ1301" s="10"/>
    </row>
    <row r="1302" spans="1:43" s="37" customFormat="1" x14ac:dyDescent="0.25">
      <c r="A1302" s="37" t="str">
        <f t="shared" si="60"/>
        <v>2016Castello di AmaL'Apparita</v>
      </c>
      <c r="B1302" s="8">
        <v>2016</v>
      </c>
      <c r="C1302" s="8" t="s">
        <v>75</v>
      </c>
      <c r="D1302" s="19" t="s">
        <v>1819</v>
      </c>
      <c r="E1302" s="63" t="s">
        <v>1820</v>
      </c>
      <c r="F1302" s="37" t="s">
        <v>728</v>
      </c>
      <c r="G1302" s="37" t="s">
        <v>790</v>
      </c>
      <c r="H1302" s="37" t="s">
        <v>796</v>
      </c>
      <c r="I1302" s="37">
        <v>1</v>
      </c>
      <c r="J1302" s="38">
        <v>750</v>
      </c>
      <c r="K1302" s="38" t="s">
        <v>435</v>
      </c>
      <c r="L1302" s="10">
        <f>COUNTIF(Drank!A:A,Table1[[#This Row],[ID]])</f>
        <v>0</v>
      </c>
      <c r="M1302" s="37" t="s">
        <v>202</v>
      </c>
      <c r="N1302" s="37" t="s">
        <v>207</v>
      </c>
      <c r="O1302" s="37">
        <v>1</v>
      </c>
      <c r="P1302" s="10">
        <v>2022</v>
      </c>
      <c r="Q1302" s="37">
        <v>2045</v>
      </c>
      <c r="R1302" s="10" t="str">
        <f>IF(IFERROR(VLOOKUP(A1302,Drank!A:S,15,FALSE),"")=0,"",IFERROR(VLOOKUP(A1302,Drank!A:S,15,FALSE),""))</f>
        <v/>
      </c>
      <c r="S1302" s="10" t="str">
        <f>IF(IFERROR(VLOOKUP(A1302,Drank!A:S,16,FALSE),"")=0,"",IFERROR(VLOOKUP(A1302,Drank!A:S,16,FALSE),""))</f>
        <v/>
      </c>
      <c r="T1302" s="10"/>
      <c r="U1302" s="37">
        <v>99</v>
      </c>
      <c r="V1302" s="18" t="str">
        <f>IF(IFERROR(VLOOKUP(A1302,Drank!A:T,19,FALSE),"")=0,"",IFERROR(VLOOKUP(A1302,Drank!A:T,19,FALSE),""))</f>
        <v/>
      </c>
      <c r="W1302" s="1" t="str">
        <f>IF(IFERROR(VLOOKUP(A1302,Drank!A:T,20,FALSE),"")=0,"",IFERROR(VLOOKUP(A1302,Drank!A:T,20,FALSE),""))</f>
        <v/>
      </c>
      <c r="X1302" s="10">
        <f>SUMIF(A:A,A1302,I:I)</f>
        <v>2</v>
      </c>
      <c r="Y1302" s="10">
        <f>IF(Table1[[#This Row],[Drank]]&gt;0,VLOOKUP(Table1[[#This Row],[ID]],Drank!A:P,16,FALSE),IF(Table1[[#This Row],[WALDD]]&gt;0,VLOOKUP(Table1[[#This Row],[ID]],Wine1!A:Q,17,FALSE),Table1[[#This Row],[EP]]))</f>
        <v>2045</v>
      </c>
      <c r="Z1302" s="18">
        <f>IF(Table1[[#This Row],[My Rating]]="",IF(Table1[[#This Row],[WA Rating Clean]]="","",Table1[[#This Row],[WA Rating Clean]]),Table1[[#This Row],[My Rating]])</f>
        <v>99</v>
      </c>
      <c r="AA1302" s="37">
        <v>2045</v>
      </c>
      <c r="AB1302" s="128">
        <v>209.35</v>
      </c>
      <c r="AC1302" s="2">
        <f t="shared" si="61"/>
        <v>209.35</v>
      </c>
      <c r="AD1302" s="8"/>
      <c r="AE1302" s="10">
        <f>IF(Table1[[#This Row],[P/750]]&lt;20,1,IF(Table1[[#This Row],[P/750]]&lt;50,2,3))</f>
        <v>3</v>
      </c>
      <c r="AF1302" s="10">
        <f>IF(Table1[[#This Row],[P/750]]&lt;Expenses!$C$30,1,IF(Table1[[#This Row],[P/750]]&lt;Expenses!$C$31,2,IF(Table1[[#This Row],[P/750]]&lt;Expenses!$C$32,3,4)))</f>
        <v>4</v>
      </c>
      <c r="AH1302" s="25" t="s">
        <v>1818</v>
      </c>
      <c r="AI1302" s="11">
        <f>Table1[[#This Row],[Price]]/Table1[[#This Row],[Size (ml)]]*750</f>
        <v>209.35</v>
      </c>
      <c r="AJ1302" s="37">
        <v>99</v>
      </c>
      <c r="AK1302" s="10">
        <f>COUNTIF(UniqueID!A:A,Table1[[#This Row],[ID]])</f>
        <v>0</v>
      </c>
      <c r="AL1302" s="10" t="str">
        <f>VLOOKUP(Table1[[#This Row],[Cellar Location]],Location!A:F,6,FALSE)</f>
        <v>W</v>
      </c>
      <c r="AN1302" s="1">
        <v>44068</v>
      </c>
      <c r="AO1302" s="10" t="str">
        <f>TEXT(Table1[[#This Row],[Purchased]],"mmmm")</f>
        <v>August</v>
      </c>
      <c r="AP1302" s="10" t="str">
        <f>TEXT(Table1[[#This Row],[Purchased]],"yyyy")</f>
        <v>2020</v>
      </c>
      <c r="AQ1302" s="1">
        <v>44114</v>
      </c>
    </row>
    <row r="1303" spans="1:43" s="37" customFormat="1" x14ac:dyDescent="0.25">
      <c r="A1303" s="37" t="str">
        <f t="shared" si="60"/>
        <v>2016Tenuta San GuidoSassicaia</v>
      </c>
      <c r="B1303" s="37">
        <v>2016</v>
      </c>
      <c r="C1303" s="37" t="s">
        <v>91</v>
      </c>
      <c r="D1303" s="37" t="s">
        <v>304</v>
      </c>
      <c r="E1303" s="67" t="s">
        <v>1251</v>
      </c>
      <c r="F1303" s="37" t="s">
        <v>728</v>
      </c>
      <c r="G1303" s="37" t="s">
        <v>790</v>
      </c>
      <c r="H1303" s="37" t="s">
        <v>791</v>
      </c>
      <c r="I1303" s="37">
        <v>1</v>
      </c>
      <c r="J1303" s="37">
        <v>750</v>
      </c>
      <c r="K1303" s="8" t="s">
        <v>11</v>
      </c>
      <c r="L1303" s="37">
        <f>COUNTIF(Drank!A:A,Table1[[#This Row],[ID]])</f>
        <v>0</v>
      </c>
      <c r="M1303" s="37" t="s">
        <v>202</v>
      </c>
      <c r="N1303" s="37" t="s">
        <v>207</v>
      </c>
      <c r="O1303" s="37">
        <v>1</v>
      </c>
      <c r="P1303" s="37">
        <v>2021</v>
      </c>
      <c r="Q1303" s="37">
        <v>2050</v>
      </c>
      <c r="R1303" s="10" t="str">
        <f>IF(IFERROR(VLOOKUP(A1303,Drank!A:S,15,FALSE),"")=0,"",IFERROR(VLOOKUP(A1303,Drank!A:S,15,FALSE),""))</f>
        <v/>
      </c>
      <c r="S1303" s="10" t="str">
        <f>IF(IFERROR(VLOOKUP(A1303,Drank!A:S,16,FALSE),"")=0,"",IFERROR(VLOOKUP(A1303,Drank!A:S,16,FALSE),""))</f>
        <v/>
      </c>
      <c r="T1303" s="10"/>
      <c r="U1303" s="37">
        <v>100</v>
      </c>
      <c r="V1303" s="18" t="str">
        <f>IF(IFERROR(VLOOKUP(A1303,Drank!A:T,19,FALSE),"")=0,"",IFERROR(VLOOKUP(A1303,Drank!A:T,19,FALSE),""))</f>
        <v/>
      </c>
      <c r="W1303" s="1" t="str">
        <f>IF(IFERROR(VLOOKUP(A1303,Drank!A:T,20,FALSE),"")=0,"",IFERROR(VLOOKUP(A1303,Drank!A:T,20,FALSE),""))</f>
        <v/>
      </c>
      <c r="X1303" s="10">
        <f>SUMIF(A:A,A1303,I:I)</f>
        <v>6</v>
      </c>
      <c r="Y1303" s="37">
        <f>IF(Table1[[#This Row],[Drank]]&gt;0,VLOOKUP(Table1[[#This Row],[ID]],Drank!A:P,16,FALSE),IF(Table1[[#This Row],[WALDD]]&gt;0,VLOOKUP(Table1[[#This Row],[ID]],Wine1!A:Q,17,FALSE),Table1[[#This Row],[EP]]))</f>
        <v>2050</v>
      </c>
      <c r="Z1303" s="18">
        <f>IF(Table1[[#This Row],[My Rating]]="",IF(Table1[[#This Row],[WA Rating Clean]]="","",Table1[[#This Row],[WA Rating Clean]]),Table1[[#This Row],[My Rating]])</f>
        <v>100</v>
      </c>
      <c r="AA1303" s="37">
        <v>2045</v>
      </c>
      <c r="AB1303" s="4">
        <v>225.32</v>
      </c>
      <c r="AC1303" s="2">
        <f t="shared" si="61"/>
        <v>225.32</v>
      </c>
      <c r="AD1303" s="8">
        <v>0</v>
      </c>
      <c r="AE1303" s="37">
        <f>IF(Table1[[#This Row],[P/750]]&lt;20,1,IF(Table1[[#This Row],[P/750]]&lt;50,2,3))</f>
        <v>3</v>
      </c>
      <c r="AF1303" s="37">
        <f>IF(Table1[[#This Row],[P/750]]&lt;Expenses!$C$30,1,IF(Table1[[#This Row],[P/750]]&lt;Expenses!$C$31,2,IF(Table1[[#This Row],[P/750]]&lt;Expenses!$C$32,3,4)))</f>
        <v>4</v>
      </c>
      <c r="AH1303" s="37" t="s">
        <v>1128</v>
      </c>
      <c r="AI1303" s="11">
        <f>Table1[[#This Row],[Price]]/Table1[[#This Row],[Size (ml)]]*750</f>
        <v>225.32</v>
      </c>
      <c r="AJ1303" s="37">
        <v>100</v>
      </c>
      <c r="AK1303" s="37">
        <f>COUNTIF(UniqueID!A:A,Table1[[#This Row],[ID]])</f>
        <v>1</v>
      </c>
      <c r="AL1303" s="37" t="str">
        <f>VLOOKUP(Table1[[#This Row],[Cellar Location]],Location!A:F,6,FALSE)</f>
        <v>K</v>
      </c>
      <c r="AO1303" s="37" t="str">
        <f>TEXT(Table1[[#This Row],[Purchased]],"mmmm")</f>
        <v>January</v>
      </c>
      <c r="AP1303" s="10" t="str">
        <f>TEXT(Table1[[#This Row],[Purchased]],"yyyy")</f>
        <v>1900</v>
      </c>
      <c r="AQ1303" s="10"/>
    </row>
    <row r="1304" spans="1:43" s="37" customFormat="1" x14ac:dyDescent="0.25">
      <c r="A1304" s="37" t="str">
        <f t="shared" si="60"/>
        <v>2016Lafaurie-PeyragueyLafaurie-Peyraguey</v>
      </c>
      <c r="B1304" s="37">
        <v>2016</v>
      </c>
      <c r="C1304" s="37" t="s">
        <v>125</v>
      </c>
      <c r="D1304" s="37" t="s">
        <v>125</v>
      </c>
      <c r="E1304" s="67" t="s">
        <v>1205</v>
      </c>
      <c r="F1304" s="37" t="s">
        <v>742</v>
      </c>
      <c r="G1304" s="37" t="s">
        <v>748</v>
      </c>
      <c r="H1304" s="37" t="s">
        <v>260</v>
      </c>
      <c r="I1304" s="107">
        <v>1</v>
      </c>
      <c r="J1304" s="37">
        <v>375</v>
      </c>
      <c r="K1304" s="107" t="s">
        <v>629</v>
      </c>
      <c r="L1304" s="37">
        <f>COUNTIF(Drank!A:A,Table1[[#This Row],[ID]])</f>
        <v>0</v>
      </c>
      <c r="M1304" s="37" t="s">
        <v>201</v>
      </c>
      <c r="N1304" s="37" t="s">
        <v>206</v>
      </c>
      <c r="O1304" s="37">
        <v>1</v>
      </c>
      <c r="P1304" s="10">
        <v>2021</v>
      </c>
      <c r="Q1304" s="37">
        <v>2060</v>
      </c>
      <c r="R1304" s="10" t="str">
        <f>IF(IFERROR(VLOOKUP(A1304,Drank!A:S,15,FALSE),"")=0,"",IFERROR(VLOOKUP(A1304,Drank!A:S,15,FALSE),""))</f>
        <v/>
      </c>
      <c r="S1304" s="10" t="str">
        <f>IF(IFERROR(VLOOKUP(A1304,Drank!A:S,16,FALSE),"")=0,"",IFERROR(VLOOKUP(A1304,Drank!A:S,16,FALSE),""))</f>
        <v/>
      </c>
      <c r="T1304" s="10"/>
      <c r="U1304" s="37" t="s">
        <v>441</v>
      </c>
      <c r="V1304" s="18" t="str">
        <f>IF(IFERROR(VLOOKUP(A1304,Drank!A:T,19,FALSE),"")=0,"",IFERROR(VLOOKUP(A1304,Drank!A:T,19,FALSE),""))</f>
        <v/>
      </c>
      <c r="W1304" s="1" t="str">
        <f>IF(IFERROR(VLOOKUP(A1304,Drank!A:T,20,FALSE),"")=0,"",IFERROR(VLOOKUP(A1304,Drank!A:T,20,FALSE),""))</f>
        <v/>
      </c>
      <c r="X1304" s="10">
        <f>SUMIF(A:A,A1304,I:I)</f>
        <v>12</v>
      </c>
      <c r="Y1304" s="10">
        <f>IF(Table1[[#This Row],[Drank]]&gt;0,VLOOKUP(Table1[[#This Row],[ID]],Drank!A:P,16,FALSE),IF(Table1[[#This Row],[WALDD]]&gt;0,VLOOKUP(Table1[[#This Row],[ID]],Wine1!A:Q,17,FALSE),Table1[[#This Row],[EP]]))</f>
        <v>2060</v>
      </c>
      <c r="Z1304" s="18">
        <f>IF(Table1[[#This Row],[My Rating]]="",IF(Table1[[#This Row],[WA Rating Clean]]="","",Table1[[#This Row],[WA Rating Clean]]),Table1[[#This Row],[My Rating]])</f>
        <v>95</v>
      </c>
      <c r="AA1304" s="37">
        <v>2045</v>
      </c>
      <c r="AB1304" s="4">
        <v>16</v>
      </c>
      <c r="AC1304" s="2">
        <f t="shared" si="61"/>
        <v>16</v>
      </c>
      <c r="AD1304" s="8">
        <v>2</v>
      </c>
      <c r="AE1304" s="37">
        <f>IF(Table1[[#This Row],[P/750]]&lt;20,1,IF(Table1[[#This Row],[P/750]]&lt;50,2,3))</f>
        <v>2</v>
      </c>
      <c r="AF1304" s="37">
        <f>IF(Table1[[#This Row],[P/750]]&lt;Expenses!$C$30,1,IF(Table1[[#This Row],[P/750]]&lt;Expenses!$C$31,2,IF(Table1[[#This Row],[P/750]]&lt;Expenses!$C$32,3,4)))</f>
        <v>3</v>
      </c>
      <c r="AH1304" s="37" t="s">
        <v>385</v>
      </c>
      <c r="AI1304" s="11">
        <f>Table1[[#This Row],[Price]]/Table1[[#This Row],[Size (ml)]]*750</f>
        <v>32</v>
      </c>
      <c r="AJ1304" s="37">
        <v>95</v>
      </c>
      <c r="AK1304" s="37">
        <f>COUNTIF(UniqueID!A:A,Table1[[#This Row],[ID]])</f>
        <v>1</v>
      </c>
      <c r="AL1304" s="37" t="str">
        <f>VLOOKUP(Table1[[#This Row],[Cellar Location]],Location!A:F,6,FALSE)</f>
        <v>S</v>
      </c>
      <c r="AO1304" s="37" t="str">
        <f>TEXT(Table1[[#This Row],[Purchased]],"mmmm")</f>
        <v>January</v>
      </c>
      <c r="AP1304" s="10" t="str">
        <f>TEXT(Table1[[#This Row],[Purchased]],"yyyy")</f>
        <v>1900</v>
      </c>
      <c r="AQ1304" s="10"/>
    </row>
    <row r="1305" spans="1:43" s="37" customFormat="1" x14ac:dyDescent="0.25">
      <c r="A1305" s="37" t="str">
        <f t="shared" si="60"/>
        <v>2015FontodiFlaccianello della Pieve</v>
      </c>
      <c r="B1305" s="37">
        <v>2015</v>
      </c>
      <c r="C1305" s="37" t="s">
        <v>20</v>
      </c>
      <c r="D1305" s="37" t="s">
        <v>21</v>
      </c>
      <c r="E1305" s="67" t="s">
        <v>1250</v>
      </c>
      <c r="F1305" s="37" t="s">
        <v>728</v>
      </c>
      <c r="G1305" s="37" t="s">
        <v>790</v>
      </c>
      <c r="H1305" s="37" t="s">
        <v>836</v>
      </c>
      <c r="I1305" s="37">
        <v>1</v>
      </c>
      <c r="J1305" s="107">
        <v>750</v>
      </c>
      <c r="K1305" s="8" t="s">
        <v>1812</v>
      </c>
      <c r="L1305" s="10">
        <f>COUNTIF(Drank!A:A,Table1[[#This Row],[ID]])</f>
        <v>0</v>
      </c>
      <c r="M1305" s="37" t="s">
        <v>202</v>
      </c>
      <c r="N1305" s="37" t="s">
        <v>207</v>
      </c>
      <c r="O1305" s="37">
        <v>1</v>
      </c>
      <c r="P1305" s="37">
        <v>2020</v>
      </c>
      <c r="Q1305" s="37">
        <v>2050</v>
      </c>
      <c r="R1305" s="10" t="str">
        <f>IF(IFERROR(VLOOKUP(A1305,Drank!A:S,15,FALSE),"")=0,"",IFERROR(VLOOKUP(A1305,Drank!A:S,15,FALSE),""))</f>
        <v/>
      </c>
      <c r="S1305" s="10" t="str">
        <f>IF(IFERROR(VLOOKUP(A1305,Drank!A:S,16,FALSE),"")=0,"",IFERROR(VLOOKUP(A1305,Drank!A:S,16,FALSE),""))</f>
        <v/>
      </c>
      <c r="T1305" s="10"/>
      <c r="U1305" s="37">
        <v>98</v>
      </c>
      <c r="V1305" s="18" t="str">
        <f>IF(IFERROR(VLOOKUP(A1305,Drank!A:T,19,FALSE),"")=0,"",IFERROR(VLOOKUP(A1305,Drank!A:T,19,FALSE),""))</f>
        <v/>
      </c>
      <c r="W1305" s="1" t="str">
        <f>IF(IFERROR(VLOOKUP(A1305,Drank!A:T,20,FALSE),"")=0,"",IFERROR(VLOOKUP(A1305,Drank!A:T,20,FALSE),""))</f>
        <v/>
      </c>
      <c r="X1305" s="10">
        <f>SUMIF(A:A,A1305,I:I)</f>
        <v>6</v>
      </c>
      <c r="Y1305" s="10">
        <f>IF(Table1[[#This Row],[Drank]]&gt;0,VLOOKUP(Table1[[#This Row],[ID]],Drank!A:P,16,FALSE),IF(Table1[[#This Row],[WALDD]]&gt;0,VLOOKUP(Table1[[#This Row],[ID]],Wine1!A:Q,17,FALSE),Table1[[#This Row],[EP]]))</f>
        <v>2050</v>
      </c>
      <c r="Z1305" s="18">
        <f>IF(Table1[[#This Row],[My Rating]]="",IF(Table1[[#This Row],[WA Rating Clean]]="","",Table1[[#This Row],[WA Rating Clean]]),Table1[[#This Row],[My Rating]])</f>
        <v>98</v>
      </c>
      <c r="AA1305" s="8">
        <v>2046</v>
      </c>
      <c r="AB1305" s="4">
        <v>136.04</v>
      </c>
      <c r="AC1305" s="2">
        <f t="shared" si="61"/>
        <v>136.04</v>
      </c>
      <c r="AD1305" s="8">
        <v>1</v>
      </c>
      <c r="AE1305" s="10">
        <f>IF(Table1[[#This Row],[P/750]]&lt;20,1,IF(Table1[[#This Row],[P/750]]&lt;50,2,3))</f>
        <v>3</v>
      </c>
      <c r="AF1305" s="10">
        <f>IF(Table1[[#This Row],[P/750]]&lt;Expenses!$C$30,1,IF(Table1[[#This Row],[P/750]]&lt;Expenses!$C$31,2,IF(Table1[[#This Row],[P/750]]&lt;Expenses!$C$32,3,4)))</f>
        <v>4</v>
      </c>
      <c r="AH1305" s="37" t="s">
        <v>1749</v>
      </c>
      <c r="AI1305" s="11">
        <f>Table1[[#This Row],[Price]]/Table1[[#This Row],[Size (ml)]]*750</f>
        <v>136.04</v>
      </c>
      <c r="AJ1305" s="37">
        <v>98</v>
      </c>
      <c r="AK1305" s="10">
        <f>COUNTIF(UniqueID!A:A,Table1[[#This Row],[ID]])</f>
        <v>0</v>
      </c>
      <c r="AL1305" s="10" t="str">
        <f>VLOOKUP(Table1[[#This Row],[Cellar Location]],Location!A:F,6,FALSE)</f>
        <v>S</v>
      </c>
      <c r="AN1305" s="1">
        <v>44063</v>
      </c>
      <c r="AO1305" s="10" t="str">
        <f>TEXT(Table1[[#This Row],[Purchased]],"mmmm")</f>
        <v>August</v>
      </c>
      <c r="AP1305" s="10" t="str">
        <f>TEXT(Table1[[#This Row],[Purchased]],"yyyy")</f>
        <v>2020</v>
      </c>
      <c r="AQ1305" s="10"/>
    </row>
    <row r="1306" spans="1:43" s="37" customFormat="1" x14ac:dyDescent="0.25">
      <c r="A1306" s="37" t="str">
        <f t="shared" si="60"/>
        <v>2016FontodiFlaccianello della Pieve</v>
      </c>
      <c r="B1306" s="37">
        <v>2016</v>
      </c>
      <c r="C1306" s="37" t="s">
        <v>20</v>
      </c>
      <c r="D1306" s="37" t="s">
        <v>21</v>
      </c>
      <c r="E1306" s="67" t="s">
        <v>1250</v>
      </c>
      <c r="F1306" s="37" t="s">
        <v>728</v>
      </c>
      <c r="G1306" s="37" t="s">
        <v>790</v>
      </c>
      <c r="H1306" s="37" t="s">
        <v>836</v>
      </c>
      <c r="I1306" s="37">
        <v>1</v>
      </c>
      <c r="J1306" s="107">
        <v>750</v>
      </c>
      <c r="K1306" s="8" t="s">
        <v>1813</v>
      </c>
      <c r="L1306" s="10">
        <f>COUNTIF(Drank!A:A,Table1[[#This Row],[ID]])</f>
        <v>0</v>
      </c>
      <c r="M1306" s="37" t="s">
        <v>202</v>
      </c>
      <c r="N1306" s="37" t="s">
        <v>207</v>
      </c>
      <c r="O1306" s="37">
        <v>1</v>
      </c>
      <c r="P1306" s="37">
        <v>2020</v>
      </c>
      <c r="Q1306" s="37">
        <v>2050</v>
      </c>
      <c r="R1306" s="10" t="str">
        <f>IF(IFERROR(VLOOKUP(A1306,Drank!A:S,15,FALSE),"")=0,"",IFERROR(VLOOKUP(A1306,Drank!A:S,15,FALSE),""))</f>
        <v/>
      </c>
      <c r="S1306" s="10" t="str">
        <f>IF(IFERROR(VLOOKUP(A1306,Drank!A:S,16,FALSE),"")=0,"",IFERROR(VLOOKUP(A1306,Drank!A:S,16,FALSE),""))</f>
        <v/>
      </c>
      <c r="T1306" s="10"/>
      <c r="U1306" s="37">
        <v>100</v>
      </c>
      <c r="V1306" s="18" t="str">
        <f>IF(IFERROR(VLOOKUP(A1306,Drank!A:T,19,FALSE),"")=0,"",IFERROR(VLOOKUP(A1306,Drank!A:T,19,FALSE),""))</f>
        <v/>
      </c>
      <c r="W1306" s="1" t="str">
        <f>IF(IFERROR(VLOOKUP(A1306,Drank!A:T,20,FALSE),"")=0,"",IFERROR(VLOOKUP(A1306,Drank!A:T,20,FALSE),""))</f>
        <v/>
      </c>
      <c r="X1306" s="10">
        <f>SUMIF(A:A,A1306,I:I)</f>
        <v>6</v>
      </c>
      <c r="Y1306" s="10">
        <f>IF(Table1[[#This Row],[Drank]]&gt;0,VLOOKUP(Table1[[#This Row],[ID]],Drank!A:P,16,FALSE),IF(Table1[[#This Row],[WALDD]]&gt;0,VLOOKUP(Table1[[#This Row],[ID]],Wine1!A:Q,17,FALSE),Table1[[#This Row],[EP]]))</f>
        <v>2050</v>
      </c>
      <c r="Z1306" s="18">
        <f>IF(Table1[[#This Row],[My Rating]]="",IF(Table1[[#This Row],[WA Rating Clean]]="","",Table1[[#This Row],[WA Rating Clean]]),Table1[[#This Row],[My Rating]])</f>
        <v>100</v>
      </c>
      <c r="AA1306" s="8">
        <v>2046</v>
      </c>
      <c r="AB1306" s="4">
        <v>183.98</v>
      </c>
      <c r="AC1306" s="2">
        <f t="shared" si="61"/>
        <v>183.98</v>
      </c>
      <c r="AD1306" s="8">
        <v>1</v>
      </c>
      <c r="AE1306" s="10">
        <f>IF(Table1[[#This Row],[P/750]]&lt;20,1,IF(Table1[[#This Row],[P/750]]&lt;50,2,3))</f>
        <v>3</v>
      </c>
      <c r="AF1306" s="10">
        <f>IF(Table1[[#This Row],[P/750]]&lt;Expenses!$C$30,1,IF(Table1[[#This Row],[P/750]]&lt;Expenses!$C$31,2,IF(Table1[[#This Row],[P/750]]&lt;Expenses!$C$32,3,4)))</f>
        <v>4</v>
      </c>
      <c r="AH1306" s="37" t="s">
        <v>1750</v>
      </c>
      <c r="AI1306" s="11">
        <f>Table1[[#This Row],[Price]]/Table1[[#This Row],[Size (ml)]]*750</f>
        <v>183.98</v>
      </c>
      <c r="AJ1306" s="37">
        <v>100</v>
      </c>
      <c r="AK1306" s="10">
        <f>COUNTIF(UniqueID!A:A,Table1[[#This Row],[ID]])</f>
        <v>0</v>
      </c>
      <c r="AL1306" s="10" t="str">
        <f>VLOOKUP(Table1[[#This Row],[Cellar Location]],Location!A:F,6,FALSE)</f>
        <v>S</v>
      </c>
      <c r="AN1306" s="1">
        <v>44063</v>
      </c>
      <c r="AO1306" s="10" t="str">
        <f>TEXT(Table1[[#This Row],[Purchased]],"mmmm")</f>
        <v>August</v>
      </c>
      <c r="AP1306" s="10" t="str">
        <f>TEXT(Table1[[#This Row],[Purchased]],"yyyy")</f>
        <v>2020</v>
      </c>
      <c r="AQ1306" s="10"/>
    </row>
    <row r="1307" spans="1:43" s="37" customFormat="1" x14ac:dyDescent="0.25">
      <c r="A1307" s="37" t="str">
        <f t="shared" si="60"/>
        <v>2009Chateau SuduirautChateau Suduiraut</v>
      </c>
      <c r="B1307" s="37">
        <v>2009</v>
      </c>
      <c r="C1307" s="37" t="s">
        <v>1742</v>
      </c>
      <c r="D1307" s="37" t="s">
        <v>1742</v>
      </c>
      <c r="E1307" s="67" t="s">
        <v>1743</v>
      </c>
      <c r="F1307" s="37" t="s">
        <v>742</v>
      </c>
      <c r="G1307" s="37" t="s">
        <v>748</v>
      </c>
      <c r="H1307" s="37" t="s">
        <v>260</v>
      </c>
      <c r="I1307" s="8">
        <v>1</v>
      </c>
      <c r="J1307" s="38">
        <v>375</v>
      </c>
      <c r="K1307" s="38" t="s">
        <v>385</v>
      </c>
      <c r="L1307" s="10">
        <f>COUNTIF(Drank!A:A,Table1[[#This Row],[ID]])</f>
        <v>0</v>
      </c>
      <c r="M1307" s="37" t="s">
        <v>201</v>
      </c>
      <c r="N1307" s="37" t="s">
        <v>206</v>
      </c>
      <c r="O1307" s="37">
        <v>1</v>
      </c>
      <c r="P1307" s="37">
        <v>2019</v>
      </c>
      <c r="Q1307" s="37">
        <v>2055</v>
      </c>
      <c r="R1307" s="10" t="str">
        <f>IF(IFERROR(VLOOKUP(A1307,Drank!A:S,15,FALSE),"")=0,"",IFERROR(VLOOKUP(A1307,Drank!A:S,15,FALSE),""))</f>
        <v/>
      </c>
      <c r="S1307" s="10" t="str">
        <f>IF(IFERROR(VLOOKUP(A1307,Drank!A:S,16,FALSE),"")=0,"",IFERROR(VLOOKUP(A1307,Drank!A:S,16,FALSE),""))</f>
        <v/>
      </c>
      <c r="T1307" s="10"/>
      <c r="U1307" s="37">
        <v>98</v>
      </c>
      <c r="V1307" s="18" t="str">
        <f>IF(IFERROR(VLOOKUP(A1307,Drank!A:T,19,FALSE),"")=0,"",IFERROR(VLOOKUP(A1307,Drank!A:T,19,FALSE),""))</f>
        <v/>
      </c>
      <c r="W1307" s="1" t="str">
        <f>IF(IFERROR(VLOOKUP(A1307,Drank!A:T,20,FALSE),"")=0,"",IFERROR(VLOOKUP(A1307,Drank!A:T,20,FALSE),""))</f>
        <v/>
      </c>
      <c r="X1307" s="10">
        <f>SUMIF(A:A,A1307,I:I)</f>
        <v>6</v>
      </c>
      <c r="Y1307" s="10">
        <f>IF(Table1[[#This Row],[Drank]]&gt;0,VLOOKUP(Table1[[#This Row],[ID]],Drank!A:P,16,FALSE),IF(Table1[[#This Row],[WALDD]]&gt;0,VLOOKUP(Table1[[#This Row],[ID]],Wine1!A:Q,17,FALSE),Table1[[#This Row],[EP]]))</f>
        <v>2055</v>
      </c>
      <c r="Z1307" s="18" t="str">
        <f>IF(Table1[[#This Row],[My Rating]]="",IF(Table1[[#This Row],[WA Rating Clean]]="","",Table1[[#This Row],[WA Rating Clean]]),Table1[[#This Row],[My Rating]])</f>
        <v/>
      </c>
      <c r="AA1307" s="8">
        <v>2046</v>
      </c>
      <c r="AB1307" s="4">
        <v>42.6</v>
      </c>
      <c r="AC1307" s="2">
        <f t="shared" si="61"/>
        <v>42.6</v>
      </c>
      <c r="AD1307" s="8">
        <v>1</v>
      </c>
      <c r="AE1307" s="10">
        <f>IF(Table1[[#This Row],[P/750]]&lt;20,1,IF(Table1[[#This Row],[P/750]]&lt;50,2,3))</f>
        <v>3</v>
      </c>
      <c r="AF1307" s="10">
        <f>IF(Table1[[#This Row],[P/750]]&lt;Expenses!$C$30,1,IF(Table1[[#This Row],[P/750]]&lt;Expenses!$C$31,2,IF(Table1[[#This Row],[P/750]]&lt;Expenses!$C$32,3,4)))</f>
        <v>4</v>
      </c>
      <c r="AH1307" s="37" t="s">
        <v>385</v>
      </c>
      <c r="AI1307" s="11">
        <f>Table1[[#This Row],[Price]]/Table1[[#This Row],[Size (ml)]]*750</f>
        <v>85.2</v>
      </c>
      <c r="AK1307" s="10">
        <f>COUNTIF(UniqueID!A:A,Table1[[#This Row],[ID]])</f>
        <v>0</v>
      </c>
      <c r="AL1307" s="10" t="str">
        <f>VLOOKUP(Table1[[#This Row],[Cellar Location]],Location!A:F,6,FALSE)</f>
        <v>W</v>
      </c>
      <c r="AN1307" s="1">
        <v>44062</v>
      </c>
      <c r="AO1307" s="10" t="str">
        <f>TEXT(Table1[[#This Row],[Purchased]],"mmmm")</f>
        <v>August</v>
      </c>
      <c r="AP1307" s="10" t="str">
        <f>TEXT(Table1[[#This Row],[Purchased]],"yyyy")</f>
        <v>2020</v>
      </c>
      <c r="AQ1307" s="1">
        <v>44114</v>
      </c>
    </row>
    <row r="1308" spans="1:43" s="37" customFormat="1" x14ac:dyDescent="0.25">
      <c r="A1308" s="37" t="str">
        <f t="shared" si="60"/>
        <v>2016Lafaurie-PeyragueyLafaurie-Peyraguey</v>
      </c>
      <c r="B1308" s="37">
        <v>2016</v>
      </c>
      <c r="C1308" s="37" t="s">
        <v>125</v>
      </c>
      <c r="D1308" s="37" t="s">
        <v>125</v>
      </c>
      <c r="E1308" s="67" t="s">
        <v>1205</v>
      </c>
      <c r="F1308" s="37" t="s">
        <v>742</v>
      </c>
      <c r="G1308" s="37" t="s">
        <v>748</v>
      </c>
      <c r="H1308" s="37" t="s">
        <v>260</v>
      </c>
      <c r="I1308" s="107">
        <v>1</v>
      </c>
      <c r="J1308" s="37">
        <v>375</v>
      </c>
      <c r="K1308" s="107" t="s">
        <v>629</v>
      </c>
      <c r="L1308" s="37">
        <f>COUNTIF(Drank!A:A,Table1[[#This Row],[ID]])</f>
        <v>0</v>
      </c>
      <c r="M1308" s="37" t="s">
        <v>201</v>
      </c>
      <c r="N1308" s="37" t="s">
        <v>206</v>
      </c>
      <c r="O1308" s="37">
        <v>1</v>
      </c>
      <c r="P1308" s="10">
        <v>2021</v>
      </c>
      <c r="Q1308" s="37">
        <v>2060</v>
      </c>
      <c r="R1308" s="10" t="str">
        <f>IF(IFERROR(VLOOKUP(A1308,Drank!A:S,15,FALSE),"")=0,"",IFERROR(VLOOKUP(A1308,Drank!A:S,15,FALSE),""))</f>
        <v/>
      </c>
      <c r="S1308" s="10" t="str">
        <f>IF(IFERROR(VLOOKUP(A1308,Drank!A:S,16,FALSE),"")=0,"",IFERROR(VLOOKUP(A1308,Drank!A:S,16,FALSE),""))</f>
        <v/>
      </c>
      <c r="T1308" s="10"/>
      <c r="U1308" s="37" t="s">
        <v>441</v>
      </c>
      <c r="V1308" s="18" t="str">
        <f>IF(IFERROR(VLOOKUP(A1308,Drank!A:T,19,FALSE),"")=0,"",IFERROR(VLOOKUP(A1308,Drank!A:T,19,FALSE),""))</f>
        <v/>
      </c>
      <c r="W1308" s="1" t="str">
        <f>IF(IFERROR(VLOOKUP(A1308,Drank!A:T,20,FALSE),"")=0,"",IFERROR(VLOOKUP(A1308,Drank!A:T,20,FALSE),""))</f>
        <v/>
      </c>
      <c r="X1308" s="10">
        <f>SUMIF(A:A,A1308,I:I)</f>
        <v>12</v>
      </c>
      <c r="Y1308" s="10">
        <f>IF(Table1[[#This Row],[Drank]]&gt;0,VLOOKUP(Table1[[#This Row],[ID]],Drank!A:P,16,FALSE),IF(Table1[[#This Row],[WALDD]]&gt;0,VLOOKUP(Table1[[#This Row],[ID]],Wine1!A:Q,17,FALSE),Table1[[#This Row],[EP]]))</f>
        <v>2060</v>
      </c>
      <c r="Z1308" s="18">
        <f>IF(Table1[[#This Row],[My Rating]]="",IF(Table1[[#This Row],[WA Rating Clean]]="","",Table1[[#This Row],[WA Rating Clean]]),Table1[[#This Row],[My Rating]])</f>
        <v>95</v>
      </c>
      <c r="AA1308" s="37">
        <v>2048</v>
      </c>
      <c r="AB1308" s="4">
        <v>16</v>
      </c>
      <c r="AC1308" s="2">
        <f t="shared" si="61"/>
        <v>16</v>
      </c>
      <c r="AD1308" s="8">
        <v>2</v>
      </c>
      <c r="AE1308" s="37">
        <f>IF(Table1[[#This Row],[P/750]]&lt;20,1,IF(Table1[[#This Row],[P/750]]&lt;50,2,3))</f>
        <v>2</v>
      </c>
      <c r="AF1308" s="37">
        <f>IF(Table1[[#This Row],[P/750]]&lt;Expenses!$C$30,1,IF(Table1[[#This Row],[P/750]]&lt;Expenses!$C$31,2,IF(Table1[[#This Row],[P/750]]&lt;Expenses!$C$32,3,4)))</f>
        <v>3</v>
      </c>
      <c r="AH1308" s="37" t="s">
        <v>385</v>
      </c>
      <c r="AI1308" s="11">
        <f>Table1[[#This Row],[Price]]/Table1[[#This Row],[Size (ml)]]*750</f>
        <v>32</v>
      </c>
      <c r="AJ1308" s="37">
        <v>95</v>
      </c>
      <c r="AK1308" s="37">
        <f>COUNTIF(UniqueID!A:A,Table1[[#This Row],[ID]])</f>
        <v>1</v>
      </c>
      <c r="AL1308" s="37" t="str">
        <f>VLOOKUP(Table1[[#This Row],[Cellar Location]],Location!A:F,6,FALSE)</f>
        <v>S</v>
      </c>
      <c r="AO1308" s="37" t="str">
        <f>TEXT(Table1[[#This Row],[Purchased]],"mmmm")</f>
        <v>January</v>
      </c>
      <c r="AP1308" s="10" t="str">
        <f>TEXT(Table1[[#This Row],[Purchased]],"yyyy")</f>
        <v>1900</v>
      </c>
      <c r="AQ1308" s="10"/>
    </row>
    <row r="1309" spans="1:43" s="37" customFormat="1" x14ac:dyDescent="0.25">
      <c r="A1309" s="37" t="str">
        <f t="shared" ref="A1309:A1320" si="62">CONCATENATE(B1309,C1309,D1309)</f>
        <v>2016Tenuta San GuidoSassicaia</v>
      </c>
      <c r="B1309" s="37">
        <v>2016</v>
      </c>
      <c r="C1309" s="37" t="s">
        <v>91</v>
      </c>
      <c r="D1309" s="37" t="s">
        <v>304</v>
      </c>
      <c r="E1309" s="67" t="s">
        <v>1251</v>
      </c>
      <c r="F1309" s="37" t="s">
        <v>728</v>
      </c>
      <c r="G1309" s="37" t="s">
        <v>790</v>
      </c>
      <c r="H1309" s="37" t="s">
        <v>791</v>
      </c>
      <c r="I1309" s="37">
        <v>1</v>
      </c>
      <c r="J1309" s="37">
        <v>750</v>
      </c>
      <c r="K1309" s="8" t="s">
        <v>11</v>
      </c>
      <c r="L1309" s="37">
        <f>COUNTIF(Drank!A:A,Table1[[#This Row],[ID]])</f>
        <v>0</v>
      </c>
      <c r="M1309" s="37" t="s">
        <v>202</v>
      </c>
      <c r="N1309" s="37" t="s">
        <v>207</v>
      </c>
      <c r="O1309" s="37">
        <v>1</v>
      </c>
      <c r="P1309" s="37">
        <v>2021</v>
      </c>
      <c r="Q1309" s="37">
        <v>2050</v>
      </c>
      <c r="R1309" s="10" t="str">
        <f>IF(IFERROR(VLOOKUP(A1309,Drank!A:S,15,FALSE),"")=0,"",IFERROR(VLOOKUP(A1309,Drank!A:S,15,FALSE),""))</f>
        <v/>
      </c>
      <c r="S1309" s="10" t="str">
        <f>IF(IFERROR(VLOOKUP(A1309,Drank!A:S,16,FALSE),"")=0,"",IFERROR(VLOOKUP(A1309,Drank!A:S,16,FALSE),""))</f>
        <v/>
      </c>
      <c r="T1309" s="10"/>
      <c r="U1309" s="37">
        <v>100</v>
      </c>
      <c r="V1309" s="18" t="str">
        <f>IF(IFERROR(VLOOKUP(A1309,Drank!A:T,19,FALSE),"")=0,"",IFERROR(VLOOKUP(A1309,Drank!A:T,19,FALSE),""))</f>
        <v/>
      </c>
      <c r="W1309" s="1" t="str">
        <f>IF(IFERROR(VLOOKUP(A1309,Drank!A:T,20,FALSE),"")=0,"",IFERROR(VLOOKUP(A1309,Drank!A:T,20,FALSE),""))</f>
        <v/>
      </c>
      <c r="X1309" s="10">
        <f>SUMIF(A:A,A1309,I:I)</f>
        <v>6</v>
      </c>
      <c r="Y1309" s="37">
        <f>IF(Table1[[#This Row],[Drank]]&gt;0,VLOOKUP(Table1[[#This Row],[ID]],Drank!A:P,16,FALSE),IF(Table1[[#This Row],[WALDD]]&gt;0,VLOOKUP(Table1[[#This Row],[ID]],Wine1!A:Q,17,FALSE),Table1[[#This Row],[EP]]))</f>
        <v>2050</v>
      </c>
      <c r="Z1309" s="18">
        <f>IF(Table1[[#This Row],[My Rating]]="",IF(Table1[[#This Row],[WA Rating Clean]]="","",Table1[[#This Row],[WA Rating Clean]]),Table1[[#This Row],[My Rating]])</f>
        <v>100</v>
      </c>
      <c r="AA1309" s="37">
        <v>2049</v>
      </c>
      <c r="AB1309" s="4">
        <v>225.32</v>
      </c>
      <c r="AC1309" s="2">
        <f t="shared" ref="AC1309:AC1317" si="63">AB1309*I1309</f>
        <v>225.32</v>
      </c>
      <c r="AD1309" s="8">
        <v>0</v>
      </c>
      <c r="AE1309" s="37">
        <f>IF(Table1[[#This Row],[P/750]]&lt;20,1,IF(Table1[[#This Row],[P/750]]&lt;50,2,3))</f>
        <v>3</v>
      </c>
      <c r="AF1309" s="37">
        <f>IF(Table1[[#This Row],[P/750]]&lt;Expenses!$C$30,1,IF(Table1[[#This Row],[P/750]]&lt;Expenses!$C$31,2,IF(Table1[[#This Row],[P/750]]&lt;Expenses!$C$32,3,4)))</f>
        <v>4</v>
      </c>
      <c r="AH1309" s="37" t="s">
        <v>1128</v>
      </c>
      <c r="AI1309" s="11">
        <f>Table1[[#This Row],[Price]]/Table1[[#This Row],[Size (ml)]]*750</f>
        <v>225.32</v>
      </c>
      <c r="AJ1309" s="37">
        <v>100</v>
      </c>
      <c r="AK1309" s="37">
        <f>COUNTIF(UniqueID!A:A,Table1[[#This Row],[ID]])</f>
        <v>1</v>
      </c>
      <c r="AL1309" s="37" t="str">
        <f>VLOOKUP(Table1[[#This Row],[Cellar Location]],Location!A:F,6,FALSE)</f>
        <v>K</v>
      </c>
      <c r="AO1309" s="37" t="str">
        <f>TEXT(Table1[[#This Row],[Purchased]],"mmmm")</f>
        <v>January</v>
      </c>
      <c r="AP1309" s="10" t="str">
        <f>TEXT(Table1[[#This Row],[Purchased]],"yyyy")</f>
        <v>1900</v>
      </c>
      <c r="AQ1309" s="10"/>
    </row>
    <row r="1310" spans="1:43" s="37" customFormat="1" x14ac:dyDescent="0.25">
      <c r="A1310" s="37" t="str">
        <f t="shared" si="62"/>
        <v>2011AlvearPedro Ximenez de Anada</v>
      </c>
      <c r="B1310" s="37">
        <v>2011</v>
      </c>
      <c r="C1310" s="37" t="s">
        <v>1654</v>
      </c>
      <c r="D1310" s="9" t="s">
        <v>1797</v>
      </c>
      <c r="E1310" s="67" t="s">
        <v>1469</v>
      </c>
      <c r="F1310" s="37" t="s">
        <v>729</v>
      </c>
      <c r="G1310" s="37" t="s">
        <v>809</v>
      </c>
      <c r="H1310" s="37" t="s">
        <v>810</v>
      </c>
      <c r="I1310" s="78">
        <v>1</v>
      </c>
      <c r="J1310" s="37">
        <v>375</v>
      </c>
      <c r="K1310" s="78" t="s">
        <v>1545</v>
      </c>
      <c r="L1310" s="10">
        <f>COUNTIF(Drank!A:A,Table1[[#This Row],[ID]])</f>
        <v>0</v>
      </c>
      <c r="M1310" s="37" t="s">
        <v>201</v>
      </c>
      <c r="N1310" s="37" t="s">
        <v>206</v>
      </c>
      <c r="O1310" s="37">
        <v>1</v>
      </c>
      <c r="P1310" s="10"/>
      <c r="R1310" s="10" t="str">
        <f>IF(IFERROR(VLOOKUP(A1310,Drank!A:S,15,FALSE),"")=0,"",IFERROR(VLOOKUP(A1310,Drank!A:S,15,FALSE),""))</f>
        <v/>
      </c>
      <c r="S1310" s="10" t="str">
        <f>IF(IFERROR(VLOOKUP(A1310,Drank!A:S,16,FALSE),"")=0,"",IFERROR(VLOOKUP(A1310,Drank!A:S,16,FALSE),""))</f>
        <v/>
      </c>
      <c r="T1310" s="10"/>
      <c r="U1310" s="37">
        <v>100</v>
      </c>
      <c r="V1310" s="18" t="str">
        <f>IF(IFERROR(VLOOKUP(A1310,Drank!A:T,19,FALSE),"")=0,"",IFERROR(VLOOKUP(A1310,Drank!A:T,19,FALSE),""))</f>
        <v/>
      </c>
      <c r="W1310" s="1" t="str">
        <f>IF(IFERROR(VLOOKUP(A1310,Drank!A:T,20,FALSE),"")=0,"",IFERROR(VLOOKUP(A1310,Drank!A:T,20,FALSE),""))</f>
        <v/>
      </c>
      <c r="X1310" s="10">
        <f>SUMIF(A:A,A1310,I:I)</f>
        <v>2</v>
      </c>
      <c r="Y1310" s="10">
        <f>IF(Table1[[#This Row],[Drank]]&gt;0,VLOOKUP(Table1[[#This Row],[ID]],Drank!A:P,16,FALSE),IF(Table1[[#This Row],[WALDD]]&gt;0,VLOOKUP(Table1[[#This Row],[ID]],Wine1!A:Q,17,FALSE),Table1[[#This Row],[EP]]))</f>
        <v>0</v>
      </c>
      <c r="Z1310" s="18">
        <f>IF(Table1[[#This Row],[My Rating]]="",IF(Table1[[#This Row],[WA Rating Clean]]="","",Table1[[#This Row],[WA Rating Clean]]),Table1[[#This Row],[My Rating]])</f>
        <v>100</v>
      </c>
      <c r="AA1310" s="37">
        <v>2050</v>
      </c>
      <c r="AB1310" s="128">
        <v>82.27</v>
      </c>
      <c r="AC1310" s="2">
        <f t="shared" si="63"/>
        <v>82.27</v>
      </c>
      <c r="AD1310" s="8"/>
      <c r="AE1310" s="10">
        <f>IF(Table1[[#This Row],[P/750]]&lt;20,1,IF(Table1[[#This Row],[P/750]]&lt;50,2,3))</f>
        <v>3</v>
      </c>
      <c r="AF1310" s="10">
        <f>IF(Table1[[#This Row],[P/750]]&lt;Expenses!$C$30,1,IF(Table1[[#This Row],[P/750]]&lt;Expenses!$C$31,2,IF(Table1[[#This Row],[P/750]]&lt;Expenses!$C$32,3,4)))</f>
        <v>4</v>
      </c>
      <c r="AH1310" s="25" t="s">
        <v>1545</v>
      </c>
      <c r="AI1310" s="11">
        <f>Table1[[#This Row],[Price]]/Table1[[#This Row],[Size (ml)]]*750</f>
        <v>164.54</v>
      </c>
      <c r="AJ1310" s="37">
        <v>100</v>
      </c>
      <c r="AK1310" s="10">
        <f>COUNTIF(UniqueID!A:A,Table1[[#This Row],[ID]])</f>
        <v>0</v>
      </c>
      <c r="AL1310" s="10" t="str">
        <f>VLOOKUP(Table1[[#This Row],[Cellar Location]],Location!A:F,6,FALSE)</f>
        <v>W</v>
      </c>
      <c r="AN1310" s="1">
        <v>44065</v>
      </c>
      <c r="AO1310" s="10" t="str">
        <f>TEXT(Table1[[#This Row],[Purchased]],"mmmm")</f>
        <v>August</v>
      </c>
      <c r="AP1310" s="10" t="str">
        <f>TEXT(Table1[[#This Row],[Purchased]],"yyyy")</f>
        <v>2020</v>
      </c>
      <c r="AQ1310" s="10"/>
    </row>
    <row r="1311" spans="1:43" s="37" customFormat="1" x14ac:dyDescent="0.25">
      <c r="A1311" s="37" t="str">
        <f t="shared" si="62"/>
        <v>2015FontodiFlaccianello della Pieve</v>
      </c>
      <c r="B1311" s="37">
        <v>2015</v>
      </c>
      <c r="C1311" s="37" t="s">
        <v>20</v>
      </c>
      <c r="D1311" s="37" t="s">
        <v>21</v>
      </c>
      <c r="E1311" s="67" t="s">
        <v>1250</v>
      </c>
      <c r="F1311" s="37" t="s">
        <v>728</v>
      </c>
      <c r="G1311" s="37" t="s">
        <v>790</v>
      </c>
      <c r="H1311" s="37" t="s">
        <v>836</v>
      </c>
      <c r="I1311" s="37">
        <v>1</v>
      </c>
      <c r="J1311" s="107">
        <v>750</v>
      </c>
      <c r="K1311" s="8" t="s">
        <v>1812</v>
      </c>
      <c r="L1311" s="10">
        <f>COUNTIF(Drank!A:A,Table1[[#This Row],[ID]])</f>
        <v>0</v>
      </c>
      <c r="M1311" s="37" t="s">
        <v>202</v>
      </c>
      <c r="N1311" s="37" t="s">
        <v>207</v>
      </c>
      <c r="O1311" s="37">
        <v>1</v>
      </c>
      <c r="P1311" s="37">
        <v>2020</v>
      </c>
      <c r="Q1311" s="37">
        <v>2050</v>
      </c>
      <c r="R1311" s="10" t="str">
        <f>IF(IFERROR(VLOOKUP(A1311,Drank!A:S,15,FALSE),"")=0,"",IFERROR(VLOOKUP(A1311,Drank!A:S,15,FALSE),""))</f>
        <v/>
      </c>
      <c r="S1311" s="10" t="str">
        <f>IF(IFERROR(VLOOKUP(A1311,Drank!A:S,16,FALSE),"")=0,"",IFERROR(VLOOKUP(A1311,Drank!A:S,16,FALSE),""))</f>
        <v/>
      </c>
      <c r="T1311" s="10"/>
      <c r="U1311" s="37">
        <v>98</v>
      </c>
      <c r="V1311" s="18" t="str">
        <f>IF(IFERROR(VLOOKUP(A1311,Drank!A:T,19,FALSE),"")=0,"",IFERROR(VLOOKUP(A1311,Drank!A:T,19,FALSE),""))</f>
        <v/>
      </c>
      <c r="W1311" s="1" t="str">
        <f>IF(IFERROR(VLOOKUP(A1311,Drank!A:T,20,FALSE),"")=0,"",IFERROR(VLOOKUP(A1311,Drank!A:T,20,FALSE),""))</f>
        <v/>
      </c>
      <c r="X1311" s="10">
        <f>SUMIF(A:A,A1311,I:I)</f>
        <v>6</v>
      </c>
      <c r="Y1311" s="10">
        <f>IF(Table1[[#This Row],[Drank]]&gt;0,VLOOKUP(Table1[[#This Row],[ID]],Drank!A:P,16,FALSE),IF(Table1[[#This Row],[WALDD]]&gt;0,VLOOKUP(Table1[[#This Row],[ID]],Wine1!A:Q,17,FALSE),Table1[[#This Row],[EP]]))</f>
        <v>2050</v>
      </c>
      <c r="Z1311" s="18">
        <f>IF(Table1[[#This Row],[My Rating]]="",IF(Table1[[#This Row],[WA Rating Clean]]="","",Table1[[#This Row],[WA Rating Clean]]),Table1[[#This Row],[My Rating]])</f>
        <v>98</v>
      </c>
      <c r="AA1311" s="8">
        <v>2050</v>
      </c>
      <c r="AB1311" s="4">
        <v>136.04</v>
      </c>
      <c r="AC1311" s="2">
        <f t="shared" si="63"/>
        <v>136.04</v>
      </c>
      <c r="AD1311" s="8">
        <v>1</v>
      </c>
      <c r="AE1311" s="10">
        <f>IF(Table1[[#This Row],[P/750]]&lt;20,1,IF(Table1[[#This Row],[P/750]]&lt;50,2,3))</f>
        <v>3</v>
      </c>
      <c r="AF1311" s="10">
        <f>IF(Table1[[#This Row],[P/750]]&lt;Expenses!$C$30,1,IF(Table1[[#This Row],[P/750]]&lt;Expenses!$C$31,2,IF(Table1[[#This Row],[P/750]]&lt;Expenses!$C$32,3,4)))</f>
        <v>4</v>
      </c>
      <c r="AH1311" s="37" t="s">
        <v>1749</v>
      </c>
      <c r="AI1311" s="11">
        <f>Table1[[#This Row],[Price]]/Table1[[#This Row],[Size (ml)]]*750</f>
        <v>136.04</v>
      </c>
      <c r="AJ1311" s="37">
        <v>98</v>
      </c>
      <c r="AK1311" s="10">
        <f>COUNTIF(UniqueID!A:A,Table1[[#This Row],[ID]])</f>
        <v>0</v>
      </c>
      <c r="AL1311" s="10" t="str">
        <f>VLOOKUP(Table1[[#This Row],[Cellar Location]],Location!A:F,6,FALSE)</f>
        <v>S</v>
      </c>
      <c r="AN1311" s="1">
        <v>44063</v>
      </c>
      <c r="AO1311" s="10" t="str">
        <f>TEXT(Table1[[#This Row],[Purchased]],"mmmm")</f>
        <v>August</v>
      </c>
      <c r="AP1311" s="10" t="str">
        <f>TEXT(Table1[[#This Row],[Purchased]],"yyyy")</f>
        <v>2020</v>
      </c>
      <c r="AQ1311" s="10"/>
    </row>
    <row r="1312" spans="1:43" s="37" customFormat="1" x14ac:dyDescent="0.25">
      <c r="A1312" s="37" t="str">
        <f t="shared" si="62"/>
        <v>2016FontodiFlaccianello della Pieve</v>
      </c>
      <c r="B1312" s="37">
        <v>2016</v>
      </c>
      <c r="C1312" s="37" t="s">
        <v>20</v>
      </c>
      <c r="D1312" s="37" t="s">
        <v>21</v>
      </c>
      <c r="E1312" s="67" t="s">
        <v>1250</v>
      </c>
      <c r="F1312" s="37" t="s">
        <v>728</v>
      </c>
      <c r="G1312" s="37" t="s">
        <v>790</v>
      </c>
      <c r="H1312" s="37" t="s">
        <v>836</v>
      </c>
      <c r="I1312" s="37">
        <v>1</v>
      </c>
      <c r="J1312" s="107">
        <v>750</v>
      </c>
      <c r="K1312" s="8" t="s">
        <v>1813</v>
      </c>
      <c r="L1312" s="10">
        <f>COUNTIF(Drank!A:A,Table1[[#This Row],[ID]])</f>
        <v>0</v>
      </c>
      <c r="M1312" s="37" t="s">
        <v>202</v>
      </c>
      <c r="N1312" s="37" t="s">
        <v>207</v>
      </c>
      <c r="O1312" s="37">
        <v>1</v>
      </c>
      <c r="P1312" s="37">
        <v>2020</v>
      </c>
      <c r="Q1312" s="37">
        <v>2050</v>
      </c>
      <c r="R1312" s="10" t="str">
        <f>IF(IFERROR(VLOOKUP(A1312,Drank!A:S,15,FALSE),"")=0,"",IFERROR(VLOOKUP(A1312,Drank!A:S,15,FALSE),""))</f>
        <v/>
      </c>
      <c r="S1312" s="10" t="str">
        <f>IF(IFERROR(VLOOKUP(A1312,Drank!A:S,16,FALSE),"")=0,"",IFERROR(VLOOKUP(A1312,Drank!A:S,16,FALSE),""))</f>
        <v/>
      </c>
      <c r="T1312" s="10"/>
      <c r="U1312" s="37">
        <v>100</v>
      </c>
      <c r="V1312" s="18" t="str">
        <f>IF(IFERROR(VLOOKUP(A1312,Drank!A:T,19,FALSE),"")=0,"",IFERROR(VLOOKUP(A1312,Drank!A:T,19,FALSE),""))</f>
        <v/>
      </c>
      <c r="W1312" s="1" t="str">
        <f>IF(IFERROR(VLOOKUP(A1312,Drank!A:T,20,FALSE),"")=0,"",IFERROR(VLOOKUP(A1312,Drank!A:T,20,FALSE),""))</f>
        <v/>
      </c>
      <c r="X1312" s="10">
        <f>SUMIF(A:A,A1312,I:I)</f>
        <v>6</v>
      </c>
      <c r="Y1312" s="10">
        <f>IF(Table1[[#This Row],[Drank]]&gt;0,VLOOKUP(Table1[[#This Row],[ID]],Drank!A:P,16,FALSE),IF(Table1[[#This Row],[WALDD]]&gt;0,VLOOKUP(Table1[[#This Row],[ID]],Wine1!A:Q,17,FALSE),Table1[[#This Row],[EP]]))</f>
        <v>2050</v>
      </c>
      <c r="Z1312" s="18">
        <f>IF(Table1[[#This Row],[My Rating]]="",IF(Table1[[#This Row],[WA Rating Clean]]="","",Table1[[#This Row],[WA Rating Clean]]),Table1[[#This Row],[My Rating]])</f>
        <v>100</v>
      </c>
      <c r="AA1312" s="8">
        <v>2050</v>
      </c>
      <c r="AB1312" s="4">
        <v>183.98</v>
      </c>
      <c r="AC1312" s="2">
        <f t="shared" si="63"/>
        <v>183.98</v>
      </c>
      <c r="AD1312" s="8">
        <v>1</v>
      </c>
      <c r="AE1312" s="10">
        <f>IF(Table1[[#This Row],[P/750]]&lt;20,1,IF(Table1[[#This Row],[P/750]]&lt;50,2,3))</f>
        <v>3</v>
      </c>
      <c r="AF1312" s="10">
        <f>IF(Table1[[#This Row],[P/750]]&lt;Expenses!$C$30,1,IF(Table1[[#This Row],[P/750]]&lt;Expenses!$C$31,2,IF(Table1[[#This Row],[P/750]]&lt;Expenses!$C$32,3,4)))</f>
        <v>4</v>
      </c>
      <c r="AH1312" s="37" t="s">
        <v>1750</v>
      </c>
      <c r="AI1312" s="11">
        <f>Table1[[#This Row],[Price]]/Table1[[#This Row],[Size (ml)]]*750</f>
        <v>183.98</v>
      </c>
      <c r="AJ1312" s="37">
        <v>100</v>
      </c>
      <c r="AK1312" s="10">
        <f>COUNTIF(UniqueID!A:A,Table1[[#This Row],[ID]])</f>
        <v>0</v>
      </c>
      <c r="AL1312" s="10" t="str">
        <f>VLOOKUP(Table1[[#This Row],[Cellar Location]],Location!A:F,6,FALSE)</f>
        <v>S</v>
      </c>
      <c r="AN1312" s="1">
        <v>44063</v>
      </c>
      <c r="AO1312" s="10" t="str">
        <f>TEXT(Table1[[#This Row],[Purchased]],"mmmm")</f>
        <v>August</v>
      </c>
      <c r="AP1312" s="10" t="str">
        <f>TEXT(Table1[[#This Row],[Purchased]],"yyyy")</f>
        <v>2020</v>
      </c>
      <c r="AQ1312" s="10"/>
    </row>
    <row r="1313" spans="1:43" s="37" customFormat="1" x14ac:dyDescent="0.25">
      <c r="A1313" s="37" t="str">
        <f t="shared" si="62"/>
        <v>NVTaylor Fladgate40 Year Old Tawny Port</v>
      </c>
      <c r="B1313" s="37" t="s">
        <v>167</v>
      </c>
      <c r="C1313" s="37" t="s">
        <v>243</v>
      </c>
      <c r="D1313" s="37" t="s">
        <v>1137</v>
      </c>
      <c r="E1313" s="64" t="s">
        <v>257</v>
      </c>
      <c r="F1313" s="37" t="s">
        <v>804</v>
      </c>
      <c r="G1313" s="37" t="s">
        <v>805</v>
      </c>
      <c r="H1313" s="37" t="s">
        <v>1138</v>
      </c>
      <c r="I1313" s="107">
        <v>1</v>
      </c>
      <c r="J1313" s="37">
        <v>750</v>
      </c>
      <c r="K1313" s="107" t="s">
        <v>1133</v>
      </c>
      <c r="L1313" s="10">
        <f>COUNTIF(Drank!A:A,Table1[[#This Row],[ID]])</f>
        <v>0</v>
      </c>
      <c r="M1313" s="37" t="s">
        <v>202</v>
      </c>
      <c r="N1313" s="37" t="s">
        <v>206</v>
      </c>
      <c r="O1313" s="37">
        <v>1</v>
      </c>
      <c r="P1313" s="10"/>
      <c r="Q1313" s="37">
        <v>2055</v>
      </c>
      <c r="R1313" s="10" t="str">
        <f>IF(IFERROR(VLOOKUP(A1313,Drank!A:S,15,FALSE),"")=0,"",IFERROR(VLOOKUP(A1313,Drank!A:S,15,FALSE),""))</f>
        <v/>
      </c>
      <c r="S1313" s="10" t="str">
        <f>IF(IFERROR(VLOOKUP(A1313,Drank!A:S,16,FALSE),"")=0,"",IFERROR(VLOOKUP(A1313,Drank!A:S,16,FALSE),""))</f>
        <v/>
      </c>
      <c r="T1313" s="10"/>
      <c r="U1313" s="37">
        <v>98</v>
      </c>
      <c r="V1313" s="18" t="str">
        <f>IF(IFERROR(VLOOKUP(A1313,Drank!A:T,19,FALSE),"")=0,"",IFERROR(VLOOKUP(A1313,Drank!A:T,19,FALSE),""))</f>
        <v/>
      </c>
      <c r="W1313" s="1" t="str">
        <f>IF(IFERROR(VLOOKUP(A1313,Drank!A:T,20,FALSE),"")=0,"",IFERROR(VLOOKUP(A1313,Drank!A:T,20,FALSE),""))</f>
        <v/>
      </c>
      <c r="X1313" s="10">
        <f>SUMIF(A:A,A1313,I:I)</f>
        <v>2</v>
      </c>
      <c r="Y1313" s="10">
        <f>IF(Table1[[#This Row],[Drank]]&gt;0,VLOOKUP(Table1[[#This Row],[ID]],Drank!A:P,16,FALSE),IF(Table1[[#This Row],[WALDD]]&gt;0,VLOOKUP(Table1[[#This Row],[ID]],Wine1!A:Q,17,FALSE),Table1[[#This Row],[EP]]))</f>
        <v>2055</v>
      </c>
      <c r="Z1313" s="18">
        <f>IF(Table1[[#This Row],[My Rating]]="",IF(Table1[[#This Row],[WA Rating Clean]]="","",Table1[[#This Row],[WA Rating Clean]]),Table1[[#This Row],[My Rating]])</f>
        <v>98</v>
      </c>
      <c r="AA1313" s="37">
        <v>2050</v>
      </c>
      <c r="AB1313" s="4">
        <v>197.99</v>
      </c>
      <c r="AC1313" s="2">
        <f t="shared" si="63"/>
        <v>197.99</v>
      </c>
      <c r="AD1313" s="8">
        <v>2</v>
      </c>
      <c r="AE1313" s="10">
        <f>IF(Table1[[#This Row],[P/750]]&lt;20,1,IF(Table1[[#This Row],[P/750]]&lt;50,2,3))</f>
        <v>3</v>
      </c>
      <c r="AF1313" s="10">
        <f>IF(Table1[[#This Row],[P/750]]&lt;Expenses!$C$30,1,IF(Table1[[#This Row],[P/750]]&lt;Expenses!$C$31,2,IF(Table1[[#This Row],[P/750]]&lt;Expenses!$C$32,3,4)))</f>
        <v>4</v>
      </c>
      <c r="AH1313" s="37" t="s">
        <v>1132</v>
      </c>
      <c r="AI1313" s="11">
        <f>Table1[[#This Row],[Price]]/Table1[[#This Row],[Size (ml)]]*750</f>
        <v>197.99000000000004</v>
      </c>
      <c r="AJ1313" s="37">
        <v>98</v>
      </c>
      <c r="AK1313" s="10">
        <f>COUNTIF(UniqueID!A:A,Table1[[#This Row],[ID]])</f>
        <v>1</v>
      </c>
      <c r="AL1313" s="10" t="str">
        <f>VLOOKUP(Table1[[#This Row],[Cellar Location]],Location!A:F,6,FALSE)</f>
        <v>S</v>
      </c>
      <c r="AN1313" s="1">
        <v>43833</v>
      </c>
      <c r="AO1313" s="37" t="str">
        <f>TEXT(Table1[[#This Row],[Purchased]],"mmmm")</f>
        <v>January</v>
      </c>
      <c r="AP1313" s="10" t="str">
        <f>TEXT(Table1[[#This Row],[Purchased]],"yyyy")</f>
        <v>2020</v>
      </c>
      <c r="AQ1313" s="10"/>
    </row>
    <row r="1314" spans="1:43" s="37" customFormat="1" x14ac:dyDescent="0.25">
      <c r="A1314" s="37" t="str">
        <f t="shared" si="62"/>
        <v>2017RieussecRieussec</v>
      </c>
      <c r="B1314" s="37">
        <v>2017</v>
      </c>
      <c r="C1314" s="37" t="s">
        <v>848</v>
      </c>
      <c r="D1314" s="37" t="s">
        <v>848</v>
      </c>
      <c r="E1314" s="64" t="s">
        <v>260</v>
      </c>
      <c r="F1314" s="37" t="s">
        <v>742</v>
      </c>
      <c r="G1314" s="37" t="s">
        <v>748</v>
      </c>
      <c r="H1314" s="37" t="s">
        <v>260</v>
      </c>
      <c r="I1314" s="37">
        <v>1</v>
      </c>
      <c r="J1314" s="38">
        <v>750</v>
      </c>
      <c r="K1314" s="38" t="s">
        <v>371</v>
      </c>
      <c r="L1314" s="10">
        <f>COUNTIF(Drank!A:A,Table1[[#This Row],[ID]])</f>
        <v>0</v>
      </c>
      <c r="M1314" s="37" t="s">
        <v>201</v>
      </c>
      <c r="N1314" s="37" t="s">
        <v>206</v>
      </c>
      <c r="O1314" s="37">
        <v>1</v>
      </c>
      <c r="P1314" s="10"/>
      <c r="R1314" s="10" t="str">
        <f>IF(IFERROR(VLOOKUP(A1314,Drank!A:S,15,FALSE),"")=0,"",IFERROR(VLOOKUP(A1314,Drank!A:S,15,FALSE),""))</f>
        <v/>
      </c>
      <c r="S1314" s="10" t="str">
        <f>IF(IFERROR(VLOOKUP(A1314,Drank!A:S,16,FALSE),"")=0,"",IFERROR(VLOOKUP(A1314,Drank!A:S,16,FALSE),""))</f>
        <v/>
      </c>
      <c r="T1314" s="10">
        <v>2060</v>
      </c>
      <c r="U1314" s="37" t="s">
        <v>851</v>
      </c>
      <c r="V1314" s="18" t="str">
        <f>IF(IFERROR(VLOOKUP(A1314,Drank!A:T,19,FALSE),"")=0,"",IFERROR(VLOOKUP(A1314,Drank!A:T,19,FALSE),""))</f>
        <v/>
      </c>
      <c r="W1314" s="1" t="str">
        <f>IF(IFERROR(VLOOKUP(A1314,Drank!A:T,20,FALSE),"")=0,"",IFERROR(VLOOKUP(A1314,Drank!A:T,20,FALSE),""))</f>
        <v/>
      </c>
      <c r="X1314" s="10">
        <f>SUMIF(A:A,A1314,I:I)</f>
        <v>3</v>
      </c>
      <c r="Y1314" s="10">
        <f>IF(Table1[[#This Row],[Drank]]&gt;0,VLOOKUP(Table1[[#This Row],[ID]],Drank!A:P,16,FALSE),IF(Table1[[#This Row],[WALDD]]&gt;0,VLOOKUP(Table1[[#This Row],[ID]],Wine1!A:Q,17,FALSE),Table1[[#This Row],[EP]]))</f>
        <v>2060</v>
      </c>
      <c r="Z1314" s="18">
        <f>IF(Table1[[#This Row],[My Rating]]="",IF(Table1[[#This Row],[WA Rating Clean]]="","",Table1[[#This Row],[WA Rating Clean]]),Table1[[#This Row],[My Rating]])</f>
        <v>97</v>
      </c>
      <c r="AA1314" s="37">
        <v>2050</v>
      </c>
      <c r="AB1314" s="4">
        <v>59.97</v>
      </c>
      <c r="AC1314" s="2">
        <f t="shared" si="63"/>
        <v>59.97</v>
      </c>
      <c r="AD1314" s="8">
        <v>1</v>
      </c>
      <c r="AE1314" s="10">
        <f>IF(Table1[[#This Row],[P/750]]&lt;20,1,IF(Table1[[#This Row],[P/750]]&lt;50,2,3))</f>
        <v>3</v>
      </c>
      <c r="AF1314" s="10">
        <f>IF(Table1[[#This Row],[P/750]]&lt;Expenses!$C$30,1,IF(Table1[[#This Row],[P/750]]&lt;Expenses!$C$31,2,IF(Table1[[#This Row],[P/750]]&lt;Expenses!$C$32,3,4)))</f>
        <v>3</v>
      </c>
      <c r="AH1314" s="37" t="s">
        <v>371</v>
      </c>
      <c r="AI1314" s="11">
        <f>Table1[[#This Row],[Price]]/Table1[[#This Row],[Size (ml)]]*750</f>
        <v>59.970000000000006</v>
      </c>
      <c r="AJ1314" s="37">
        <v>97</v>
      </c>
      <c r="AK1314" s="10">
        <f>COUNTIF(UniqueID!A:A,Table1[[#This Row],[ID]])</f>
        <v>1</v>
      </c>
      <c r="AL1314" s="37" t="str">
        <f>VLOOKUP(Table1[[#This Row],[Cellar Location]],Location!A:F,6,FALSE)</f>
        <v>W</v>
      </c>
      <c r="AO1314" s="37" t="str">
        <f>TEXT(Table1[[#This Row],[Purchased]],"mmmm")</f>
        <v>January</v>
      </c>
      <c r="AP1314" s="10" t="str">
        <f>TEXT(Table1[[#This Row],[Purchased]],"yyyy")</f>
        <v>1900</v>
      </c>
      <c r="AQ1314" s="1">
        <v>44135</v>
      </c>
    </row>
    <row r="1315" spans="1:43" s="37" customFormat="1" x14ac:dyDescent="0.25">
      <c r="A1315" s="37" t="str">
        <f t="shared" si="62"/>
        <v>2009Chateau SuduirautChateau Suduiraut</v>
      </c>
      <c r="B1315" s="37">
        <v>2009</v>
      </c>
      <c r="C1315" s="37" t="s">
        <v>1742</v>
      </c>
      <c r="D1315" s="37" t="s">
        <v>1742</v>
      </c>
      <c r="E1315" s="67" t="s">
        <v>1743</v>
      </c>
      <c r="F1315" s="37" t="s">
        <v>742</v>
      </c>
      <c r="G1315" s="37" t="s">
        <v>748</v>
      </c>
      <c r="H1315" s="37" t="s">
        <v>260</v>
      </c>
      <c r="I1315" s="8">
        <v>1</v>
      </c>
      <c r="J1315" s="132">
        <v>375</v>
      </c>
      <c r="K1315" s="38" t="s">
        <v>385</v>
      </c>
      <c r="L1315" s="10">
        <f>COUNTIF(Drank!A:A,Table1[[#This Row],[ID]])</f>
        <v>0</v>
      </c>
      <c r="M1315" s="37" t="s">
        <v>201</v>
      </c>
      <c r="N1315" s="37" t="s">
        <v>206</v>
      </c>
      <c r="O1315" s="37">
        <v>1</v>
      </c>
      <c r="P1315" s="37">
        <v>2019</v>
      </c>
      <c r="Q1315" s="37">
        <v>2055</v>
      </c>
      <c r="R1315" s="10" t="str">
        <f>IF(IFERROR(VLOOKUP(A1315,Drank!A:S,15,FALSE),"")=0,"",IFERROR(VLOOKUP(A1315,Drank!A:S,15,FALSE),""))</f>
        <v/>
      </c>
      <c r="S1315" s="10" t="str">
        <f>IF(IFERROR(VLOOKUP(A1315,Drank!A:S,16,FALSE),"")=0,"",IFERROR(VLOOKUP(A1315,Drank!A:S,16,FALSE),""))</f>
        <v/>
      </c>
      <c r="T1315" s="10"/>
      <c r="U1315" s="37">
        <v>98</v>
      </c>
      <c r="V1315" s="18" t="str">
        <f>IF(IFERROR(VLOOKUP(A1315,Drank!A:T,19,FALSE),"")=0,"",IFERROR(VLOOKUP(A1315,Drank!A:T,19,FALSE),""))</f>
        <v/>
      </c>
      <c r="W1315" s="1" t="str">
        <f>IF(IFERROR(VLOOKUP(A1315,Drank!A:T,20,FALSE),"")=0,"",IFERROR(VLOOKUP(A1315,Drank!A:T,20,FALSE),""))</f>
        <v/>
      </c>
      <c r="X1315" s="10">
        <f>SUMIF(A:A,A1315,I:I)</f>
        <v>6</v>
      </c>
      <c r="Y1315" s="10">
        <f>IF(Table1[[#This Row],[Drank]]&gt;0,VLOOKUP(Table1[[#This Row],[ID]],Drank!A:P,16,FALSE),IF(Table1[[#This Row],[WALDD]]&gt;0,VLOOKUP(Table1[[#This Row],[ID]],Wine1!A:Q,17,FALSE),Table1[[#This Row],[EP]]))</f>
        <v>2055</v>
      </c>
      <c r="Z1315" s="18" t="str">
        <f>IF(Table1[[#This Row],[My Rating]]="",IF(Table1[[#This Row],[WA Rating Clean]]="","",Table1[[#This Row],[WA Rating Clean]]),Table1[[#This Row],[My Rating]])</f>
        <v/>
      </c>
      <c r="AA1315" s="8">
        <v>2051</v>
      </c>
      <c r="AB1315" s="4">
        <v>42.6</v>
      </c>
      <c r="AC1315" s="2">
        <f t="shared" si="63"/>
        <v>42.6</v>
      </c>
      <c r="AD1315" s="8">
        <v>1</v>
      </c>
      <c r="AE1315" s="10">
        <f>IF(Table1[[#This Row],[P/750]]&lt;20,1,IF(Table1[[#This Row],[P/750]]&lt;50,2,3))</f>
        <v>3</v>
      </c>
      <c r="AF1315" s="10">
        <f>IF(Table1[[#This Row],[P/750]]&lt;Expenses!$C$30,1,IF(Table1[[#This Row],[P/750]]&lt;Expenses!$C$31,2,IF(Table1[[#This Row],[P/750]]&lt;Expenses!$C$32,3,4)))</f>
        <v>4</v>
      </c>
      <c r="AH1315" s="37" t="s">
        <v>385</v>
      </c>
      <c r="AI1315" s="11">
        <f>Table1[[#This Row],[Price]]/Table1[[#This Row],[Size (ml)]]*750</f>
        <v>85.2</v>
      </c>
      <c r="AK1315" s="10">
        <f>COUNTIF(UniqueID!A:A,Table1[[#This Row],[ID]])</f>
        <v>0</v>
      </c>
      <c r="AL1315" s="10" t="str">
        <f>VLOOKUP(Table1[[#This Row],[Cellar Location]],Location!A:F,6,FALSE)</f>
        <v>W</v>
      </c>
      <c r="AN1315" s="1">
        <v>44062</v>
      </c>
      <c r="AO1315" s="10" t="str">
        <f>TEXT(Table1[[#This Row],[Purchased]],"mmmm")</f>
        <v>August</v>
      </c>
      <c r="AP1315" s="10" t="str">
        <f>TEXT(Table1[[#This Row],[Purchased]],"yyyy")</f>
        <v>2020</v>
      </c>
      <c r="AQ1315" s="1">
        <v>44114</v>
      </c>
    </row>
    <row r="1316" spans="1:43" s="37" customFormat="1" x14ac:dyDescent="0.25">
      <c r="A1316" s="37" t="str">
        <f t="shared" si="62"/>
        <v>2016Lafaurie-PeyragueyLafaurie-Peyraguey</v>
      </c>
      <c r="B1316" s="37">
        <v>2016</v>
      </c>
      <c r="C1316" s="37" t="s">
        <v>125</v>
      </c>
      <c r="D1316" s="37" t="s">
        <v>125</v>
      </c>
      <c r="E1316" s="67" t="s">
        <v>1205</v>
      </c>
      <c r="F1316" s="37" t="s">
        <v>742</v>
      </c>
      <c r="G1316" s="37" t="s">
        <v>748</v>
      </c>
      <c r="H1316" s="37" t="s">
        <v>260</v>
      </c>
      <c r="I1316" s="107">
        <v>1</v>
      </c>
      <c r="J1316" s="9">
        <v>375</v>
      </c>
      <c r="K1316" s="107" t="s">
        <v>629</v>
      </c>
      <c r="L1316" s="37">
        <f>COUNTIF(Drank!A:A,Table1[[#This Row],[ID]])</f>
        <v>0</v>
      </c>
      <c r="M1316" s="37" t="s">
        <v>201</v>
      </c>
      <c r="N1316" s="37" t="s">
        <v>206</v>
      </c>
      <c r="O1316" s="37">
        <v>1</v>
      </c>
      <c r="P1316" s="10">
        <v>2021</v>
      </c>
      <c r="Q1316" s="37">
        <v>2060</v>
      </c>
      <c r="R1316" s="10" t="str">
        <f>IF(IFERROR(VLOOKUP(A1316,Drank!A:S,15,FALSE),"")=0,"",IFERROR(VLOOKUP(A1316,Drank!A:S,15,FALSE),""))</f>
        <v/>
      </c>
      <c r="S1316" s="10" t="str">
        <f>IF(IFERROR(VLOOKUP(A1316,Drank!A:S,16,FALSE),"")=0,"",IFERROR(VLOOKUP(A1316,Drank!A:S,16,FALSE),""))</f>
        <v/>
      </c>
      <c r="T1316" s="10"/>
      <c r="U1316" s="37" t="s">
        <v>441</v>
      </c>
      <c r="V1316" s="18" t="str">
        <f>IF(IFERROR(VLOOKUP(A1316,Drank!A:T,19,FALSE),"")=0,"",IFERROR(VLOOKUP(A1316,Drank!A:T,19,FALSE),""))</f>
        <v/>
      </c>
      <c r="W1316" s="1" t="str">
        <f>IF(IFERROR(VLOOKUP(A1316,Drank!A:T,20,FALSE),"")=0,"",IFERROR(VLOOKUP(A1316,Drank!A:T,20,FALSE),""))</f>
        <v/>
      </c>
      <c r="X1316" s="10">
        <f>SUMIF(A:A,A1316,I:I)</f>
        <v>12</v>
      </c>
      <c r="Y1316" s="10">
        <f>IF(Table1[[#This Row],[Drank]]&gt;0,VLOOKUP(Table1[[#This Row],[ID]],Drank!A:P,16,FALSE),IF(Table1[[#This Row],[WALDD]]&gt;0,VLOOKUP(Table1[[#This Row],[ID]],Wine1!A:Q,17,FALSE),Table1[[#This Row],[EP]]))</f>
        <v>2060</v>
      </c>
      <c r="Z1316" s="18">
        <f>IF(Table1[[#This Row],[My Rating]]="",IF(Table1[[#This Row],[WA Rating Clean]]="","",Table1[[#This Row],[WA Rating Clean]]),Table1[[#This Row],[My Rating]])</f>
        <v>95</v>
      </c>
      <c r="AA1316" s="37">
        <v>2051</v>
      </c>
      <c r="AB1316" s="4">
        <v>16</v>
      </c>
      <c r="AC1316" s="2">
        <f t="shared" si="63"/>
        <v>16</v>
      </c>
      <c r="AD1316" s="8">
        <v>2</v>
      </c>
      <c r="AE1316" s="37">
        <f>IF(Table1[[#This Row],[P/750]]&lt;20,1,IF(Table1[[#This Row],[P/750]]&lt;50,2,3))</f>
        <v>2</v>
      </c>
      <c r="AF1316" s="37">
        <f>IF(Table1[[#This Row],[P/750]]&lt;Expenses!$C$30,1,IF(Table1[[#This Row],[P/750]]&lt;Expenses!$C$31,2,IF(Table1[[#This Row],[P/750]]&lt;Expenses!$C$32,3,4)))</f>
        <v>3</v>
      </c>
      <c r="AH1316" s="37" t="s">
        <v>385</v>
      </c>
      <c r="AI1316" s="11">
        <f>Table1[[#This Row],[Price]]/Table1[[#This Row],[Size (ml)]]*750</f>
        <v>32</v>
      </c>
      <c r="AJ1316" s="37">
        <v>95</v>
      </c>
      <c r="AK1316" s="37">
        <f>COUNTIF(UniqueID!A:A,Table1[[#This Row],[ID]])</f>
        <v>1</v>
      </c>
      <c r="AL1316" s="37" t="str">
        <f>VLOOKUP(Table1[[#This Row],[Cellar Location]],Location!A:F,6,FALSE)</f>
        <v>S</v>
      </c>
      <c r="AO1316" s="37" t="str">
        <f>TEXT(Table1[[#This Row],[Purchased]],"mmmm")</f>
        <v>January</v>
      </c>
      <c r="AP1316" s="10" t="str">
        <f>TEXT(Table1[[#This Row],[Purchased]],"yyyy")</f>
        <v>1900</v>
      </c>
      <c r="AQ1316" s="10"/>
    </row>
    <row r="1317" spans="1:43" s="37" customFormat="1" x14ac:dyDescent="0.25">
      <c r="A1317" s="37" t="str">
        <f t="shared" si="62"/>
        <v>2016Lafaurie-PeyragueyLafaurie-Peyraguey</v>
      </c>
      <c r="B1317" s="37">
        <v>2016</v>
      </c>
      <c r="C1317" s="37" t="s">
        <v>125</v>
      </c>
      <c r="D1317" s="37" t="s">
        <v>125</v>
      </c>
      <c r="E1317" s="67" t="s">
        <v>1205</v>
      </c>
      <c r="F1317" s="37" t="s">
        <v>742</v>
      </c>
      <c r="G1317" s="37" t="s">
        <v>748</v>
      </c>
      <c r="H1317" s="37" t="s">
        <v>260</v>
      </c>
      <c r="I1317" s="107">
        <v>1</v>
      </c>
      <c r="J1317" s="9">
        <v>375</v>
      </c>
      <c r="K1317" s="107" t="s">
        <v>629</v>
      </c>
      <c r="L1317" s="37">
        <f>COUNTIF(Drank!A:A,Table1[[#This Row],[ID]])</f>
        <v>0</v>
      </c>
      <c r="M1317" s="37" t="s">
        <v>201</v>
      </c>
      <c r="N1317" s="37" t="s">
        <v>206</v>
      </c>
      <c r="O1317" s="37">
        <v>1</v>
      </c>
      <c r="P1317" s="10">
        <v>2021</v>
      </c>
      <c r="Q1317" s="37">
        <v>2060</v>
      </c>
      <c r="R1317" s="10" t="str">
        <f>IF(IFERROR(VLOOKUP(A1317,Drank!A:S,15,FALSE),"")=0,"",IFERROR(VLOOKUP(A1317,Drank!A:S,15,FALSE),""))</f>
        <v/>
      </c>
      <c r="S1317" s="10" t="str">
        <f>IF(IFERROR(VLOOKUP(A1317,Drank!A:S,16,FALSE),"")=0,"",IFERROR(VLOOKUP(A1317,Drank!A:S,16,FALSE),""))</f>
        <v/>
      </c>
      <c r="T1317" s="10"/>
      <c r="U1317" s="37" t="s">
        <v>441</v>
      </c>
      <c r="V1317" s="18" t="str">
        <f>IF(IFERROR(VLOOKUP(A1317,Drank!A:T,19,FALSE),"")=0,"",IFERROR(VLOOKUP(A1317,Drank!A:T,19,FALSE),""))</f>
        <v/>
      </c>
      <c r="W1317" s="1" t="str">
        <f>IF(IFERROR(VLOOKUP(A1317,Drank!A:T,20,FALSE),"")=0,"",IFERROR(VLOOKUP(A1317,Drank!A:T,20,FALSE),""))</f>
        <v/>
      </c>
      <c r="X1317" s="10">
        <f>SUMIF(A:A,A1317,I:I)</f>
        <v>12</v>
      </c>
      <c r="Y1317" s="10">
        <f>IF(Table1[[#This Row],[Drank]]&gt;0,VLOOKUP(Table1[[#This Row],[ID]],Drank!A:P,16,FALSE),IF(Table1[[#This Row],[WALDD]]&gt;0,VLOOKUP(Table1[[#This Row],[ID]],Wine1!A:Q,17,FALSE),Table1[[#This Row],[EP]]))</f>
        <v>2060</v>
      </c>
      <c r="Z1317" s="18">
        <f>IF(Table1[[#This Row],[My Rating]]="",IF(Table1[[#This Row],[WA Rating Clean]]="","",Table1[[#This Row],[WA Rating Clean]]),Table1[[#This Row],[My Rating]])</f>
        <v>95</v>
      </c>
      <c r="AA1317" s="37">
        <v>2054</v>
      </c>
      <c r="AB1317" s="4">
        <v>16</v>
      </c>
      <c r="AC1317" s="2">
        <f t="shared" si="63"/>
        <v>16</v>
      </c>
      <c r="AD1317" s="8">
        <v>2</v>
      </c>
      <c r="AE1317" s="37">
        <f>IF(Table1[[#This Row],[P/750]]&lt;20,1,IF(Table1[[#This Row],[P/750]]&lt;50,2,3))</f>
        <v>2</v>
      </c>
      <c r="AF1317" s="37">
        <f>IF(Table1[[#This Row],[P/750]]&lt;Expenses!$C$30,1,IF(Table1[[#This Row],[P/750]]&lt;Expenses!$C$31,2,IF(Table1[[#This Row],[P/750]]&lt;Expenses!$C$32,3,4)))</f>
        <v>3</v>
      </c>
      <c r="AH1317" s="37" t="s">
        <v>385</v>
      </c>
      <c r="AI1317" s="11">
        <f>Table1[[#This Row],[Price]]/Table1[[#This Row],[Size (ml)]]*750</f>
        <v>32</v>
      </c>
      <c r="AJ1317" s="37">
        <v>95</v>
      </c>
      <c r="AK1317" s="37">
        <f>COUNTIF(UniqueID!A:A,Table1[[#This Row],[ID]])</f>
        <v>1</v>
      </c>
      <c r="AL1317" s="37" t="str">
        <f>VLOOKUP(Table1[[#This Row],[Cellar Location]],Location!A:F,6,FALSE)</f>
        <v>S</v>
      </c>
      <c r="AO1317" s="37" t="str">
        <f>TEXT(Table1[[#This Row],[Purchased]],"mmmm")</f>
        <v>January</v>
      </c>
      <c r="AP1317" s="10" t="str">
        <f>TEXT(Table1[[#This Row],[Purchased]],"yyyy")</f>
        <v>1900</v>
      </c>
      <c r="AQ1317" s="10"/>
    </row>
    <row r="1318" spans="1:43" x14ac:dyDescent="0.25">
      <c r="A1318" t="str">
        <f t="shared" si="62"/>
        <v/>
      </c>
      <c r="C1318" s="37"/>
      <c r="D1318" s="37"/>
      <c r="I1318">
        <f>SUBTOTAL(109,Table1[Qty])</f>
        <v>1316</v>
      </c>
      <c r="J1318">
        <f>SUM(Table1[Size (ml)])/750</f>
        <v>1285.8333333333333</v>
      </c>
      <c r="U1318" t="str">
        <f>IF(IFERROR(VLOOKUP(A1318,Drank!A:S,11,FALSE),"")=0,"",IFERROR(VLOOKUP(A1318,Drank!A:S,11,FALSE),""))</f>
        <v/>
      </c>
      <c r="V1318" t="str">
        <f>IF(IFERROR(VLOOKUP(A1318,Drank!A:S,12,FALSE),"")=0,"",IFERROR(VLOOKUP(A1318,Drank!A:S,12,FALSE),""))</f>
        <v/>
      </c>
      <c r="Z1318">
        <f>SUBTOTAL(101,Table1[Column2])</f>
        <v>92.911849379247897</v>
      </c>
      <c r="AB1318" s="11">
        <f>AC1318/I1318</f>
        <v>39.576596843736482</v>
      </c>
      <c r="AC1318" s="2">
        <f>SUBTOTAL(109,Table1[Total Price])</f>
        <v>52082.801446357211</v>
      </c>
      <c r="AI1318">
        <f>SUBTOTAL(101,Table1[P/750])</f>
        <v>40.537881328028327</v>
      </c>
    </row>
    <row r="1319" spans="1:43" x14ac:dyDescent="0.25">
      <c r="A1319" t="str">
        <f t="shared" si="62"/>
        <v/>
      </c>
      <c r="I1319" s="112"/>
    </row>
    <row r="1320" spans="1:43" x14ac:dyDescent="0.25">
      <c r="A1320" t="str">
        <f t="shared" si="62"/>
        <v/>
      </c>
    </row>
    <row r="1323" spans="1:43" x14ac:dyDescent="0.25">
      <c r="L1323" s="37"/>
    </row>
  </sheetData>
  <sortState xmlns:xlrd2="http://schemas.microsoft.com/office/spreadsheetml/2017/richdata2" ref="A2:AD416">
    <sortCondition ref="AA2:AA416"/>
    <sortCondition ref="Q2:Q416"/>
    <sortCondition ref="V2:V416"/>
    <sortCondition ref="S2:S416"/>
    <sortCondition ref="B2:B416"/>
  </sortState>
  <phoneticPr fontId="19" type="noConversion"/>
  <pageMargins left="0.7" right="0.7" top="0.75" bottom="0.75" header="0.3" footer="0.3"/>
  <pageSetup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6F5E03-D930-4A15-8D60-1E0FAEF1B1B1}">
          <x14:formula1>
            <xm:f>Key!$A$1:$A$113</xm:f>
          </x14:formula1>
          <xm:sqref>L1323 K1046:K1272 K1274:K1317 K2:K1044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508"/>
  <sheetViews>
    <sheetView zoomScale="85" zoomScaleNormal="85" workbookViewId="0">
      <pane xSplit="4" ySplit="1" topLeftCell="I2" activePane="bottomRight" state="frozen"/>
      <selection pane="topRight" activeCell="E1" sqref="E1"/>
      <selection pane="bottomLeft" activeCell="A2" sqref="A2"/>
      <selection pane="bottomRight" activeCell="Y3" sqref="Y3"/>
    </sheetView>
  </sheetViews>
  <sheetFormatPr defaultRowHeight="15" x14ac:dyDescent="0.25"/>
  <cols>
    <col min="1" max="1" width="16.7109375" customWidth="1"/>
    <col min="3" max="3" width="22.5703125" bestFit="1" customWidth="1"/>
    <col min="4" max="4" width="51" bestFit="1" customWidth="1"/>
    <col min="5" max="5" width="27.140625" bestFit="1" customWidth="1"/>
    <col min="6" max="8" width="22" style="37" customWidth="1"/>
    <col min="11" max="11" width="18.85546875" bestFit="1" customWidth="1"/>
    <col min="13" max="13" width="10.5703125" bestFit="1" customWidth="1"/>
    <col min="15" max="15" width="10.5703125" bestFit="1" customWidth="1"/>
    <col min="18" max="18" width="13.7109375" style="7" bestFit="1" customWidth="1"/>
    <col min="19" max="19" width="10.85546875" bestFit="1" customWidth="1"/>
    <col min="20" max="20" width="13.7109375" bestFit="1" customWidth="1"/>
    <col min="21" max="22" width="13.7109375" customWidth="1"/>
    <col min="25" max="25" width="12.28515625" bestFit="1" customWidth="1"/>
    <col min="27" max="27" width="9.140625" style="37"/>
    <col min="31" max="31" width="10.85546875" style="1" bestFit="1" customWidth="1"/>
    <col min="35" max="35" width="19.5703125" bestFit="1" customWidth="1"/>
    <col min="36" max="36" width="66" bestFit="1" customWidth="1"/>
  </cols>
  <sheetData>
    <row r="1" spans="1:36" x14ac:dyDescent="0.25">
      <c r="A1" t="s">
        <v>176</v>
      </c>
      <c r="B1" t="s">
        <v>0</v>
      </c>
      <c r="C1" t="s">
        <v>1</v>
      </c>
      <c r="D1" t="s">
        <v>2</v>
      </c>
      <c r="F1" s="37" t="s">
        <v>724</v>
      </c>
      <c r="G1" s="37" t="s">
        <v>725</v>
      </c>
      <c r="H1" s="37" t="s">
        <v>726</v>
      </c>
      <c r="I1" t="s">
        <v>3</v>
      </c>
      <c r="J1" t="s">
        <v>4</v>
      </c>
      <c r="K1" t="s">
        <v>5</v>
      </c>
      <c r="L1" t="s">
        <v>200</v>
      </c>
      <c r="M1" t="s">
        <v>172</v>
      </c>
      <c r="N1" t="s">
        <v>173</v>
      </c>
      <c r="O1" t="s">
        <v>204</v>
      </c>
      <c r="P1" t="s">
        <v>174</v>
      </c>
      <c r="Q1" t="s">
        <v>170</v>
      </c>
      <c r="R1" t="s">
        <v>171</v>
      </c>
      <c r="T1" t="s">
        <v>177</v>
      </c>
      <c r="W1" t="s">
        <v>291</v>
      </c>
      <c r="X1" t="s">
        <v>297</v>
      </c>
      <c r="Y1" t="s">
        <v>596</v>
      </c>
      <c r="Z1" t="s">
        <v>1540</v>
      </c>
      <c r="AA1" s="37" t="s">
        <v>597</v>
      </c>
      <c r="AF1" s="13" t="str">
        <f t="shared" ref="AF1:AF59" si="0">TEXT(AE1,"mmmm")</f>
        <v>January</v>
      </c>
      <c r="AG1" s="37" t="str">
        <f t="shared" ref="AG1:AG59" si="1">TEXT(AE1,"yyyy")</f>
        <v>1900</v>
      </c>
      <c r="AH1" t="s">
        <v>1389</v>
      </c>
      <c r="AI1" t="s">
        <v>1506</v>
      </c>
      <c r="AJ1" t="s">
        <v>1507</v>
      </c>
    </row>
    <row r="2" spans="1:36" s="37" customFormat="1" ht="18.75" x14ac:dyDescent="0.3">
      <c r="A2" s="67" t="str">
        <f t="shared" ref="A2:A11" si="2">CONCATENATE(B2,C2,D2)</f>
        <v>2010Cosimo TaurinoSalice Salentino Riserva</v>
      </c>
      <c r="B2" s="37">
        <v>2010</v>
      </c>
      <c r="C2" s="37" t="s">
        <v>56</v>
      </c>
      <c r="D2" s="37" t="s">
        <v>57</v>
      </c>
      <c r="E2" s="37" t="s">
        <v>1204</v>
      </c>
      <c r="F2" s="37" t="s">
        <v>728</v>
      </c>
      <c r="G2" s="37" t="s">
        <v>785</v>
      </c>
      <c r="H2" s="37" t="s">
        <v>769</v>
      </c>
      <c r="I2" s="37">
        <v>1</v>
      </c>
      <c r="J2" s="37">
        <v>750</v>
      </c>
      <c r="K2" s="37" t="s">
        <v>1828</v>
      </c>
      <c r="L2" s="37">
        <f>SUMIF(Wine1!A:A,Drank!A2,Wine1!I:I)</f>
        <v>19</v>
      </c>
      <c r="O2" s="37">
        <v>2020</v>
      </c>
      <c r="P2" s="37">
        <v>2021</v>
      </c>
      <c r="R2" s="37">
        <v>88</v>
      </c>
      <c r="S2" s="7">
        <f>AVERAGEIF(A:A,A2,R:R)</f>
        <v>89.46875</v>
      </c>
      <c r="T2" s="1">
        <v>44092</v>
      </c>
      <c r="U2" s="13" t="str">
        <f t="shared" ref="U2" si="3">TEXT(T2,"mmmm")</f>
        <v>September</v>
      </c>
      <c r="V2" s="12">
        <f t="shared" ref="V2" si="4">T2</f>
        <v>44092</v>
      </c>
      <c r="W2" s="37">
        <v>14.65</v>
      </c>
      <c r="X2" s="37">
        <v>0</v>
      </c>
      <c r="Y2" s="11">
        <f t="shared" ref="Y2" si="5">W2/J2*750</f>
        <v>14.65</v>
      </c>
      <c r="Z2" s="109"/>
      <c r="AA2" s="37">
        <f>IF(Y2&gt;=Expenses!$C$32,4,IF(Y2&gt;=Expenses!$C$31,3,IF(Y2&gt;=Expenses!$C$30,2,1)))</f>
        <v>1</v>
      </c>
      <c r="AB2" s="37">
        <f t="shared" ref="AB2" si="6">J2/750</f>
        <v>1</v>
      </c>
      <c r="AC2" s="37" t="str">
        <f t="shared" ref="AC2" si="7">TEXT(T2,"yyyy")</f>
        <v>2020</v>
      </c>
      <c r="AD2" s="37" t="s">
        <v>1128</v>
      </c>
      <c r="AE2" s="1">
        <v>44070</v>
      </c>
      <c r="AF2" s="13" t="str">
        <f t="shared" ref="AF2" si="8">TEXT(AE2,"mmmm")</f>
        <v>August</v>
      </c>
      <c r="AG2" s="37" t="str">
        <f t="shared" ref="AG2" si="9">TEXT(AE2,"yyyy")</f>
        <v>2020</v>
      </c>
    </row>
    <row r="3" spans="1:36" s="37" customFormat="1" ht="18.75" x14ac:dyDescent="0.3">
      <c r="A3" s="67" t="str">
        <f t="shared" si="2"/>
        <v>2016BrancaiaTre</v>
      </c>
      <c r="B3" s="37">
        <v>2016</v>
      </c>
      <c r="C3" s="37" t="s">
        <v>140</v>
      </c>
      <c r="D3" s="37" t="s">
        <v>141</v>
      </c>
      <c r="E3" s="37" t="s">
        <v>1844</v>
      </c>
      <c r="F3" s="37" t="s">
        <v>728</v>
      </c>
      <c r="G3" s="37" t="s">
        <v>790</v>
      </c>
      <c r="H3" s="37" t="s">
        <v>796</v>
      </c>
      <c r="I3" s="37">
        <v>1</v>
      </c>
      <c r="J3" s="37">
        <v>750</v>
      </c>
      <c r="K3" s="37" t="s">
        <v>1427</v>
      </c>
      <c r="L3" s="37">
        <f>SUMIF(Wine1!A:A,Drank!A3,Wine1!I:I)</f>
        <v>0</v>
      </c>
      <c r="M3" s="37">
        <v>2018</v>
      </c>
      <c r="N3" s="37">
        <v>2024</v>
      </c>
      <c r="P3" s="37">
        <v>2024</v>
      </c>
      <c r="Q3" s="37">
        <v>90</v>
      </c>
      <c r="R3" s="37">
        <v>91</v>
      </c>
      <c r="S3" s="7">
        <f>AVERAGEIF(A:A,A3,R:R)</f>
        <v>91</v>
      </c>
      <c r="T3" s="1">
        <v>44081</v>
      </c>
      <c r="U3" s="13" t="str">
        <f t="shared" ref="U3:U9" si="10">TEXT(T3,"mmmm")</f>
        <v>September</v>
      </c>
      <c r="V3" s="12">
        <f t="shared" ref="V3:V28" si="11">T3</f>
        <v>44081</v>
      </c>
      <c r="W3" s="37">
        <v>19.54</v>
      </c>
      <c r="X3" s="37">
        <v>1</v>
      </c>
      <c r="Y3" s="11">
        <f t="shared" ref="Y3:Y28" si="12">W3/J3*750</f>
        <v>19.54</v>
      </c>
      <c r="Z3" s="109"/>
      <c r="AA3" s="37">
        <f>IF(Y3&gt;=Expenses!$C$32,4,IF(Y3&gt;=Expenses!$C$31,3,IF(Y3&gt;=Expenses!$C$30,2,1)))</f>
        <v>2</v>
      </c>
      <c r="AB3" s="37">
        <f t="shared" ref="AB3:AB28" si="13">J3/750</f>
        <v>1</v>
      </c>
      <c r="AC3" s="37" t="str">
        <f t="shared" ref="AC3:AC28" si="14">TEXT(T3,"yyyy")</f>
        <v>2020</v>
      </c>
      <c r="AD3" s="37" t="s">
        <v>1128</v>
      </c>
      <c r="AE3" s="1">
        <v>44070</v>
      </c>
      <c r="AF3" s="13" t="str">
        <f t="shared" si="0"/>
        <v>August</v>
      </c>
      <c r="AG3" s="37" t="str">
        <f t="shared" si="1"/>
        <v>2020</v>
      </c>
      <c r="AH3" s="37">
        <v>2</v>
      </c>
    </row>
    <row r="4" spans="1:36" s="37" customFormat="1" ht="18.75" x14ac:dyDescent="0.3">
      <c r="A4" s="67" t="str">
        <f t="shared" si="2"/>
        <v>2017ElodiaFinca Fuego Blanco Malbec</v>
      </c>
      <c r="B4" s="37">
        <v>2017</v>
      </c>
      <c r="C4" s="37" t="s">
        <v>1857</v>
      </c>
      <c r="D4" s="37" t="s">
        <v>1860</v>
      </c>
      <c r="E4" s="37" t="s">
        <v>1207</v>
      </c>
      <c r="F4" s="37" t="s">
        <v>731</v>
      </c>
      <c r="G4" s="37" t="s">
        <v>1858</v>
      </c>
      <c r="H4" s="37" t="s">
        <v>1859</v>
      </c>
      <c r="I4" s="37">
        <v>1</v>
      </c>
      <c r="J4" s="37">
        <v>750</v>
      </c>
      <c r="K4" s="37" t="s">
        <v>58</v>
      </c>
      <c r="L4" s="37">
        <f>SUMIF(Wine1!A:A,Drank!A4,Wine1!I:I)</f>
        <v>5</v>
      </c>
      <c r="M4" s="37">
        <v>2019</v>
      </c>
      <c r="N4" s="37">
        <v>2023</v>
      </c>
      <c r="O4" s="37">
        <v>2021</v>
      </c>
      <c r="P4" s="37">
        <v>2024</v>
      </c>
      <c r="Q4" s="37">
        <v>93</v>
      </c>
      <c r="R4" s="37">
        <v>90</v>
      </c>
      <c r="S4" s="7">
        <f>AVERAGEIF(A:A,A4,R:R)</f>
        <v>90</v>
      </c>
      <c r="T4" s="1">
        <v>44081</v>
      </c>
      <c r="U4" s="13" t="str">
        <f t="shared" si="10"/>
        <v>September</v>
      </c>
      <c r="V4" s="12">
        <f t="shared" si="11"/>
        <v>44081</v>
      </c>
      <c r="W4" s="37">
        <v>19.54</v>
      </c>
      <c r="X4" s="37">
        <v>1</v>
      </c>
      <c r="Y4" s="11">
        <f t="shared" si="12"/>
        <v>19.54</v>
      </c>
      <c r="Z4" s="109"/>
      <c r="AA4" s="37">
        <f>IF(Y4&gt;=Expenses!$C$32,4,IF(Y4&gt;=Expenses!$C$31,3,IF(Y4&gt;=Expenses!$C$30,2,1)))</f>
        <v>2</v>
      </c>
      <c r="AB4" s="37">
        <f t="shared" si="13"/>
        <v>1</v>
      </c>
      <c r="AC4" s="37" t="str">
        <f t="shared" si="14"/>
        <v>2020</v>
      </c>
      <c r="AD4" s="37" t="s">
        <v>384</v>
      </c>
      <c r="AE4" s="1">
        <v>44071</v>
      </c>
      <c r="AF4" s="13" t="str">
        <f t="shared" si="0"/>
        <v>August</v>
      </c>
      <c r="AG4" s="37" t="str">
        <f t="shared" si="1"/>
        <v>2020</v>
      </c>
    </row>
    <row r="5" spans="1:36" s="37" customFormat="1" ht="18.75" x14ac:dyDescent="0.3">
      <c r="A5" s="67" t="str">
        <f t="shared" si="2"/>
        <v>2015GordoYecla</v>
      </c>
      <c r="B5" s="37">
        <v>2015</v>
      </c>
      <c r="C5" s="37" t="s">
        <v>1815</v>
      </c>
      <c r="D5" s="37" t="s">
        <v>1816</v>
      </c>
      <c r="E5" s="37" t="s">
        <v>1817</v>
      </c>
      <c r="F5" s="37" t="s">
        <v>729</v>
      </c>
      <c r="G5" s="37" t="s">
        <v>821</v>
      </c>
      <c r="H5" s="37" t="s">
        <v>1816</v>
      </c>
      <c r="I5" s="37">
        <v>1</v>
      </c>
      <c r="J5" s="37">
        <v>750</v>
      </c>
      <c r="K5" s="37" t="s">
        <v>236</v>
      </c>
      <c r="L5" s="37">
        <f>SUMIF(Wine1!A:A,Drank!A5,Wine1!I:I)</f>
        <v>5</v>
      </c>
      <c r="O5" s="37">
        <v>2021</v>
      </c>
      <c r="P5" s="37">
        <v>2025</v>
      </c>
      <c r="R5" s="37">
        <v>89</v>
      </c>
      <c r="S5" s="7">
        <f>AVERAGEIF(A:A,A5,R:R)</f>
        <v>89</v>
      </c>
      <c r="T5" s="1">
        <v>44080</v>
      </c>
      <c r="U5" s="13" t="str">
        <f t="shared" si="10"/>
        <v>September</v>
      </c>
      <c r="V5" s="12">
        <f t="shared" si="11"/>
        <v>44080</v>
      </c>
      <c r="W5" s="37">
        <v>13.77</v>
      </c>
      <c r="X5" s="37">
        <v>0</v>
      </c>
      <c r="Y5" s="11">
        <f t="shared" si="12"/>
        <v>13.769999999999998</v>
      </c>
      <c r="Z5" s="109"/>
      <c r="AA5" s="37">
        <f>IF(Y5&gt;=Expenses!$C$32,4,IF(Y5&gt;=Expenses!$C$31,3,IF(Y5&gt;=Expenses!$C$30,2,1)))</f>
        <v>1</v>
      </c>
      <c r="AB5" s="37">
        <f t="shared" si="13"/>
        <v>1</v>
      </c>
      <c r="AC5" s="37" t="str">
        <f t="shared" si="14"/>
        <v>2020</v>
      </c>
      <c r="AD5" s="37" t="s">
        <v>385</v>
      </c>
      <c r="AE5" s="1">
        <v>44068</v>
      </c>
      <c r="AF5" s="13" t="str">
        <f t="shared" si="0"/>
        <v>August</v>
      </c>
      <c r="AG5" s="37" t="str">
        <f>TEXT(AE5,"yyyy")</f>
        <v>2020</v>
      </c>
    </row>
    <row r="6" spans="1:36" s="37" customFormat="1" ht="18.75" x14ac:dyDescent="0.3">
      <c r="A6" s="67" t="str">
        <f t="shared" si="2"/>
        <v>2016Produttori del BarbarescoBarbaresco</v>
      </c>
      <c r="B6" s="37">
        <v>2016</v>
      </c>
      <c r="C6" s="37" t="s">
        <v>248</v>
      </c>
      <c r="D6" s="37" t="s">
        <v>249</v>
      </c>
      <c r="E6" s="37" t="s">
        <v>1206</v>
      </c>
      <c r="F6" s="37" t="s">
        <v>728</v>
      </c>
      <c r="G6" s="37" t="s">
        <v>778</v>
      </c>
      <c r="H6" s="37" t="s">
        <v>249</v>
      </c>
      <c r="I6" s="37">
        <v>1</v>
      </c>
      <c r="J6" s="37">
        <v>750</v>
      </c>
      <c r="K6" s="37" t="s">
        <v>929</v>
      </c>
      <c r="L6" s="37">
        <f>SUMIF(Wine1!A:A,Drank!A6,Wine1!I:I)</f>
        <v>41</v>
      </c>
      <c r="M6" s="37">
        <v>2022</v>
      </c>
      <c r="N6" s="37">
        <v>2040</v>
      </c>
      <c r="O6" s="37">
        <v>2021</v>
      </c>
      <c r="P6" s="37">
        <v>2032</v>
      </c>
      <c r="Q6" s="37">
        <v>95</v>
      </c>
      <c r="R6" s="37">
        <v>95</v>
      </c>
      <c r="S6" s="7">
        <f>AVERAGEIF(A:A,A6,R:R)</f>
        <v>95.5</v>
      </c>
      <c r="T6" s="1">
        <v>44079</v>
      </c>
      <c r="U6" s="13" t="str">
        <f t="shared" si="10"/>
        <v>September</v>
      </c>
      <c r="V6" s="12">
        <f t="shared" si="11"/>
        <v>44079</v>
      </c>
      <c r="W6" s="37">
        <v>42.36</v>
      </c>
      <c r="X6" s="37">
        <v>1</v>
      </c>
      <c r="Y6" s="11">
        <f t="shared" si="12"/>
        <v>42.36</v>
      </c>
      <c r="Z6" s="109"/>
      <c r="AA6" s="37">
        <f>IF(Y6&gt;=Expenses!$C$32,4,IF(Y6&gt;=Expenses!$C$31,3,IF(Y6&gt;=Expenses!$C$30,2,1)))</f>
        <v>3</v>
      </c>
      <c r="AB6" s="37">
        <f t="shared" si="13"/>
        <v>1</v>
      </c>
      <c r="AC6" s="37" t="str">
        <f t="shared" si="14"/>
        <v>2020</v>
      </c>
      <c r="AD6" s="37" t="s">
        <v>1128</v>
      </c>
      <c r="AE6" s="1">
        <v>44070</v>
      </c>
      <c r="AF6" s="13" t="str">
        <f t="shared" si="0"/>
        <v>August</v>
      </c>
      <c r="AG6" s="37" t="str">
        <f t="shared" si="1"/>
        <v>2020</v>
      </c>
    </row>
    <row r="7" spans="1:36" s="37" customFormat="1" ht="18.75" x14ac:dyDescent="0.3">
      <c r="A7" s="67" t="str">
        <f t="shared" si="2"/>
        <v>2010Vittorio InnocentiAcerone Rosso Toscano IGT</v>
      </c>
      <c r="B7" s="37">
        <v>2010</v>
      </c>
      <c r="C7" s="37" t="s">
        <v>1730</v>
      </c>
      <c r="D7" s="37" t="s">
        <v>1738</v>
      </c>
      <c r="E7" s="37" t="s">
        <v>1250</v>
      </c>
      <c r="F7" s="37" t="s">
        <v>728</v>
      </c>
      <c r="G7" s="37" t="s">
        <v>790</v>
      </c>
      <c r="H7" s="37" t="s">
        <v>796</v>
      </c>
      <c r="I7" s="37">
        <v>1</v>
      </c>
      <c r="J7" s="37">
        <v>750</v>
      </c>
      <c r="K7" s="37" t="s">
        <v>1795</v>
      </c>
      <c r="L7" s="37">
        <f>SUMIF(Wine1!A:A,Drank!A7,Wine1!I:I)</f>
        <v>0</v>
      </c>
      <c r="P7" s="37">
        <v>2030</v>
      </c>
      <c r="R7" s="37">
        <v>91</v>
      </c>
      <c r="S7" s="7">
        <f>AVERAGEIF(A:A,A7,R:R)</f>
        <v>91</v>
      </c>
      <c r="T7" s="1">
        <v>44079</v>
      </c>
      <c r="U7" s="13" t="str">
        <f t="shared" si="10"/>
        <v>September</v>
      </c>
      <c r="V7" s="12">
        <f t="shared" si="11"/>
        <v>44079</v>
      </c>
      <c r="W7" s="11">
        <v>52.14</v>
      </c>
      <c r="X7" s="37">
        <v>1</v>
      </c>
      <c r="Y7" s="11">
        <f t="shared" si="12"/>
        <v>52.14</v>
      </c>
      <c r="Z7" s="109"/>
      <c r="AA7" s="37">
        <f>IF(Y7&gt;=Expenses!$C$32,4,IF(Y7&gt;=Expenses!$C$31,3,IF(Y7&gt;=Expenses!$C$30,2,1)))</f>
        <v>3</v>
      </c>
      <c r="AB7" s="37">
        <f t="shared" si="13"/>
        <v>1</v>
      </c>
      <c r="AC7" s="37" t="str">
        <f t="shared" si="14"/>
        <v>2020</v>
      </c>
      <c r="AD7" s="37" t="s">
        <v>1709</v>
      </c>
      <c r="AE7" s="1">
        <v>44062</v>
      </c>
      <c r="AF7" s="13" t="str">
        <f t="shared" si="0"/>
        <v>August</v>
      </c>
      <c r="AG7" s="37" t="str">
        <f t="shared" si="1"/>
        <v>2020</v>
      </c>
    </row>
    <row r="8" spans="1:36" s="37" customFormat="1" ht="18.75" x14ac:dyDescent="0.3">
      <c r="A8" s="67" t="str">
        <f t="shared" si="2"/>
        <v>2009Hermanos Perez PascuasEl Pedrosal Reserva</v>
      </c>
      <c r="B8" s="37">
        <v>2009</v>
      </c>
      <c r="C8" s="37" t="s">
        <v>1543</v>
      </c>
      <c r="D8" s="37" t="s">
        <v>1544</v>
      </c>
      <c r="E8" s="37" t="s">
        <v>276</v>
      </c>
      <c r="F8" s="37" t="s">
        <v>729</v>
      </c>
      <c r="G8" s="37" t="s">
        <v>1718</v>
      </c>
      <c r="H8" s="37" t="s">
        <v>818</v>
      </c>
      <c r="I8" s="37">
        <v>1</v>
      </c>
      <c r="J8" s="37">
        <v>750</v>
      </c>
      <c r="K8" s="37" t="s">
        <v>1833</v>
      </c>
      <c r="L8" s="37">
        <f>SUMIF(Wine1!A:A,Drank!A8,Wine1!I:I)</f>
        <v>17</v>
      </c>
      <c r="M8" s="37">
        <v>2020</v>
      </c>
      <c r="N8" s="37">
        <v>2029</v>
      </c>
      <c r="O8" s="37">
        <v>2020</v>
      </c>
      <c r="P8" s="37">
        <v>2027</v>
      </c>
      <c r="Q8" s="37">
        <v>95</v>
      </c>
      <c r="R8" s="37">
        <v>94</v>
      </c>
      <c r="S8" s="7">
        <f>AVERAGEIF(A:A,A8,R:R)</f>
        <v>94.5</v>
      </c>
      <c r="T8" s="1">
        <v>44079</v>
      </c>
      <c r="U8" s="13" t="str">
        <f t="shared" si="10"/>
        <v>September</v>
      </c>
      <c r="V8" s="12">
        <f t="shared" si="11"/>
        <v>44079</v>
      </c>
      <c r="W8" s="37">
        <v>29.61</v>
      </c>
      <c r="X8" s="37">
        <v>1</v>
      </c>
      <c r="Y8" s="11">
        <f t="shared" si="12"/>
        <v>29.61</v>
      </c>
      <c r="Z8" s="109"/>
      <c r="AA8" s="37">
        <f>IF(Y8&gt;=Expenses!$C$32,4,IF(Y8&gt;=Expenses!$C$31,3,IF(Y8&gt;=Expenses!$C$30,2,1)))</f>
        <v>2</v>
      </c>
      <c r="AB8" s="37">
        <f t="shared" si="13"/>
        <v>1</v>
      </c>
      <c r="AC8" s="37" t="str">
        <f t="shared" si="14"/>
        <v>2020</v>
      </c>
      <c r="AD8" s="37" t="s">
        <v>1545</v>
      </c>
      <c r="AE8" s="1">
        <v>44065</v>
      </c>
      <c r="AF8" s="13" t="str">
        <f t="shared" si="0"/>
        <v>August</v>
      </c>
      <c r="AG8" s="37" t="str">
        <f t="shared" si="1"/>
        <v>2020</v>
      </c>
    </row>
    <row r="9" spans="1:36" s="37" customFormat="1" ht="18.75" x14ac:dyDescent="0.3">
      <c r="A9" s="67" t="str">
        <f t="shared" si="2"/>
        <v>2018BollaValpolicella</v>
      </c>
      <c r="B9" s="37">
        <v>2018</v>
      </c>
      <c r="C9" s="37" t="s">
        <v>1537</v>
      </c>
      <c r="D9" s="37" t="s">
        <v>803</v>
      </c>
      <c r="E9" s="37" t="s">
        <v>1893</v>
      </c>
      <c r="F9" s="37" t="s">
        <v>728</v>
      </c>
      <c r="G9" s="37" t="s">
        <v>799</v>
      </c>
      <c r="H9" s="37" t="s">
        <v>803</v>
      </c>
      <c r="I9" s="37">
        <v>1</v>
      </c>
      <c r="J9" s="37">
        <v>1500</v>
      </c>
      <c r="K9" s="37" t="s">
        <v>1829</v>
      </c>
      <c r="L9" s="37">
        <f>SUMIF(Wine1!A:A,Drank!A9,Wine1!I:I)</f>
        <v>4</v>
      </c>
      <c r="O9" s="37">
        <v>2020</v>
      </c>
      <c r="R9" s="37">
        <v>86</v>
      </c>
      <c r="S9" s="7">
        <f>AVERAGEIF(A:A,A9,R:R)</f>
        <v>86.5</v>
      </c>
      <c r="T9" s="1">
        <v>44078</v>
      </c>
      <c r="U9" s="13" t="str">
        <f t="shared" si="10"/>
        <v>September</v>
      </c>
      <c r="V9" s="12">
        <f t="shared" si="11"/>
        <v>44078</v>
      </c>
      <c r="W9" s="37">
        <v>13</v>
      </c>
      <c r="X9" s="37">
        <v>0</v>
      </c>
      <c r="Y9" s="11">
        <f t="shared" si="12"/>
        <v>6.5</v>
      </c>
      <c r="Z9" s="109"/>
      <c r="AA9" s="37">
        <f>IF(Y9&gt;=Expenses!$C$32,4,IF(Y9&gt;=Expenses!$C$31,3,IF(Y9&gt;=Expenses!$C$30,2,1)))</f>
        <v>1</v>
      </c>
      <c r="AB9" s="37">
        <f t="shared" si="13"/>
        <v>2</v>
      </c>
      <c r="AC9" s="37" t="str">
        <f t="shared" si="14"/>
        <v>2020</v>
      </c>
      <c r="AD9" s="37" t="s">
        <v>1128</v>
      </c>
      <c r="AE9" s="1">
        <v>44070</v>
      </c>
      <c r="AF9" s="13" t="str">
        <f t="shared" si="0"/>
        <v>August</v>
      </c>
      <c r="AG9" s="37" t="str">
        <f t="shared" si="1"/>
        <v>2020</v>
      </c>
    </row>
    <row r="10" spans="1:36" s="37" customFormat="1" ht="18.75" x14ac:dyDescent="0.3">
      <c r="A10" s="67" t="str">
        <f t="shared" si="2"/>
        <v>2018BollaValpolicella</v>
      </c>
      <c r="B10" s="37">
        <v>2018</v>
      </c>
      <c r="C10" s="37" t="s">
        <v>1537</v>
      </c>
      <c r="D10" s="37" t="s">
        <v>803</v>
      </c>
      <c r="E10" s="37" t="s">
        <v>262</v>
      </c>
      <c r="F10" s="37" t="s">
        <v>728</v>
      </c>
      <c r="G10" s="37" t="s">
        <v>799</v>
      </c>
      <c r="H10" s="37" t="s">
        <v>803</v>
      </c>
      <c r="I10" s="37">
        <v>1</v>
      </c>
      <c r="J10" s="37">
        <v>1500</v>
      </c>
      <c r="K10" s="37" t="s">
        <v>1829</v>
      </c>
      <c r="L10" s="37">
        <f>SUMIF(Wine1!A:A,Drank!A10,Wine1!I:I)</f>
        <v>4</v>
      </c>
      <c r="O10" s="37">
        <v>2020</v>
      </c>
      <c r="P10" s="37">
        <v>2022</v>
      </c>
      <c r="R10" s="37">
        <v>87</v>
      </c>
      <c r="S10" s="7">
        <f>AVERAGEIF(A:A,A10,R:R)</f>
        <v>86.5</v>
      </c>
      <c r="T10" s="1">
        <v>44077</v>
      </c>
      <c r="U10" s="13" t="str">
        <f>TEXT(T10,"mmmm")</f>
        <v>September</v>
      </c>
      <c r="V10" s="12">
        <f t="shared" si="11"/>
        <v>44077</v>
      </c>
      <c r="W10" s="11">
        <v>13</v>
      </c>
      <c r="X10" s="37">
        <v>1</v>
      </c>
      <c r="Y10" s="11">
        <f t="shared" si="12"/>
        <v>6.5</v>
      </c>
      <c r="Z10" s="109"/>
      <c r="AA10" s="37">
        <f>IF(Y10&gt;=Expenses!$C$32,4,IF(Y10&gt;=Expenses!$C$31,3,IF(Y10&gt;=Expenses!$C$30,2,1)))</f>
        <v>1</v>
      </c>
      <c r="AB10" s="37">
        <f t="shared" si="13"/>
        <v>2</v>
      </c>
      <c r="AC10" s="37" t="str">
        <f t="shared" si="14"/>
        <v>2020</v>
      </c>
      <c r="AD10" s="37" t="s">
        <v>1128</v>
      </c>
      <c r="AE10" s="1">
        <v>44070</v>
      </c>
      <c r="AF10" s="13" t="str">
        <f t="shared" si="0"/>
        <v>August</v>
      </c>
      <c r="AG10" s="37" t="str">
        <f>TEXT(AE10,"yyyy")</f>
        <v>2020</v>
      </c>
      <c r="AH10" s="37">
        <v>2.5</v>
      </c>
    </row>
    <row r="11" spans="1:36" s="37" customFormat="1" ht="18.75" x14ac:dyDescent="0.3">
      <c r="A11" s="67" t="str">
        <f t="shared" si="2"/>
        <v>2019Altos Las HormigasColonia Las Liebres Bonarda Clasica</v>
      </c>
      <c r="B11" s="37">
        <v>2019</v>
      </c>
      <c r="C11" s="37" t="s">
        <v>232</v>
      </c>
      <c r="D11" s="37" t="s">
        <v>1501</v>
      </c>
      <c r="E11" s="37" t="s">
        <v>1503</v>
      </c>
      <c r="F11" s="37" t="s">
        <v>731</v>
      </c>
      <c r="G11" s="37" t="s">
        <v>732</v>
      </c>
      <c r="I11" s="37">
        <v>1</v>
      </c>
      <c r="J11" s="37">
        <v>750</v>
      </c>
      <c r="K11" s="37" t="s">
        <v>58</v>
      </c>
      <c r="L11" s="37">
        <f>SUMIF(Wine1!A:A,Drank!A11,Wine1!I:I)</f>
        <v>0</v>
      </c>
      <c r="M11" s="37">
        <v>2019</v>
      </c>
      <c r="N11" s="37">
        <v>2021</v>
      </c>
      <c r="Q11" s="37" t="s">
        <v>1502</v>
      </c>
      <c r="R11" s="37">
        <v>89</v>
      </c>
      <c r="S11" s="7">
        <f>AVERAGEIF(A:A,A11,R:R)</f>
        <v>89</v>
      </c>
      <c r="T11" s="1">
        <v>44075</v>
      </c>
      <c r="U11" s="13" t="str">
        <f>TEXT(T11,"mmmm")</f>
        <v>September</v>
      </c>
      <c r="V11" s="12">
        <f t="shared" si="11"/>
        <v>44075</v>
      </c>
      <c r="W11" s="11">
        <v>9.77</v>
      </c>
      <c r="X11" s="37">
        <v>1</v>
      </c>
      <c r="Y11" s="11">
        <f t="shared" si="12"/>
        <v>9.77</v>
      </c>
      <c r="Z11" s="109"/>
      <c r="AA11" s="37">
        <f>IF(Y11&gt;=Expenses!$C$32,4,IF(Y11&gt;=Expenses!$C$31,3,IF(Y11&gt;=Expenses!$C$30,2,1)))</f>
        <v>1</v>
      </c>
      <c r="AB11" s="37">
        <f t="shared" si="13"/>
        <v>1</v>
      </c>
      <c r="AC11" s="37" t="str">
        <f t="shared" si="14"/>
        <v>2020</v>
      </c>
      <c r="AD11" s="37" t="s">
        <v>371</v>
      </c>
      <c r="AE11" s="1">
        <v>44019</v>
      </c>
      <c r="AF11" s="13" t="str">
        <f t="shared" si="0"/>
        <v>July</v>
      </c>
      <c r="AG11" s="37" t="str">
        <f t="shared" si="1"/>
        <v>2020</v>
      </c>
    </row>
    <row r="12" spans="1:36" s="37" customFormat="1" ht="18.75" x14ac:dyDescent="0.3">
      <c r="A12" s="67" t="str">
        <f>CONCATENATE(B12,C12,D12)</f>
        <v>2016FelsinaFontalloro</v>
      </c>
      <c r="B12" s="37">
        <v>2016</v>
      </c>
      <c r="C12" s="37" t="s">
        <v>795</v>
      </c>
      <c r="D12" s="37" t="s">
        <v>387</v>
      </c>
      <c r="E12" s="37" t="s">
        <v>1250</v>
      </c>
      <c r="F12" s="37" t="s">
        <v>728</v>
      </c>
      <c r="G12" s="37" t="s">
        <v>790</v>
      </c>
      <c r="H12" s="37" t="s">
        <v>796</v>
      </c>
      <c r="I12" s="37">
        <v>1</v>
      </c>
      <c r="J12" s="37">
        <v>750</v>
      </c>
      <c r="K12" s="37" t="s">
        <v>1833</v>
      </c>
      <c r="L12" s="37">
        <f>SUMIF(Wine1!A:A,Drank!A12,Wine1!I:I)</f>
        <v>6</v>
      </c>
      <c r="M12" s="37">
        <v>2021</v>
      </c>
      <c r="N12" s="37">
        <v>2045</v>
      </c>
      <c r="Q12" s="37" t="s">
        <v>852</v>
      </c>
      <c r="R12" s="37">
        <v>94</v>
      </c>
      <c r="S12" s="7">
        <f>AVERAGEIF(A:A,A12,R:R)</f>
        <v>94</v>
      </c>
      <c r="T12" s="1">
        <v>44074</v>
      </c>
      <c r="U12" s="13" t="str">
        <f>TEXT(T12,"mmmm")</f>
        <v>August</v>
      </c>
      <c r="V12" s="12">
        <f t="shared" si="11"/>
        <v>44074</v>
      </c>
      <c r="W12" s="11">
        <v>60.29</v>
      </c>
      <c r="X12" s="37" t="s">
        <v>1350</v>
      </c>
      <c r="Y12" s="11">
        <f t="shared" si="12"/>
        <v>60.29</v>
      </c>
      <c r="Z12" s="109"/>
      <c r="AA12" s="37">
        <f>IF(Y12&gt;=Expenses!$C$32,4,IF(Y12&gt;=Expenses!$C$31,3,IF(Y12&gt;=Expenses!$C$30,2,1)))</f>
        <v>3</v>
      </c>
      <c r="AB12" s="37">
        <f t="shared" si="13"/>
        <v>1</v>
      </c>
      <c r="AC12" s="37" t="str">
        <f t="shared" si="14"/>
        <v>2020</v>
      </c>
      <c r="AD12" s="37" t="s">
        <v>1545</v>
      </c>
      <c r="AE12" s="1">
        <v>44065</v>
      </c>
      <c r="AF12" s="13" t="str">
        <f t="shared" si="0"/>
        <v>August</v>
      </c>
      <c r="AG12" s="37" t="str">
        <f t="shared" si="1"/>
        <v>2020</v>
      </c>
      <c r="AH12" s="37">
        <v>4</v>
      </c>
    </row>
    <row r="13" spans="1:36" s="37" customFormat="1" ht="18.75" x14ac:dyDescent="0.3">
      <c r="A13" s="67" t="str">
        <f>CONCATENATE(B13,C13,D13)</f>
        <v>2016MontepelosoEneo</v>
      </c>
      <c r="B13" s="37">
        <v>2016</v>
      </c>
      <c r="C13" s="37" t="s">
        <v>1799</v>
      </c>
      <c r="D13" s="37" t="s">
        <v>1800</v>
      </c>
      <c r="E13" s="37" t="s">
        <v>1801</v>
      </c>
      <c r="F13" s="37" t="s">
        <v>728</v>
      </c>
      <c r="G13" s="37" t="s">
        <v>790</v>
      </c>
      <c r="H13" s="37" t="s">
        <v>796</v>
      </c>
      <c r="I13" s="37">
        <v>1</v>
      </c>
      <c r="J13" s="37">
        <v>750</v>
      </c>
      <c r="K13" s="37" t="s">
        <v>1833</v>
      </c>
      <c r="L13" s="37">
        <f>SUMIF(Wine1!A:A,Drank!A13,Wine1!I:I)</f>
        <v>7</v>
      </c>
      <c r="R13" s="37">
        <v>93</v>
      </c>
      <c r="S13" s="7">
        <f>AVERAGEIF(A:A,A13,R:R)</f>
        <v>93</v>
      </c>
      <c r="T13" s="1">
        <v>44074</v>
      </c>
      <c r="U13" s="13" t="str">
        <f>TEXT(T13,"mmmm")</f>
        <v>August</v>
      </c>
      <c r="V13" s="12">
        <f t="shared" si="11"/>
        <v>44074</v>
      </c>
      <c r="W13" s="11">
        <v>43.87</v>
      </c>
      <c r="X13" s="37" t="s">
        <v>1350</v>
      </c>
      <c r="Y13" s="11">
        <f t="shared" si="12"/>
        <v>43.87</v>
      </c>
      <c r="Z13" s="109"/>
      <c r="AA13" s="37">
        <f>IF(Y13&gt;=Expenses!$C$32,4,IF(Y13&gt;=Expenses!$C$31,3,IF(Y13&gt;=Expenses!$C$30,2,1)))</f>
        <v>3</v>
      </c>
      <c r="AB13" s="37">
        <f t="shared" si="13"/>
        <v>1</v>
      </c>
      <c r="AC13" s="37" t="str">
        <f t="shared" si="14"/>
        <v>2020</v>
      </c>
      <c r="AD13" s="37" t="s">
        <v>1545</v>
      </c>
      <c r="AE13" s="1">
        <v>44065</v>
      </c>
      <c r="AF13" s="13" t="str">
        <f t="shared" si="0"/>
        <v>August</v>
      </c>
      <c r="AG13" s="37" t="str">
        <f t="shared" si="1"/>
        <v>2020</v>
      </c>
      <c r="AH13" s="37">
        <v>5</v>
      </c>
    </row>
    <row r="14" spans="1:36" s="37" customFormat="1" ht="18.75" x14ac:dyDescent="0.3">
      <c r="A14" s="67" t="str">
        <f>CONCATENATE(B14,C14,D14)</f>
        <v>2016Rocca di FrassinelloMaremma Toscana Le Sughere di Frassinello</v>
      </c>
      <c r="B14" s="37">
        <v>2016</v>
      </c>
      <c r="C14" s="37" t="s">
        <v>142</v>
      </c>
      <c r="D14" s="37" t="s">
        <v>143</v>
      </c>
      <c r="E14" s="37" t="s">
        <v>1843</v>
      </c>
      <c r="F14" s="37" t="s">
        <v>728</v>
      </c>
      <c r="G14" s="37" t="s">
        <v>790</v>
      </c>
      <c r="H14" s="37" t="s">
        <v>793</v>
      </c>
      <c r="I14" s="37">
        <v>1</v>
      </c>
      <c r="J14" s="37">
        <v>750</v>
      </c>
      <c r="K14" s="37" t="s">
        <v>58</v>
      </c>
      <c r="L14" s="37">
        <f>SUMIF(Wine1!A:A,Drank!A14,Wine1!I:I)</f>
        <v>2</v>
      </c>
      <c r="N14" s="7"/>
      <c r="O14" s="37">
        <v>2020</v>
      </c>
      <c r="P14" s="7">
        <v>2025</v>
      </c>
      <c r="R14" s="37">
        <v>90</v>
      </c>
      <c r="S14" s="7">
        <f>AVERAGEIF(A:A,A14,R:R)</f>
        <v>90</v>
      </c>
      <c r="T14" s="1">
        <v>44073</v>
      </c>
      <c r="U14" s="13" t="str">
        <f t="shared" ref="U14:U24" si="15">TEXT(T14,"mmmm")</f>
        <v>August</v>
      </c>
      <c r="V14" s="12">
        <f t="shared" si="11"/>
        <v>44073</v>
      </c>
      <c r="W14" s="11">
        <v>21.5</v>
      </c>
      <c r="X14" s="37">
        <v>1</v>
      </c>
      <c r="Y14" s="11">
        <f t="shared" si="12"/>
        <v>21.5</v>
      </c>
      <c r="Z14" s="109"/>
      <c r="AA14" s="37">
        <f>IF(Y14&gt;=Expenses!$C$32,4,IF(Y14&gt;=Expenses!$C$31,3,IF(Y14&gt;=Expenses!$C$30,2,1)))</f>
        <v>2</v>
      </c>
      <c r="AB14" s="37">
        <f t="shared" si="13"/>
        <v>1</v>
      </c>
      <c r="AC14" s="37" t="str">
        <f t="shared" si="14"/>
        <v>2020</v>
      </c>
      <c r="AD14" s="37" t="s">
        <v>1128</v>
      </c>
      <c r="AE14" s="1">
        <v>44070</v>
      </c>
      <c r="AF14" s="13" t="str">
        <f>TEXT(AE14,"mmmm")</f>
        <v>August</v>
      </c>
      <c r="AG14" s="37" t="str">
        <f>TEXT(AE14,"yyyy")</f>
        <v>2020</v>
      </c>
      <c r="AH14" s="37">
        <v>5</v>
      </c>
    </row>
    <row r="15" spans="1:36" s="37" customFormat="1" ht="18.75" x14ac:dyDescent="0.3">
      <c r="A15" s="67" t="str">
        <f>CONCATENATE(B15,C15,D15)</f>
        <v>2016Paul Jaboulet AineCrozes Hermitage Domaine de Thalabert</v>
      </c>
      <c r="B15" s="37">
        <v>2016</v>
      </c>
      <c r="C15" s="37" t="s">
        <v>1656</v>
      </c>
      <c r="D15" s="37" t="s">
        <v>1657</v>
      </c>
      <c r="E15" s="37" t="s">
        <v>1431</v>
      </c>
      <c r="F15" s="37" t="s">
        <v>742</v>
      </c>
      <c r="G15" s="37" t="s">
        <v>759</v>
      </c>
      <c r="H15" s="37" t="s">
        <v>1626</v>
      </c>
      <c r="I15" s="37">
        <v>1</v>
      </c>
      <c r="J15" s="37">
        <v>750</v>
      </c>
      <c r="K15" s="37" t="s">
        <v>236</v>
      </c>
      <c r="L15" s="37">
        <f>SUMIF(Wine1!A:A,Drank!A15,Wine1!I:I)</f>
        <v>1</v>
      </c>
      <c r="M15" s="37">
        <v>2018</v>
      </c>
      <c r="N15" s="37">
        <v>2035</v>
      </c>
      <c r="O15" s="37">
        <v>2027</v>
      </c>
      <c r="P15" s="37">
        <v>2030</v>
      </c>
      <c r="Q15" s="37">
        <v>93</v>
      </c>
      <c r="R15" s="37">
        <v>93</v>
      </c>
      <c r="S15" s="7">
        <f>AVERAGEIF(A:A,A15,R:R)</f>
        <v>93</v>
      </c>
      <c r="T15" s="1">
        <v>44072</v>
      </c>
      <c r="U15" s="13" t="str">
        <f t="shared" si="15"/>
        <v>August</v>
      </c>
      <c r="V15" s="12">
        <f t="shared" si="11"/>
        <v>44072</v>
      </c>
      <c r="W15" s="11">
        <v>31.97</v>
      </c>
      <c r="X15" s="37">
        <v>1</v>
      </c>
      <c r="Y15" s="11">
        <f t="shared" si="12"/>
        <v>31.97</v>
      </c>
      <c r="Z15" s="109"/>
      <c r="AA15" s="37">
        <f>IF(Y15&gt;=Expenses!$C$32,4,IF(Y15&gt;=Expenses!$C$31,3,IF(Y15&gt;=Expenses!$C$30,2,1)))</f>
        <v>3</v>
      </c>
      <c r="AB15" s="37">
        <f t="shared" si="13"/>
        <v>1</v>
      </c>
      <c r="AC15" s="37" t="str">
        <f t="shared" si="14"/>
        <v>2020</v>
      </c>
      <c r="AD15" s="37" t="s">
        <v>1645</v>
      </c>
      <c r="AE15" s="1">
        <v>44060</v>
      </c>
      <c r="AF15" s="13" t="str">
        <f t="shared" si="0"/>
        <v>August</v>
      </c>
      <c r="AG15" s="37" t="str">
        <f t="shared" si="1"/>
        <v>2020</v>
      </c>
      <c r="AH15" s="37">
        <v>5</v>
      </c>
    </row>
    <row r="16" spans="1:36" s="37" customFormat="1" ht="18.75" x14ac:dyDescent="0.3">
      <c r="A16" s="67" t="str">
        <f t="shared" ref="A16:A28" si="16">CONCATENATE(B16,C16,D16)</f>
        <v>2011MassayaGold Reserve</v>
      </c>
      <c r="B16" s="37">
        <v>2011</v>
      </c>
      <c r="C16" s="37" t="s">
        <v>1640</v>
      </c>
      <c r="D16" s="37" t="s">
        <v>1641</v>
      </c>
      <c r="E16" s="37" t="s">
        <v>1805</v>
      </c>
      <c r="F16" s="37" t="s">
        <v>1589</v>
      </c>
      <c r="G16" s="37" t="s">
        <v>1590</v>
      </c>
      <c r="I16" s="37">
        <v>1</v>
      </c>
      <c r="J16" s="37">
        <v>750</v>
      </c>
      <c r="K16" s="37" t="s">
        <v>213</v>
      </c>
      <c r="L16" s="37">
        <f>SUMIF(Wine1!A:A,Drank!A16,Wine1!I:I)</f>
        <v>0</v>
      </c>
      <c r="M16" s="37">
        <v>2019</v>
      </c>
      <c r="N16" s="37">
        <v>2040</v>
      </c>
      <c r="P16" s="37">
        <v>2030</v>
      </c>
      <c r="Q16" s="37">
        <v>94</v>
      </c>
      <c r="R16" s="37">
        <v>91</v>
      </c>
      <c r="S16" s="7">
        <f>AVERAGEIF(A:A,A16,R:R)</f>
        <v>91</v>
      </c>
      <c r="T16" s="1">
        <v>44072</v>
      </c>
      <c r="U16" s="13" t="str">
        <f t="shared" si="15"/>
        <v>August</v>
      </c>
      <c r="V16" s="12">
        <f t="shared" si="11"/>
        <v>44072</v>
      </c>
      <c r="W16" s="11">
        <v>22.475359331476323</v>
      </c>
      <c r="X16" s="37">
        <v>1</v>
      </c>
      <c r="Y16" s="11">
        <f t="shared" si="12"/>
        <v>22.475359331476323</v>
      </c>
      <c r="Z16" s="109"/>
      <c r="AA16" s="37">
        <f>IF(Y16&gt;=Expenses!$C$32,4,IF(Y16&gt;=Expenses!$C$31,3,IF(Y16&gt;=Expenses!$C$30,2,1)))</f>
        <v>2</v>
      </c>
      <c r="AB16" s="37">
        <f t="shared" si="13"/>
        <v>1</v>
      </c>
      <c r="AC16" s="37" t="str">
        <f t="shared" si="14"/>
        <v>2020</v>
      </c>
      <c r="AD16" s="37" t="s">
        <v>1139</v>
      </c>
      <c r="AE16" s="1">
        <v>44060</v>
      </c>
      <c r="AF16" s="13" t="str">
        <f t="shared" si="0"/>
        <v>August</v>
      </c>
      <c r="AG16" s="37" t="str">
        <f>TEXT(AE16,"yyyy")</f>
        <v>2020</v>
      </c>
      <c r="AH16" s="37">
        <v>6</v>
      </c>
    </row>
    <row r="17" spans="1:34" s="37" customFormat="1" ht="18.75" x14ac:dyDescent="0.3">
      <c r="A17" s="67" t="str">
        <f t="shared" si="16"/>
        <v>2015Xavier VignonCotes du Rhone Villages Arcane XIX Le Soleil</v>
      </c>
      <c r="B17" s="37">
        <v>2015</v>
      </c>
      <c r="C17" s="37" t="s">
        <v>405</v>
      </c>
      <c r="D17" s="37" t="s">
        <v>1856</v>
      </c>
      <c r="E17" s="37" t="s">
        <v>1222</v>
      </c>
      <c r="F17" s="37" t="s">
        <v>742</v>
      </c>
      <c r="G17" s="37" t="s">
        <v>759</v>
      </c>
      <c r="H17" s="37" t="s">
        <v>760</v>
      </c>
      <c r="I17" s="37">
        <v>1</v>
      </c>
      <c r="J17" s="37">
        <v>750</v>
      </c>
      <c r="K17" s="37" t="s">
        <v>213</v>
      </c>
      <c r="L17" s="37">
        <f>SUMIF(Wine1!A:A,Drank!A17,Wine1!I:I)</f>
        <v>6</v>
      </c>
      <c r="M17" s="37">
        <v>2017</v>
      </c>
      <c r="N17" s="37">
        <v>2027</v>
      </c>
      <c r="O17" s="37">
        <v>2021</v>
      </c>
      <c r="P17" s="37">
        <v>2025</v>
      </c>
      <c r="Q17" s="37">
        <v>94</v>
      </c>
      <c r="R17" s="37">
        <v>93</v>
      </c>
      <c r="S17" s="7">
        <f>AVERAGEIF(A:A,A17,R:R)</f>
        <v>93</v>
      </c>
      <c r="T17" s="1">
        <v>44071</v>
      </c>
      <c r="U17" s="13" t="str">
        <f t="shared" si="15"/>
        <v>August</v>
      </c>
      <c r="V17" s="12">
        <f t="shared" si="11"/>
        <v>44071</v>
      </c>
      <c r="W17" s="11">
        <v>20</v>
      </c>
      <c r="X17" s="37">
        <v>2</v>
      </c>
      <c r="Y17" s="11">
        <f t="shared" si="12"/>
        <v>20</v>
      </c>
      <c r="Z17" s="109"/>
      <c r="AA17" s="37">
        <f>IF(Y17&gt;=Expenses!$C$32,4,IF(Y17&gt;=Expenses!$C$31,3,IF(Y17&gt;=Expenses!$C$30,2,1)))</f>
        <v>2</v>
      </c>
      <c r="AB17" s="37">
        <f t="shared" si="13"/>
        <v>1</v>
      </c>
      <c r="AC17" s="37" t="str">
        <f t="shared" si="14"/>
        <v>2020</v>
      </c>
      <c r="AD17" s="37" t="s">
        <v>385</v>
      </c>
      <c r="AE17" s="1"/>
      <c r="AF17" s="13" t="str">
        <f t="shared" si="0"/>
        <v>January</v>
      </c>
      <c r="AG17" s="37" t="str">
        <f>TEXT(AE17,"yyyy")</f>
        <v>1900</v>
      </c>
      <c r="AH17" s="37">
        <v>1</v>
      </c>
    </row>
    <row r="18" spans="1:34" s="37" customFormat="1" ht="18.75" x14ac:dyDescent="0.3">
      <c r="A18" s="67" t="str">
        <f t="shared" si="16"/>
        <v>2016Moulin de La GardetteGigondas Cuvee Tradition</v>
      </c>
      <c r="B18" s="37">
        <v>2016</v>
      </c>
      <c r="C18" s="37" t="s">
        <v>1725</v>
      </c>
      <c r="D18" s="37" t="s">
        <v>1726</v>
      </c>
      <c r="E18" s="37" t="s">
        <v>1222</v>
      </c>
      <c r="F18" s="37" t="s">
        <v>742</v>
      </c>
      <c r="G18" s="37" t="s">
        <v>759</v>
      </c>
      <c r="H18" s="37" t="s">
        <v>764</v>
      </c>
      <c r="I18" s="37">
        <v>1</v>
      </c>
      <c r="J18" s="37">
        <v>750</v>
      </c>
      <c r="K18" s="37" t="s">
        <v>1795</v>
      </c>
      <c r="L18" s="37">
        <f>SUMIF(Wine1!A:A,Drank!A18,Wine1!I:I)</f>
        <v>0</v>
      </c>
      <c r="P18" s="37">
        <v>2026</v>
      </c>
      <c r="R18" s="37">
        <v>92</v>
      </c>
      <c r="S18" s="7">
        <f>AVERAGEIF(A:A,A18,R:R)</f>
        <v>92</v>
      </c>
      <c r="T18" s="1">
        <v>44071</v>
      </c>
      <c r="U18" s="13" t="str">
        <f t="shared" si="15"/>
        <v>August</v>
      </c>
      <c r="V18" s="12">
        <f t="shared" si="11"/>
        <v>44071</v>
      </c>
      <c r="W18" s="11">
        <v>34.76</v>
      </c>
      <c r="X18" s="37">
        <v>1</v>
      </c>
      <c r="Y18" s="11">
        <f t="shared" si="12"/>
        <v>34.76</v>
      </c>
      <c r="Z18" s="109"/>
      <c r="AA18" s="37">
        <f>IF(Y18&gt;=Expenses!$C$32,4,IF(Y18&gt;=Expenses!$C$31,3,IF(Y18&gt;=Expenses!$C$30,2,1)))</f>
        <v>3</v>
      </c>
      <c r="AB18" s="37">
        <f t="shared" si="13"/>
        <v>1</v>
      </c>
      <c r="AC18" s="37" t="str">
        <f t="shared" si="14"/>
        <v>2020</v>
      </c>
      <c r="AD18" s="37" t="s">
        <v>1709</v>
      </c>
      <c r="AE18" s="1">
        <v>44062</v>
      </c>
      <c r="AF18" s="13" t="str">
        <f t="shared" si="0"/>
        <v>August</v>
      </c>
      <c r="AG18" s="37" t="str">
        <f t="shared" si="1"/>
        <v>2020</v>
      </c>
      <c r="AH18" s="37">
        <v>6.5</v>
      </c>
    </row>
    <row r="19" spans="1:34" s="37" customFormat="1" ht="18.75" x14ac:dyDescent="0.3">
      <c r="A19" s="67" t="str">
        <f t="shared" si="16"/>
        <v>2016Rocca di FrassinelloMaremma Toscana Le Sughere di Frassinello</v>
      </c>
      <c r="B19" s="37">
        <v>2016</v>
      </c>
      <c r="C19" s="37" t="s">
        <v>142</v>
      </c>
      <c r="D19" s="37" t="s">
        <v>143</v>
      </c>
      <c r="E19" s="37" t="s">
        <v>1843</v>
      </c>
      <c r="F19" s="37" t="s">
        <v>728</v>
      </c>
      <c r="G19" s="37" t="s">
        <v>790</v>
      </c>
      <c r="H19" s="37" t="s">
        <v>793</v>
      </c>
      <c r="I19" s="37">
        <v>1</v>
      </c>
      <c r="J19" s="37">
        <v>750</v>
      </c>
      <c r="K19" s="37" t="s">
        <v>58</v>
      </c>
      <c r="L19" s="37">
        <f>SUMIF(Wine1!A:A,Drank!A19,Wine1!I:I)</f>
        <v>2</v>
      </c>
      <c r="O19" s="37">
        <v>2020</v>
      </c>
      <c r="P19" s="37">
        <v>2025</v>
      </c>
      <c r="R19" s="37">
        <v>90</v>
      </c>
      <c r="S19" s="7">
        <f>AVERAGEIF(A:A,A19,R:R)</f>
        <v>90</v>
      </c>
      <c r="T19" s="1">
        <v>44070</v>
      </c>
      <c r="U19" s="13" t="str">
        <f t="shared" si="15"/>
        <v>August</v>
      </c>
      <c r="V19" s="12">
        <f t="shared" si="11"/>
        <v>44070</v>
      </c>
      <c r="W19" s="11">
        <v>0</v>
      </c>
      <c r="X19" s="37">
        <v>0</v>
      </c>
      <c r="Y19" s="11">
        <f t="shared" si="12"/>
        <v>0</v>
      </c>
      <c r="Z19" s="109"/>
      <c r="AA19" s="37">
        <f>IF(Y19&gt;=Expenses!$C$32,4,IF(Y19&gt;=Expenses!$C$31,3,IF(Y19&gt;=Expenses!$C$30,2,1)))</f>
        <v>1</v>
      </c>
      <c r="AB19" s="37">
        <f t="shared" si="13"/>
        <v>1</v>
      </c>
      <c r="AC19" s="37" t="str">
        <f t="shared" si="14"/>
        <v>2020</v>
      </c>
      <c r="AD19" s="37" t="s">
        <v>1854</v>
      </c>
      <c r="AE19" s="1">
        <v>44070</v>
      </c>
      <c r="AF19" s="13" t="str">
        <f t="shared" si="0"/>
        <v>August</v>
      </c>
      <c r="AG19" s="37" t="str">
        <f>TEXT(AE19,"yyyy")</f>
        <v>2020</v>
      </c>
      <c r="AH19" s="37">
        <v>3.5</v>
      </c>
    </row>
    <row r="20" spans="1:34" s="37" customFormat="1" ht="18.75" x14ac:dyDescent="0.3">
      <c r="A20" s="67" t="str">
        <f t="shared" si="16"/>
        <v>2004Feudi di San GregorioSerpico IGT</v>
      </c>
      <c r="B20" s="37">
        <v>2004</v>
      </c>
      <c r="C20" s="37" t="s">
        <v>1409</v>
      </c>
      <c r="D20" s="37" t="s">
        <v>1410</v>
      </c>
      <c r="E20" s="37" t="s">
        <v>1411</v>
      </c>
      <c r="F20" s="37" t="s">
        <v>728</v>
      </c>
      <c r="G20" s="37" t="s">
        <v>771</v>
      </c>
      <c r="I20" s="37">
        <v>1</v>
      </c>
      <c r="J20" s="37">
        <v>750</v>
      </c>
      <c r="K20" s="37" t="s">
        <v>25</v>
      </c>
      <c r="L20" s="37">
        <f>SUMIF(Wine1!A:A,Drank!A20,Wine1!I:I)</f>
        <v>2</v>
      </c>
      <c r="M20" s="37">
        <v>2010</v>
      </c>
      <c r="N20" s="37">
        <v>2020</v>
      </c>
      <c r="P20" s="37">
        <v>2022</v>
      </c>
      <c r="Q20" s="37">
        <v>91</v>
      </c>
      <c r="R20" s="37">
        <v>93</v>
      </c>
      <c r="S20" s="7">
        <f>AVERAGEIF(A:A,A20,R:R)</f>
        <v>93</v>
      </c>
      <c r="T20" s="1">
        <v>44067</v>
      </c>
      <c r="U20" s="13" t="str">
        <f t="shared" si="15"/>
        <v>August</v>
      </c>
      <c r="V20" s="12">
        <f t="shared" si="11"/>
        <v>44067</v>
      </c>
      <c r="W20" s="11">
        <v>57.35</v>
      </c>
      <c r="X20" s="37">
        <v>0</v>
      </c>
      <c r="Y20" s="11">
        <f t="shared" si="12"/>
        <v>57.35</v>
      </c>
      <c r="Z20" s="109"/>
      <c r="AA20" s="37">
        <f>IF(Y20&gt;=Expenses!$C$32,4,IF(Y20&gt;=Expenses!$C$31,3,IF(Y20&gt;=Expenses!$C$30,2,1)))</f>
        <v>3</v>
      </c>
      <c r="AB20" s="37">
        <f t="shared" si="13"/>
        <v>1</v>
      </c>
      <c r="AC20" s="37" t="str">
        <f t="shared" si="14"/>
        <v>2020</v>
      </c>
      <c r="AD20" s="37" t="s">
        <v>415</v>
      </c>
      <c r="AE20" s="1">
        <v>43975</v>
      </c>
      <c r="AF20" s="13" t="str">
        <f t="shared" si="0"/>
        <v>May</v>
      </c>
      <c r="AG20" s="37" t="str">
        <f t="shared" si="1"/>
        <v>2020</v>
      </c>
      <c r="AH20" s="37">
        <v>1</v>
      </c>
    </row>
    <row r="21" spans="1:34" s="37" customFormat="1" ht="18.75" x14ac:dyDescent="0.3">
      <c r="A21" s="67" t="str">
        <f t="shared" si="16"/>
        <v>2013BrancaiaIlatraia</v>
      </c>
      <c r="B21" s="37">
        <v>2013</v>
      </c>
      <c r="C21" s="37" t="s">
        <v>140</v>
      </c>
      <c r="D21" s="37" t="s">
        <v>372</v>
      </c>
      <c r="E21" s="37" t="s">
        <v>1637</v>
      </c>
      <c r="F21" s="37" t="s">
        <v>728</v>
      </c>
      <c r="G21" s="37" t="s">
        <v>790</v>
      </c>
      <c r="H21" s="37" t="s">
        <v>794</v>
      </c>
      <c r="I21" s="37">
        <v>1</v>
      </c>
      <c r="J21" s="37">
        <v>750</v>
      </c>
      <c r="K21" s="37" t="s">
        <v>236</v>
      </c>
      <c r="L21" s="37">
        <f>SUMIF(Wine1!A:A,Drank!A21,Wine1!I:I)</f>
        <v>8</v>
      </c>
      <c r="M21" s="37">
        <v>2017</v>
      </c>
      <c r="N21" s="37">
        <v>2030</v>
      </c>
      <c r="O21" s="37">
        <v>2027</v>
      </c>
      <c r="P21" s="37">
        <v>2030</v>
      </c>
      <c r="Q21" s="37">
        <v>97</v>
      </c>
      <c r="R21" s="37">
        <v>92</v>
      </c>
      <c r="S21" s="7">
        <f>AVERAGEIF(A:A,A21,R:R)</f>
        <v>92</v>
      </c>
      <c r="T21" s="1">
        <v>44067</v>
      </c>
      <c r="U21" s="13" t="str">
        <f t="shared" si="15"/>
        <v>August</v>
      </c>
      <c r="V21" s="12">
        <f t="shared" si="11"/>
        <v>44067</v>
      </c>
      <c r="W21" s="11">
        <v>58.647099012408205</v>
      </c>
      <c r="X21" s="37">
        <v>1</v>
      </c>
      <c r="Y21" s="11">
        <f t="shared" si="12"/>
        <v>58.647099012408198</v>
      </c>
      <c r="Z21" s="109"/>
      <c r="AA21" s="37">
        <f>IF(Y21&gt;=Expenses!$C$32,4,IF(Y21&gt;=Expenses!$C$31,3,IF(Y21&gt;=Expenses!$C$30,2,1)))</f>
        <v>3</v>
      </c>
      <c r="AB21" s="37">
        <f t="shared" si="13"/>
        <v>1</v>
      </c>
      <c r="AC21" s="37" t="str">
        <f t="shared" si="14"/>
        <v>2020</v>
      </c>
      <c r="AD21" s="37" t="s">
        <v>1139</v>
      </c>
      <c r="AE21" s="1">
        <v>44060</v>
      </c>
      <c r="AF21" s="13" t="str">
        <f t="shared" si="0"/>
        <v>August</v>
      </c>
      <c r="AG21" s="37" t="str">
        <f t="shared" si="1"/>
        <v>2020</v>
      </c>
      <c r="AH21" s="37">
        <v>6</v>
      </c>
    </row>
    <row r="22" spans="1:34" s="37" customFormat="1" ht="18.75" x14ac:dyDescent="0.3">
      <c r="A22" s="67" t="str">
        <f t="shared" si="16"/>
        <v>1997Vittorio InnocentiVin Santo del Chianti</v>
      </c>
      <c r="B22" s="37">
        <v>1997</v>
      </c>
      <c r="C22" s="37" t="s">
        <v>1730</v>
      </c>
      <c r="D22" s="37" t="s">
        <v>1740</v>
      </c>
      <c r="E22" s="37" t="s">
        <v>1741</v>
      </c>
      <c r="F22" s="37" t="s">
        <v>728</v>
      </c>
      <c r="G22" s="37" t="s">
        <v>790</v>
      </c>
      <c r="H22" s="37" t="s">
        <v>267</v>
      </c>
      <c r="I22" s="37">
        <v>1</v>
      </c>
      <c r="J22" s="37">
        <v>375</v>
      </c>
      <c r="K22" s="37" t="s">
        <v>236</v>
      </c>
      <c r="L22" s="37">
        <f>SUMIF(Wine1!A:A,Drank!A22,Wine1!I:I)</f>
        <v>0</v>
      </c>
      <c r="P22" s="37">
        <v>2030</v>
      </c>
      <c r="R22" s="37">
        <v>90</v>
      </c>
      <c r="S22" s="7">
        <f>AVERAGEIF(A:A,A22,R:R)</f>
        <v>90</v>
      </c>
      <c r="T22" s="1">
        <v>44066</v>
      </c>
      <c r="U22" s="13" t="str">
        <f t="shared" si="15"/>
        <v>August</v>
      </c>
      <c r="V22" s="12">
        <f t="shared" si="11"/>
        <v>44066</v>
      </c>
      <c r="W22" s="11">
        <v>66.260000000000005</v>
      </c>
      <c r="X22" s="37">
        <v>1</v>
      </c>
      <c r="Y22" s="11">
        <f t="shared" si="12"/>
        <v>132.52000000000001</v>
      </c>
      <c r="Z22" s="109"/>
      <c r="AA22" s="37">
        <f>IF(Y22&gt;=Expenses!$C$32,4,IF(Y22&gt;=Expenses!$C$31,3,IF(Y22&gt;=Expenses!$C$30,2,1)))</f>
        <v>4</v>
      </c>
      <c r="AB22" s="37">
        <f t="shared" si="13"/>
        <v>0.5</v>
      </c>
      <c r="AC22" s="37" t="str">
        <f t="shared" si="14"/>
        <v>2020</v>
      </c>
      <c r="AD22" s="37" t="s">
        <v>1709</v>
      </c>
      <c r="AE22" s="1">
        <v>44062</v>
      </c>
      <c r="AF22" s="13" t="str">
        <f t="shared" si="0"/>
        <v>August</v>
      </c>
      <c r="AG22" s="37" t="str">
        <f>TEXT(AE22,"yyyy")</f>
        <v>2020</v>
      </c>
    </row>
    <row r="23" spans="1:34" s="37" customFormat="1" ht="18.75" x14ac:dyDescent="0.3">
      <c r="A23" s="67" t="str">
        <f t="shared" si="16"/>
        <v>2010Cosimo TaurinoSalice Salentino Riserva</v>
      </c>
      <c r="B23" s="37">
        <v>2010</v>
      </c>
      <c r="C23" s="37" t="s">
        <v>56</v>
      </c>
      <c r="D23" s="37" t="s">
        <v>57</v>
      </c>
      <c r="E23" s="37" t="s">
        <v>1204</v>
      </c>
      <c r="F23" s="37" t="s">
        <v>728</v>
      </c>
      <c r="G23" s="37" t="s">
        <v>785</v>
      </c>
      <c r="H23" s="37" t="s">
        <v>769</v>
      </c>
      <c r="I23" s="37">
        <v>1</v>
      </c>
      <c r="J23" s="37">
        <v>750</v>
      </c>
      <c r="K23" s="37" t="s">
        <v>58</v>
      </c>
      <c r="L23" s="37">
        <f>SUMIF(Wine1!A:A,Drank!A23,Wine1!I:I)</f>
        <v>19</v>
      </c>
      <c r="O23" s="37">
        <v>2020</v>
      </c>
      <c r="P23" s="37">
        <v>2021</v>
      </c>
      <c r="R23" s="37">
        <v>88</v>
      </c>
      <c r="S23" s="7">
        <f>AVERAGEIF(A:A,A23,R:R)</f>
        <v>89.46875</v>
      </c>
      <c r="T23" s="1">
        <v>44066</v>
      </c>
      <c r="U23" s="13" t="str">
        <f t="shared" si="15"/>
        <v>August</v>
      </c>
      <c r="V23" s="12">
        <f t="shared" si="11"/>
        <v>44066</v>
      </c>
      <c r="W23" s="11">
        <v>14.66</v>
      </c>
      <c r="X23" s="37">
        <v>0</v>
      </c>
      <c r="Y23" s="11">
        <f t="shared" si="12"/>
        <v>14.66</v>
      </c>
      <c r="Z23" s="109"/>
      <c r="AA23" s="37">
        <f>IF(Y23&gt;=Expenses!$C$32,4,IF(Y23&gt;=Expenses!$C$31,3,IF(Y23&gt;=Expenses!$C$30,2,1)))</f>
        <v>1</v>
      </c>
      <c r="AB23" s="37">
        <f t="shared" si="13"/>
        <v>1</v>
      </c>
      <c r="AC23" s="37" t="str">
        <f t="shared" si="14"/>
        <v>2020</v>
      </c>
      <c r="AD23" s="37" t="s">
        <v>1128</v>
      </c>
      <c r="AE23" s="1">
        <v>43966</v>
      </c>
      <c r="AF23" s="13" t="str">
        <f t="shared" si="0"/>
        <v>May</v>
      </c>
      <c r="AG23" s="37" t="str">
        <f>TEXT(AE23,"yyyy")</f>
        <v>2020</v>
      </c>
    </row>
    <row r="24" spans="1:34" s="37" customFormat="1" ht="18.75" x14ac:dyDescent="0.3">
      <c r="A24" s="67" t="str">
        <f t="shared" si="16"/>
        <v>2015CaparzoBrunello di Montalcino</v>
      </c>
      <c r="B24" s="37">
        <v>2015</v>
      </c>
      <c r="C24" s="37" t="s">
        <v>28</v>
      </c>
      <c r="D24" s="37" t="s">
        <v>19</v>
      </c>
      <c r="E24" s="37" t="s">
        <v>1250</v>
      </c>
      <c r="F24" s="37" t="s">
        <v>728</v>
      </c>
      <c r="G24" s="37" t="s">
        <v>790</v>
      </c>
      <c r="H24" s="37" t="s">
        <v>19</v>
      </c>
      <c r="I24" s="37">
        <v>1</v>
      </c>
      <c r="J24" s="37">
        <v>750</v>
      </c>
      <c r="K24" s="37" t="s">
        <v>236</v>
      </c>
      <c r="L24" s="37">
        <f>SUMIF(Wine1!A:A,Drank!A24,Wine1!I:I)</f>
        <v>0</v>
      </c>
      <c r="M24" s="37">
        <v>2021</v>
      </c>
      <c r="N24" s="37">
        <v>2030</v>
      </c>
      <c r="P24" s="37">
        <v>2025</v>
      </c>
      <c r="Q24" s="37">
        <v>93</v>
      </c>
      <c r="R24" s="37">
        <v>90</v>
      </c>
      <c r="S24" s="7">
        <f>AVERAGEIF(A:A,A24,R:R)</f>
        <v>90</v>
      </c>
      <c r="T24" s="1">
        <v>44066</v>
      </c>
      <c r="U24" s="13" t="str">
        <f t="shared" si="15"/>
        <v>August</v>
      </c>
      <c r="V24" s="12">
        <f t="shared" si="11"/>
        <v>44066</v>
      </c>
      <c r="W24" s="11">
        <v>39.094807292985564</v>
      </c>
      <c r="X24" s="37">
        <v>1</v>
      </c>
      <c r="Y24" s="11">
        <f t="shared" si="12"/>
        <v>39.094807292985564</v>
      </c>
      <c r="Z24" s="109"/>
      <c r="AA24" s="37">
        <f>IF(Y24&gt;=Expenses!$C$32,4,IF(Y24&gt;=Expenses!$C$31,3,IF(Y24&gt;=Expenses!$C$30,2,1)))</f>
        <v>3</v>
      </c>
      <c r="AB24" s="37">
        <f t="shared" si="13"/>
        <v>1</v>
      </c>
      <c r="AC24" s="37" t="str">
        <f t="shared" si="14"/>
        <v>2020</v>
      </c>
      <c r="AD24" s="37" t="s">
        <v>1139</v>
      </c>
      <c r="AE24" s="1">
        <v>44060</v>
      </c>
      <c r="AF24" s="13" t="str">
        <f t="shared" si="0"/>
        <v>August</v>
      </c>
      <c r="AG24" s="37" t="str">
        <f>TEXT(AE24,"yyyy")</f>
        <v>2020</v>
      </c>
      <c r="AH24" s="37">
        <v>2</v>
      </c>
    </row>
    <row r="25" spans="1:34" s="37" customFormat="1" ht="18.75" x14ac:dyDescent="0.3">
      <c r="A25" s="67" t="str">
        <f t="shared" si="16"/>
        <v>2015Vittorio InnocentiRosso di Montepulciano</v>
      </c>
      <c r="B25" s="37">
        <v>2015</v>
      </c>
      <c r="C25" s="37" t="s">
        <v>1730</v>
      </c>
      <c r="D25" s="37" t="s">
        <v>1731</v>
      </c>
      <c r="E25" s="37" t="s">
        <v>1732</v>
      </c>
      <c r="F25" s="37" t="s">
        <v>728</v>
      </c>
      <c r="G25" s="37" t="s">
        <v>790</v>
      </c>
      <c r="H25" s="37" t="s">
        <v>270</v>
      </c>
      <c r="I25" s="37">
        <v>1</v>
      </c>
      <c r="J25" s="37">
        <v>750</v>
      </c>
      <c r="K25" s="37" t="s">
        <v>1795</v>
      </c>
      <c r="L25" s="37">
        <f>SUMIF(Wine1!A:A,Drank!A25,Wine1!I:I)</f>
        <v>0</v>
      </c>
      <c r="P25" s="37">
        <v>2025</v>
      </c>
      <c r="R25" s="37">
        <v>91</v>
      </c>
      <c r="S25" s="7">
        <f>AVERAGEIF(A:A,A25,R:R)</f>
        <v>91</v>
      </c>
      <c r="T25" s="1">
        <v>44065</v>
      </c>
      <c r="U25" s="13" t="str">
        <f t="shared" ref="U25:U36" si="17">TEXT(T25,"mmmm")</f>
        <v>August</v>
      </c>
      <c r="V25" s="12">
        <f t="shared" si="11"/>
        <v>44065</v>
      </c>
      <c r="W25" s="11">
        <v>30.42</v>
      </c>
      <c r="X25" s="37">
        <v>1</v>
      </c>
      <c r="Y25" s="11">
        <f t="shared" si="12"/>
        <v>30.419999999999998</v>
      </c>
      <c r="Z25" s="109"/>
      <c r="AA25" s="37">
        <f>IF(Y25&gt;=Expenses!$C$32,4,IF(Y25&gt;=Expenses!$C$31,3,IF(Y25&gt;=Expenses!$C$30,2,1)))</f>
        <v>3</v>
      </c>
      <c r="AB25" s="37">
        <f t="shared" si="13"/>
        <v>1</v>
      </c>
      <c r="AC25" s="37" t="str">
        <f t="shared" si="14"/>
        <v>2020</v>
      </c>
      <c r="AD25" s="37" t="s">
        <v>1709</v>
      </c>
      <c r="AE25" s="1">
        <v>44062</v>
      </c>
      <c r="AF25" s="13" t="str">
        <f t="shared" si="0"/>
        <v>August</v>
      </c>
      <c r="AG25" s="37" t="str">
        <f t="shared" si="1"/>
        <v>2020</v>
      </c>
    </row>
    <row r="26" spans="1:34" s="37" customFormat="1" ht="18.75" x14ac:dyDescent="0.3">
      <c r="A26" s="67" t="str">
        <f t="shared" si="16"/>
        <v>2018OdderoBarbera d'Alba Superiore</v>
      </c>
      <c r="B26" s="37">
        <v>2018</v>
      </c>
      <c r="C26" s="37" t="s">
        <v>1173</v>
      </c>
      <c r="D26" s="37" t="s">
        <v>1649</v>
      </c>
      <c r="E26" s="37" t="s">
        <v>1651</v>
      </c>
      <c r="F26" s="37" t="s">
        <v>728</v>
      </c>
      <c r="G26" s="37" t="s">
        <v>778</v>
      </c>
      <c r="H26" s="37" t="s">
        <v>1650</v>
      </c>
      <c r="I26" s="37">
        <v>1</v>
      </c>
      <c r="J26" s="37">
        <v>750</v>
      </c>
      <c r="K26" s="37" t="s">
        <v>236</v>
      </c>
      <c r="L26" s="37">
        <f>SUMIF(Wine1!A:A,Drank!A26,Wine1!I:I)</f>
        <v>0</v>
      </c>
      <c r="M26" s="37">
        <v>2020</v>
      </c>
      <c r="N26" s="37">
        <v>2025</v>
      </c>
      <c r="P26" s="37">
        <v>2025</v>
      </c>
      <c r="Q26" s="37">
        <v>92</v>
      </c>
      <c r="R26" s="37">
        <v>87</v>
      </c>
      <c r="S26" s="7">
        <f>AVERAGEIF(A:A,A26,R:R)</f>
        <v>87</v>
      </c>
      <c r="T26" s="1">
        <v>44065</v>
      </c>
      <c r="U26" s="13" t="str">
        <f t="shared" si="17"/>
        <v>August</v>
      </c>
      <c r="V26" s="12">
        <f t="shared" si="11"/>
        <v>44065</v>
      </c>
      <c r="W26" s="11">
        <v>18.97</v>
      </c>
      <c r="X26" s="37">
        <v>1</v>
      </c>
      <c r="Y26" s="11">
        <f t="shared" si="12"/>
        <v>18.97</v>
      </c>
      <c r="Z26" s="109"/>
      <c r="AA26" s="37">
        <f>IF(Y26&gt;=Expenses!$C$32,4,IF(Y26&gt;=Expenses!$C$31,3,IF(Y26&gt;=Expenses!$C$30,2,1)))</f>
        <v>2</v>
      </c>
      <c r="AB26" s="37">
        <f t="shared" si="13"/>
        <v>1</v>
      </c>
      <c r="AC26" s="37" t="str">
        <f t="shared" si="14"/>
        <v>2020</v>
      </c>
      <c r="AD26" s="37" t="s">
        <v>1645</v>
      </c>
      <c r="AE26" s="1">
        <v>44060</v>
      </c>
      <c r="AF26" s="13" t="str">
        <f t="shared" si="0"/>
        <v>August</v>
      </c>
      <c r="AG26" s="37" t="str">
        <f t="shared" si="1"/>
        <v>2020</v>
      </c>
      <c r="AH26" s="37">
        <v>3</v>
      </c>
    </row>
    <row r="27" spans="1:34" s="37" customFormat="1" ht="18.75" x14ac:dyDescent="0.3">
      <c r="A27" s="67" t="str">
        <f t="shared" si="16"/>
        <v>2015Vittorio InnocentiChianti dei Colli Senesi</v>
      </c>
      <c r="B27" s="37">
        <v>2015</v>
      </c>
      <c r="C27" s="37" t="s">
        <v>1730</v>
      </c>
      <c r="D27" s="37" t="s">
        <v>1735</v>
      </c>
      <c r="E27" s="37" t="s">
        <v>1737</v>
      </c>
      <c r="F27" s="37" t="s">
        <v>728</v>
      </c>
      <c r="G27" s="37" t="s">
        <v>790</v>
      </c>
      <c r="H27" s="37" t="s">
        <v>1736</v>
      </c>
      <c r="I27" s="37">
        <v>1</v>
      </c>
      <c r="J27" s="37">
        <v>750</v>
      </c>
      <c r="K27" s="37" t="s">
        <v>1795</v>
      </c>
      <c r="L27" s="37">
        <f>SUMIF(Wine1!A:A,Drank!A27,Wine1!I:I)</f>
        <v>0</v>
      </c>
      <c r="P27" s="37">
        <v>2027</v>
      </c>
      <c r="R27" s="37">
        <v>92</v>
      </c>
      <c r="S27" s="7">
        <f>AVERAGEIF(A:A,A27,R:R)</f>
        <v>92</v>
      </c>
      <c r="T27" s="1">
        <v>44064</v>
      </c>
      <c r="U27" s="13" t="str">
        <f t="shared" si="17"/>
        <v>August</v>
      </c>
      <c r="V27" s="12">
        <f t="shared" si="11"/>
        <v>44064</v>
      </c>
      <c r="W27" s="11">
        <v>28.24</v>
      </c>
      <c r="X27" s="37">
        <v>1</v>
      </c>
      <c r="Y27" s="11">
        <f t="shared" si="12"/>
        <v>28.24</v>
      </c>
      <c r="Z27" s="109"/>
      <c r="AA27" s="37">
        <f>IF(Y27&gt;=Expenses!$C$32,4,IF(Y27&gt;=Expenses!$C$31,3,IF(Y27&gt;=Expenses!$C$30,2,1)))</f>
        <v>2</v>
      </c>
      <c r="AB27" s="37">
        <f t="shared" si="13"/>
        <v>1</v>
      </c>
      <c r="AC27" s="37" t="str">
        <f t="shared" si="14"/>
        <v>2020</v>
      </c>
      <c r="AD27" s="37" t="s">
        <v>1709</v>
      </c>
      <c r="AE27" s="1">
        <v>44062</v>
      </c>
      <c r="AF27" s="13" t="str">
        <f t="shared" si="0"/>
        <v>August</v>
      </c>
      <c r="AG27" s="37" t="str">
        <f>TEXT(AE27,"yyyy")</f>
        <v>2020</v>
      </c>
      <c r="AH27" s="37">
        <v>5</v>
      </c>
    </row>
    <row r="28" spans="1:34" s="37" customFormat="1" ht="18.75" x14ac:dyDescent="0.3">
      <c r="A28" s="67" t="str">
        <f t="shared" si="16"/>
        <v>2017Osvaldo VibertiNascetta Papalot</v>
      </c>
      <c r="B28" s="37">
        <v>2017</v>
      </c>
      <c r="C28" s="37" t="s">
        <v>1707</v>
      </c>
      <c r="D28" s="37" t="s">
        <v>1708</v>
      </c>
      <c r="E28" s="37" t="s">
        <v>1710</v>
      </c>
      <c r="F28" s="37" t="s">
        <v>728</v>
      </c>
      <c r="G28" s="37" t="s">
        <v>778</v>
      </c>
      <c r="H28" s="37" t="s">
        <v>1193</v>
      </c>
      <c r="I28" s="37">
        <v>1</v>
      </c>
      <c r="J28" s="37">
        <v>750</v>
      </c>
      <c r="K28" s="37" t="s">
        <v>435</v>
      </c>
      <c r="L28" s="37">
        <f>SUMIF(Wine1!A:A,Drank!A28,Wine1!I:I)</f>
        <v>0</v>
      </c>
      <c r="P28" s="37">
        <v>2022</v>
      </c>
      <c r="R28" s="37">
        <v>91</v>
      </c>
      <c r="S28" s="7">
        <f>AVERAGEIF(A:A,A28,R:R)</f>
        <v>91</v>
      </c>
      <c r="T28" s="1">
        <v>44064</v>
      </c>
      <c r="U28" s="13" t="str">
        <f t="shared" si="17"/>
        <v>August</v>
      </c>
      <c r="V28" s="12">
        <f t="shared" si="11"/>
        <v>44064</v>
      </c>
      <c r="W28" s="11">
        <v>24.98</v>
      </c>
      <c r="X28" s="37">
        <v>0</v>
      </c>
      <c r="Y28" s="11">
        <f t="shared" si="12"/>
        <v>24.98</v>
      </c>
      <c r="Z28" s="109"/>
      <c r="AA28" s="37">
        <f>IF(Y28&gt;=Expenses!$C$32,4,IF(Y28&gt;=Expenses!$C$31,3,IF(Y28&gt;=Expenses!$C$30,2,1)))</f>
        <v>2</v>
      </c>
      <c r="AB28" s="37">
        <f t="shared" si="13"/>
        <v>1</v>
      </c>
      <c r="AC28" s="37" t="str">
        <f t="shared" si="14"/>
        <v>2020</v>
      </c>
      <c r="AD28" s="37" t="s">
        <v>1709</v>
      </c>
      <c r="AE28" s="1">
        <v>44062</v>
      </c>
      <c r="AF28" s="13" t="str">
        <f t="shared" si="0"/>
        <v>August</v>
      </c>
      <c r="AG28" s="37" t="str">
        <f>TEXT(AE28,"yyyy")</f>
        <v>2020</v>
      </c>
      <c r="AH28" s="37">
        <v>1</v>
      </c>
    </row>
    <row r="29" spans="1:34" s="37" customFormat="1" ht="18.75" x14ac:dyDescent="0.3">
      <c r="A29" s="67" t="str">
        <f>CONCATENATE(B29,C29,D29)</f>
        <v>2016UccellieraRapace</v>
      </c>
      <c r="B29" s="37">
        <v>2016</v>
      </c>
      <c r="C29" s="37" t="s">
        <v>1470</v>
      </c>
      <c r="D29" s="37" t="s">
        <v>1635</v>
      </c>
      <c r="E29" s="37" t="s">
        <v>1636</v>
      </c>
      <c r="F29" s="37" t="s">
        <v>728</v>
      </c>
      <c r="G29" s="37" t="s">
        <v>790</v>
      </c>
      <c r="H29" s="37" t="s">
        <v>796</v>
      </c>
      <c r="I29" s="37">
        <v>1</v>
      </c>
      <c r="J29" s="37">
        <v>750</v>
      </c>
      <c r="K29" s="37" t="s">
        <v>1427</v>
      </c>
      <c r="L29" s="37">
        <f>SUMIF(Wine1!A:A,Drank!A29,Wine1!I:I)</f>
        <v>0</v>
      </c>
      <c r="M29" s="37">
        <v>2020</v>
      </c>
      <c r="N29" s="37">
        <v>2030</v>
      </c>
      <c r="P29" s="37">
        <v>2034</v>
      </c>
      <c r="Q29" s="37">
        <v>94</v>
      </c>
      <c r="R29" s="37">
        <v>92</v>
      </c>
      <c r="S29" s="7">
        <f>AVERAGEIF(A:A,A29,R:R)</f>
        <v>92</v>
      </c>
      <c r="T29" s="1">
        <v>44063</v>
      </c>
      <c r="U29" s="13" t="str">
        <f t="shared" si="17"/>
        <v>August</v>
      </c>
      <c r="V29" s="12">
        <f t="shared" ref="V29:V44" si="18">T29</f>
        <v>44063</v>
      </c>
      <c r="W29" s="11">
        <v>38.805659416936606</v>
      </c>
      <c r="X29" s="37" t="s">
        <v>1120</v>
      </c>
      <c r="Y29" s="11">
        <f t="shared" ref="Y29:Y44" si="19">W29/J29*750</f>
        <v>38.805659416936606</v>
      </c>
      <c r="Z29" s="109"/>
      <c r="AA29" s="37">
        <f>IF(Y29&gt;=Expenses!$C$32,4,IF(Y29&gt;=Expenses!$C$31,3,IF(Y29&gt;=Expenses!$C$30,2,1)))</f>
        <v>3</v>
      </c>
      <c r="AB29" s="37">
        <f t="shared" ref="AB29:AB44" si="20">J29/750</f>
        <v>1</v>
      </c>
      <c r="AC29" s="37" t="str">
        <f t="shared" ref="AC29:AC44" si="21">TEXT(T29,"yyyy")</f>
        <v>2020</v>
      </c>
      <c r="AD29" s="37" t="s">
        <v>1139</v>
      </c>
      <c r="AE29" s="1">
        <v>44060</v>
      </c>
      <c r="AF29" s="13" t="str">
        <f t="shared" si="0"/>
        <v>August</v>
      </c>
      <c r="AG29" s="37" t="str">
        <f t="shared" si="1"/>
        <v>2020</v>
      </c>
      <c r="AH29" s="37">
        <v>6</v>
      </c>
    </row>
    <row r="30" spans="1:34" s="37" customFormat="1" ht="18.75" x14ac:dyDescent="0.3">
      <c r="A30" s="67" t="str">
        <f>CONCATENATE(B30,C30,D30)</f>
        <v>2015Resalte de PeñafielOrigen de Resalte</v>
      </c>
      <c r="B30" s="37">
        <v>2015</v>
      </c>
      <c r="C30" s="37" t="s">
        <v>1246</v>
      </c>
      <c r="D30" s="37" t="s">
        <v>1247</v>
      </c>
      <c r="E30" s="37" t="s">
        <v>1220</v>
      </c>
      <c r="F30" s="37" t="s">
        <v>729</v>
      </c>
      <c r="G30" s="37" t="s">
        <v>1718</v>
      </c>
      <c r="H30" s="37" t="s">
        <v>818</v>
      </c>
      <c r="I30" s="37">
        <v>1</v>
      </c>
      <c r="J30" s="37">
        <v>750</v>
      </c>
      <c r="K30" s="37" t="s">
        <v>1541</v>
      </c>
      <c r="L30" s="37">
        <f>SUMIF(Wine1!A:A,Drank!A30,Wine1!I:I)</f>
        <v>2</v>
      </c>
      <c r="M30" s="37">
        <v>2018</v>
      </c>
      <c r="N30" s="37">
        <v>2021</v>
      </c>
      <c r="O30" s="37">
        <v>2021</v>
      </c>
      <c r="P30" s="37">
        <v>2023</v>
      </c>
      <c r="Q30" s="37">
        <v>91</v>
      </c>
      <c r="R30" s="37">
        <v>90</v>
      </c>
      <c r="S30" s="7">
        <f>AVERAGEIF(A:A,A30,R:R)</f>
        <v>90</v>
      </c>
      <c r="T30" s="1">
        <v>44062</v>
      </c>
      <c r="U30" s="13" t="str">
        <f t="shared" si="17"/>
        <v>August</v>
      </c>
      <c r="V30" s="12">
        <f t="shared" si="18"/>
        <v>44062</v>
      </c>
      <c r="W30" s="11">
        <v>19.989999999999998</v>
      </c>
      <c r="X30" s="37">
        <v>1</v>
      </c>
      <c r="Y30" s="11">
        <f t="shared" si="19"/>
        <v>19.989999999999998</v>
      </c>
      <c r="Z30" s="109"/>
      <c r="AA30" s="37">
        <f>IF(Y30&gt;=Expenses!$C$32,4,IF(Y30&gt;=Expenses!$C$31,3,IF(Y30&gt;=Expenses!$C$30,2,1)))</f>
        <v>2</v>
      </c>
      <c r="AB30" s="37">
        <f t="shared" si="20"/>
        <v>1</v>
      </c>
      <c r="AC30" s="37" t="str">
        <f t="shared" si="21"/>
        <v>2020</v>
      </c>
      <c r="AD30" s="37" t="s">
        <v>384</v>
      </c>
      <c r="AE30" s="1">
        <v>43871</v>
      </c>
      <c r="AF30" s="13" t="str">
        <f t="shared" si="0"/>
        <v>February</v>
      </c>
      <c r="AG30" s="37" t="str">
        <f t="shared" si="1"/>
        <v>2020</v>
      </c>
      <c r="AH30" s="37">
        <v>3</v>
      </c>
    </row>
    <row r="31" spans="1:34" s="37" customFormat="1" ht="18.75" x14ac:dyDescent="0.3">
      <c r="A31" s="67" t="str">
        <f>CONCATENATE(B31,C31,D31)</f>
        <v>2009Hermanos Perez PascuasEl Pedrosal Reserva</v>
      </c>
      <c r="B31" s="37">
        <v>2009</v>
      </c>
      <c r="C31" s="37" t="s">
        <v>1543</v>
      </c>
      <c r="D31" s="37" t="s">
        <v>1544</v>
      </c>
      <c r="E31" s="37" t="s">
        <v>276</v>
      </c>
      <c r="F31" s="37" t="s">
        <v>729</v>
      </c>
      <c r="G31" s="37" t="s">
        <v>1718</v>
      </c>
      <c r="H31" s="37" t="s">
        <v>818</v>
      </c>
      <c r="I31" s="37">
        <v>1</v>
      </c>
      <c r="J31" s="37">
        <v>750</v>
      </c>
      <c r="K31" s="37" t="s">
        <v>236</v>
      </c>
      <c r="L31" s="37">
        <f>SUMIF(Wine1!A:A,Drank!A31,Wine1!I:I)</f>
        <v>17</v>
      </c>
      <c r="M31" s="37">
        <v>2020</v>
      </c>
      <c r="N31" s="37">
        <v>2029</v>
      </c>
      <c r="O31" s="37">
        <v>2020</v>
      </c>
      <c r="P31" s="37">
        <v>2027</v>
      </c>
      <c r="Q31" s="37">
        <v>95</v>
      </c>
      <c r="R31" s="37">
        <v>95</v>
      </c>
      <c r="S31" s="7">
        <f>AVERAGEIF(A:A,A31,R:R)</f>
        <v>94.5</v>
      </c>
      <c r="T31" s="1">
        <v>44062</v>
      </c>
      <c r="U31" s="13" t="str">
        <f t="shared" si="17"/>
        <v>August</v>
      </c>
      <c r="V31" s="12">
        <f t="shared" si="18"/>
        <v>44062</v>
      </c>
      <c r="W31" s="11">
        <v>28.131434521055066</v>
      </c>
      <c r="X31" s="37">
        <v>1</v>
      </c>
      <c r="Y31" s="11">
        <f t="shared" si="19"/>
        <v>28.131434521055063</v>
      </c>
      <c r="Z31" s="109"/>
      <c r="AA31" s="37">
        <f>IF(Y31&gt;=Expenses!$C$32,4,IF(Y31&gt;=Expenses!$C$31,3,IF(Y31&gt;=Expenses!$C$30,2,1)))</f>
        <v>2</v>
      </c>
      <c r="AB31" s="37">
        <f t="shared" si="20"/>
        <v>1</v>
      </c>
      <c r="AC31" s="37" t="str">
        <f t="shared" si="21"/>
        <v>2020</v>
      </c>
      <c r="AD31" s="37" t="s">
        <v>1139</v>
      </c>
      <c r="AE31" s="1">
        <v>44060</v>
      </c>
      <c r="AF31" s="13" t="str">
        <f t="shared" si="0"/>
        <v>August</v>
      </c>
      <c r="AG31" s="37" t="str">
        <f t="shared" si="1"/>
        <v>2020</v>
      </c>
      <c r="AH31" s="37">
        <v>5</v>
      </c>
    </row>
    <row r="32" spans="1:34" s="37" customFormat="1" ht="18.75" x14ac:dyDescent="0.3">
      <c r="A32" s="67" t="str">
        <f>CONCATENATE(B32,C32,D32)</f>
        <v>2005EscuderoVidau</v>
      </c>
      <c r="B32" s="37">
        <v>2005</v>
      </c>
      <c r="C32" s="37" t="s">
        <v>217</v>
      </c>
      <c r="D32" s="37" t="s">
        <v>1658</v>
      </c>
      <c r="E32" s="37" t="s">
        <v>1659</v>
      </c>
      <c r="F32" s="37" t="s">
        <v>729</v>
      </c>
      <c r="G32" s="37" t="s">
        <v>823</v>
      </c>
      <c r="I32" s="37">
        <v>1</v>
      </c>
      <c r="J32" s="37">
        <v>750</v>
      </c>
      <c r="K32" s="37" t="s">
        <v>236</v>
      </c>
      <c r="L32" s="37">
        <f>SUMIF(Wine1!A:A,Drank!A32,Wine1!I:I)</f>
        <v>11</v>
      </c>
      <c r="M32" s="37">
        <v>2010</v>
      </c>
      <c r="N32" s="37">
        <v>2020</v>
      </c>
      <c r="P32" s="37">
        <v>2025</v>
      </c>
      <c r="Q32" s="37" t="s">
        <v>1404</v>
      </c>
      <c r="R32" s="37">
        <v>92</v>
      </c>
      <c r="S32" s="7">
        <f>AVERAGEIF(A:A,A32,R:R)</f>
        <v>92</v>
      </c>
      <c r="T32" s="1">
        <v>44062</v>
      </c>
      <c r="U32" s="13" t="str">
        <f t="shared" si="17"/>
        <v>August</v>
      </c>
      <c r="V32" s="12">
        <f t="shared" si="18"/>
        <v>44062</v>
      </c>
      <c r="W32" s="11">
        <v>21.72</v>
      </c>
      <c r="X32" s="37">
        <v>1</v>
      </c>
      <c r="Y32" s="11">
        <f t="shared" si="19"/>
        <v>21.72</v>
      </c>
      <c r="Z32" s="109"/>
      <c r="AA32" s="37">
        <f>IF(Y32&gt;=Expenses!$C$32,4,IF(Y32&gt;=Expenses!$C$31,3,IF(Y32&gt;=Expenses!$C$30,2,1)))</f>
        <v>2</v>
      </c>
      <c r="AB32" s="37">
        <f t="shared" si="20"/>
        <v>1</v>
      </c>
      <c r="AC32" s="37" t="str">
        <f t="shared" si="21"/>
        <v>2020</v>
      </c>
      <c r="AD32" s="37" t="s">
        <v>384</v>
      </c>
      <c r="AE32" s="1">
        <v>44060</v>
      </c>
      <c r="AF32" s="13" t="str">
        <f t="shared" si="0"/>
        <v>August</v>
      </c>
      <c r="AG32" s="37" t="str">
        <f t="shared" si="1"/>
        <v>2020</v>
      </c>
      <c r="AH32" s="37">
        <v>6</v>
      </c>
    </row>
    <row r="33" spans="1:36" s="37" customFormat="1" ht="18.75" x14ac:dyDescent="0.3">
      <c r="A33" s="67" t="str">
        <f>CONCATENATE(B33,C33,D33)</f>
        <v>2016Castello di AmaChianti Classico Gran Selezione San Lorenzo</v>
      </c>
      <c r="B33" s="37">
        <v>2016</v>
      </c>
      <c r="C33" s="37" t="s">
        <v>75</v>
      </c>
      <c r="D33" s="37" t="s">
        <v>76</v>
      </c>
      <c r="E33" s="37" t="s">
        <v>1620</v>
      </c>
      <c r="F33" s="37" t="s">
        <v>728</v>
      </c>
      <c r="G33" s="37" t="s">
        <v>790</v>
      </c>
      <c r="H33" s="37" t="s">
        <v>1619</v>
      </c>
      <c r="I33" s="37">
        <v>1</v>
      </c>
      <c r="J33" s="37">
        <v>750</v>
      </c>
      <c r="K33" s="37" t="s">
        <v>236</v>
      </c>
      <c r="L33" s="37">
        <f>SUMIF(Wine1!A:A,Drank!A33,Wine1!I:I)</f>
        <v>4</v>
      </c>
      <c r="M33" s="37">
        <v>2020</v>
      </c>
      <c r="N33" s="37">
        <v>2038</v>
      </c>
      <c r="P33" s="37">
        <v>2035</v>
      </c>
      <c r="Q33" s="37">
        <v>95</v>
      </c>
      <c r="R33" s="37">
        <v>94</v>
      </c>
      <c r="S33" s="7">
        <f>AVERAGEIF(A:A,A33,R:R)</f>
        <v>94</v>
      </c>
      <c r="T33" s="1">
        <v>44061</v>
      </c>
      <c r="U33" s="13" t="str">
        <f t="shared" si="17"/>
        <v>August</v>
      </c>
      <c r="V33" s="12">
        <f t="shared" si="18"/>
        <v>44061</v>
      </c>
      <c r="W33" s="11">
        <v>52.39</v>
      </c>
      <c r="X33" s="37">
        <v>1</v>
      </c>
      <c r="Y33" s="11">
        <f t="shared" si="19"/>
        <v>52.39</v>
      </c>
      <c r="Z33" s="109"/>
      <c r="AA33" s="37">
        <f>IF(Y33&gt;=Expenses!$C$32,4,IF(Y33&gt;=Expenses!$C$31,3,IF(Y33&gt;=Expenses!$C$30,2,1)))</f>
        <v>3</v>
      </c>
      <c r="AB33" s="37">
        <f t="shared" si="20"/>
        <v>1</v>
      </c>
      <c r="AC33" s="37" t="str">
        <f t="shared" si="21"/>
        <v>2020</v>
      </c>
      <c r="AD33" s="37" t="s">
        <v>1139</v>
      </c>
      <c r="AE33" s="1">
        <v>44060</v>
      </c>
      <c r="AF33" s="13" t="str">
        <f t="shared" si="0"/>
        <v>August</v>
      </c>
      <c r="AG33" s="37" t="str">
        <f t="shared" si="1"/>
        <v>2020</v>
      </c>
      <c r="AH33" s="37">
        <v>6</v>
      </c>
    </row>
    <row r="34" spans="1:36" s="37" customFormat="1" ht="18.75" x14ac:dyDescent="0.3">
      <c r="A34" s="67" t="str">
        <f t="shared" ref="A34:A47" si="22">CONCATENATE(B34,C34,D34)</f>
        <v>2016PlanetaCerasuolo di Vittoria Classico Dorilli</v>
      </c>
      <c r="B34" s="37">
        <v>2016</v>
      </c>
      <c r="C34" s="37" t="s">
        <v>1351</v>
      </c>
      <c r="D34" s="37" t="s">
        <v>1352</v>
      </c>
      <c r="E34" s="37" t="s">
        <v>1353</v>
      </c>
      <c r="F34" s="37" t="s">
        <v>728</v>
      </c>
      <c r="G34" s="37" t="s">
        <v>788</v>
      </c>
      <c r="H34" s="37" t="s">
        <v>1354</v>
      </c>
      <c r="I34" s="37">
        <v>1</v>
      </c>
      <c r="J34" s="37">
        <v>750</v>
      </c>
      <c r="K34" s="37" t="s">
        <v>652</v>
      </c>
      <c r="L34" s="37">
        <f>SUMIF(Wine1!A:A,Drank!A34,Wine1!I:I)</f>
        <v>2</v>
      </c>
      <c r="M34" s="37">
        <v>2018</v>
      </c>
      <c r="N34" s="37">
        <v>2022</v>
      </c>
      <c r="O34" s="37">
        <v>2021</v>
      </c>
      <c r="P34" s="37">
        <v>2023</v>
      </c>
      <c r="Q34" s="37">
        <v>92</v>
      </c>
      <c r="R34" s="37">
        <v>92</v>
      </c>
      <c r="S34" s="7">
        <f>AVERAGEIF(A:A,A34,R:R)</f>
        <v>90.5</v>
      </c>
      <c r="T34" s="1">
        <v>44060</v>
      </c>
      <c r="U34" s="13" t="str">
        <f t="shared" si="17"/>
        <v>August</v>
      </c>
      <c r="V34" s="12">
        <f t="shared" si="18"/>
        <v>44060</v>
      </c>
      <c r="W34" s="11">
        <v>26.22</v>
      </c>
      <c r="X34" s="37">
        <v>3</v>
      </c>
      <c r="Y34" s="11">
        <f t="shared" si="19"/>
        <v>26.22</v>
      </c>
      <c r="Z34" s="109"/>
      <c r="AA34" s="37">
        <f>IF(Y34&gt;=Expenses!$C$32,4,IF(Y34&gt;=Expenses!$C$31,3,IF(Y34&gt;=Expenses!$C$30,2,1)))</f>
        <v>2</v>
      </c>
      <c r="AB34" s="37">
        <f t="shared" si="20"/>
        <v>1</v>
      </c>
      <c r="AC34" s="37" t="str">
        <f t="shared" si="21"/>
        <v>2020</v>
      </c>
      <c r="AD34" s="37" t="s">
        <v>385</v>
      </c>
      <c r="AE34" s="1">
        <v>43926</v>
      </c>
      <c r="AF34" s="13" t="str">
        <f t="shared" si="0"/>
        <v>April</v>
      </c>
      <c r="AG34" s="37" t="str">
        <f t="shared" si="1"/>
        <v>2020</v>
      </c>
      <c r="AH34" s="37">
        <v>2.5</v>
      </c>
    </row>
    <row r="35" spans="1:36" s="37" customFormat="1" ht="18.75" x14ac:dyDescent="0.3">
      <c r="A35" s="67" t="str">
        <f t="shared" si="22"/>
        <v>2016FontanabiancaBarbaresco</v>
      </c>
      <c r="B35" s="37">
        <v>2016</v>
      </c>
      <c r="C35" s="37" t="s">
        <v>1312</v>
      </c>
      <c r="D35" s="37" t="s">
        <v>249</v>
      </c>
      <c r="E35" s="37" t="s">
        <v>1206</v>
      </c>
      <c r="F35" s="37" t="s">
        <v>728</v>
      </c>
      <c r="G35" s="37" t="s">
        <v>778</v>
      </c>
      <c r="H35" s="37" t="s">
        <v>249</v>
      </c>
      <c r="I35" s="37">
        <v>1</v>
      </c>
      <c r="J35" s="37">
        <v>750</v>
      </c>
      <c r="K35" s="37" t="s">
        <v>589</v>
      </c>
      <c r="L35" s="37">
        <f>SUMIF(Wine1!A:A,Drank!A35,Wine1!I:I)</f>
        <v>3</v>
      </c>
      <c r="M35" s="37">
        <v>2020</v>
      </c>
      <c r="N35" s="37">
        <v>2033</v>
      </c>
      <c r="O35" s="37">
        <v>2022</v>
      </c>
      <c r="P35" s="37">
        <v>2032</v>
      </c>
      <c r="Q35" s="37">
        <v>93</v>
      </c>
      <c r="R35" s="37">
        <v>94</v>
      </c>
      <c r="S35" s="7">
        <f>AVERAGEIF(A:A,A35,R:R)</f>
        <v>93.5</v>
      </c>
      <c r="T35" s="1">
        <v>44059</v>
      </c>
      <c r="U35" s="13" t="str">
        <f t="shared" si="17"/>
        <v>August</v>
      </c>
      <c r="V35" s="12">
        <f t="shared" si="18"/>
        <v>44059</v>
      </c>
      <c r="W35" s="11">
        <v>41.07</v>
      </c>
      <c r="X35" s="37">
        <v>3</v>
      </c>
      <c r="Y35" s="11">
        <f t="shared" si="19"/>
        <v>41.07</v>
      </c>
      <c r="Z35" s="109"/>
      <c r="AA35" s="37">
        <f>IF(Y35&gt;=Expenses!$C$32,4,IF(Y35&gt;=Expenses!$C$31,3,IF(Y35&gt;=Expenses!$C$30,2,1)))</f>
        <v>3</v>
      </c>
      <c r="AB35" s="37">
        <f t="shared" si="20"/>
        <v>1</v>
      </c>
      <c r="AC35" s="37" t="str">
        <f t="shared" si="21"/>
        <v>2020</v>
      </c>
      <c r="AD35" s="37" t="s">
        <v>1128</v>
      </c>
      <c r="AE35" s="1">
        <v>43966</v>
      </c>
      <c r="AF35" s="13" t="str">
        <f t="shared" si="0"/>
        <v>May</v>
      </c>
      <c r="AG35" s="37" t="str">
        <f t="shared" si="1"/>
        <v>2020</v>
      </c>
      <c r="AH35" s="37">
        <v>5</v>
      </c>
    </row>
    <row r="36" spans="1:36" s="37" customFormat="1" ht="18.75" x14ac:dyDescent="0.3">
      <c r="A36" s="67" t="str">
        <f t="shared" si="22"/>
        <v>2015Luna BeberideArt</v>
      </c>
      <c r="B36" s="37">
        <v>2015</v>
      </c>
      <c r="C36" s="37" t="s">
        <v>357</v>
      </c>
      <c r="D36" s="37" t="s">
        <v>670</v>
      </c>
      <c r="E36" s="37" t="s">
        <v>1253</v>
      </c>
      <c r="F36" s="37" t="s">
        <v>729</v>
      </c>
      <c r="G36" s="37" t="s">
        <v>814</v>
      </c>
      <c r="H36" s="37" t="s">
        <v>815</v>
      </c>
      <c r="I36" s="37">
        <v>1</v>
      </c>
      <c r="J36" s="37">
        <v>750</v>
      </c>
      <c r="K36" s="37" t="s">
        <v>929</v>
      </c>
      <c r="L36" s="37">
        <f>SUMIF(Wine1!A:A,Drank!A36,Wine1!I:I)</f>
        <v>2</v>
      </c>
      <c r="M36" s="37">
        <v>2017</v>
      </c>
      <c r="N36" s="37">
        <v>2022</v>
      </c>
      <c r="O36" s="37">
        <v>2022</v>
      </c>
      <c r="P36" s="37">
        <v>2027</v>
      </c>
      <c r="Q36" s="37">
        <v>93</v>
      </c>
      <c r="R36" s="37">
        <v>92</v>
      </c>
      <c r="S36" s="7">
        <f>AVERAGEIF(A:A,A36,R:R)</f>
        <v>92</v>
      </c>
      <c r="T36" s="1">
        <v>44059</v>
      </c>
      <c r="U36" s="13" t="str">
        <f t="shared" si="17"/>
        <v>August</v>
      </c>
      <c r="V36" s="12">
        <f t="shared" si="18"/>
        <v>44059</v>
      </c>
      <c r="W36" s="11">
        <v>22</v>
      </c>
      <c r="X36" s="37">
        <v>1</v>
      </c>
      <c r="Y36" s="11">
        <f t="shared" si="19"/>
        <v>22</v>
      </c>
      <c r="Z36" s="109"/>
      <c r="AA36" s="37">
        <f>IF(Y36&gt;=Expenses!$C$32,4,IF(Y36&gt;=Expenses!$C$31,3,IF(Y36&gt;=Expenses!$C$30,2,1)))</f>
        <v>2</v>
      </c>
      <c r="AB36" s="37">
        <f t="shared" si="20"/>
        <v>1</v>
      </c>
      <c r="AC36" s="37" t="str">
        <f t="shared" si="21"/>
        <v>2020</v>
      </c>
      <c r="AD36" s="37" t="s">
        <v>385</v>
      </c>
      <c r="AE36" s="1"/>
      <c r="AF36" s="13" t="str">
        <f t="shared" si="0"/>
        <v>January</v>
      </c>
      <c r="AG36" s="37" t="str">
        <f t="shared" si="1"/>
        <v>1900</v>
      </c>
      <c r="AH36" s="37">
        <v>2.5</v>
      </c>
    </row>
    <row r="37" spans="1:36" s="37" customFormat="1" ht="18.75" x14ac:dyDescent="0.3">
      <c r="A37" s="67" t="str">
        <f t="shared" si="22"/>
        <v>2017San AlejandroLas Rocas</v>
      </c>
      <c r="B37" s="37">
        <v>2017</v>
      </c>
      <c r="C37" s="37" t="s">
        <v>152</v>
      </c>
      <c r="D37" s="37" t="s">
        <v>153</v>
      </c>
      <c r="E37" s="37" t="s">
        <v>1248</v>
      </c>
      <c r="F37" s="37" t="s">
        <v>729</v>
      </c>
      <c r="G37" s="37" t="s">
        <v>811</v>
      </c>
      <c r="H37" s="37" t="s">
        <v>812</v>
      </c>
      <c r="I37" s="37">
        <v>1</v>
      </c>
      <c r="J37" s="37">
        <v>750</v>
      </c>
      <c r="K37" s="37" t="s">
        <v>839</v>
      </c>
      <c r="L37" s="37">
        <f>SUMIF(Wine1!A:A,Drank!A37,Wine1!I:I)</f>
        <v>3</v>
      </c>
      <c r="O37" s="37">
        <v>2020</v>
      </c>
      <c r="P37" s="37">
        <v>2021</v>
      </c>
      <c r="R37" s="37">
        <v>86</v>
      </c>
      <c r="S37" s="7">
        <f>AVERAGEIF(A:A,A37,R:R)</f>
        <v>88.4</v>
      </c>
      <c r="T37" s="1">
        <v>44058</v>
      </c>
      <c r="U37" s="13" t="str">
        <f t="shared" ref="U37:U44" si="23">TEXT(T37,"mmmm")</f>
        <v>August</v>
      </c>
      <c r="V37" s="12">
        <f t="shared" si="18"/>
        <v>44058</v>
      </c>
      <c r="W37" s="11">
        <v>9.77</v>
      </c>
      <c r="X37" s="37">
        <v>0</v>
      </c>
      <c r="Y37" s="11">
        <f t="shared" si="19"/>
        <v>9.77</v>
      </c>
      <c r="Z37" s="109"/>
      <c r="AA37" s="37">
        <f>IF(Y37&gt;=Expenses!$C$32,4,IF(Y37&gt;=Expenses!$C$31,3,IF(Y37&gt;=Expenses!$C$30,2,1)))</f>
        <v>1</v>
      </c>
      <c r="AB37" s="37">
        <f t="shared" si="20"/>
        <v>1</v>
      </c>
      <c r="AC37" s="37" t="str">
        <f t="shared" si="21"/>
        <v>2020</v>
      </c>
      <c r="AD37" s="37" t="s">
        <v>1128</v>
      </c>
      <c r="AE37" s="1">
        <v>43966</v>
      </c>
      <c r="AF37" s="13" t="str">
        <f t="shared" si="0"/>
        <v>May</v>
      </c>
      <c r="AG37" s="37" t="str">
        <f t="shared" si="1"/>
        <v>2020</v>
      </c>
    </row>
    <row r="38" spans="1:36" s="37" customFormat="1" ht="18.75" x14ac:dyDescent="0.3">
      <c r="A38" s="67" t="str">
        <f t="shared" si="22"/>
        <v>2010Cosimo TaurinoSalice Salentino Riserva</v>
      </c>
      <c r="B38" s="37">
        <v>2010</v>
      </c>
      <c r="C38" s="37" t="s">
        <v>56</v>
      </c>
      <c r="D38" s="37" t="s">
        <v>57</v>
      </c>
      <c r="E38" s="37" t="s">
        <v>1204</v>
      </c>
      <c r="F38" s="37" t="s">
        <v>728</v>
      </c>
      <c r="G38" s="37" t="s">
        <v>785</v>
      </c>
      <c r="H38" s="37" t="s">
        <v>769</v>
      </c>
      <c r="I38" s="37">
        <v>1</v>
      </c>
      <c r="J38" s="37">
        <v>750</v>
      </c>
      <c r="K38" s="37" t="s">
        <v>1316</v>
      </c>
      <c r="L38" s="37">
        <f>SUMIF(Wine1!A:A,Drank!A38,Wine1!I:I)</f>
        <v>19</v>
      </c>
      <c r="O38" s="37">
        <v>2020</v>
      </c>
      <c r="P38" s="37">
        <v>2021</v>
      </c>
      <c r="R38" s="37">
        <v>90</v>
      </c>
      <c r="S38" s="7">
        <f>AVERAGEIF(A:A,A38,R:R)</f>
        <v>89.46875</v>
      </c>
      <c r="T38" s="1">
        <v>44058</v>
      </c>
      <c r="U38" s="13" t="str">
        <f t="shared" si="23"/>
        <v>August</v>
      </c>
      <c r="V38" s="12">
        <f t="shared" si="18"/>
        <v>44058</v>
      </c>
      <c r="W38" s="11">
        <v>14.66</v>
      </c>
      <c r="X38" s="37">
        <v>0</v>
      </c>
      <c r="Y38" s="11">
        <f t="shared" si="19"/>
        <v>14.66</v>
      </c>
      <c r="Z38" s="109"/>
      <c r="AA38" s="37">
        <f>IF(Y38&gt;=Expenses!$C$32,4,IF(Y38&gt;=Expenses!$C$31,3,IF(Y38&gt;=Expenses!$C$30,2,1)))</f>
        <v>1</v>
      </c>
      <c r="AB38" s="37">
        <f t="shared" si="20"/>
        <v>1</v>
      </c>
      <c r="AC38" s="37" t="str">
        <f t="shared" si="21"/>
        <v>2020</v>
      </c>
      <c r="AD38" s="37" t="s">
        <v>1128</v>
      </c>
      <c r="AE38" s="1">
        <v>43966</v>
      </c>
      <c r="AF38" s="13" t="str">
        <f t="shared" si="0"/>
        <v>May</v>
      </c>
      <c r="AG38" s="37" t="str">
        <f t="shared" si="1"/>
        <v>2020</v>
      </c>
      <c r="AH38" s="37">
        <v>0.5</v>
      </c>
    </row>
    <row r="39" spans="1:36" s="37" customFormat="1" ht="18.75" x14ac:dyDescent="0.3">
      <c r="A39" s="67" t="str">
        <f t="shared" si="22"/>
        <v>2016Tenuta di NozzoleChianti Classico Riserva Nozzole</v>
      </c>
      <c r="B39" s="37">
        <v>2016</v>
      </c>
      <c r="C39" s="37" t="s">
        <v>100</v>
      </c>
      <c r="D39" s="37" t="s">
        <v>101</v>
      </c>
      <c r="E39" s="37" t="s">
        <v>399</v>
      </c>
      <c r="F39" s="37" t="s">
        <v>728</v>
      </c>
      <c r="G39" s="37" t="s">
        <v>790</v>
      </c>
      <c r="H39" s="37" t="s">
        <v>792</v>
      </c>
      <c r="I39" s="37">
        <v>1</v>
      </c>
      <c r="J39" s="37">
        <v>750</v>
      </c>
      <c r="K39" s="37" t="s">
        <v>651</v>
      </c>
      <c r="L39" s="37">
        <f>SUMIF(Wine1!A:A,Drank!A39,Wine1!I:I)</f>
        <v>6</v>
      </c>
      <c r="M39" s="37">
        <v>2019</v>
      </c>
      <c r="N39" s="37">
        <v>2027</v>
      </c>
      <c r="O39" s="37">
        <v>2024</v>
      </c>
      <c r="P39" s="37">
        <v>2030</v>
      </c>
      <c r="Q39" s="37">
        <v>92</v>
      </c>
      <c r="R39" s="37">
        <v>91</v>
      </c>
      <c r="S39" s="7">
        <f>AVERAGEIF(A:A,A39,R:R)</f>
        <v>91.333333333333329</v>
      </c>
      <c r="T39" s="1">
        <v>44058</v>
      </c>
      <c r="U39" s="13" t="str">
        <f t="shared" si="23"/>
        <v>August</v>
      </c>
      <c r="V39" s="12">
        <f t="shared" si="18"/>
        <v>44058</v>
      </c>
      <c r="W39" s="11">
        <v>21.51</v>
      </c>
      <c r="X39" s="37">
        <v>1</v>
      </c>
      <c r="Y39" s="11">
        <f t="shared" si="19"/>
        <v>21.51</v>
      </c>
      <c r="Z39" s="109"/>
      <c r="AA39" s="37">
        <f>IF(Y39&gt;=Expenses!$C$32,4,IF(Y39&gt;=Expenses!$C$31,3,IF(Y39&gt;=Expenses!$C$30,2,1)))</f>
        <v>2</v>
      </c>
      <c r="AB39" s="37">
        <f t="shared" si="20"/>
        <v>1</v>
      </c>
      <c r="AC39" s="37" t="str">
        <f t="shared" si="21"/>
        <v>2020</v>
      </c>
      <c r="AD39" s="37" t="s">
        <v>1128</v>
      </c>
      <c r="AE39" s="1">
        <v>43966</v>
      </c>
      <c r="AF39" s="13" t="str">
        <f t="shared" si="0"/>
        <v>May</v>
      </c>
      <c r="AG39" s="37" t="str">
        <f t="shared" si="1"/>
        <v>2020</v>
      </c>
      <c r="AH39" s="37">
        <v>4.5</v>
      </c>
    </row>
    <row r="40" spans="1:36" s="37" customFormat="1" ht="18.75" x14ac:dyDescent="0.3">
      <c r="A40" s="67" t="str">
        <f t="shared" si="22"/>
        <v>1996FontanafreddaBarolo La Delizia</v>
      </c>
      <c r="B40" s="37">
        <v>1996</v>
      </c>
      <c r="C40" s="37" t="s">
        <v>428</v>
      </c>
      <c r="D40" s="37" t="s">
        <v>1401</v>
      </c>
      <c r="E40" s="37" t="s">
        <v>1206</v>
      </c>
      <c r="F40" s="37" t="s">
        <v>728</v>
      </c>
      <c r="G40" s="37" t="s">
        <v>778</v>
      </c>
      <c r="H40" s="37" t="s">
        <v>1402</v>
      </c>
      <c r="I40" s="37">
        <v>1</v>
      </c>
      <c r="J40" s="37">
        <v>750</v>
      </c>
      <c r="K40" s="37" t="s">
        <v>25</v>
      </c>
      <c r="L40" s="37">
        <f>SUMIF(Wine1!A:A,Drank!A40,Wine1!I:I)</f>
        <v>0</v>
      </c>
      <c r="O40" s="37">
        <v>2022</v>
      </c>
      <c r="P40" s="37">
        <v>2025</v>
      </c>
      <c r="R40" s="37">
        <v>93</v>
      </c>
      <c r="S40" s="7">
        <f>AVERAGEIF(A:A,A40,R:R)</f>
        <v>93</v>
      </c>
      <c r="T40" s="1">
        <v>44057</v>
      </c>
      <c r="U40" s="13" t="str">
        <f t="shared" si="23"/>
        <v>August</v>
      </c>
      <c r="V40" s="12">
        <f t="shared" si="18"/>
        <v>44057</v>
      </c>
      <c r="W40" s="11">
        <v>65.16</v>
      </c>
      <c r="X40" s="37">
        <v>1</v>
      </c>
      <c r="Y40" s="11">
        <f t="shared" si="19"/>
        <v>65.16</v>
      </c>
      <c r="Z40" s="109"/>
      <c r="AA40" s="37">
        <f>IF(Y40&gt;=Expenses!$C$32,4,IF(Y40&gt;=Expenses!$C$31,3,IF(Y40&gt;=Expenses!$C$30,2,1)))</f>
        <v>4</v>
      </c>
      <c r="AB40" s="37">
        <f t="shared" si="20"/>
        <v>1</v>
      </c>
      <c r="AC40" s="37" t="str">
        <f t="shared" si="21"/>
        <v>2020</v>
      </c>
      <c r="AD40" s="37" t="s">
        <v>384</v>
      </c>
      <c r="AE40" s="1">
        <v>43966</v>
      </c>
      <c r="AF40" s="13" t="str">
        <f t="shared" si="0"/>
        <v>May</v>
      </c>
      <c r="AG40" s="37" t="str">
        <f t="shared" si="1"/>
        <v>2020</v>
      </c>
      <c r="AH40" s="37">
        <v>6</v>
      </c>
    </row>
    <row r="41" spans="1:36" s="37" customFormat="1" ht="18.75" x14ac:dyDescent="0.3">
      <c r="A41" s="67" t="str">
        <f t="shared" si="22"/>
        <v>2013FontanafreddaBarolo Serralunga</v>
      </c>
      <c r="B41" s="37">
        <v>2013</v>
      </c>
      <c r="C41" s="37" t="s">
        <v>428</v>
      </c>
      <c r="D41" s="37" t="s">
        <v>429</v>
      </c>
      <c r="E41" s="37" t="s">
        <v>1206</v>
      </c>
      <c r="F41" s="37" t="s">
        <v>728</v>
      </c>
      <c r="G41" s="37" t="s">
        <v>778</v>
      </c>
      <c r="H41" s="37" t="s">
        <v>783</v>
      </c>
      <c r="I41" s="37">
        <v>1</v>
      </c>
      <c r="J41" s="37">
        <v>1000</v>
      </c>
      <c r="K41" s="37" t="s">
        <v>1403</v>
      </c>
      <c r="L41" s="37">
        <f>SUMIF(Wine1!A:A,Drank!A41,Wine1!I:I)</f>
        <v>7</v>
      </c>
      <c r="M41" s="37">
        <v>2018</v>
      </c>
      <c r="N41" s="37">
        <v>2030</v>
      </c>
      <c r="O41" s="37">
        <v>2025</v>
      </c>
      <c r="P41" s="37">
        <v>2033</v>
      </c>
      <c r="Q41" s="37">
        <v>92</v>
      </c>
      <c r="R41" s="37">
        <v>91</v>
      </c>
      <c r="S41" s="7">
        <f>AVERAGEIF(A:A,A41,R:R)</f>
        <v>91.5</v>
      </c>
      <c r="T41" s="1">
        <v>44057</v>
      </c>
      <c r="U41" s="13" t="str">
        <f t="shared" si="23"/>
        <v>August</v>
      </c>
      <c r="V41" s="12">
        <f t="shared" si="18"/>
        <v>44057</v>
      </c>
      <c r="W41" s="11">
        <v>32.99</v>
      </c>
      <c r="X41" s="37">
        <v>3</v>
      </c>
      <c r="Y41" s="11">
        <f t="shared" si="19"/>
        <v>24.742500000000003</v>
      </c>
      <c r="Z41" s="109"/>
      <c r="AA41" s="37">
        <f>IF(Y41&gt;=Expenses!$C$32,4,IF(Y41&gt;=Expenses!$C$31,3,IF(Y41&gt;=Expenses!$C$30,2,1)))</f>
        <v>2</v>
      </c>
      <c r="AB41" s="37">
        <f t="shared" si="20"/>
        <v>1.3333333333333333</v>
      </c>
      <c r="AC41" s="37" t="str">
        <f t="shared" si="21"/>
        <v>2020</v>
      </c>
      <c r="AD41" s="37" t="s">
        <v>384</v>
      </c>
      <c r="AE41" s="1"/>
      <c r="AF41" s="13" t="str">
        <f t="shared" si="0"/>
        <v>January</v>
      </c>
      <c r="AG41" s="37" t="str">
        <f t="shared" si="1"/>
        <v>1900</v>
      </c>
      <c r="AH41" s="37">
        <v>5</v>
      </c>
    </row>
    <row r="42" spans="1:36" s="37" customFormat="1" ht="18.75" x14ac:dyDescent="0.3">
      <c r="A42" s="67" t="str">
        <f t="shared" si="22"/>
        <v>2016Tour Saint-MichelChateauneuf du Pape Cuvee du Lion</v>
      </c>
      <c r="B42" s="37">
        <v>2016</v>
      </c>
      <c r="C42" s="37" t="s">
        <v>712</v>
      </c>
      <c r="D42" s="37" t="s">
        <v>1359</v>
      </c>
      <c r="E42" s="37" t="s">
        <v>1360</v>
      </c>
      <c r="F42" s="37" t="s">
        <v>742</v>
      </c>
      <c r="G42" s="37" t="s">
        <v>759</v>
      </c>
      <c r="H42" s="37" t="s">
        <v>762</v>
      </c>
      <c r="I42" s="37">
        <v>1</v>
      </c>
      <c r="J42" s="37">
        <v>750</v>
      </c>
      <c r="K42" s="37" t="s">
        <v>1541</v>
      </c>
      <c r="L42" s="37">
        <f>SUMIF(Wine1!A:A,Drank!A42,Wine1!I:I)</f>
        <v>5</v>
      </c>
      <c r="M42" s="37">
        <v>2018</v>
      </c>
      <c r="N42" s="37">
        <v>2030</v>
      </c>
      <c r="O42" s="37">
        <v>2024</v>
      </c>
      <c r="P42" s="37">
        <v>2030</v>
      </c>
      <c r="Q42" s="37">
        <v>94</v>
      </c>
      <c r="R42" s="37">
        <v>92</v>
      </c>
      <c r="S42" s="7">
        <f>AVERAGEIF(A:A,A42,R:R)</f>
        <v>92</v>
      </c>
      <c r="T42" s="1">
        <v>44056</v>
      </c>
      <c r="U42" s="13" t="str">
        <f t="shared" si="23"/>
        <v>August</v>
      </c>
      <c r="V42" s="12">
        <f t="shared" si="18"/>
        <v>44056</v>
      </c>
      <c r="W42" s="11">
        <v>32.58</v>
      </c>
      <c r="X42" s="37">
        <v>1</v>
      </c>
      <c r="Y42" s="11">
        <f t="shared" si="19"/>
        <v>32.58</v>
      </c>
      <c r="Z42" s="109"/>
      <c r="AA42" s="37">
        <f>IF(Y42&gt;=Expenses!$C$32,4,IF(Y42&gt;=Expenses!$C$31,3,IF(Y42&gt;=Expenses!$C$30,2,1)))</f>
        <v>3</v>
      </c>
      <c r="AB42" s="37">
        <f t="shared" si="20"/>
        <v>1</v>
      </c>
      <c r="AC42" s="37" t="str">
        <f t="shared" si="21"/>
        <v>2020</v>
      </c>
      <c r="AD42" s="37" t="s">
        <v>384</v>
      </c>
      <c r="AE42" s="1">
        <v>43934</v>
      </c>
      <c r="AF42" s="13" t="str">
        <f t="shared" si="0"/>
        <v>April</v>
      </c>
      <c r="AG42" s="37" t="str">
        <f t="shared" si="1"/>
        <v>2020</v>
      </c>
    </row>
    <row r="43" spans="1:36" s="37" customFormat="1" ht="18.75" x14ac:dyDescent="0.3">
      <c r="A43" s="67" t="str">
        <f t="shared" si="22"/>
        <v>2017Georges DuboeufSaint-Amour Chateau de Saint-Amour</v>
      </c>
      <c r="B43" s="37">
        <v>2017</v>
      </c>
      <c r="C43" s="37" t="s">
        <v>335</v>
      </c>
      <c r="D43" s="37" t="s">
        <v>1209</v>
      </c>
      <c r="E43" s="37" t="s">
        <v>1295</v>
      </c>
      <c r="F43" s="37" t="s">
        <v>742</v>
      </c>
      <c r="G43" s="37" t="s">
        <v>745</v>
      </c>
      <c r="H43" s="37" t="s">
        <v>747</v>
      </c>
      <c r="I43" s="37">
        <v>1</v>
      </c>
      <c r="J43" s="37">
        <v>750</v>
      </c>
      <c r="K43" s="37" t="s">
        <v>58</v>
      </c>
      <c r="L43" s="37">
        <f>SUMIF(Wine1!A:A,Drank!A43,Wine1!I:I)</f>
        <v>2</v>
      </c>
      <c r="M43" s="37">
        <v>2018</v>
      </c>
      <c r="N43" s="37">
        <v>2022</v>
      </c>
      <c r="O43" s="37">
        <v>2021</v>
      </c>
      <c r="P43" s="37">
        <v>2023</v>
      </c>
      <c r="Q43" s="37">
        <v>90</v>
      </c>
      <c r="R43" s="37">
        <v>89</v>
      </c>
      <c r="S43" s="7">
        <f>AVERAGEIF(A:A,A43,R:R)</f>
        <v>89.5</v>
      </c>
      <c r="T43" s="1">
        <v>44056</v>
      </c>
      <c r="U43" s="13" t="str">
        <f t="shared" si="23"/>
        <v>August</v>
      </c>
      <c r="V43" s="12">
        <f t="shared" si="18"/>
        <v>44056</v>
      </c>
      <c r="W43" s="11">
        <v>17.989999999999998</v>
      </c>
      <c r="X43" s="37">
        <v>1</v>
      </c>
      <c r="Y43" s="11">
        <f t="shared" si="19"/>
        <v>17.989999999999998</v>
      </c>
      <c r="Z43" s="109"/>
      <c r="AA43" s="37">
        <f>IF(Y43&gt;=Expenses!$C$32,4,IF(Y43&gt;=Expenses!$C$31,3,IF(Y43&gt;=Expenses!$C$30,2,1)))</f>
        <v>2</v>
      </c>
      <c r="AB43" s="37">
        <f t="shared" si="20"/>
        <v>1</v>
      </c>
      <c r="AC43" s="37" t="str">
        <f t="shared" si="21"/>
        <v>2020</v>
      </c>
      <c r="AD43" s="37" t="s">
        <v>384</v>
      </c>
      <c r="AE43" s="1"/>
      <c r="AF43" s="13" t="str">
        <f t="shared" si="0"/>
        <v>January</v>
      </c>
      <c r="AG43" s="37" t="str">
        <f t="shared" si="1"/>
        <v>1900</v>
      </c>
    </row>
    <row r="44" spans="1:36" s="37" customFormat="1" ht="18.75" x14ac:dyDescent="0.3">
      <c r="A44" s="67" t="str">
        <f t="shared" si="22"/>
        <v>2016Raul PerezLa Vizcaina La Vitoriana</v>
      </c>
      <c r="B44" s="37">
        <v>2016</v>
      </c>
      <c r="C44" s="37" t="s">
        <v>1487</v>
      </c>
      <c r="D44" s="37" t="s">
        <v>1488</v>
      </c>
      <c r="E44" s="37" t="s">
        <v>274</v>
      </c>
      <c r="F44" s="37" t="s">
        <v>729</v>
      </c>
      <c r="G44" s="37" t="s">
        <v>814</v>
      </c>
      <c r="H44" s="37" t="s">
        <v>815</v>
      </c>
      <c r="I44" s="37">
        <v>1</v>
      </c>
      <c r="J44" s="37">
        <v>750</v>
      </c>
      <c r="K44" s="37" t="s">
        <v>1427</v>
      </c>
      <c r="L44" s="37">
        <f>SUMIF(Wine1!A:A,Drank!A44,Wine1!I:I)</f>
        <v>0</v>
      </c>
      <c r="M44" s="37">
        <v>2019</v>
      </c>
      <c r="N44" s="37">
        <v>2026</v>
      </c>
      <c r="P44" s="37">
        <v>2028</v>
      </c>
      <c r="Q44" s="37">
        <v>96</v>
      </c>
      <c r="R44" s="37">
        <v>94</v>
      </c>
      <c r="S44" s="7">
        <f>AVERAGEIF(A:A,A44,R:R)</f>
        <v>94</v>
      </c>
      <c r="T44" s="1">
        <v>44056</v>
      </c>
      <c r="U44" s="13" t="str">
        <f t="shared" si="23"/>
        <v>August</v>
      </c>
      <c r="V44" s="12">
        <f t="shared" si="18"/>
        <v>44056</v>
      </c>
      <c r="W44" s="11">
        <v>39.090000000000003</v>
      </c>
      <c r="X44" s="37" t="s">
        <v>1577</v>
      </c>
      <c r="Y44" s="11">
        <f t="shared" si="19"/>
        <v>39.090000000000003</v>
      </c>
      <c r="Z44" s="109"/>
      <c r="AA44" s="37">
        <f>IF(Y44&gt;=Expenses!$C$32,4,IF(Y44&gt;=Expenses!$C$31,3,IF(Y44&gt;=Expenses!$C$30,2,1)))</f>
        <v>3</v>
      </c>
      <c r="AB44" s="37">
        <f t="shared" si="20"/>
        <v>1</v>
      </c>
      <c r="AC44" s="37" t="str">
        <f t="shared" si="21"/>
        <v>2020</v>
      </c>
      <c r="AD44" s="37" t="s">
        <v>371</v>
      </c>
      <c r="AE44" s="1">
        <v>44019</v>
      </c>
      <c r="AF44" s="13" t="str">
        <f t="shared" si="0"/>
        <v>July</v>
      </c>
      <c r="AG44" s="37" t="str">
        <f t="shared" si="1"/>
        <v>2020</v>
      </c>
      <c r="AH44" s="37">
        <v>4.5</v>
      </c>
    </row>
    <row r="45" spans="1:36" s="37" customFormat="1" ht="18.75" x14ac:dyDescent="0.3">
      <c r="A45" s="67" t="str">
        <f t="shared" si="22"/>
        <v>2015Diez-CaballeroCrianza</v>
      </c>
      <c r="B45" s="37">
        <v>2015</v>
      </c>
      <c r="C45" s="37" t="s">
        <v>1216</v>
      </c>
      <c r="D45" s="37" t="s">
        <v>108</v>
      </c>
      <c r="E45" s="37" t="s">
        <v>1220</v>
      </c>
      <c r="F45" s="37" t="s">
        <v>729</v>
      </c>
      <c r="G45" s="37" t="s">
        <v>823</v>
      </c>
      <c r="I45" s="37">
        <v>1</v>
      </c>
      <c r="J45" s="37">
        <v>750</v>
      </c>
      <c r="K45" s="37" t="s">
        <v>236</v>
      </c>
      <c r="L45" s="37">
        <f>SUMIF(Wine1!A:A,Drank!A45,Wine1!I:I)</f>
        <v>4</v>
      </c>
      <c r="M45" s="37">
        <v>2018</v>
      </c>
      <c r="N45" s="37">
        <v>2022</v>
      </c>
      <c r="O45" s="37">
        <v>2021</v>
      </c>
      <c r="P45" s="37">
        <v>2022</v>
      </c>
      <c r="Q45" s="37">
        <v>92</v>
      </c>
      <c r="R45" s="37">
        <v>91</v>
      </c>
      <c r="S45" s="7">
        <f>AVERAGEIF(A:A,A45,R:R)</f>
        <v>91.235294117647058</v>
      </c>
      <c r="T45" s="1">
        <v>44055</v>
      </c>
      <c r="U45" s="13" t="str">
        <f t="shared" ref="U45:U72" si="24">TEXT(T45,"mmmm")</f>
        <v>August</v>
      </c>
      <c r="V45" s="12">
        <f t="shared" ref="V45:V72" si="25">T45</f>
        <v>44055</v>
      </c>
      <c r="W45" s="11">
        <v>14</v>
      </c>
      <c r="X45" s="37">
        <v>3</v>
      </c>
      <c r="Y45" s="11">
        <f t="shared" ref="Y45:Y72" si="26">W45/J45*750</f>
        <v>14.000000000000002</v>
      </c>
      <c r="Z45" s="109"/>
      <c r="AA45" s="37">
        <f>IF(Y45&gt;=Expenses!$C$32,4,IF(Y45&gt;=Expenses!$C$31,3,IF(Y45&gt;=Expenses!$C$30,2,1)))</f>
        <v>1</v>
      </c>
      <c r="AB45" s="37">
        <f t="shared" ref="AB45:AB72" si="27">J45/750</f>
        <v>1</v>
      </c>
      <c r="AC45" s="37" t="str">
        <f t="shared" ref="AC45:AC72" si="28">TEXT(T45,"yyyy")</f>
        <v>2020</v>
      </c>
      <c r="AD45" s="37" t="s">
        <v>384</v>
      </c>
      <c r="AE45" s="1"/>
      <c r="AF45" s="13" t="str">
        <f t="shared" si="0"/>
        <v>January</v>
      </c>
      <c r="AG45" s="37" t="str">
        <f t="shared" si="1"/>
        <v>1900</v>
      </c>
      <c r="AH45" s="37">
        <v>3</v>
      </c>
    </row>
    <row r="46" spans="1:36" s="37" customFormat="1" ht="18.75" x14ac:dyDescent="0.3">
      <c r="A46" s="67" t="str">
        <f t="shared" si="22"/>
        <v>2013Bernabé NavarroTragolargo</v>
      </c>
      <c r="B46" s="37">
        <v>2013</v>
      </c>
      <c r="C46" s="37" t="s">
        <v>1308</v>
      </c>
      <c r="D46" s="37" t="s">
        <v>1309</v>
      </c>
      <c r="E46" s="37" t="s">
        <v>1223</v>
      </c>
      <c r="F46" s="37" t="s">
        <v>729</v>
      </c>
      <c r="G46" s="37" t="s">
        <v>826</v>
      </c>
      <c r="H46" s="37" t="s">
        <v>827</v>
      </c>
      <c r="I46" s="37">
        <v>1</v>
      </c>
      <c r="J46" s="37">
        <v>750</v>
      </c>
      <c r="K46" s="37" t="s">
        <v>839</v>
      </c>
      <c r="L46" s="37">
        <f>SUMIF(Wine1!A:A,Drank!A46,Wine1!I:I)</f>
        <v>1</v>
      </c>
      <c r="M46" s="37">
        <v>2015</v>
      </c>
      <c r="N46" s="37">
        <v>2017</v>
      </c>
      <c r="O46" s="37">
        <v>2020</v>
      </c>
      <c r="P46" s="37">
        <v>2019</v>
      </c>
      <c r="Q46" s="37">
        <v>90</v>
      </c>
      <c r="R46" s="37">
        <v>91</v>
      </c>
      <c r="S46" s="7">
        <f>AVERAGEIF(A:A,A46,R:R)</f>
        <v>90.6</v>
      </c>
      <c r="T46" s="1">
        <v>44054</v>
      </c>
      <c r="U46" s="13" t="str">
        <f t="shared" si="24"/>
        <v>August</v>
      </c>
      <c r="V46" s="12">
        <f t="shared" si="25"/>
        <v>44054</v>
      </c>
      <c r="W46" s="11">
        <v>13.11</v>
      </c>
      <c r="X46" s="37">
        <v>3</v>
      </c>
      <c r="Y46" s="11">
        <f t="shared" si="26"/>
        <v>13.11</v>
      </c>
      <c r="Z46" s="109"/>
      <c r="AA46" s="37">
        <f>IF(Y46&gt;=Expenses!$C$32,4,IF(Y46&gt;=Expenses!$C$31,3,IF(Y46&gt;=Expenses!$C$30,2,1)))</f>
        <v>1</v>
      </c>
      <c r="AB46" s="37">
        <f t="shared" si="27"/>
        <v>1</v>
      </c>
      <c r="AC46" s="37" t="str">
        <f t="shared" si="28"/>
        <v>2020</v>
      </c>
      <c r="AD46" s="37" t="s">
        <v>385</v>
      </c>
      <c r="AE46" s="1">
        <v>43887</v>
      </c>
      <c r="AF46" s="13" t="str">
        <f t="shared" si="0"/>
        <v>February</v>
      </c>
      <c r="AG46" s="37" t="str">
        <f t="shared" si="1"/>
        <v>2020</v>
      </c>
      <c r="AH46" s="37">
        <v>1</v>
      </c>
    </row>
    <row r="47" spans="1:36" s="37" customFormat="1" ht="18.75" x14ac:dyDescent="0.3">
      <c r="A47" s="67" t="str">
        <f t="shared" si="22"/>
        <v>2018Castello RomitorioRomiToro</v>
      </c>
      <c r="B47" s="37">
        <v>2018</v>
      </c>
      <c r="C47" s="37" t="s">
        <v>689</v>
      </c>
      <c r="D47" s="37" t="s">
        <v>1511</v>
      </c>
      <c r="E47" s="37" t="s">
        <v>1271</v>
      </c>
      <c r="F47" s="37" t="s">
        <v>728</v>
      </c>
      <c r="G47" s="37" t="s">
        <v>790</v>
      </c>
      <c r="H47" s="37" t="s">
        <v>796</v>
      </c>
      <c r="I47" s="37">
        <v>1</v>
      </c>
      <c r="J47" s="37">
        <v>750</v>
      </c>
      <c r="K47" s="37" t="s">
        <v>25</v>
      </c>
      <c r="L47" s="37">
        <f>SUMIF(Wine1!A:A,Drank!A47,Wine1!I:I)</f>
        <v>5</v>
      </c>
      <c r="M47" s="37">
        <v>2021</v>
      </c>
      <c r="N47" s="37">
        <v>2030</v>
      </c>
      <c r="O47" s="37">
        <v>2026</v>
      </c>
      <c r="P47" s="37">
        <v>2030</v>
      </c>
      <c r="Q47" s="37" t="s">
        <v>74</v>
      </c>
      <c r="R47" s="37">
        <v>91</v>
      </c>
      <c r="S47" s="7">
        <f>AVERAGEIF(A:A,A47,R:R)</f>
        <v>91</v>
      </c>
      <c r="T47" s="1">
        <v>44053</v>
      </c>
      <c r="U47" s="13" t="str">
        <f t="shared" si="24"/>
        <v>August</v>
      </c>
      <c r="V47" s="12">
        <f t="shared" si="25"/>
        <v>44053</v>
      </c>
      <c r="W47" s="11">
        <v>19.54</v>
      </c>
      <c r="X47" s="37">
        <v>1</v>
      </c>
      <c r="Y47" s="11">
        <f t="shared" si="26"/>
        <v>19.54</v>
      </c>
      <c r="Z47" s="109"/>
      <c r="AA47" s="37">
        <f>IF(Y47&gt;=Expenses!$C$32,4,IF(Y47&gt;=Expenses!$C$31,3,IF(Y47&gt;=Expenses!$C$30,2,1)))</f>
        <v>2</v>
      </c>
      <c r="AB47" s="37">
        <f t="shared" si="27"/>
        <v>1</v>
      </c>
      <c r="AC47" s="37" t="str">
        <f t="shared" si="28"/>
        <v>2020</v>
      </c>
      <c r="AD47" s="37" t="s">
        <v>384</v>
      </c>
      <c r="AE47" s="1">
        <v>44026</v>
      </c>
      <c r="AF47" s="13" t="str">
        <f t="shared" si="0"/>
        <v>July</v>
      </c>
      <c r="AG47" s="37" t="str">
        <f t="shared" si="1"/>
        <v>2020</v>
      </c>
      <c r="AH47" s="37">
        <v>5</v>
      </c>
    </row>
    <row r="48" spans="1:36" s="37" customFormat="1" ht="18.75" x14ac:dyDescent="0.3">
      <c r="A48" s="67" t="str">
        <f t="shared" ref="A48:A64" si="29">CONCATENATE(B48,C48,D48)</f>
        <v>2011Tenuta VitanzaBrunello di Montalcino Riserva Firma</v>
      </c>
      <c r="B48" s="37">
        <v>2011</v>
      </c>
      <c r="C48" s="37" t="s">
        <v>214</v>
      </c>
      <c r="D48" s="37" t="s">
        <v>215</v>
      </c>
      <c r="E48" s="37" t="s">
        <v>1250</v>
      </c>
      <c r="F48" s="37" t="s">
        <v>728</v>
      </c>
      <c r="G48" s="37" t="s">
        <v>790</v>
      </c>
      <c r="H48" s="37" t="s">
        <v>19</v>
      </c>
      <c r="I48" s="37">
        <v>1</v>
      </c>
      <c r="J48" s="37">
        <v>750</v>
      </c>
      <c r="K48" s="37" t="s">
        <v>929</v>
      </c>
      <c r="L48" s="37">
        <f>SUMIF(Wine1!A:A,Drank!A48,Wine1!I:I)</f>
        <v>3</v>
      </c>
      <c r="M48" s="37">
        <v>2017</v>
      </c>
      <c r="N48" s="37">
        <v>2027</v>
      </c>
      <c r="O48" s="37">
        <v>2023</v>
      </c>
      <c r="P48" s="37">
        <v>2027</v>
      </c>
      <c r="Q48" s="37">
        <v>91</v>
      </c>
      <c r="R48" s="37">
        <v>90</v>
      </c>
      <c r="S48" s="7">
        <f>AVERAGEIF(A:A,A48,R:R)</f>
        <v>90</v>
      </c>
      <c r="T48" s="1">
        <v>44052</v>
      </c>
      <c r="U48" s="13" t="str">
        <f t="shared" si="24"/>
        <v>August</v>
      </c>
      <c r="V48" s="12">
        <f t="shared" si="25"/>
        <v>44052</v>
      </c>
      <c r="W48" s="11">
        <v>32.58</v>
      </c>
      <c r="X48" s="37">
        <v>1</v>
      </c>
      <c r="Y48" s="11">
        <f t="shared" si="26"/>
        <v>32.58</v>
      </c>
      <c r="Z48" s="109"/>
      <c r="AA48" s="37">
        <f>IF(Y48&gt;=Expenses!$C$32,4,IF(Y48&gt;=Expenses!$C$31,3,IF(Y48&gt;=Expenses!$C$30,2,1)))</f>
        <v>3</v>
      </c>
      <c r="AB48" s="37">
        <f t="shared" si="27"/>
        <v>1</v>
      </c>
      <c r="AC48" s="37" t="str">
        <f t="shared" si="28"/>
        <v>2020</v>
      </c>
      <c r="AD48" s="37" t="s">
        <v>384</v>
      </c>
      <c r="AE48" s="1">
        <v>43941</v>
      </c>
      <c r="AF48" s="13" t="str">
        <f t="shared" si="0"/>
        <v>April</v>
      </c>
      <c r="AG48" s="37" t="str">
        <f t="shared" si="1"/>
        <v>2020</v>
      </c>
      <c r="AH48" s="37">
        <v>5</v>
      </c>
      <c r="AJ48" s="37" t="s">
        <v>1570</v>
      </c>
    </row>
    <row r="49" spans="1:36" s="37" customFormat="1" ht="18.75" x14ac:dyDescent="0.3">
      <c r="A49" s="67" t="str">
        <f t="shared" si="29"/>
        <v>2014Los Frailes1771</v>
      </c>
      <c r="B49" s="37">
        <v>2014</v>
      </c>
      <c r="C49" s="37" t="s">
        <v>242</v>
      </c>
      <c r="D49" s="37">
        <v>1771</v>
      </c>
      <c r="E49" s="37" t="s">
        <v>1223</v>
      </c>
      <c r="F49" s="37" t="s">
        <v>729</v>
      </c>
      <c r="G49" s="37" t="s">
        <v>826</v>
      </c>
      <c r="I49" s="37">
        <v>1</v>
      </c>
      <c r="J49" s="37">
        <v>750</v>
      </c>
      <c r="K49" s="37" t="s">
        <v>651</v>
      </c>
      <c r="L49" s="37">
        <f>SUMIF(Wine1!A:A,Drank!A49,Wine1!I:I)</f>
        <v>9</v>
      </c>
      <c r="M49" s="37">
        <v>2018</v>
      </c>
      <c r="N49" s="37">
        <v>2023</v>
      </c>
      <c r="O49" s="37">
        <v>2021</v>
      </c>
      <c r="P49" s="37">
        <v>2025</v>
      </c>
      <c r="Q49" s="37">
        <v>93</v>
      </c>
      <c r="R49" s="37">
        <v>92</v>
      </c>
      <c r="S49" s="7">
        <f>AVERAGEIF(A:A,A49,R:R)</f>
        <v>92.4</v>
      </c>
      <c r="T49" s="1">
        <v>44052</v>
      </c>
      <c r="U49" s="13" t="str">
        <f t="shared" si="24"/>
        <v>August</v>
      </c>
      <c r="V49" s="12">
        <f t="shared" si="25"/>
        <v>44052</v>
      </c>
      <c r="W49" s="11">
        <v>19.5</v>
      </c>
      <c r="X49" s="37">
        <v>1</v>
      </c>
      <c r="Y49" s="11">
        <f t="shared" si="26"/>
        <v>19.5</v>
      </c>
      <c r="Z49" s="109"/>
      <c r="AA49" s="37">
        <f>IF(Y49&gt;=Expenses!$C$32,4,IF(Y49&gt;=Expenses!$C$31,3,IF(Y49&gt;=Expenses!$C$30,2,1)))</f>
        <v>2</v>
      </c>
      <c r="AB49" s="37">
        <f t="shared" si="27"/>
        <v>1</v>
      </c>
      <c r="AC49" s="37" t="str">
        <f t="shared" si="28"/>
        <v>2020</v>
      </c>
      <c r="AD49" s="37" t="s">
        <v>385</v>
      </c>
      <c r="AE49" s="1"/>
      <c r="AF49" s="13" t="str">
        <f t="shared" si="0"/>
        <v>January</v>
      </c>
      <c r="AG49" s="37" t="str">
        <f t="shared" si="1"/>
        <v>1900</v>
      </c>
      <c r="AH49" s="37">
        <v>5</v>
      </c>
      <c r="AJ49" s="37" t="s">
        <v>1571</v>
      </c>
    </row>
    <row r="50" spans="1:36" s="37" customFormat="1" ht="18.75" x14ac:dyDescent="0.3">
      <c r="A50" s="67" t="str">
        <f t="shared" si="29"/>
        <v>2013Eighty FourPetit Sirah</v>
      </c>
      <c r="B50" s="37">
        <v>2013</v>
      </c>
      <c r="C50" s="37" t="s">
        <v>318</v>
      </c>
      <c r="D50" s="37" t="s">
        <v>319</v>
      </c>
      <c r="E50" s="37" t="s">
        <v>1332</v>
      </c>
      <c r="F50" s="37" t="s">
        <v>727</v>
      </c>
      <c r="G50" s="37" t="s">
        <v>806</v>
      </c>
      <c r="H50" s="37" t="s">
        <v>832</v>
      </c>
      <c r="I50" s="37">
        <v>1</v>
      </c>
      <c r="J50" s="37">
        <v>750</v>
      </c>
      <c r="K50" s="37" t="s">
        <v>1427</v>
      </c>
      <c r="L50" s="37">
        <f>SUMIF(Wine1!A:A,Drank!A50,Wine1!I:I)</f>
        <v>3</v>
      </c>
      <c r="O50" s="37">
        <v>2023</v>
      </c>
      <c r="P50" s="37">
        <v>2027</v>
      </c>
      <c r="R50" s="37">
        <v>93</v>
      </c>
      <c r="S50" s="7">
        <f>AVERAGEIF(A:A,A50,R:R)</f>
        <v>93</v>
      </c>
      <c r="T50" s="1">
        <v>44051</v>
      </c>
      <c r="U50" s="13" t="str">
        <f t="shared" si="24"/>
        <v>August</v>
      </c>
      <c r="V50" s="12">
        <f t="shared" si="25"/>
        <v>44051</v>
      </c>
      <c r="W50" s="11">
        <v>38.229999999999997</v>
      </c>
      <c r="X50" s="37">
        <v>1</v>
      </c>
      <c r="Y50" s="11">
        <f t="shared" si="26"/>
        <v>38.229999999999997</v>
      </c>
      <c r="Z50" s="109"/>
      <c r="AA50" s="37">
        <f>IF(Y50&gt;=Expenses!$C$32,4,IF(Y50&gt;=Expenses!$C$31,3,IF(Y50&gt;=Expenses!$C$30,2,1)))</f>
        <v>3</v>
      </c>
      <c r="AB50" s="37">
        <f t="shared" si="27"/>
        <v>1</v>
      </c>
      <c r="AC50" s="37" t="str">
        <f t="shared" si="28"/>
        <v>2020</v>
      </c>
      <c r="AD50" s="37" t="s">
        <v>385</v>
      </c>
      <c r="AE50" s="1">
        <v>43923</v>
      </c>
      <c r="AF50" s="13" t="str">
        <f t="shared" si="0"/>
        <v>April</v>
      </c>
      <c r="AG50" s="37" t="str">
        <f t="shared" si="1"/>
        <v>2020</v>
      </c>
      <c r="AH50" s="37">
        <v>2</v>
      </c>
    </row>
    <row r="51" spans="1:36" s="37" customFormat="1" ht="18.75" x14ac:dyDescent="0.3">
      <c r="A51" s="67" t="str">
        <f t="shared" si="29"/>
        <v>2015AllegriniPalazzo della Torre</v>
      </c>
      <c r="B51" s="37">
        <v>2015</v>
      </c>
      <c r="C51" s="37" t="s">
        <v>111</v>
      </c>
      <c r="D51" s="37" t="s">
        <v>112</v>
      </c>
      <c r="E51" s="37" t="s">
        <v>1258</v>
      </c>
      <c r="F51" s="37" t="s">
        <v>728</v>
      </c>
      <c r="G51" s="37" t="s">
        <v>799</v>
      </c>
      <c r="H51" s="37" t="s">
        <v>800</v>
      </c>
      <c r="I51" s="37">
        <v>1</v>
      </c>
      <c r="J51" s="37">
        <v>750</v>
      </c>
      <c r="K51" s="37" t="s">
        <v>1427</v>
      </c>
      <c r="L51" s="37">
        <f>SUMIF(Wine1!A:A,Drank!A51,Wine1!I:I)</f>
        <v>6</v>
      </c>
      <c r="M51" s="37">
        <v>2019</v>
      </c>
      <c r="N51" s="37">
        <v>2025</v>
      </c>
      <c r="O51" s="37">
        <v>2020</v>
      </c>
      <c r="P51" s="37">
        <v>2023</v>
      </c>
      <c r="Q51" s="37" t="s">
        <v>1404</v>
      </c>
      <c r="R51" s="37">
        <v>91</v>
      </c>
      <c r="S51" s="7">
        <f>AVERAGEIF(A:A,A51,R:R)</f>
        <v>90.909090909090907</v>
      </c>
      <c r="T51" s="1">
        <v>44051</v>
      </c>
      <c r="U51" s="13" t="str">
        <f t="shared" si="24"/>
        <v>August</v>
      </c>
      <c r="V51" s="12">
        <f t="shared" si="25"/>
        <v>44051</v>
      </c>
      <c r="W51" s="11">
        <v>19.55</v>
      </c>
      <c r="X51" s="37">
        <v>0</v>
      </c>
      <c r="Y51" s="11">
        <f t="shared" si="26"/>
        <v>19.55</v>
      </c>
      <c r="Z51" s="109"/>
      <c r="AA51" s="37">
        <f>IF(Y51&gt;=Expenses!$C$32,4,IF(Y51&gt;=Expenses!$C$31,3,IF(Y51&gt;=Expenses!$C$30,2,1)))</f>
        <v>2</v>
      </c>
      <c r="AB51" s="37">
        <f t="shared" si="27"/>
        <v>1</v>
      </c>
      <c r="AC51" s="37" t="str">
        <f t="shared" si="28"/>
        <v>2020</v>
      </c>
      <c r="AD51" s="37" t="s">
        <v>1128</v>
      </c>
      <c r="AE51" s="1">
        <v>43966</v>
      </c>
      <c r="AF51" s="13" t="str">
        <f t="shared" si="0"/>
        <v>May</v>
      </c>
      <c r="AG51" s="37" t="str">
        <f t="shared" si="1"/>
        <v>2020</v>
      </c>
    </row>
    <row r="52" spans="1:36" s="37" customFormat="1" ht="18.75" x14ac:dyDescent="0.3">
      <c r="A52" s="67" t="str">
        <f t="shared" si="29"/>
        <v>2015CesariAmarone della Valpolicella Classico</v>
      </c>
      <c r="B52" s="37">
        <v>2015</v>
      </c>
      <c r="C52" s="37" t="s">
        <v>314</v>
      </c>
      <c r="D52" s="37" t="s">
        <v>26</v>
      </c>
      <c r="E52" s="37" t="s">
        <v>1257</v>
      </c>
      <c r="F52" s="37" t="s">
        <v>728</v>
      </c>
      <c r="G52" s="37" t="s">
        <v>799</v>
      </c>
      <c r="H52" s="37" t="s">
        <v>26</v>
      </c>
      <c r="I52" s="37">
        <v>1</v>
      </c>
      <c r="J52" s="37">
        <v>750</v>
      </c>
      <c r="K52" s="37" t="s">
        <v>236</v>
      </c>
      <c r="L52" s="37">
        <f>SUMIF(Wine1!A:A,Drank!A52,Wine1!I:I)</f>
        <v>0</v>
      </c>
      <c r="P52" s="37">
        <v>2025</v>
      </c>
      <c r="R52" s="37">
        <v>87</v>
      </c>
      <c r="S52" s="7">
        <f>AVERAGEIF(A:A,A52,R:R)</f>
        <v>87</v>
      </c>
      <c r="T52" s="1">
        <v>44050</v>
      </c>
      <c r="U52" s="13" t="str">
        <f t="shared" si="24"/>
        <v>August</v>
      </c>
      <c r="V52" s="12">
        <f t="shared" si="25"/>
        <v>44050</v>
      </c>
      <c r="W52" s="11">
        <v>43</v>
      </c>
      <c r="X52" s="37">
        <v>1</v>
      </c>
      <c r="Y52" s="11">
        <f t="shared" si="26"/>
        <v>43</v>
      </c>
      <c r="Z52" s="109"/>
      <c r="AA52" s="37">
        <f>IF(Y52&gt;=Expenses!$C$32,4,IF(Y52&gt;=Expenses!$C$31,3,IF(Y52&gt;=Expenses!$C$30,2,1)))</f>
        <v>3</v>
      </c>
      <c r="AB52" s="37">
        <f t="shared" si="27"/>
        <v>1</v>
      </c>
      <c r="AC52" s="37" t="str">
        <f t="shared" si="28"/>
        <v>2020</v>
      </c>
      <c r="AD52" s="37" t="s">
        <v>1128</v>
      </c>
      <c r="AE52" s="1">
        <v>44037</v>
      </c>
      <c r="AF52" s="13" t="str">
        <f t="shared" si="0"/>
        <v>July</v>
      </c>
      <c r="AG52" s="37" t="str">
        <f t="shared" si="1"/>
        <v>2020</v>
      </c>
    </row>
    <row r="53" spans="1:36" s="37" customFormat="1" ht="18.75" x14ac:dyDescent="0.3">
      <c r="A53" s="67" t="str">
        <f t="shared" si="29"/>
        <v>2015La Rioja AltaVina Alberdi Reserva Tinto</v>
      </c>
      <c r="B53" s="37">
        <v>2015</v>
      </c>
      <c r="C53" s="37" t="s">
        <v>221</v>
      </c>
      <c r="D53" s="37" t="s">
        <v>1496</v>
      </c>
      <c r="E53" s="37" t="s">
        <v>1220</v>
      </c>
      <c r="F53" s="37" t="s">
        <v>729</v>
      </c>
      <c r="G53" s="37" t="s">
        <v>823</v>
      </c>
      <c r="I53" s="37">
        <v>1</v>
      </c>
      <c r="J53" s="37">
        <v>750</v>
      </c>
      <c r="K53" s="37" t="s">
        <v>1427</v>
      </c>
      <c r="L53" s="37">
        <f>SUMIF(Wine1!A:A,Drank!A53,Wine1!I:I)</f>
        <v>0</v>
      </c>
      <c r="P53" s="37">
        <v>2024</v>
      </c>
      <c r="R53" s="37">
        <v>89</v>
      </c>
      <c r="S53" s="7">
        <f>AVERAGEIF(A:A,A53,R:R)</f>
        <v>89</v>
      </c>
      <c r="T53" s="1">
        <v>44048</v>
      </c>
      <c r="U53" s="13" t="str">
        <f t="shared" si="24"/>
        <v>August</v>
      </c>
      <c r="V53" s="12">
        <f t="shared" si="25"/>
        <v>44048</v>
      </c>
      <c r="W53" s="11">
        <v>24.43</v>
      </c>
      <c r="X53" s="37">
        <v>1</v>
      </c>
      <c r="Y53" s="11">
        <f t="shared" si="26"/>
        <v>24.430000000000003</v>
      </c>
      <c r="Z53" s="109"/>
      <c r="AA53" s="37">
        <f>IF(Y53&gt;=Expenses!$C$32,4,IF(Y53&gt;=Expenses!$C$31,3,IF(Y53&gt;=Expenses!$C$30,2,1)))</f>
        <v>2</v>
      </c>
      <c r="AB53" s="37">
        <f t="shared" si="27"/>
        <v>1</v>
      </c>
      <c r="AC53" s="37" t="str">
        <f t="shared" si="28"/>
        <v>2020</v>
      </c>
      <c r="AD53" s="37" t="s">
        <v>371</v>
      </c>
      <c r="AE53" s="1">
        <v>44019</v>
      </c>
      <c r="AF53" s="13" t="str">
        <f t="shared" si="0"/>
        <v>July</v>
      </c>
      <c r="AG53" s="37" t="str">
        <f t="shared" si="1"/>
        <v>2020</v>
      </c>
    </row>
    <row r="54" spans="1:36" s="37" customFormat="1" ht="18.75" x14ac:dyDescent="0.3">
      <c r="A54" s="67" t="str">
        <f t="shared" si="29"/>
        <v>2018Zorzal WinesGran Terroir Pinot Noir</v>
      </c>
      <c r="B54" s="37">
        <v>2018</v>
      </c>
      <c r="C54" s="37" t="s">
        <v>1176</v>
      </c>
      <c r="D54" s="37" t="s">
        <v>1494</v>
      </c>
      <c r="E54" s="37" t="s">
        <v>1462</v>
      </c>
      <c r="F54" s="37" t="s">
        <v>731</v>
      </c>
      <c r="G54" s="37" t="s">
        <v>732</v>
      </c>
      <c r="H54" s="37" t="s">
        <v>1190</v>
      </c>
      <c r="I54" s="37">
        <v>1</v>
      </c>
      <c r="J54" s="37">
        <v>750</v>
      </c>
      <c r="K54" s="37" t="s">
        <v>1427</v>
      </c>
      <c r="L54" s="37">
        <f>SUMIF(Wine1!A:A,Drank!A54,Wine1!I:I)</f>
        <v>0</v>
      </c>
      <c r="M54" s="37">
        <v>2019</v>
      </c>
      <c r="N54" s="37">
        <v>2023</v>
      </c>
      <c r="P54" s="37">
        <v>2024</v>
      </c>
      <c r="Q54" s="37">
        <v>93</v>
      </c>
      <c r="R54" s="37">
        <v>90</v>
      </c>
      <c r="S54" s="7">
        <f>AVERAGEIF(A:A,A54,R:R)</f>
        <v>90</v>
      </c>
      <c r="T54" s="1">
        <v>44048</v>
      </c>
      <c r="U54" s="13" t="str">
        <f t="shared" si="24"/>
        <v>August</v>
      </c>
      <c r="V54" s="12">
        <f t="shared" si="25"/>
        <v>44048</v>
      </c>
      <c r="W54" s="11">
        <v>19.54</v>
      </c>
      <c r="X54" s="37">
        <v>1</v>
      </c>
      <c r="Y54" s="11">
        <f t="shared" si="26"/>
        <v>19.54</v>
      </c>
      <c r="Z54" s="109"/>
      <c r="AA54" s="37">
        <f>IF(Y54&gt;=Expenses!$C$32,4,IF(Y54&gt;=Expenses!$C$31,3,IF(Y54&gt;=Expenses!$C$30,2,1)))</f>
        <v>2</v>
      </c>
      <c r="AB54" s="37">
        <f t="shared" si="27"/>
        <v>1</v>
      </c>
      <c r="AC54" s="37" t="str">
        <f t="shared" si="28"/>
        <v>2020</v>
      </c>
      <c r="AD54" s="37" t="s">
        <v>371</v>
      </c>
      <c r="AE54" s="1">
        <v>44019</v>
      </c>
      <c r="AF54" s="13" t="str">
        <f t="shared" si="0"/>
        <v>July</v>
      </c>
      <c r="AG54" s="37" t="str">
        <f t="shared" si="1"/>
        <v>2020</v>
      </c>
    </row>
    <row r="55" spans="1:36" s="37" customFormat="1" ht="18.75" x14ac:dyDescent="0.3">
      <c r="A55" s="67" t="str">
        <f t="shared" si="29"/>
        <v>2018Produttori del BarbarescoLanghe Nebbiolo</v>
      </c>
      <c r="B55" s="37">
        <v>2018</v>
      </c>
      <c r="C55" s="37" t="s">
        <v>248</v>
      </c>
      <c r="D55" s="37" t="s">
        <v>1468</v>
      </c>
      <c r="E55" s="37" t="s">
        <v>1206</v>
      </c>
      <c r="F55" s="37" t="s">
        <v>728</v>
      </c>
      <c r="G55" s="37" t="s">
        <v>778</v>
      </c>
      <c r="H55" s="37" t="s">
        <v>1193</v>
      </c>
      <c r="I55" s="37">
        <v>1</v>
      </c>
      <c r="J55" s="37">
        <v>750</v>
      </c>
      <c r="K55" s="37" t="s">
        <v>929</v>
      </c>
      <c r="L55" s="37">
        <f>SUMIF(Wine1!A:A,Drank!A55,Wine1!I:I)</f>
        <v>0</v>
      </c>
      <c r="M55" s="37">
        <v>2020</v>
      </c>
      <c r="N55" s="37">
        <v>2026</v>
      </c>
      <c r="P55" s="37">
        <v>2030</v>
      </c>
      <c r="Q55" s="37">
        <v>92</v>
      </c>
      <c r="R55" s="37">
        <v>90</v>
      </c>
      <c r="S55" s="7">
        <f>AVERAGEIF(A:A,A55,R:R)</f>
        <v>90</v>
      </c>
      <c r="T55" s="1">
        <v>44047</v>
      </c>
      <c r="U55" s="13" t="str">
        <f t="shared" si="24"/>
        <v>August</v>
      </c>
      <c r="V55" s="12">
        <f t="shared" si="25"/>
        <v>44047</v>
      </c>
      <c r="W55" s="11">
        <v>25.41</v>
      </c>
      <c r="X55" s="37">
        <v>2</v>
      </c>
      <c r="Y55" s="11">
        <f t="shared" si="26"/>
        <v>25.41</v>
      </c>
      <c r="Z55" s="109"/>
      <c r="AA55" s="37">
        <f>IF(Y55&gt;=Expenses!$C$32,4,IF(Y55&gt;=Expenses!$C$31,3,IF(Y55&gt;=Expenses!$C$30,2,1)))</f>
        <v>2</v>
      </c>
      <c r="AB55" s="37">
        <f t="shared" si="27"/>
        <v>1</v>
      </c>
      <c r="AC55" s="37" t="str">
        <f t="shared" si="28"/>
        <v>2020</v>
      </c>
      <c r="AD55" s="37" t="s">
        <v>371</v>
      </c>
      <c r="AE55" s="1">
        <v>44019</v>
      </c>
      <c r="AF55" s="13" t="str">
        <f t="shared" si="0"/>
        <v>July</v>
      </c>
      <c r="AG55" s="37" t="str">
        <f t="shared" si="1"/>
        <v>2020</v>
      </c>
    </row>
    <row r="56" spans="1:36" s="37" customFormat="1" ht="18.75" x14ac:dyDescent="0.3">
      <c r="A56" s="67" t="str">
        <f t="shared" si="29"/>
        <v>2007Cascina BallarinBarolo Tre Ciabot</v>
      </c>
      <c r="B56" s="37">
        <v>2007</v>
      </c>
      <c r="C56" s="37" t="s">
        <v>1556</v>
      </c>
      <c r="D56" s="37" t="s">
        <v>1557</v>
      </c>
      <c r="E56" s="37" t="s">
        <v>1206</v>
      </c>
      <c r="F56" s="37" t="s">
        <v>728</v>
      </c>
      <c r="G56" s="37" t="s">
        <v>778</v>
      </c>
      <c r="H56" s="37" t="s">
        <v>268</v>
      </c>
      <c r="I56" s="37">
        <v>1</v>
      </c>
      <c r="J56" s="37">
        <v>750</v>
      </c>
      <c r="L56" s="37">
        <f>SUMIF(Wine1!A:A,Drank!A56,Wine1!I:I)</f>
        <v>0</v>
      </c>
      <c r="P56" s="37">
        <v>2024</v>
      </c>
      <c r="R56" s="37">
        <v>94</v>
      </c>
      <c r="S56" s="7">
        <f>AVERAGEIF(A:A,A56,R:R)</f>
        <v>94</v>
      </c>
      <c r="T56" s="1">
        <v>44046</v>
      </c>
      <c r="U56" s="13" t="str">
        <f t="shared" si="24"/>
        <v>August</v>
      </c>
      <c r="V56" s="12">
        <f t="shared" si="25"/>
        <v>44046</v>
      </c>
      <c r="W56" s="11">
        <v>0</v>
      </c>
      <c r="X56" s="37">
        <v>1</v>
      </c>
      <c r="Y56" s="11">
        <f t="shared" si="26"/>
        <v>0</v>
      </c>
      <c r="Z56" s="109"/>
      <c r="AA56" s="37">
        <f>IF(Y56&gt;=Expenses!$C$32,4,IF(Y56&gt;=Expenses!$C$31,3,IF(Y56&gt;=Expenses!$C$30,2,1)))</f>
        <v>1</v>
      </c>
      <c r="AB56" s="37">
        <f t="shared" si="27"/>
        <v>1</v>
      </c>
      <c r="AC56" s="37" t="str">
        <f t="shared" si="28"/>
        <v>2020</v>
      </c>
      <c r="AE56" s="1"/>
      <c r="AF56" s="13" t="str">
        <f t="shared" si="0"/>
        <v>January</v>
      </c>
      <c r="AG56" s="37" t="str">
        <f t="shared" si="1"/>
        <v>1900</v>
      </c>
      <c r="AH56" s="37">
        <v>1</v>
      </c>
    </row>
    <row r="57" spans="1:36" s="37" customFormat="1" ht="18.75" x14ac:dyDescent="0.3">
      <c r="A57" s="67" t="str">
        <f t="shared" si="29"/>
        <v>2016Grattamacco Bolgheri Superiore l'Alberello</v>
      </c>
      <c r="B57" s="37">
        <v>2016</v>
      </c>
      <c r="C57" s="37" t="s">
        <v>1333</v>
      </c>
      <c r="D57" s="37" t="s">
        <v>1334</v>
      </c>
      <c r="E57" s="37" t="s">
        <v>1335</v>
      </c>
      <c r="F57" s="37" t="s">
        <v>728</v>
      </c>
      <c r="G57" s="37" t="s">
        <v>790</v>
      </c>
      <c r="H57" s="37" t="s">
        <v>1336</v>
      </c>
      <c r="I57" s="37">
        <v>1</v>
      </c>
      <c r="J57" s="37">
        <v>750</v>
      </c>
      <c r="K57" s="37" t="s">
        <v>8</v>
      </c>
      <c r="L57" s="37">
        <f>SUMIF(Wine1!A:A,Drank!A57,Wine1!I:I)</f>
        <v>0</v>
      </c>
      <c r="M57" s="37">
        <v>2020</v>
      </c>
      <c r="N57" s="37">
        <v>2035</v>
      </c>
      <c r="O57" s="37">
        <v>2035</v>
      </c>
      <c r="P57" s="37">
        <v>2035</v>
      </c>
      <c r="Q57" s="37">
        <v>96</v>
      </c>
      <c r="R57" s="37">
        <v>95</v>
      </c>
      <c r="S57" s="7">
        <f>AVERAGEIF(A:A,A57,R:R)</f>
        <v>95</v>
      </c>
      <c r="T57" s="1">
        <v>44046</v>
      </c>
      <c r="U57" s="13" t="str">
        <f t="shared" si="24"/>
        <v>August</v>
      </c>
      <c r="V57" s="12">
        <f t="shared" si="25"/>
        <v>44046</v>
      </c>
      <c r="W57" s="11">
        <v>60.08</v>
      </c>
      <c r="X57" s="37">
        <v>1</v>
      </c>
      <c r="Y57" s="11">
        <f t="shared" si="26"/>
        <v>60.079999999999991</v>
      </c>
      <c r="Z57" s="109"/>
      <c r="AA57" s="37">
        <f>IF(Y57&gt;=Expenses!$C$32,4,IF(Y57&gt;=Expenses!$C$31,3,IF(Y57&gt;=Expenses!$C$30,2,1)))</f>
        <v>3</v>
      </c>
      <c r="AB57" s="37">
        <f t="shared" si="27"/>
        <v>1</v>
      </c>
      <c r="AC57" s="37" t="str">
        <f t="shared" si="28"/>
        <v>2020</v>
      </c>
      <c r="AD57" s="37" t="s">
        <v>385</v>
      </c>
      <c r="AE57" s="1">
        <v>43923</v>
      </c>
      <c r="AF57" s="13" t="str">
        <f t="shared" si="0"/>
        <v>April</v>
      </c>
      <c r="AG57" s="37" t="str">
        <f t="shared" si="1"/>
        <v>2020</v>
      </c>
      <c r="AH57" s="37">
        <v>7</v>
      </c>
    </row>
    <row r="58" spans="1:36" s="37" customFormat="1" ht="18.75" x14ac:dyDescent="0.3">
      <c r="A58" s="67" t="str">
        <f t="shared" si="29"/>
        <v>2016Michele SattaBolgheri Superiore Piastraia</v>
      </c>
      <c r="B58" s="37">
        <v>2016</v>
      </c>
      <c r="C58" s="37" t="s">
        <v>1484</v>
      </c>
      <c r="D58" s="37" t="s">
        <v>1485</v>
      </c>
      <c r="E58" s="37" t="s">
        <v>1486</v>
      </c>
      <c r="F58" s="37" t="s">
        <v>728</v>
      </c>
      <c r="G58" s="37" t="s">
        <v>790</v>
      </c>
      <c r="H58" s="37" t="s">
        <v>1336</v>
      </c>
      <c r="I58" s="37">
        <v>1</v>
      </c>
      <c r="J58" s="37">
        <v>750</v>
      </c>
      <c r="K58" s="37" t="s">
        <v>1427</v>
      </c>
      <c r="L58" s="37">
        <f>SUMIF(Wine1!A:A,Drank!A58,Wine1!I:I)</f>
        <v>1</v>
      </c>
      <c r="M58" s="37">
        <v>2020</v>
      </c>
      <c r="N58" s="37">
        <v>2033</v>
      </c>
      <c r="P58" s="37">
        <v>2033</v>
      </c>
      <c r="Q58" s="37" t="s">
        <v>17</v>
      </c>
      <c r="R58" s="37">
        <v>92</v>
      </c>
      <c r="S58" s="7">
        <f>AVERAGEIF(A:A,A58,R:R)</f>
        <v>92</v>
      </c>
      <c r="T58" s="1">
        <v>44045</v>
      </c>
      <c r="U58" s="13" t="str">
        <f t="shared" si="24"/>
        <v>August</v>
      </c>
      <c r="V58" s="12">
        <f t="shared" si="25"/>
        <v>44045</v>
      </c>
      <c r="W58" s="11">
        <v>34.75</v>
      </c>
      <c r="X58" s="37" t="s">
        <v>1350</v>
      </c>
      <c r="Y58" s="11">
        <f t="shared" si="26"/>
        <v>34.75</v>
      </c>
      <c r="Z58" s="109"/>
      <c r="AA58" s="37">
        <f>IF(Y58&gt;=Expenses!$C$32,4,IF(Y58&gt;=Expenses!$C$31,3,IF(Y58&gt;=Expenses!$C$30,2,1)))</f>
        <v>3</v>
      </c>
      <c r="AB58" s="37">
        <f t="shared" si="27"/>
        <v>1</v>
      </c>
      <c r="AC58" s="37" t="str">
        <f t="shared" si="28"/>
        <v>2020</v>
      </c>
      <c r="AD58" s="37" t="s">
        <v>1478</v>
      </c>
      <c r="AE58" s="1">
        <v>44019</v>
      </c>
      <c r="AF58" s="13" t="str">
        <f t="shared" si="0"/>
        <v>July</v>
      </c>
      <c r="AG58" s="37" t="str">
        <f t="shared" si="1"/>
        <v>2020</v>
      </c>
      <c r="AH58" s="37">
        <v>8</v>
      </c>
    </row>
    <row r="59" spans="1:36" s="37" customFormat="1" ht="18.75" x14ac:dyDescent="0.3">
      <c r="A59" s="67" t="str">
        <f t="shared" si="29"/>
        <v>2016Il BorroPolissena</v>
      </c>
      <c r="B59" s="37">
        <v>2016</v>
      </c>
      <c r="C59" s="37" t="s">
        <v>1491</v>
      </c>
      <c r="D59" s="37" t="s">
        <v>1492</v>
      </c>
      <c r="E59" s="37" t="s">
        <v>1250</v>
      </c>
      <c r="F59" s="37" t="s">
        <v>728</v>
      </c>
      <c r="G59" s="37" t="s">
        <v>790</v>
      </c>
      <c r="H59" s="37" t="s">
        <v>796</v>
      </c>
      <c r="I59" s="37">
        <v>1</v>
      </c>
      <c r="J59" s="37">
        <v>750</v>
      </c>
      <c r="K59" s="37" t="s">
        <v>589</v>
      </c>
      <c r="L59" s="37">
        <f>SUMIF(Wine1!A:A,Drank!A59,Wine1!I:I)</f>
        <v>0</v>
      </c>
      <c r="M59" s="37">
        <v>2019</v>
      </c>
      <c r="N59" s="37">
        <v>2028</v>
      </c>
      <c r="P59" s="37">
        <v>2030</v>
      </c>
      <c r="Q59" s="37">
        <v>94</v>
      </c>
      <c r="R59" s="37">
        <v>90</v>
      </c>
      <c r="S59" s="7">
        <f>AVERAGEIF(A:A,A59,R:R)</f>
        <v>90</v>
      </c>
      <c r="T59" s="1">
        <v>44044</v>
      </c>
      <c r="U59" s="13" t="str">
        <f t="shared" si="24"/>
        <v>August</v>
      </c>
      <c r="V59" s="12">
        <f t="shared" si="25"/>
        <v>44044</v>
      </c>
      <c r="W59" s="11">
        <v>32.25</v>
      </c>
      <c r="X59" s="37">
        <v>1</v>
      </c>
      <c r="Y59" s="11">
        <f t="shared" si="26"/>
        <v>32.25</v>
      </c>
      <c r="Z59" s="109"/>
      <c r="AA59" s="37">
        <f>IF(Y59&gt;=Expenses!$C$32,4,IF(Y59&gt;=Expenses!$C$31,3,IF(Y59&gt;=Expenses!$C$30,2,1)))</f>
        <v>3</v>
      </c>
      <c r="AB59" s="37">
        <f t="shared" si="27"/>
        <v>1</v>
      </c>
      <c r="AC59" s="37" t="str">
        <f t="shared" si="28"/>
        <v>2020</v>
      </c>
      <c r="AD59" s="37" t="s">
        <v>371</v>
      </c>
      <c r="AE59" s="1">
        <v>44019</v>
      </c>
      <c r="AF59" s="13" t="str">
        <f t="shared" si="0"/>
        <v>July</v>
      </c>
      <c r="AG59" s="37" t="str">
        <f t="shared" si="1"/>
        <v>2020</v>
      </c>
      <c r="AH59" s="37">
        <v>6</v>
      </c>
    </row>
    <row r="60" spans="1:36" s="37" customFormat="1" ht="18.75" x14ac:dyDescent="0.3">
      <c r="A60" s="67" t="str">
        <f t="shared" si="29"/>
        <v>2012Gustave LorentzAlsace Grand Cru Altenberg de Bergheim Riesling</v>
      </c>
      <c r="B60" s="37">
        <v>2012</v>
      </c>
      <c r="C60" s="37" t="s">
        <v>1355</v>
      </c>
      <c r="D60" s="37" t="s">
        <v>1356</v>
      </c>
      <c r="E60" s="37" t="s">
        <v>1357</v>
      </c>
      <c r="F60" s="37" t="s">
        <v>742</v>
      </c>
      <c r="G60" s="37" t="s">
        <v>743</v>
      </c>
      <c r="H60" s="37" t="s">
        <v>1358</v>
      </c>
      <c r="I60" s="37">
        <v>1</v>
      </c>
      <c r="J60" s="37">
        <v>750</v>
      </c>
      <c r="K60" s="37" t="s">
        <v>929</v>
      </c>
      <c r="L60" s="37">
        <f>SUMIF(Wine1!A:A,Drank!A60,Wine1!I:I)</f>
        <v>1</v>
      </c>
      <c r="M60" s="37">
        <v>2018</v>
      </c>
      <c r="N60" s="37">
        <v>2026</v>
      </c>
      <c r="O60" s="37">
        <v>2026</v>
      </c>
      <c r="P60" s="37">
        <v>2026</v>
      </c>
      <c r="Q60" s="37">
        <v>91</v>
      </c>
      <c r="R60" s="37">
        <v>90</v>
      </c>
      <c r="S60" s="7">
        <f>AVERAGEIF(A:A,A60,R:R)</f>
        <v>90</v>
      </c>
      <c r="T60" s="1">
        <v>44044</v>
      </c>
      <c r="U60" s="13" t="str">
        <f t="shared" si="24"/>
        <v>August</v>
      </c>
      <c r="V60" s="12">
        <f t="shared" si="25"/>
        <v>44044</v>
      </c>
      <c r="W60" s="11">
        <v>29.32</v>
      </c>
      <c r="X60" s="37">
        <v>0</v>
      </c>
      <c r="Y60" s="11">
        <f t="shared" si="26"/>
        <v>29.32</v>
      </c>
      <c r="Z60" s="109"/>
      <c r="AA60" s="37">
        <f>IF(Y60&gt;=Expenses!$C$32,4,IF(Y60&gt;=Expenses!$C$31,3,IF(Y60&gt;=Expenses!$C$30,2,1)))</f>
        <v>2</v>
      </c>
      <c r="AB60" s="37">
        <f t="shared" si="27"/>
        <v>1</v>
      </c>
      <c r="AC60" s="37" t="str">
        <f t="shared" si="28"/>
        <v>2020</v>
      </c>
      <c r="AD60" s="37" t="s">
        <v>384</v>
      </c>
      <c r="AE60" s="1">
        <v>43931</v>
      </c>
      <c r="AF60" s="13" t="str">
        <f t="shared" ref="AF60:AF91" si="30">TEXT(AE60,"mmmm")</f>
        <v>April</v>
      </c>
      <c r="AG60" s="37" t="str">
        <f t="shared" ref="AG60:AG91" si="31">TEXT(AE60,"yyyy")</f>
        <v>2020</v>
      </c>
    </row>
    <row r="61" spans="1:36" s="37" customFormat="1" ht="18.75" x14ac:dyDescent="0.3">
      <c r="A61" s="67" t="str">
        <f t="shared" si="29"/>
        <v>2014Marques de RiscalReserva</v>
      </c>
      <c r="B61" s="37">
        <v>2014</v>
      </c>
      <c r="C61" s="37" t="s">
        <v>1536</v>
      </c>
      <c r="D61" s="37" t="s">
        <v>106</v>
      </c>
      <c r="E61" s="37" t="s">
        <v>1296</v>
      </c>
      <c r="F61" s="37" t="s">
        <v>729</v>
      </c>
      <c r="G61" s="37" t="s">
        <v>823</v>
      </c>
      <c r="I61" s="37">
        <v>1</v>
      </c>
      <c r="J61" s="37">
        <v>750</v>
      </c>
      <c r="K61" s="37" t="s">
        <v>1541</v>
      </c>
      <c r="L61" s="37">
        <f>SUMIF(Wine1!A:A,Drank!A61,Wine1!I:I)</f>
        <v>0</v>
      </c>
      <c r="O61" s="37">
        <v>2020</v>
      </c>
      <c r="P61" s="37">
        <v>2026</v>
      </c>
      <c r="R61" s="37">
        <v>91</v>
      </c>
      <c r="S61" s="7">
        <f>AVERAGEIF(A:A,A61,R:R)</f>
        <v>91</v>
      </c>
      <c r="T61" s="1">
        <v>44044</v>
      </c>
      <c r="U61" s="13" t="str">
        <f t="shared" si="24"/>
        <v>August</v>
      </c>
      <c r="V61" s="12">
        <f t="shared" si="25"/>
        <v>44044</v>
      </c>
      <c r="W61" s="11">
        <v>17.59</v>
      </c>
      <c r="X61" s="37">
        <v>1</v>
      </c>
      <c r="Y61" s="11">
        <f t="shared" si="26"/>
        <v>17.59</v>
      </c>
      <c r="Z61" s="109"/>
      <c r="AA61" s="37">
        <f>IF(Y61&gt;=Expenses!$C$32,4,IF(Y61&gt;=Expenses!$C$31,3,IF(Y61&gt;=Expenses!$C$30,2,1)))</f>
        <v>2</v>
      </c>
      <c r="AB61" s="37">
        <f t="shared" si="27"/>
        <v>1</v>
      </c>
      <c r="AC61" s="37" t="str">
        <f t="shared" si="28"/>
        <v>2020</v>
      </c>
      <c r="AD61" s="37" t="s">
        <v>1128</v>
      </c>
      <c r="AE61" s="1">
        <v>44037</v>
      </c>
      <c r="AF61" s="13" t="str">
        <f t="shared" si="30"/>
        <v>July</v>
      </c>
      <c r="AG61" s="37" t="str">
        <f t="shared" si="31"/>
        <v>2020</v>
      </c>
      <c r="AH61" s="37">
        <v>6</v>
      </c>
    </row>
    <row r="62" spans="1:36" s="37" customFormat="1" ht="18.75" x14ac:dyDescent="0.3">
      <c r="A62" s="67" t="str">
        <f t="shared" si="29"/>
        <v>2015Mas des PatresLa Clape Mas Des Patres</v>
      </c>
      <c r="B62" s="37">
        <v>2015</v>
      </c>
      <c r="C62" s="37" t="s">
        <v>224</v>
      </c>
      <c r="D62" s="37" t="s">
        <v>225</v>
      </c>
      <c r="E62" s="37" t="s">
        <v>673</v>
      </c>
      <c r="F62" s="37" t="s">
        <v>742</v>
      </c>
      <c r="G62" s="37" t="s">
        <v>756</v>
      </c>
      <c r="H62" s="37" t="s">
        <v>757</v>
      </c>
      <c r="I62" s="37">
        <v>1</v>
      </c>
      <c r="J62" s="37">
        <v>750</v>
      </c>
      <c r="K62" s="37" t="s">
        <v>102</v>
      </c>
      <c r="L62" s="37">
        <f>SUMIF(Wine1!A:A,Drank!A62,Wine1!I:I)</f>
        <v>1</v>
      </c>
      <c r="M62" s="37">
        <v>2017</v>
      </c>
      <c r="N62" s="37">
        <v>2023</v>
      </c>
      <c r="O62" s="37">
        <v>2021</v>
      </c>
      <c r="P62" s="37">
        <v>2022</v>
      </c>
      <c r="Q62" s="37" t="s">
        <v>237</v>
      </c>
      <c r="R62" s="37">
        <v>91</v>
      </c>
      <c r="S62" s="7">
        <f>AVERAGEIF(A:A,A62,R:R)</f>
        <v>89.8</v>
      </c>
      <c r="T62" s="1">
        <v>44043</v>
      </c>
      <c r="U62" s="13" t="str">
        <f t="shared" si="24"/>
        <v>July</v>
      </c>
      <c r="V62" s="12">
        <f t="shared" si="25"/>
        <v>44043</v>
      </c>
      <c r="W62" s="11">
        <v>12.99</v>
      </c>
      <c r="X62" s="37">
        <v>1</v>
      </c>
      <c r="Y62" s="11">
        <f t="shared" si="26"/>
        <v>12.989999999999998</v>
      </c>
      <c r="Z62" s="109"/>
      <c r="AA62" s="37">
        <f>IF(Y62&gt;=Expenses!$C$32,4,IF(Y62&gt;=Expenses!$C$31,3,IF(Y62&gt;=Expenses!$C$30,2,1)))</f>
        <v>1</v>
      </c>
      <c r="AB62" s="37">
        <f t="shared" si="27"/>
        <v>1</v>
      </c>
      <c r="AC62" s="37" t="str">
        <f t="shared" si="28"/>
        <v>2020</v>
      </c>
      <c r="AD62" s="37" t="s">
        <v>385</v>
      </c>
      <c r="AE62" s="1"/>
      <c r="AF62" s="13" t="str">
        <f t="shared" si="30"/>
        <v>January</v>
      </c>
      <c r="AG62" s="37" t="str">
        <f t="shared" si="31"/>
        <v>1900</v>
      </c>
    </row>
    <row r="63" spans="1:36" s="37" customFormat="1" ht="18.75" x14ac:dyDescent="0.3">
      <c r="A63" s="67" t="str">
        <f t="shared" si="29"/>
        <v>2018Susana BalboCrios Cabernet Sauvignon</v>
      </c>
      <c r="B63" s="37">
        <v>2018</v>
      </c>
      <c r="C63" s="37" t="s">
        <v>228</v>
      </c>
      <c r="D63" s="37" t="s">
        <v>1500</v>
      </c>
      <c r="E63" s="37" t="s">
        <v>1331</v>
      </c>
      <c r="F63" s="37" t="s">
        <v>731</v>
      </c>
      <c r="G63" s="37" t="s">
        <v>732</v>
      </c>
      <c r="H63" s="37" t="s">
        <v>735</v>
      </c>
      <c r="I63" s="37">
        <v>1</v>
      </c>
      <c r="J63" s="37">
        <v>750</v>
      </c>
      <c r="K63" s="37" t="s">
        <v>102</v>
      </c>
      <c r="L63" s="37">
        <f>SUMIF(Wine1!A:A,Drank!A63,Wine1!I:I)</f>
        <v>0</v>
      </c>
      <c r="M63" s="37">
        <v>2019</v>
      </c>
      <c r="N63" s="37">
        <v>2021</v>
      </c>
      <c r="Q63" s="37" t="s">
        <v>1404</v>
      </c>
      <c r="R63" s="37">
        <v>89</v>
      </c>
      <c r="S63" s="7">
        <f>AVERAGEIF(A:A,A63,R:R)</f>
        <v>89</v>
      </c>
      <c r="T63" s="1">
        <v>44041</v>
      </c>
      <c r="U63" s="13" t="str">
        <f t="shared" si="24"/>
        <v>July</v>
      </c>
      <c r="V63" s="12">
        <f t="shared" si="25"/>
        <v>44041</v>
      </c>
      <c r="W63" s="11">
        <v>11.72</v>
      </c>
      <c r="X63" s="37">
        <v>0</v>
      </c>
      <c r="Y63" s="11">
        <f t="shared" si="26"/>
        <v>11.72</v>
      </c>
      <c r="Z63" s="109"/>
      <c r="AA63" s="37">
        <f>IF(Y63&gt;=Expenses!$C$32,4,IF(Y63&gt;=Expenses!$C$31,3,IF(Y63&gt;=Expenses!$C$30,2,1)))</f>
        <v>1</v>
      </c>
      <c r="AB63" s="37">
        <f t="shared" si="27"/>
        <v>1</v>
      </c>
      <c r="AC63" s="37" t="str">
        <f t="shared" si="28"/>
        <v>2020</v>
      </c>
      <c r="AD63" s="37" t="s">
        <v>371</v>
      </c>
      <c r="AE63" s="1">
        <v>44019</v>
      </c>
      <c r="AF63" s="13" t="str">
        <f t="shared" si="30"/>
        <v>July</v>
      </c>
      <c r="AG63" s="37" t="str">
        <f t="shared" si="31"/>
        <v>2020</v>
      </c>
    </row>
    <row r="64" spans="1:36" s="37" customFormat="1" ht="18.75" x14ac:dyDescent="0.3">
      <c r="A64" s="67" t="str">
        <f t="shared" si="29"/>
        <v>2019BollaValpolicella</v>
      </c>
      <c r="B64" s="37">
        <v>2019</v>
      </c>
      <c r="C64" s="37" t="s">
        <v>1537</v>
      </c>
      <c r="D64" s="37" t="s">
        <v>803</v>
      </c>
      <c r="E64" s="37" t="s">
        <v>262</v>
      </c>
      <c r="F64" s="37" t="s">
        <v>728</v>
      </c>
      <c r="G64" s="37" t="s">
        <v>799</v>
      </c>
      <c r="H64" s="37" t="s">
        <v>803</v>
      </c>
      <c r="I64" s="37">
        <v>1</v>
      </c>
      <c r="J64" s="37">
        <v>1500</v>
      </c>
      <c r="K64" s="37" t="s">
        <v>236</v>
      </c>
      <c r="L64" s="37">
        <f>SUMIF(Wine1!A:A,Drank!A64,Wine1!I:I)</f>
        <v>0</v>
      </c>
      <c r="P64" s="37">
        <v>2021</v>
      </c>
      <c r="R64" s="37">
        <v>86</v>
      </c>
      <c r="S64" s="7">
        <f>AVERAGEIF(A:A,A64,R:R)</f>
        <v>86</v>
      </c>
      <c r="T64" s="1">
        <v>44038</v>
      </c>
      <c r="U64" s="13" t="str">
        <f t="shared" si="24"/>
        <v>July</v>
      </c>
      <c r="V64" s="12">
        <f t="shared" si="25"/>
        <v>44038</v>
      </c>
      <c r="W64" s="11">
        <v>13</v>
      </c>
      <c r="X64" s="37">
        <v>0</v>
      </c>
      <c r="Y64" s="11">
        <f t="shared" si="26"/>
        <v>6.5</v>
      </c>
      <c r="Z64" s="109"/>
      <c r="AA64" s="37">
        <f>IF(Y64&gt;=Expenses!$C$32,4,IF(Y64&gt;=Expenses!$C$31,3,IF(Y64&gt;=Expenses!$C$30,2,1)))</f>
        <v>1</v>
      </c>
      <c r="AB64" s="37">
        <f t="shared" si="27"/>
        <v>2</v>
      </c>
      <c r="AC64" s="37" t="str">
        <f t="shared" si="28"/>
        <v>2020</v>
      </c>
      <c r="AD64" s="37" t="s">
        <v>1128</v>
      </c>
      <c r="AE64" s="1">
        <v>44037</v>
      </c>
      <c r="AF64" s="13" t="str">
        <f t="shared" si="30"/>
        <v>July</v>
      </c>
      <c r="AG64" s="37" t="str">
        <f t="shared" si="31"/>
        <v>2020</v>
      </c>
    </row>
    <row r="65" spans="1:36" s="37" customFormat="1" ht="18.75" x14ac:dyDescent="0.3">
      <c r="A65" s="67" t="str">
        <f t="shared" ref="A65:A75" si="32">CONCATENATE(B65,C65,D65)</f>
        <v>2018Masseria Li VeliPrimitivo Orion</v>
      </c>
      <c r="B65" s="37">
        <v>2018</v>
      </c>
      <c r="C65" s="37" t="s">
        <v>630</v>
      </c>
      <c r="D65" s="37" t="s">
        <v>631</v>
      </c>
      <c r="E65" s="37" t="s">
        <v>588</v>
      </c>
      <c r="F65" s="37" t="s">
        <v>728</v>
      </c>
      <c r="G65" s="37" t="s">
        <v>785</v>
      </c>
      <c r="H65" s="37" t="s">
        <v>786</v>
      </c>
      <c r="I65" s="37">
        <v>1</v>
      </c>
      <c r="J65" s="37">
        <v>750</v>
      </c>
      <c r="K65" s="37" t="s">
        <v>929</v>
      </c>
      <c r="L65" s="37">
        <f>SUMIF(Wine1!A:A,Drank!A65,Wine1!I:I)</f>
        <v>3</v>
      </c>
      <c r="O65" s="37">
        <v>2020</v>
      </c>
      <c r="P65" s="37">
        <v>2023</v>
      </c>
      <c r="R65" s="37">
        <v>88</v>
      </c>
      <c r="S65" s="7">
        <f>AVERAGEIF(A:A,A65,R:R)</f>
        <v>88.555555555555557</v>
      </c>
      <c r="T65" s="1">
        <v>44037</v>
      </c>
      <c r="U65" s="13" t="str">
        <f t="shared" si="24"/>
        <v>July</v>
      </c>
      <c r="V65" s="12">
        <f t="shared" si="25"/>
        <v>44037</v>
      </c>
      <c r="W65" s="11">
        <v>14.66</v>
      </c>
      <c r="X65" s="37">
        <v>1</v>
      </c>
      <c r="Y65" s="11">
        <f t="shared" si="26"/>
        <v>14.66</v>
      </c>
      <c r="Z65" s="109"/>
      <c r="AA65" s="37">
        <f>IF(Y65&gt;=Expenses!$C$32,4,IF(Y65&gt;=Expenses!$C$31,3,IF(Y65&gt;=Expenses!$C$30,2,1)))</f>
        <v>1</v>
      </c>
      <c r="AB65" s="37">
        <f t="shared" si="27"/>
        <v>1</v>
      </c>
      <c r="AC65" s="37" t="str">
        <f t="shared" si="28"/>
        <v>2020</v>
      </c>
      <c r="AD65" s="37" t="s">
        <v>1128</v>
      </c>
      <c r="AE65" s="1">
        <v>43966</v>
      </c>
      <c r="AF65" s="13" t="str">
        <f t="shared" si="30"/>
        <v>May</v>
      </c>
      <c r="AG65" s="37" t="str">
        <f t="shared" si="31"/>
        <v>2020</v>
      </c>
    </row>
    <row r="66" spans="1:36" s="37" customFormat="1" ht="18.75" x14ac:dyDescent="0.3">
      <c r="A66" s="67" t="str">
        <f t="shared" si="32"/>
        <v>2007La Rioja AltaGran Reserva 904</v>
      </c>
      <c r="B66" s="37">
        <v>2007</v>
      </c>
      <c r="C66" s="37" t="s">
        <v>221</v>
      </c>
      <c r="D66" s="37" t="s">
        <v>222</v>
      </c>
      <c r="E66" s="37" t="s">
        <v>1296</v>
      </c>
      <c r="F66" s="37" t="s">
        <v>729</v>
      </c>
      <c r="G66" s="37" t="s">
        <v>823</v>
      </c>
      <c r="H66" s="37" t="s">
        <v>824</v>
      </c>
      <c r="I66" s="37">
        <v>1</v>
      </c>
      <c r="J66" s="37">
        <v>1500</v>
      </c>
      <c r="K66" s="37" t="s">
        <v>236</v>
      </c>
      <c r="L66" s="37">
        <f>SUMIF(Wine1!A:A,Drank!A66,Wine1!I:I)</f>
        <v>1</v>
      </c>
      <c r="M66" s="37">
        <v>2016</v>
      </c>
      <c r="N66" s="37">
        <v>2027</v>
      </c>
      <c r="O66" s="37">
        <v>2029</v>
      </c>
      <c r="P66" s="37">
        <v>2030</v>
      </c>
      <c r="Q66" s="37">
        <v>95</v>
      </c>
      <c r="R66" s="37">
        <v>94</v>
      </c>
      <c r="S66" s="7">
        <f>AVERAGEIF(A:A,A66,R:R)</f>
        <v>94.5</v>
      </c>
      <c r="T66" s="1">
        <v>44037</v>
      </c>
      <c r="U66" s="13" t="str">
        <f t="shared" si="24"/>
        <v>July</v>
      </c>
      <c r="V66" s="12">
        <f t="shared" si="25"/>
        <v>44037</v>
      </c>
      <c r="W66" s="11">
        <v>0</v>
      </c>
      <c r="X66" s="37">
        <v>1</v>
      </c>
      <c r="Y66" s="11">
        <f t="shared" si="26"/>
        <v>0</v>
      </c>
      <c r="Z66" s="109"/>
      <c r="AA66" s="37">
        <f>IF(Y66&gt;=Expenses!$C$32,4,IF(Y66&gt;=Expenses!$C$31,3,IF(Y66&gt;=Expenses!$C$30,2,1)))</f>
        <v>1</v>
      </c>
      <c r="AB66" s="37">
        <f t="shared" si="27"/>
        <v>2</v>
      </c>
      <c r="AC66" s="37" t="str">
        <f t="shared" si="28"/>
        <v>2020</v>
      </c>
      <c r="AD66" s="37" t="s">
        <v>1477</v>
      </c>
      <c r="AE66" s="1">
        <v>44019</v>
      </c>
      <c r="AF66" s="13" t="str">
        <f t="shared" si="30"/>
        <v>July</v>
      </c>
      <c r="AG66" s="37" t="str">
        <f t="shared" si="31"/>
        <v>2020</v>
      </c>
      <c r="AH66" s="37">
        <v>5</v>
      </c>
    </row>
    <row r="67" spans="1:36" s="37" customFormat="1" ht="18.75" x14ac:dyDescent="0.3">
      <c r="A67" s="67" t="str">
        <f t="shared" si="32"/>
        <v>2015Abbadia ArdengaBrunello di Montalcino</v>
      </c>
      <c r="B67" s="37">
        <v>2015</v>
      </c>
      <c r="C67" s="37" t="s">
        <v>1476</v>
      </c>
      <c r="D67" s="37" t="s">
        <v>19</v>
      </c>
      <c r="E67" s="37" t="s">
        <v>1250</v>
      </c>
      <c r="F67" s="37" t="s">
        <v>728</v>
      </c>
      <c r="G67" s="37" t="s">
        <v>790</v>
      </c>
      <c r="H67" s="37" t="s">
        <v>19</v>
      </c>
      <c r="I67" s="37">
        <v>1</v>
      </c>
      <c r="J67" s="37">
        <v>750</v>
      </c>
      <c r="K67" s="37" t="s">
        <v>839</v>
      </c>
      <c r="L67" s="37">
        <f>SUMIF(Wine1!A:A,Drank!A67,Wine1!I:I)</f>
        <v>3</v>
      </c>
      <c r="O67" s="37">
        <v>2027</v>
      </c>
      <c r="P67" s="37">
        <v>2029</v>
      </c>
      <c r="R67" s="37">
        <v>89</v>
      </c>
      <c r="S67" s="7">
        <f>AVERAGEIF(A:A,A67,R:R)</f>
        <v>89</v>
      </c>
      <c r="T67" s="1">
        <v>44036</v>
      </c>
      <c r="U67" s="13" t="str">
        <f t="shared" si="24"/>
        <v>July</v>
      </c>
      <c r="V67" s="12">
        <f t="shared" si="25"/>
        <v>44036</v>
      </c>
      <c r="W67" s="11">
        <v>29.32</v>
      </c>
      <c r="X67" s="37">
        <v>1</v>
      </c>
      <c r="Y67" s="11">
        <f t="shared" si="26"/>
        <v>29.32</v>
      </c>
      <c r="Z67" s="109"/>
      <c r="AA67" s="37">
        <f>IF(Y67&gt;=Expenses!$C$32,4,IF(Y67&gt;=Expenses!$C$31,3,IF(Y67&gt;=Expenses!$C$30,2,1)))</f>
        <v>2</v>
      </c>
      <c r="AB67" s="37">
        <f t="shared" si="27"/>
        <v>1</v>
      </c>
      <c r="AC67" s="37" t="str">
        <f t="shared" si="28"/>
        <v>2020</v>
      </c>
      <c r="AD67" s="37" t="s">
        <v>384</v>
      </c>
      <c r="AE67" s="1">
        <v>44017</v>
      </c>
      <c r="AF67" s="13" t="str">
        <f t="shared" si="30"/>
        <v>July</v>
      </c>
      <c r="AG67" s="37" t="str">
        <f t="shared" si="31"/>
        <v>2020</v>
      </c>
      <c r="AH67" s="37">
        <v>3</v>
      </c>
    </row>
    <row r="68" spans="1:36" s="37" customFormat="1" ht="18.75" x14ac:dyDescent="0.3">
      <c r="A68" s="67" t="str">
        <f t="shared" si="32"/>
        <v>NVQuinta de la RosaTawny Porto</v>
      </c>
      <c r="B68" s="37" t="s">
        <v>167</v>
      </c>
      <c r="C68" s="37" t="s">
        <v>1499</v>
      </c>
      <c r="D68" s="37" t="s">
        <v>1510</v>
      </c>
      <c r="F68" s="37" t="s">
        <v>804</v>
      </c>
      <c r="G68" s="37" t="s">
        <v>805</v>
      </c>
      <c r="H68" s="37" t="s">
        <v>1138</v>
      </c>
      <c r="I68" s="37">
        <v>1</v>
      </c>
      <c r="J68" s="37">
        <v>500</v>
      </c>
      <c r="K68" s="37" t="s">
        <v>236</v>
      </c>
      <c r="L68" s="37">
        <f>SUMIF(Wine1!A:A,Drank!A68,Wine1!I:I)</f>
        <v>0</v>
      </c>
      <c r="N68" s="37">
        <v>2030</v>
      </c>
      <c r="Q68" s="37">
        <v>95</v>
      </c>
      <c r="R68" s="37">
        <v>92</v>
      </c>
      <c r="S68" s="7">
        <f>AVERAGEIF(A:A,A68,R:R)</f>
        <v>92</v>
      </c>
      <c r="T68" s="1">
        <v>44043</v>
      </c>
      <c r="U68" s="13" t="str">
        <f t="shared" si="24"/>
        <v>July</v>
      </c>
      <c r="V68" s="12">
        <f t="shared" si="25"/>
        <v>44043</v>
      </c>
      <c r="W68" s="11">
        <v>18.559999999999999</v>
      </c>
      <c r="X68" s="37">
        <v>1</v>
      </c>
      <c r="Y68" s="11">
        <f t="shared" si="26"/>
        <v>27.84</v>
      </c>
      <c r="Z68" s="109"/>
      <c r="AA68" s="37">
        <f>IF(Y68&gt;=Expenses!$C$32,4,IF(Y68&gt;=Expenses!$C$31,3,IF(Y68&gt;=Expenses!$C$30,2,1)))</f>
        <v>2</v>
      </c>
      <c r="AB68" s="37">
        <f t="shared" si="27"/>
        <v>0.66666666666666663</v>
      </c>
      <c r="AC68" s="37" t="str">
        <f t="shared" si="28"/>
        <v>2020</v>
      </c>
      <c r="AD68" s="37" t="s">
        <v>1139</v>
      </c>
      <c r="AE68" s="1">
        <v>44019</v>
      </c>
      <c r="AF68" s="13" t="str">
        <f t="shared" si="30"/>
        <v>July</v>
      </c>
      <c r="AG68" s="37" t="str">
        <f t="shared" si="31"/>
        <v>2020</v>
      </c>
    </row>
    <row r="69" spans="1:36" s="37" customFormat="1" ht="18.75" x14ac:dyDescent="0.3">
      <c r="A69" s="67" t="str">
        <f t="shared" si="32"/>
        <v>2016TolainiAl Passo</v>
      </c>
      <c r="B69" s="37">
        <v>2016</v>
      </c>
      <c r="C69" s="37" t="s">
        <v>1497</v>
      </c>
      <c r="D69" s="37" t="s">
        <v>1498</v>
      </c>
      <c r="E69" s="37" t="s">
        <v>1495</v>
      </c>
      <c r="F69" s="37" t="s">
        <v>728</v>
      </c>
      <c r="G69" s="37" t="s">
        <v>790</v>
      </c>
      <c r="H69" s="37" t="s">
        <v>796</v>
      </c>
      <c r="I69" s="37">
        <v>1</v>
      </c>
      <c r="J69" s="37">
        <v>750</v>
      </c>
      <c r="K69" s="37" t="s">
        <v>236</v>
      </c>
      <c r="L69" s="37">
        <f>SUMIF(Wine1!A:A,Drank!A69,Wine1!I:I)</f>
        <v>0</v>
      </c>
      <c r="M69" s="37">
        <v>2019</v>
      </c>
      <c r="N69" s="37">
        <v>2025</v>
      </c>
      <c r="P69" s="37">
        <v>2026</v>
      </c>
      <c r="Q69" s="37">
        <v>92</v>
      </c>
      <c r="R69" s="37">
        <v>90</v>
      </c>
      <c r="S69" s="7">
        <f>AVERAGEIF(A:A,A69,R:R)</f>
        <v>90</v>
      </c>
      <c r="T69" s="1">
        <v>44031</v>
      </c>
      <c r="U69" s="13" t="str">
        <f t="shared" si="24"/>
        <v>July</v>
      </c>
      <c r="V69" s="12">
        <f t="shared" si="25"/>
        <v>44031</v>
      </c>
      <c r="W69" s="11">
        <v>23.99</v>
      </c>
      <c r="X69" s="37">
        <v>1</v>
      </c>
      <c r="Y69" s="11">
        <f t="shared" si="26"/>
        <v>23.99</v>
      </c>
      <c r="Z69" s="109"/>
      <c r="AA69" s="37">
        <f>IF(Y69&gt;=Expenses!$C$32,4,IF(Y69&gt;=Expenses!$C$31,3,IF(Y69&gt;=Expenses!$C$30,2,1)))</f>
        <v>2</v>
      </c>
      <c r="AB69" s="37">
        <f t="shared" si="27"/>
        <v>1</v>
      </c>
      <c r="AC69" s="37" t="str">
        <f t="shared" si="28"/>
        <v>2020</v>
      </c>
      <c r="AD69" s="37" t="s">
        <v>371</v>
      </c>
      <c r="AE69" s="1">
        <v>44019</v>
      </c>
      <c r="AF69" s="13" t="str">
        <f t="shared" si="30"/>
        <v>July</v>
      </c>
      <c r="AG69" s="37" t="str">
        <f t="shared" si="31"/>
        <v>2020</v>
      </c>
      <c r="AH69" s="37">
        <v>4</v>
      </c>
    </row>
    <row r="70" spans="1:36" s="37" customFormat="1" ht="18.75" x14ac:dyDescent="0.3">
      <c r="A70" s="67" t="str">
        <f t="shared" si="32"/>
        <v>2017Domaine de l'AmandineCotes du Rhone Villages Seguret</v>
      </c>
      <c r="B70" s="37">
        <v>2017</v>
      </c>
      <c r="C70" s="37" t="s">
        <v>361</v>
      </c>
      <c r="D70" s="37" t="s">
        <v>362</v>
      </c>
      <c r="E70" s="37" t="s">
        <v>1197</v>
      </c>
      <c r="F70" s="37" t="s">
        <v>742</v>
      </c>
      <c r="G70" s="37" t="s">
        <v>759</v>
      </c>
      <c r="H70" s="37" t="s">
        <v>760</v>
      </c>
      <c r="I70" s="37">
        <v>1</v>
      </c>
      <c r="J70" s="37">
        <v>750</v>
      </c>
      <c r="K70" s="37" t="s">
        <v>25</v>
      </c>
      <c r="L70" s="37">
        <f>SUMIF(Wine1!A:A,Drank!A70,Wine1!I:I)</f>
        <v>20</v>
      </c>
      <c r="M70" s="37">
        <v>2018</v>
      </c>
      <c r="N70" s="37">
        <v>2025</v>
      </c>
      <c r="O70" s="37">
        <v>2020</v>
      </c>
      <c r="P70" s="37">
        <v>2025</v>
      </c>
      <c r="Q70" s="37">
        <v>93</v>
      </c>
      <c r="R70" s="37">
        <v>92</v>
      </c>
      <c r="S70" s="7">
        <f>AVERAGEIF(A:A,A70,R:R)</f>
        <v>92.470588235294116</v>
      </c>
      <c r="T70" s="1">
        <v>44030</v>
      </c>
      <c r="U70" s="13" t="str">
        <f t="shared" si="24"/>
        <v>July</v>
      </c>
      <c r="V70" s="12">
        <f t="shared" si="25"/>
        <v>44030</v>
      </c>
      <c r="W70" s="11">
        <v>11.11</v>
      </c>
      <c r="X70" s="37">
        <v>0</v>
      </c>
      <c r="Y70" s="11">
        <f t="shared" si="26"/>
        <v>11.11</v>
      </c>
      <c r="Z70" s="109"/>
      <c r="AA70" s="37">
        <f>IF(Y70&gt;=Expenses!$C$32,4,IF(Y70&gt;=Expenses!$C$31,3,IF(Y70&gt;=Expenses!$C$30,2,1)))</f>
        <v>1</v>
      </c>
      <c r="AB70" s="37">
        <f t="shared" si="27"/>
        <v>1</v>
      </c>
      <c r="AC70" s="37" t="str">
        <f t="shared" si="28"/>
        <v>2020</v>
      </c>
      <c r="AD70" s="37" t="s">
        <v>384</v>
      </c>
      <c r="AE70" s="1">
        <v>43885</v>
      </c>
      <c r="AF70" s="13" t="str">
        <f t="shared" si="30"/>
        <v>February</v>
      </c>
      <c r="AG70" s="37" t="str">
        <f t="shared" si="31"/>
        <v>2020</v>
      </c>
    </row>
    <row r="71" spans="1:36" s="37" customFormat="1" ht="18.75" x14ac:dyDescent="0.3">
      <c r="A71" s="67" t="str">
        <f t="shared" si="32"/>
        <v>2015Corte MoschinaValpolicella Ripasso Superiore</v>
      </c>
      <c r="B71" s="37">
        <v>2015</v>
      </c>
      <c r="C71" s="37" t="s">
        <v>1523</v>
      </c>
      <c r="D71" s="37" t="s">
        <v>1524</v>
      </c>
      <c r="E71" s="37" t="s">
        <v>1525</v>
      </c>
      <c r="F71" s="37" t="s">
        <v>728</v>
      </c>
      <c r="G71" s="37" t="s">
        <v>799</v>
      </c>
      <c r="H71" s="37" t="s">
        <v>800</v>
      </c>
      <c r="I71" s="37">
        <v>1</v>
      </c>
      <c r="J71" s="37">
        <v>750</v>
      </c>
      <c r="L71" s="37">
        <f>SUMIF(Wine1!A:A,Drank!A71,Wine1!I:I)</f>
        <v>0</v>
      </c>
      <c r="P71" s="37">
        <v>2022</v>
      </c>
      <c r="R71" s="37">
        <v>90</v>
      </c>
      <c r="S71" s="7">
        <f>AVERAGEIF(A:A,A71,R:R)</f>
        <v>90</v>
      </c>
      <c r="T71" s="1">
        <v>44029</v>
      </c>
      <c r="U71" s="13" t="str">
        <f t="shared" si="24"/>
        <v>July</v>
      </c>
      <c r="V71" s="12">
        <f t="shared" si="25"/>
        <v>44029</v>
      </c>
      <c r="W71" s="11">
        <v>25</v>
      </c>
      <c r="X71" s="37">
        <v>1</v>
      </c>
      <c r="Y71" s="11">
        <f t="shared" si="26"/>
        <v>25</v>
      </c>
      <c r="Z71" s="109"/>
      <c r="AA71" s="37">
        <f>IF(Y71&gt;=Expenses!$C$32,4,IF(Y71&gt;=Expenses!$C$31,3,IF(Y71&gt;=Expenses!$C$30,2,1)))</f>
        <v>2</v>
      </c>
      <c r="AB71" s="37">
        <f t="shared" si="27"/>
        <v>1</v>
      </c>
      <c r="AC71" s="37" t="str">
        <f t="shared" si="28"/>
        <v>2020</v>
      </c>
      <c r="AE71" s="1">
        <v>44029</v>
      </c>
      <c r="AF71" s="13" t="str">
        <f t="shared" si="30"/>
        <v>July</v>
      </c>
      <c r="AG71" s="37" t="str">
        <f t="shared" si="31"/>
        <v>2020</v>
      </c>
    </row>
    <row r="72" spans="1:36" s="37" customFormat="1" ht="18.75" x14ac:dyDescent="0.3">
      <c r="A72" s="67" t="str">
        <f t="shared" si="32"/>
        <v>2016AllegriniPalazzo della Torre</v>
      </c>
      <c r="B72" s="37">
        <v>2016</v>
      </c>
      <c r="C72" s="37" t="s">
        <v>111</v>
      </c>
      <c r="D72" s="37" t="s">
        <v>112</v>
      </c>
      <c r="E72" s="37" t="s">
        <v>1258</v>
      </c>
      <c r="F72" s="37" t="s">
        <v>728</v>
      </c>
      <c r="G72" s="37" t="s">
        <v>799</v>
      </c>
      <c r="H72" s="37" t="s">
        <v>800</v>
      </c>
      <c r="I72" s="37">
        <v>1</v>
      </c>
      <c r="J72" s="37">
        <v>750</v>
      </c>
      <c r="K72" s="37" t="s">
        <v>929</v>
      </c>
      <c r="L72" s="37">
        <f>SUMIF(Wine1!A:A,Drank!A72,Wine1!I:I)</f>
        <v>0</v>
      </c>
      <c r="O72" s="37">
        <v>2020</v>
      </c>
      <c r="P72" s="37">
        <v>2025</v>
      </c>
      <c r="R72" s="37">
        <v>90</v>
      </c>
      <c r="S72" s="7">
        <f>AVERAGEIF(A:A,A72,R:R)</f>
        <v>90</v>
      </c>
      <c r="T72" s="1">
        <v>44029</v>
      </c>
      <c r="U72" s="13" t="str">
        <f t="shared" si="24"/>
        <v>July</v>
      </c>
      <c r="V72" s="12">
        <f t="shared" si="25"/>
        <v>44029</v>
      </c>
      <c r="W72" s="11">
        <v>19.55</v>
      </c>
      <c r="X72" s="37">
        <v>1</v>
      </c>
      <c r="Y72" s="11">
        <f t="shared" si="26"/>
        <v>19.55</v>
      </c>
      <c r="Z72" s="109"/>
      <c r="AA72" s="37">
        <f>IF(Y72&gt;=Expenses!$C$32,4,IF(Y72&gt;=Expenses!$C$31,3,IF(Y72&gt;=Expenses!$C$30,2,1)))</f>
        <v>2</v>
      </c>
      <c r="AB72" s="37">
        <f t="shared" si="27"/>
        <v>1</v>
      </c>
      <c r="AC72" s="37" t="str">
        <f t="shared" si="28"/>
        <v>2020</v>
      </c>
      <c r="AD72" s="37" t="s">
        <v>1128</v>
      </c>
      <c r="AE72" s="1">
        <v>43966</v>
      </c>
      <c r="AF72" s="13" t="str">
        <f t="shared" si="30"/>
        <v>May</v>
      </c>
      <c r="AG72" s="37" t="str">
        <f t="shared" si="31"/>
        <v>2020</v>
      </c>
    </row>
    <row r="73" spans="1:36" s="37" customFormat="1" ht="18.75" x14ac:dyDescent="0.3">
      <c r="A73" s="67" t="str">
        <f t="shared" si="32"/>
        <v>2016Perez CruzCabernet Sauvignon Reserva Estate</v>
      </c>
      <c r="B73" s="37">
        <v>2016</v>
      </c>
      <c r="C73" s="37" t="s">
        <v>1479</v>
      </c>
      <c r="D73" s="37" t="s">
        <v>1480</v>
      </c>
      <c r="E73" s="37" t="s">
        <v>1483</v>
      </c>
      <c r="F73" s="37" t="s">
        <v>952</v>
      </c>
      <c r="G73" s="37" t="s">
        <v>1481</v>
      </c>
      <c r="H73" s="37" t="s">
        <v>1482</v>
      </c>
      <c r="I73" s="37">
        <v>1</v>
      </c>
      <c r="J73" s="37">
        <v>750</v>
      </c>
      <c r="K73" s="37" t="s">
        <v>1427</v>
      </c>
      <c r="L73" s="37">
        <f>SUMIF(Wine1!A:A,Drank!A73,Wine1!I:I)</f>
        <v>0</v>
      </c>
      <c r="M73" s="37">
        <v>2018</v>
      </c>
      <c r="N73" s="37">
        <v>2021</v>
      </c>
      <c r="P73" s="37">
        <v>2024</v>
      </c>
      <c r="Q73" s="37">
        <v>91</v>
      </c>
      <c r="R73" s="37">
        <v>90</v>
      </c>
      <c r="S73" s="7">
        <f>AVERAGEIF(A:A,A73,R:R)</f>
        <v>90</v>
      </c>
      <c r="T73" s="1">
        <v>44024</v>
      </c>
      <c r="U73" s="13" t="str">
        <f t="shared" ref="U73:U104" si="33">TEXT(T73,"mmmm")</f>
        <v>July</v>
      </c>
      <c r="V73" s="12">
        <f t="shared" ref="V73:V104" si="34">T73</f>
        <v>44024</v>
      </c>
      <c r="W73" s="11">
        <v>14.11</v>
      </c>
      <c r="X73" s="37">
        <v>1</v>
      </c>
      <c r="Y73" s="11">
        <f t="shared" ref="Y73:Y104" si="35">W73/J73*750</f>
        <v>14.109999999999998</v>
      </c>
      <c r="Z73" s="109"/>
      <c r="AA73" s="37">
        <f>IF(Y73&gt;=Expenses!$C$32,4,IF(Y73&gt;=Expenses!$C$31,3,IF(Y73&gt;=Expenses!$C$30,2,1)))</f>
        <v>1</v>
      </c>
      <c r="AB73" s="37">
        <f t="shared" ref="AB73:AB104" si="36">J73/750</f>
        <v>1</v>
      </c>
      <c r="AC73" s="37" t="str">
        <f t="shared" ref="AC73:AC104" si="37">TEXT(T73,"yyyy")</f>
        <v>2020</v>
      </c>
      <c r="AD73" s="37" t="s">
        <v>1478</v>
      </c>
      <c r="AE73" s="1">
        <v>44019</v>
      </c>
      <c r="AF73" s="13" t="str">
        <f t="shared" si="30"/>
        <v>July</v>
      </c>
      <c r="AG73" s="37" t="str">
        <f t="shared" si="31"/>
        <v>2020</v>
      </c>
    </row>
    <row r="74" spans="1:36" s="37" customFormat="1" ht="18.75" x14ac:dyDescent="0.3">
      <c r="A74" s="67" t="str">
        <f t="shared" si="32"/>
        <v>2016Zorzal WinesEggo Tinto de Tiza</v>
      </c>
      <c r="B74" s="37">
        <v>2016</v>
      </c>
      <c r="C74" s="37" t="s">
        <v>1176</v>
      </c>
      <c r="D74" s="37" t="s">
        <v>1493</v>
      </c>
      <c r="E74" s="37" t="s">
        <v>1207</v>
      </c>
      <c r="F74" s="37" t="s">
        <v>731</v>
      </c>
      <c r="G74" s="37" t="s">
        <v>732</v>
      </c>
      <c r="H74" s="37" t="s">
        <v>1190</v>
      </c>
      <c r="I74" s="37">
        <v>1</v>
      </c>
      <c r="J74" s="37">
        <v>750</v>
      </c>
      <c r="K74" s="37" t="s">
        <v>236</v>
      </c>
      <c r="L74" s="37">
        <f>SUMIF(Wine1!A:A,Drank!A74,Wine1!I:I)</f>
        <v>0</v>
      </c>
      <c r="M74" s="37">
        <v>2018</v>
      </c>
      <c r="N74" s="37">
        <v>2022</v>
      </c>
      <c r="P74" s="37">
        <v>2024</v>
      </c>
      <c r="Q74" s="37">
        <v>95</v>
      </c>
      <c r="R74" s="37">
        <v>92</v>
      </c>
      <c r="S74" s="7">
        <f>AVERAGEIF(A:A,A74,R:R)</f>
        <v>92</v>
      </c>
      <c r="T74" s="1">
        <v>44023</v>
      </c>
      <c r="U74" s="13" t="str">
        <f t="shared" si="33"/>
        <v>July</v>
      </c>
      <c r="V74" s="12">
        <f t="shared" si="34"/>
        <v>44023</v>
      </c>
      <c r="W74" s="11">
        <v>28.34</v>
      </c>
      <c r="X74" s="37">
        <v>1</v>
      </c>
      <c r="Y74" s="11">
        <f t="shared" si="35"/>
        <v>28.340000000000003</v>
      </c>
      <c r="Z74" s="109"/>
      <c r="AA74" s="37">
        <f>IF(Y74&gt;=Expenses!$C$32,4,IF(Y74&gt;=Expenses!$C$31,3,IF(Y74&gt;=Expenses!$C$30,2,1)))</f>
        <v>2</v>
      </c>
      <c r="AB74" s="37">
        <f t="shared" si="36"/>
        <v>1</v>
      </c>
      <c r="AC74" s="37" t="str">
        <f t="shared" si="37"/>
        <v>2020</v>
      </c>
      <c r="AD74" s="37" t="s">
        <v>371</v>
      </c>
      <c r="AE74" s="1">
        <v>44019</v>
      </c>
      <c r="AF74" s="13" t="str">
        <f t="shared" si="30"/>
        <v>July</v>
      </c>
      <c r="AG74" s="37" t="str">
        <f t="shared" si="31"/>
        <v>2020</v>
      </c>
    </row>
    <row r="75" spans="1:36" s="37" customFormat="1" ht="18.75" x14ac:dyDescent="0.3">
      <c r="A75" s="67" t="str">
        <f t="shared" si="32"/>
        <v>2018Familia ZuccardiConcreto Malbec</v>
      </c>
      <c r="B75" s="37">
        <v>2018</v>
      </c>
      <c r="C75" s="37" t="s">
        <v>1489</v>
      </c>
      <c r="D75" s="37" t="s">
        <v>1490</v>
      </c>
      <c r="E75" s="37" t="s">
        <v>1207</v>
      </c>
      <c r="F75" s="37" t="s">
        <v>731</v>
      </c>
      <c r="G75" s="37" t="s">
        <v>732</v>
      </c>
      <c r="H75" s="37" t="s">
        <v>1191</v>
      </c>
      <c r="I75" s="37">
        <v>1</v>
      </c>
      <c r="J75" s="37">
        <v>750</v>
      </c>
      <c r="K75" s="37" t="s">
        <v>236</v>
      </c>
      <c r="L75" s="37">
        <f>SUMIF(Wine1!A:A,Drank!A75,Wine1!I:I)</f>
        <v>0</v>
      </c>
      <c r="M75" s="37">
        <v>2019</v>
      </c>
      <c r="N75" s="37">
        <v>2028</v>
      </c>
      <c r="P75" s="37">
        <v>2030</v>
      </c>
      <c r="Q75" s="37">
        <v>95</v>
      </c>
      <c r="R75" s="37">
        <v>93</v>
      </c>
      <c r="S75" s="7">
        <f>AVERAGEIF(A:A,A75,R:R)</f>
        <v>93</v>
      </c>
      <c r="T75" s="1">
        <v>44023</v>
      </c>
      <c r="U75" s="13" t="str">
        <f t="shared" si="33"/>
        <v>July</v>
      </c>
      <c r="V75" s="12">
        <f t="shared" si="34"/>
        <v>44023</v>
      </c>
      <c r="W75" s="11">
        <v>39.090000000000003</v>
      </c>
      <c r="X75" s="37">
        <v>1</v>
      </c>
      <c r="Y75" s="11">
        <f t="shared" si="35"/>
        <v>39.090000000000003</v>
      </c>
      <c r="Z75" s="109"/>
      <c r="AA75" s="37">
        <f>IF(Y75&gt;=Expenses!$C$32,4,IF(Y75&gt;=Expenses!$C$31,3,IF(Y75&gt;=Expenses!$C$30,2,1)))</f>
        <v>3</v>
      </c>
      <c r="AB75" s="37">
        <f t="shared" si="36"/>
        <v>1</v>
      </c>
      <c r="AC75" s="37" t="str">
        <f t="shared" si="37"/>
        <v>2020</v>
      </c>
      <c r="AD75" s="37" t="s">
        <v>371</v>
      </c>
      <c r="AE75" s="1">
        <v>44019</v>
      </c>
      <c r="AF75" s="13" t="str">
        <f t="shared" si="30"/>
        <v>July</v>
      </c>
      <c r="AG75" s="37" t="str">
        <f t="shared" si="31"/>
        <v>2020</v>
      </c>
    </row>
    <row r="76" spans="1:36" s="37" customFormat="1" ht="18.75" x14ac:dyDescent="0.3">
      <c r="A76" s="67" t="str">
        <f t="shared" ref="A76:A87" si="38">CONCATENATE(B76,C76,D76)</f>
        <v>2015Bodegas Hornillos BallesterosMibal Joven</v>
      </c>
      <c r="B76" s="37">
        <v>2015</v>
      </c>
      <c r="C76" s="37" t="s">
        <v>1361</v>
      </c>
      <c r="D76" s="37" t="s">
        <v>1362</v>
      </c>
      <c r="E76" s="37" t="s">
        <v>1220</v>
      </c>
      <c r="F76" s="37" t="s">
        <v>729</v>
      </c>
      <c r="G76" s="37" t="s">
        <v>814</v>
      </c>
      <c r="H76" s="37" t="s">
        <v>818</v>
      </c>
      <c r="I76" s="37">
        <v>1</v>
      </c>
      <c r="J76" s="37">
        <v>750</v>
      </c>
      <c r="K76" s="37" t="s">
        <v>58</v>
      </c>
      <c r="L76" s="37">
        <f>SUMIF(Wine1!A:A,Drank!A76,Wine1!I:I)</f>
        <v>0</v>
      </c>
      <c r="P76" s="37">
        <v>2022</v>
      </c>
      <c r="R76" s="37">
        <v>86</v>
      </c>
      <c r="S76" s="7">
        <f>AVERAGEIF(A:A,A76,R:R)</f>
        <v>85.5</v>
      </c>
      <c r="T76" s="1">
        <v>44023</v>
      </c>
      <c r="U76" s="13" t="str">
        <f t="shared" si="33"/>
        <v>July</v>
      </c>
      <c r="V76" s="12">
        <f t="shared" si="34"/>
        <v>44023</v>
      </c>
      <c r="W76" s="11">
        <v>10.85</v>
      </c>
      <c r="X76" s="37">
        <v>1</v>
      </c>
      <c r="Y76" s="11">
        <f t="shared" si="35"/>
        <v>10.85</v>
      </c>
      <c r="Z76" s="109"/>
      <c r="AA76" s="37">
        <f>IF(Y76&gt;=Expenses!$C$32,4,IF(Y76&gt;=Expenses!$C$31,3,IF(Y76&gt;=Expenses!$C$30,2,1)))</f>
        <v>1</v>
      </c>
      <c r="AB76" s="37">
        <f t="shared" si="36"/>
        <v>1</v>
      </c>
      <c r="AC76" s="37" t="str">
        <f t="shared" si="37"/>
        <v>2020</v>
      </c>
      <c r="AD76" s="37" t="s">
        <v>384</v>
      </c>
      <c r="AE76" s="1">
        <v>43934</v>
      </c>
      <c r="AF76" s="13" t="str">
        <f t="shared" si="30"/>
        <v>April</v>
      </c>
      <c r="AG76" s="37" t="str">
        <f t="shared" si="31"/>
        <v>2020</v>
      </c>
    </row>
    <row r="77" spans="1:36" s="37" customFormat="1" ht="18.75" x14ac:dyDescent="0.3">
      <c r="A77" s="67" t="str">
        <f t="shared" si="38"/>
        <v>2006Casanova di NeriBrunello di Montalcino</v>
      </c>
      <c r="B77" s="37">
        <v>2006</v>
      </c>
      <c r="C77" s="37" t="s">
        <v>18</v>
      </c>
      <c r="D77" s="37" t="s">
        <v>19</v>
      </c>
      <c r="E77" s="37" t="s">
        <v>280</v>
      </c>
      <c r="F77" s="37" t="s">
        <v>728</v>
      </c>
      <c r="G77" s="37" t="s">
        <v>790</v>
      </c>
      <c r="H77" s="37" t="s">
        <v>19</v>
      </c>
      <c r="I77" s="37">
        <v>1</v>
      </c>
      <c r="J77" s="37">
        <v>750</v>
      </c>
      <c r="K77" s="37" t="s">
        <v>11</v>
      </c>
      <c r="L77" s="37">
        <f>SUMIF(Wine1!A:A,Drank!A77,Wine1!I:I)</f>
        <v>0</v>
      </c>
      <c r="M77" s="37">
        <v>2012</v>
      </c>
      <c r="N77" s="37">
        <v>2024</v>
      </c>
      <c r="P77" s="37">
        <v>2021</v>
      </c>
      <c r="Q77" s="37">
        <v>93</v>
      </c>
      <c r="R77" s="37">
        <v>93</v>
      </c>
      <c r="S77" s="7">
        <f>AVERAGEIF(A:A,A77,R:R)</f>
        <v>93</v>
      </c>
      <c r="T77" s="1">
        <v>44017</v>
      </c>
      <c r="U77" s="13" t="str">
        <f t="shared" si="33"/>
        <v>July</v>
      </c>
      <c r="V77" s="12">
        <f t="shared" si="34"/>
        <v>44017</v>
      </c>
      <c r="W77" s="11">
        <v>85</v>
      </c>
      <c r="X77" s="37">
        <v>1</v>
      </c>
      <c r="Y77" s="11">
        <f t="shared" si="35"/>
        <v>85</v>
      </c>
      <c r="Z77" s="109"/>
      <c r="AA77" s="37">
        <f>IF(Y77&gt;=Expenses!$C$32,4,IF(Y77&gt;=Expenses!$C$31,3,IF(Y77&gt;=Expenses!$C$30,2,1)))</f>
        <v>4</v>
      </c>
      <c r="AB77" s="37">
        <f t="shared" si="36"/>
        <v>1</v>
      </c>
      <c r="AC77" s="37" t="str">
        <f t="shared" si="37"/>
        <v>2020</v>
      </c>
      <c r="AD77" s="37" t="s">
        <v>1131</v>
      </c>
      <c r="AE77" s="1"/>
      <c r="AF77" s="13" t="str">
        <f t="shared" si="30"/>
        <v>January</v>
      </c>
      <c r="AG77" s="37" t="str">
        <f t="shared" si="31"/>
        <v>1900</v>
      </c>
      <c r="AH77" s="37">
        <v>4.5</v>
      </c>
      <c r="AI77" s="37" t="s">
        <v>1508</v>
      </c>
      <c r="AJ77" s="37" t="s">
        <v>1509</v>
      </c>
    </row>
    <row r="78" spans="1:36" s="37" customFormat="1" ht="18.75" x14ac:dyDescent="0.3">
      <c r="A78" s="67" t="str">
        <f t="shared" si="38"/>
        <v>2013Mazzei Chianti Classico Gran Selezione Castello Fonterutoli</v>
      </c>
      <c r="B78" s="37">
        <v>2013</v>
      </c>
      <c r="C78" s="37" t="s">
        <v>1380</v>
      </c>
      <c r="D78" s="37" t="s">
        <v>1379</v>
      </c>
      <c r="E78" s="37" t="s">
        <v>1381</v>
      </c>
      <c r="F78" s="37" t="s">
        <v>728</v>
      </c>
      <c r="G78" s="37" t="s">
        <v>790</v>
      </c>
      <c r="H78" s="37" t="s">
        <v>792</v>
      </c>
      <c r="I78" s="37">
        <v>1</v>
      </c>
      <c r="J78" s="37">
        <v>750</v>
      </c>
      <c r="K78" s="37" t="s">
        <v>652</v>
      </c>
      <c r="L78" s="37">
        <f>SUMIF(Wine1!A:A,Drank!A78,Wine1!I:I)</f>
        <v>3</v>
      </c>
      <c r="M78" s="37">
        <v>2017</v>
      </c>
      <c r="N78" s="37">
        <v>2030</v>
      </c>
      <c r="O78" s="37">
        <v>2026</v>
      </c>
      <c r="P78" s="37">
        <v>2032</v>
      </c>
      <c r="Q78" s="37">
        <v>94</v>
      </c>
      <c r="R78" s="37">
        <v>93</v>
      </c>
      <c r="S78" s="7">
        <f>AVERAGEIF(A:A,A78,R:R)</f>
        <v>93</v>
      </c>
      <c r="T78" s="1">
        <v>44017</v>
      </c>
      <c r="U78" s="13" t="str">
        <f t="shared" si="33"/>
        <v>July</v>
      </c>
      <c r="V78" s="12">
        <f t="shared" si="34"/>
        <v>44017</v>
      </c>
      <c r="W78" s="11">
        <v>35.840000000000003</v>
      </c>
      <c r="X78" s="37">
        <v>1</v>
      </c>
      <c r="Y78" s="11">
        <f t="shared" si="35"/>
        <v>35.840000000000003</v>
      </c>
      <c r="Z78" s="109"/>
      <c r="AA78" s="37">
        <f>IF(Y78&gt;=Expenses!$C$32,4,IF(Y78&gt;=Expenses!$C$31,3,IF(Y78&gt;=Expenses!$C$30,2,1)))</f>
        <v>3</v>
      </c>
      <c r="AB78" s="37">
        <f t="shared" si="36"/>
        <v>1</v>
      </c>
      <c r="AC78" s="37" t="str">
        <f t="shared" si="37"/>
        <v>2020</v>
      </c>
      <c r="AD78" s="37" t="s">
        <v>384</v>
      </c>
      <c r="AE78" s="1">
        <v>43947</v>
      </c>
      <c r="AF78" s="13" t="str">
        <f t="shared" si="30"/>
        <v>April</v>
      </c>
      <c r="AG78" s="37" t="str">
        <f t="shared" si="31"/>
        <v>2020</v>
      </c>
      <c r="AH78" s="37">
        <v>8</v>
      </c>
    </row>
    <row r="79" spans="1:36" s="37" customFormat="1" ht="18.75" x14ac:dyDescent="0.3">
      <c r="A79" s="67" t="str">
        <f t="shared" si="38"/>
        <v>2017Guy FargeSaint Joseph Terroir de Granit</v>
      </c>
      <c r="B79" s="37">
        <v>2017</v>
      </c>
      <c r="C79" s="37" t="s">
        <v>1430</v>
      </c>
      <c r="D79" s="37" t="s">
        <v>1456</v>
      </c>
      <c r="E79" s="37" t="s">
        <v>1431</v>
      </c>
      <c r="F79" s="37" t="s">
        <v>742</v>
      </c>
      <c r="G79" s="37" t="s">
        <v>759</v>
      </c>
      <c r="H79" s="37" t="s">
        <v>1432</v>
      </c>
      <c r="I79" s="37">
        <v>1</v>
      </c>
      <c r="J79" s="37">
        <v>750</v>
      </c>
      <c r="K79" s="37" t="s">
        <v>236</v>
      </c>
      <c r="L79" s="37">
        <f>SUMIF(Wine1!A:A,Drank!A79,Wine1!I:I)</f>
        <v>3</v>
      </c>
      <c r="M79" s="37">
        <v>2019</v>
      </c>
      <c r="N79" s="37">
        <v>2030</v>
      </c>
      <c r="O79" s="37">
        <v>2025</v>
      </c>
      <c r="P79" s="37">
        <v>2030</v>
      </c>
      <c r="Q79" s="37">
        <v>93</v>
      </c>
      <c r="R79" s="37">
        <v>93</v>
      </c>
      <c r="S79" s="7">
        <f>AVERAGEIF(A:A,A79,R:R)</f>
        <v>93</v>
      </c>
      <c r="T79" s="1">
        <v>44016</v>
      </c>
      <c r="U79" s="13" t="str">
        <f t="shared" si="33"/>
        <v>July</v>
      </c>
      <c r="V79" s="12">
        <f t="shared" si="34"/>
        <v>44016</v>
      </c>
      <c r="W79" s="11">
        <v>21.72</v>
      </c>
      <c r="X79" s="37">
        <v>1</v>
      </c>
      <c r="Y79" s="11">
        <f t="shared" si="35"/>
        <v>21.72</v>
      </c>
      <c r="Z79" s="109"/>
      <c r="AA79" s="37">
        <f>IF(Y79&gt;=Expenses!$C$32,4,IF(Y79&gt;=Expenses!$C$31,3,IF(Y79&gt;=Expenses!$C$30,2,1)))</f>
        <v>2</v>
      </c>
      <c r="AB79" s="37">
        <f t="shared" si="36"/>
        <v>1</v>
      </c>
      <c r="AC79" s="37" t="str">
        <f t="shared" si="37"/>
        <v>2020</v>
      </c>
      <c r="AD79" s="37" t="s">
        <v>384</v>
      </c>
      <c r="AE79" s="1">
        <v>43998</v>
      </c>
      <c r="AF79" s="13" t="str">
        <f t="shared" si="30"/>
        <v>June</v>
      </c>
      <c r="AG79" s="37" t="str">
        <f t="shared" si="31"/>
        <v>2020</v>
      </c>
      <c r="AH79" s="37">
        <v>3</v>
      </c>
    </row>
    <row r="80" spans="1:36" s="37" customFormat="1" ht="18.75" x14ac:dyDescent="0.3">
      <c r="A80" s="67" t="str">
        <f t="shared" si="38"/>
        <v>2016Romain DuvernayCotes du Rhone Villages Domaine de Pentelines</v>
      </c>
      <c r="B80" s="37">
        <v>2016</v>
      </c>
      <c r="C80" s="37" t="s">
        <v>1428</v>
      </c>
      <c r="D80" s="37" t="s">
        <v>1429</v>
      </c>
      <c r="E80" s="37" t="s">
        <v>417</v>
      </c>
      <c r="F80" s="37" t="s">
        <v>742</v>
      </c>
      <c r="G80" s="37" t="s">
        <v>759</v>
      </c>
      <c r="H80" s="37" t="s">
        <v>760</v>
      </c>
      <c r="I80" s="37">
        <v>1</v>
      </c>
      <c r="J80" s="37">
        <v>750</v>
      </c>
      <c r="K80" s="37" t="s">
        <v>236</v>
      </c>
      <c r="L80" s="37">
        <f>SUMIF(Wine1!A:A,Drank!A80,Wine1!I:I)</f>
        <v>10</v>
      </c>
      <c r="M80" s="37">
        <v>2017</v>
      </c>
      <c r="N80" s="37">
        <v>2025</v>
      </c>
      <c r="O80" s="37">
        <v>2021</v>
      </c>
      <c r="P80" s="37">
        <v>2026</v>
      </c>
      <c r="Q80" s="37">
        <v>92</v>
      </c>
      <c r="R80" s="37">
        <v>91</v>
      </c>
      <c r="S80" s="7">
        <f>AVERAGEIF(A:A,A80,R:R)</f>
        <v>90.5</v>
      </c>
      <c r="T80" s="1">
        <v>44015</v>
      </c>
      <c r="U80" s="13" t="str">
        <f t="shared" si="33"/>
        <v>July</v>
      </c>
      <c r="V80" s="12">
        <f t="shared" si="34"/>
        <v>44015</v>
      </c>
      <c r="W80" s="11">
        <v>15.2</v>
      </c>
      <c r="X80" s="37">
        <v>0</v>
      </c>
      <c r="Y80" s="11">
        <f t="shared" si="35"/>
        <v>15.2</v>
      </c>
      <c r="Z80" s="109"/>
      <c r="AA80" s="37">
        <f>IF(Y80&gt;=Expenses!$C$32,4,IF(Y80&gt;=Expenses!$C$31,3,IF(Y80&gt;=Expenses!$C$30,2,1)))</f>
        <v>1</v>
      </c>
      <c r="AB80" s="37">
        <f t="shared" si="36"/>
        <v>1</v>
      </c>
      <c r="AC80" s="37" t="str">
        <f t="shared" si="37"/>
        <v>2020</v>
      </c>
      <c r="AD80" s="37" t="s">
        <v>384</v>
      </c>
      <c r="AE80" s="1">
        <v>43992</v>
      </c>
      <c r="AF80" s="13" t="str">
        <f t="shared" si="30"/>
        <v>June</v>
      </c>
      <c r="AG80" s="37" t="str">
        <f t="shared" si="31"/>
        <v>2020</v>
      </c>
    </row>
    <row r="81" spans="1:34" s="37" customFormat="1" ht="18.75" x14ac:dyDescent="0.3">
      <c r="A81" s="67" t="str">
        <f t="shared" si="38"/>
        <v>2017Diez-CaballeroCrianza</v>
      </c>
      <c r="B81" s="37">
        <v>2017</v>
      </c>
      <c r="C81" s="37" t="s">
        <v>1216</v>
      </c>
      <c r="D81" s="37" t="s">
        <v>108</v>
      </c>
      <c r="E81" s="37" t="s">
        <v>1220</v>
      </c>
      <c r="F81" s="37" t="s">
        <v>729</v>
      </c>
      <c r="G81" s="37" t="s">
        <v>823</v>
      </c>
      <c r="I81" s="37">
        <v>1</v>
      </c>
      <c r="J81" s="37">
        <v>750</v>
      </c>
      <c r="K81" s="37" t="s">
        <v>236</v>
      </c>
      <c r="L81" s="37">
        <f>SUMIF(Wine1!A:A,Drank!A81,Wine1!I:I)</f>
        <v>21</v>
      </c>
      <c r="M81" s="37">
        <v>2019</v>
      </c>
      <c r="N81" s="37">
        <v>2024</v>
      </c>
      <c r="O81" s="37">
        <v>2021</v>
      </c>
      <c r="P81" s="37">
        <v>2025</v>
      </c>
      <c r="Q81" s="37">
        <v>90</v>
      </c>
      <c r="R81" s="37">
        <v>90</v>
      </c>
      <c r="S81" s="7">
        <f>AVERAGEIF(A:A,A81,R:R)</f>
        <v>90.666666666666671</v>
      </c>
      <c r="T81" s="1">
        <v>44015</v>
      </c>
      <c r="U81" s="13" t="str">
        <f t="shared" si="33"/>
        <v>July</v>
      </c>
      <c r="V81" s="12">
        <f t="shared" si="34"/>
        <v>44015</v>
      </c>
      <c r="W81" s="11">
        <v>14.11</v>
      </c>
      <c r="X81" s="37">
        <v>0</v>
      </c>
      <c r="Y81" s="11">
        <f t="shared" si="35"/>
        <v>14.109999999999998</v>
      </c>
      <c r="Z81" s="109"/>
      <c r="AA81" s="37">
        <f>IF(Y81&gt;=Expenses!$C$32,4,IF(Y81&gt;=Expenses!$C$31,3,IF(Y81&gt;=Expenses!$C$30,2,1)))</f>
        <v>1</v>
      </c>
      <c r="AB81" s="37">
        <f t="shared" si="36"/>
        <v>1</v>
      </c>
      <c r="AC81" s="37" t="str">
        <f t="shared" si="37"/>
        <v>2020</v>
      </c>
      <c r="AD81" s="37" t="s">
        <v>384</v>
      </c>
      <c r="AE81" s="1">
        <v>43993</v>
      </c>
      <c r="AF81" s="13" t="str">
        <f t="shared" si="30"/>
        <v>June</v>
      </c>
      <c r="AG81" s="37" t="str">
        <f t="shared" si="31"/>
        <v>2020</v>
      </c>
    </row>
    <row r="82" spans="1:34" s="37" customFormat="1" ht="18.75" x14ac:dyDescent="0.3">
      <c r="A82" s="67" t="str">
        <f t="shared" si="38"/>
        <v>2013Marques de RiscalReserva</v>
      </c>
      <c r="B82" s="37">
        <v>2013</v>
      </c>
      <c r="C82" s="37" t="s">
        <v>1536</v>
      </c>
      <c r="D82" s="37" t="s">
        <v>106</v>
      </c>
      <c r="E82" s="37" t="s">
        <v>1296</v>
      </c>
      <c r="F82" s="37" t="s">
        <v>729</v>
      </c>
      <c r="G82" s="37" t="s">
        <v>823</v>
      </c>
      <c r="I82" s="37">
        <v>1</v>
      </c>
      <c r="J82" s="37">
        <v>750</v>
      </c>
      <c r="K82" s="37" t="s">
        <v>652</v>
      </c>
      <c r="L82" s="37">
        <f>SUMIF(Wine1!A:A,Drank!A82,Wine1!I:I)</f>
        <v>3</v>
      </c>
      <c r="O82" s="37">
        <v>2020</v>
      </c>
      <c r="P82" s="37">
        <v>2023</v>
      </c>
      <c r="R82" s="37">
        <v>91</v>
      </c>
      <c r="S82" s="7">
        <f>AVERAGEIF(A:A,A82,R:R)</f>
        <v>90.8</v>
      </c>
      <c r="T82" s="1">
        <v>44015</v>
      </c>
      <c r="U82" s="13" t="str">
        <f t="shared" si="33"/>
        <v>July</v>
      </c>
      <c r="V82" s="12">
        <f t="shared" si="34"/>
        <v>44015</v>
      </c>
      <c r="W82" s="11">
        <v>17.600000000000001</v>
      </c>
      <c r="X82" s="37">
        <v>0</v>
      </c>
      <c r="Y82" s="11">
        <f t="shared" si="35"/>
        <v>17.600000000000001</v>
      </c>
      <c r="Z82" s="109"/>
      <c r="AA82" s="37">
        <f>IF(Y82&gt;=Expenses!$C$32,4,IF(Y82&gt;=Expenses!$C$31,3,IF(Y82&gt;=Expenses!$C$30,2,1)))</f>
        <v>2</v>
      </c>
      <c r="AB82" s="37">
        <f t="shared" si="36"/>
        <v>1</v>
      </c>
      <c r="AC82" s="37" t="str">
        <f t="shared" si="37"/>
        <v>2020</v>
      </c>
      <c r="AD82" s="37" t="s">
        <v>1128</v>
      </c>
      <c r="AE82" s="1">
        <v>43966</v>
      </c>
      <c r="AF82" s="13" t="str">
        <f t="shared" si="30"/>
        <v>May</v>
      </c>
      <c r="AG82" s="37" t="str">
        <f t="shared" si="31"/>
        <v>2020</v>
      </c>
    </row>
    <row r="83" spans="1:34" s="37" customFormat="1" ht="18.75" x14ac:dyDescent="0.3">
      <c r="A83" s="67" t="str">
        <f t="shared" si="38"/>
        <v>2007La Rioja AltaGran Reserva 904</v>
      </c>
      <c r="B83" s="37">
        <v>2007</v>
      </c>
      <c r="C83" s="37" t="s">
        <v>221</v>
      </c>
      <c r="D83" s="37" t="s">
        <v>222</v>
      </c>
      <c r="E83" s="37" t="s">
        <v>1466</v>
      </c>
      <c r="F83" s="37" t="s">
        <v>729</v>
      </c>
      <c r="G83" s="37" t="s">
        <v>823</v>
      </c>
      <c r="H83" s="37" t="s">
        <v>824</v>
      </c>
      <c r="I83" s="37">
        <v>1</v>
      </c>
      <c r="J83" s="37">
        <v>1500</v>
      </c>
      <c r="K83" s="37" t="s">
        <v>253</v>
      </c>
      <c r="L83" s="37">
        <f>SUMIF(Wine1!A:A,Drank!A83,Wine1!I:I)</f>
        <v>1</v>
      </c>
      <c r="M83" s="37">
        <v>2016</v>
      </c>
      <c r="N83" s="37">
        <v>2027</v>
      </c>
      <c r="P83" s="37">
        <v>2030</v>
      </c>
      <c r="Q83" s="37">
        <v>95</v>
      </c>
      <c r="R83" s="37">
        <v>95</v>
      </c>
      <c r="S83" s="7">
        <f>AVERAGEIF(A:A,A83,R:R)</f>
        <v>94.5</v>
      </c>
      <c r="T83" s="1">
        <v>44015</v>
      </c>
      <c r="U83" s="13" t="str">
        <f t="shared" si="33"/>
        <v>July</v>
      </c>
      <c r="V83" s="12">
        <f t="shared" si="34"/>
        <v>44015</v>
      </c>
      <c r="W83" s="11">
        <v>145.15</v>
      </c>
      <c r="X83" s="37">
        <v>1</v>
      </c>
      <c r="Y83" s="11">
        <f t="shared" si="35"/>
        <v>72.575000000000003</v>
      </c>
      <c r="Z83" s="109"/>
      <c r="AA83" s="37">
        <f>IF(Y83&gt;=Expenses!$C$32,4,IF(Y83&gt;=Expenses!$C$31,3,IF(Y83&gt;=Expenses!$C$30,2,1)))</f>
        <v>4</v>
      </c>
      <c r="AB83" s="37">
        <f t="shared" si="36"/>
        <v>2</v>
      </c>
      <c r="AC83" s="37" t="str">
        <f t="shared" si="37"/>
        <v>2020</v>
      </c>
      <c r="AD83" s="37" t="s">
        <v>1139</v>
      </c>
      <c r="AE83" s="1"/>
      <c r="AF83" s="13" t="str">
        <f t="shared" si="30"/>
        <v>January</v>
      </c>
      <c r="AG83" s="37" t="str">
        <f t="shared" si="31"/>
        <v>1900</v>
      </c>
      <c r="AH83" s="37">
        <v>4.5</v>
      </c>
    </row>
    <row r="84" spans="1:34" s="37" customFormat="1" ht="18.75" x14ac:dyDescent="0.3">
      <c r="A84" s="67" t="str">
        <f t="shared" si="38"/>
        <v>2015Methven Family VineyardsPinot Noir Citizen's Cuvee</v>
      </c>
      <c r="B84" s="37">
        <v>2015</v>
      </c>
      <c r="C84" s="37" t="s">
        <v>1458</v>
      </c>
      <c r="D84" s="37" t="s">
        <v>1459</v>
      </c>
      <c r="E84" s="37" t="s">
        <v>1462</v>
      </c>
      <c r="F84" s="37" t="s">
        <v>727</v>
      </c>
      <c r="G84" s="37" t="s">
        <v>1460</v>
      </c>
      <c r="H84" s="37" t="s">
        <v>1461</v>
      </c>
      <c r="I84" s="37">
        <v>1</v>
      </c>
      <c r="J84" s="37">
        <v>750</v>
      </c>
      <c r="K84" s="37" t="s">
        <v>384</v>
      </c>
      <c r="L84" s="37">
        <f>SUMIF(Wine1!A:A,Drank!A84,Wine1!I:I)</f>
        <v>7</v>
      </c>
      <c r="M84" s="37">
        <v>2018</v>
      </c>
      <c r="N84" s="37">
        <v>2022</v>
      </c>
      <c r="O84" s="37">
        <v>2020</v>
      </c>
      <c r="P84" s="37">
        <v>2022</v>
      </c>
      <c r="Q84" s="37">
        <v>91</v>
      </c>
      <c r="R84" s="37">
        <v>89</v>
      </c>
      <c r="S84" s="7">
        <f>AVERAGEIF(A:A,A84,R:R)</f>
        <v>89</v>
      </c>
      <c r="T84" s="1">
        <v>44012</v>
      </c>
      <c r="U84" s="13" t="str">
        <f t="shared" si="33"/>
        <v>June</v>
      </c>
      <c r="V84" s="12">
        <f t="shared" si="34"/>
        <v>44012</v>
      </c>
      <c r="W84" s="11">
        <v>16.28</v>
      </c>
      <c r="X84" s="37">
        <v>0</v>
      </c>
      <c r="Y84" s="11">
        <f t="shared" si="35"/>
        <v>16.28</v>
      </c>
      <c r="Z84" s="109"/>
      <c r="AA84" s="37">
        <f>IF(Y84&gt;=Expenses!$C$32,4,IF(Y84&gt;=Expenses!$C$31,3,IF(Y84&gt;=Expenses!$C$30,2,1)))</f>
        <v>1</v>
      </c>
      <c r="AB84" s="37">
        <f t="shared" si="36"/>
        <v>1</v>
      </c>
      <c r="AC84" s="37" t="str">
        <f t="shared" si="37"/>
        <v>2020</v>
      </c>
      <c r="AD84" s="37" t="s">
        <v>384</v>
      </c>
      <c r="AE84" s="1">
        <v>44010</v>
      </c>
      <c r="AF84" s="13" t="str">
        <f t="shared" si="30"/>
        <v>June</v>
      </c>
      <c r="AG84" s="37" t="str">
        <f t="shared" si="31"/>
        <v>2020</v>
      </c>
    </row>
    <row r="85" spans="1:34" s="37" customFormat="1" ht="18.75" x14ac:dyDescent="0.3">
      <c r="A85" s="67" t="str">
        <f t="shared" si="38"/>
        <v>2017Tenuta San GuidoGuidalberto</v>
      </c>
      <c r="B85" s="37">
        <v>2017</v>
      </c>
      <c r="C85" s="37" t="s">
        <v>91</v>
      </c>
      <c r="D85" s="37" t="s">
        <v>1236</v>
      </c>
      <c r="E85" s="37" t="s">
        <v>1455</v>
      </c>
      <c r="F85" s="37" t="s">
        <v>728</v>
      </c>
      <c r="G85" s="37" t="s">
        <v>790</v>
      </c>
      <c r="H85" s="37" t="s">
        <v>796</v>
      </c>
      <c r="I85" s="37">
        <v>1</v>
      </c>
      <c r="J85" s="37">
        <v>750</v>
      </c>
      <c r="K85" s="37" t="s">
        <v>589</v>
      </c>
      <c r="L85" s="37">
        <f>SUMIF(Wine1!A:A,Drank!A85,Wine1!I:I)</f>
        <v>5</v>
      </c>
      <c r="M85" s="37">
        <v>2019</v>
      </c>
      <c r="N85" s="37">
        <v>2028</v>
      </c>
      <c r="O85" s="37">
        <v>2025</v>
      </c>
      <c r="P85" s="37">
        <v>2030</v>
      </c>
      <c r="Q85" s="37" t="s">
        <v>29</v>
      </c>
      <c r="R85" s="37">
        <v>94</v>
      </c>
      <c r="S85" s="7">
        <f>AVERAGEIF(A:A,A85,R:R)</f>
        <v>94</v>
      </c>
      <c r="T85" s="1">
        <v>44010</v>
      </c>
      <c r="U85" s="13" t="str">
        <f t="shared" si="33"/>
        <v>June</v>
      </c>
      <c r="V85" s="12">
        <f t="shared" si="34"/>
        <v>44010</v>
      </c>
      <c r="W85" s="11">
        <v>48.89</v>
      </c>
      <c r="X85" s="37">
        <v>1</v>
      </c>
      <c r="Y85" s="11">
        <f t="shared" si="35"/>
        <v>48.89</v>
      </c>
      <c r="Z85" s="109"/>
      <c r="AA85" s="37">
        <f>IF(Y85&gt;=Expenses!$C$32,4,IF(Y85&gt;=Expenses!$C$31,3,IF(Y85&gt;=Expenses!$C$30,2,1)))</f>
        <v>3</v>
      </c>
      <c r="AB85" s="37">
        <f t="shared" si="36"/>
        <v>1</v>
      </c>
      <c r="AC85" s="37" t="str">
        <f t="shared" si="37"/>
        <v>2020</v>
      </c>
      <c r="AD85" s="37" t="s">
        <v>1128</v>
      </c>
      <c r="AE85" s="1">
        <v>43966</v>
      </c>
      <c r="AF85" s="13" t="str">
        <f t="shared" si="30"/>
        <v>May</v>
      </c>
      <c r="AG85" s="37" t="str">
        <f t="shared" si="31"/>
        <v>2020</v>
      </c>
      <c r="AH85" s="37">
        <v>3</v>
      </c>
    </row>
    <row r="86" spans="1:34" s="37" customFormat="1" ht="18.75" x14ac:dyDescent="0.3">
      <c r="A86" s="67" t="str">
        <f t="shared" si="38"/>
        <v>2006Sella &amp; MoscaMarchese di Villamarina</v>
      </c>
      <c r="B86" s="37">
        <v>2006</v>
      </c>
      <c r="C86" s="37" t="s">
        <v>15</v>
      </c>
      <c r="D86" s="37" t="s">
        <v>16</v>
      </c>
      <c r="E86" s="37" t="s">
        <v>1443</v>
      </c>
      <c r="F86" s="37" t="s">
        <v>728</v>
      </c>
      <c r="G86" s="37" t="s">
        <v>787</v>
      </c>
      <c r="I86" s="37">
        <v>1</v>
      </c>
      <c r="J86" s="37">
        <v>750</v>
      </c>
      <c r="K86" s="37" t="s">
        <v>8</v>
      </c>
      <c r="L86" s="37">
        <f>SUMIF(Wine1!A:A,Drank!A86,Wine1!I:I)</f>
        <v>0</v>
      </c>
      <c r="M86" s="37">
        <v>2013</v>
      </c>
      <c r="N86" s="37">
        <v>2026</v>
      </c>
      <c r="P86" s="37">
        <v>2024</v>
      </c>
      <c r="Q86" s="37" t="s">
        <v>17</v>
      </c>
      <c r="R86" s="37">
        <v>93</v>
      </c>
      <c r="S86" s="7">
        <f>AVERAGEIF(A:A,A86,R:R)</f>
        <v>93</v>
      </c>
      <c r="T86" s="1">
        <v>44010</v>
      </c>
      <c r="U86" s="13" t="str">
        <f t="shared" si="33"/>
        <v>June</v>
      </c>
      <c r="V86" s="12">
        <f t="shared" si="34"/>
        <v>44010</v>
      </c>
      <c r="W86" s="11">
        <v>44</v>
      </c>
      <c r="X86" s="37">
        <v>1</v>
      </c>
      <c r="Y86" s="11">
        <f t="shared" si="35"/>
        <v>44</v>
      </c>
      <c r="Z86" s="109"/>
      <c r="AA86" s="37">
        <f>IF(Y86&gt;=Expenses!$C$32,4,IF(Y86&gt;=Expenses!$C$31,3,IF(Y86&gt;=Expenses!$C$30,2,1)))</f>
        <v>3</v>
      </c>
      <c r="AB86" s="37">
        <f t="shared" si="36"/>
        <v>1</v>
      </c>
      <c r="AC86" s="37" t="str">
        <f t="shared" si="37"/>
        <v>2020</v>
      </c>
      <c r="AD86" s="37" t="s">
        <v>1131</v>
      </c>
      <c r="AE86" s="1"/>
      <c r="AF86" s="13" t="str">
        <f t="shared" si="30"/>
        <v>January</v>
      </c>
      <c r="AG86" s="37" t="str">
        <f t="shared" si="31"/>
        <v>1900</v>
      </c>
    </row>
    <row r="87" spans="1:34" s="37" customFormat="1" ht="18.75" x14ac:dyDescent="0.3">
      <c r="A87" s="67" t="str">
        <f t="shared" si="38"/>
        <v>2010Diez-CaballeroReserva</v>
      </c>
      <c r="B87" s="37">
        <v>2010</v>
      </c>
      <c r="C87" s="37" t="s">
        <v>1216</v>
      </c>
      <c r="D87" s="37" t="s">
        <v>106</v>
      </c>
      <c r="E87" s="37" t="s">
        <v>1220</v>
      </c>
      <c r="F87" s="37" t="s">
        <v>729</v>
      </c>
      <c r="G87" s="37" t="s">
        <v>823</v>
      </c>
      <c r="I87" s="37">
        <v>1</v>
      </c>
      <c r="J87" s="37">
        <v>750</v>
      </c>
      <c r="K87" s="37" t="s">
        <v>236</v>
      </c>
      <c r="L87" s="37">
        <f>SUMIF(Wine1!A:A,Drank!A87,Wine1!I:I)</f>
        <v>9</v>
      </c>
      <c r="M87" s="37">
        <v>2016</v>
      </c>
      <c r="N87" s="37">
        <v>2022</v>
      </c>
      <c r="O87" s="37">
        <v>2020</v>
      </c>
      <c r="P87" s="37">
        <v>2021</v>
      </c>
      <c r="Q87" s="37" t="s">
        <v>196</v>
      </c>
      <c r="R87" s="37">
        <v>90</v>
      </c>
      <c r="S87" s="7">
        <f>AVERAGEIF(A:A,A87,R:R)</f>
        <v>91</v>
      </c>
      <c r="T87" s="1">
        <v>44009</v>
      </c>
      <c r="U87" s="13" t="str">
        <f t="shared" si="33"/>
        <v>June</v>
      </c>
      <c r="V87" s="12">
        <f t="shared" si="34"/>
        <v>44009</v>
      </c>
      <c r="W87" s="11">
        <v>16.28</v>
      </c>
      <c r="X87" s="37">
        <v>0</v>
      </c>
      <c r="Y87" s="11">
        <f t="shared" si="35"/>
        <v>16.28</v>
      </c>
      <c r="Z87" s="109"/>
      <c r="AA87" s="37">
        <f>IF(Y87&gt;=Expenses!$C$32,4,IF(Y87&gt;=Expenses!$C$31,3,IF(Y87&gt;=Expenses!$C$30,2,1)))</f>
        <v>1</v>
      </c>
      <c r="AB87" s="37">
        <f t="shared" si="36"/>
        <v>1</v>
      </c>
      <c r="AC87" s="37" t="str">
        <f t="shared" si="37"/>
        <v>2020</v>
      </c>
      <c r="AD87" s="37" t="s">
        <v>384</v>
      </c>
      <c r="AE87" s="1">
        <v>44000</v>
      </c>
      <c r="AF87" s="13" t="str">
        <f t="shared" si="30"/>
        <v>June</v>
      </c>
      <c r="AG87" s="37" t="str">
        <f t="shared" si="31"/>
        <v>2020</v>
      </c>
    </row>
    <row r="88" spans="1:34" s="37" customFormat="1" ht="18.75" x14ac:dyDescent="0.3">
      <c r="A88" s="67" t="str">
        <f>CONCATENATE(B88,C88,D88)</f>
        <v>2012Carmelo PattiCabernet Sauvignon</v>
      </c>
      <c r="B88" s="37">
        <v>2012</v>
      </c>
      <c r="C88" s="37" t="s">
        <v>842</v>
      </c>
      <c r="D88" s="37" t="s">
        <v>32</v>
      </c>
      <c r="E88" s="37" t="s">
        <v>32</v>
      </c>
      <c r="F88" s="37" t="s">
        <v>731</v>
      </c>
      <c r="G88" s="37" t="s">
        <v>732</v>
      </c>
      <c r="H88" s="37" t="s">
        <v>849</v>
      </c>
      <c r="I88" s="37">
        <v>1</v>
      </c>
      <c r="J88" s="37">
        <v>750</v>
      </c>
      <c r="K88" s="37" t="s">
        <v>839</v>
      </c>
      <c r="L88" s="37">
        <f>SUMIF(Wine1!A:A,Drank!A88,Wine1!I:I)</f>
        <v>2</v>
      </c>
      <c r="M88" s="37">
        <v>2018</v>
      </c>
      <c r="N88" s="37">
        <v>2024</v>
      </c>
      <c r="O88" s="37">
        <v>2022</v>
      </c>
      <c r="P88" s="37">
        <v>2022</v>
      </c>
      <c r="Q88" s="37">
        <v>94</v>
      </c>
      <c r="R88" s="37">
        <v>93</v>
      </c>
      <c r="S88" s="7">
        <f>AVERAGEIF(A:A,A88,R:R)</f>
        <v>93</v>
      </c>
      <c r="T88" s="1">
        <v>44009</v>
      </c>
      <c r="U88" s="13" t="str">
        <f t="shared" si="33"/>
        <v>June</v>
      </c>
      <c r="V88" s="12">
        <f t="shared" si="34"/>
        <v>44009</v>
      </c>
      <c r="W88" s="11">
        <v>37.99</v>
      </c>
      <c r="X88" s="37">
        <v>1</v>
      </c>
      <c r="Y88" s="11">
        <f t="shared" si="35"/>
        <v>37.99</v>
      </c>
      <c r="Z88" s="109"/>
      <c r="AA88" s="37">
        <f>IF(Y88&gt;=Expenses!$C$32,4,IF(Y88&gt;=Expenses!$C$31,3,IF(Y88&gt;=Expenses!$C$30,2,1)))</f>
        <v>3</v>
      </c>
      <c r="AB88" s="37">
        <f t="shared" si="36"/>
        <v>1</v>
      </c>
      <c r="AC88" s="37" t="str">
        <f t="shared" si="37"/>
        <v>2020</v>
      </c>
      <c r="AD88" s="37" t="s">
        <v>1139</v>
      </c>
      <c r="AE88" s="1"/>
      <c r="AF88" s="13" t="str">
        <f t="shared" si="30"/>
        <v>January</v>
      </c>
      <c r="AG88" s="37" t="str">
        <f t="shared" si="31"/>
        <v>1900</v>
      </c>
      <c r="AH88" s="37">
        <v>1</v>
      </c>
    </row>
    <row r="89" spans="1:34" s="37" customFormat="1" ht="18.75" x14ac:dyDescent="0.3">
      <c r="A89" s="67" t="str">
        <f>CONCATENATE(B89,C89,D89)</f>
        <v>2018Cave Les Vignerons de Tavel &amp; LiracLirac Domaine de l'Eyrolle</v>
      </c>
      <c r="B89" s="37">
        <v>2018</v>
      </c>
      <c r="C89" s="37" t="s">
        <v>1424</v>
      </c>
      <c r="D89" s="37" t="s">
        <v>1425</v>
      </c>
      <c r="E89" s="37" t="s">
        <v>286</v>
      </c>
      <c r="F89" s="37" t="s">
        <v>742</v>
      </c>
      <c r="G89" s="37" t="s">
        <v>759</v>
      </c>
      <c r="H89" s="37" t="s">
        <v>1426</v>
      </c>
      <c r="I89" s="37">
        <v>1</v>
      </c>
      <c r="J89" s="37">
        <v>750</v>
      </c>
      <c r="K89" s="37" t="s">
        <v>58</v>
      </c>
      <c r="L89" s="37">
        <f>SUMIF(Wine1!A:A,Drank!A89,Wine1!I:I)</f>
        <v>10</v>
      </c>
      <c r="M89" s="37">
        <v>2019</v>
      </c>
      <c r="N89" s="37">
        <v>2025</v>
      </c>
      <c r="O89" s="37">
        <v>2020</v>
      </c>
      <c r="P89" s="37">
        <v>2025</v>
      </c>
      <c r="Q89" s="37">
        <v>92</v>
      </c>
      <c r="R89" s="37">
        <v>91</v>
      </c>
      <c r="S89" s="7">
        <f>AVERAGEIF(A:A,A89,R:R)</f>
        <v>91.5</v>
      </c>
      <c r="T89" s="1">
        <v>44009</v>
      </c>
      <c r="U89" s="13" t="str">
        <f t="shared" si="33"/>
        <v>June</v>
      </c>
      <c r="V89" s="12">
        <f t="shared" si="34"/>
        <v>44009</v>
      </c>
      <c r="W89" s="11">
        <v>14.11</v>
      </c>
      <c r="X89" s="37">
        <v>0</v>
      </c>
      <c r="Y89" s="11">
        <f t="shared" si="35"/>
        <v>14.109999999999998</v>
      </c>
      <c r="Z89" s="109"/>
      <c r="AA89" s="37">
        <f>IF(Y89&gt;=Expenses!$C$32,4,IF(Y89&gt;=Expenses!$C$31,3,IF(Y89&gt;=Expenses!$C$30,2,1)))</f>
        <v>1</v>
      </c>
      <c r="AB89" s="37">
        <f t="shared" si="36"/>
        <v>1</v>
      </c>
      <c r="AC89" s="37" t="str">
        <f t="shared" si="37"/>
        <v>2020</v>
      </c>
      <c r="AD89" s="37" t="s">
        <v>384</v>
      </c>
      <c r="AE89" s="1">
        <v>43986</v>
      </c>
      <c r="AF89" s="13" t="str">
        <f t="shared" si="30"/>
        <v>June</v>
      </c>
      <c r="AG89" s="37" t="str">
        <f t="shared" si="31"/>
        <v>2020</v>
      </c>
    </row>
    <row r="90" spans="1:34" s="37" customFormat="1" ht="18.75" x14ac:dyDescent="0.3">
      <c r="A90" s="67" t="str">
        <f>CONCATENATE(B90,C90,D90)</f>
        <v>2018Sante ArcangeliPinot Noir Integrato</v>
      </c>
      <c r="B90" s="37">
        <v>2018</v>
      </c>
      <c r="C90" s="37" t="s">
        <v>1347</v>
      </c>
      <c r="D90" s="37" t="s">
        <v>1348</v>
      </c>
      <c r="E90" s="37" t="s">
        <v>263</v>
      </c>
      <c r="F90" s="37" t="s">
        <v>727</v>
      </c>
      <c r="G90" s="37" t="s">
        <v>806</v>
      </c>
      <c r="H90" s="37" t="s">
        <v>1349</v>
      </c>
      <c r="I90" s="37">
        <v>1</v>
      </c>
      <c r="J90" s="37">
        <v>750</v>
      </c>
      <c r="K90" s="37" t="s">
        <v>1427</v>
      </c>
      <c r="L90" s="37">
        <f>SUMIF(Wine1!A:A,Drank!A90,Wine1!I:I)</f>
        <v>3</v>
      </c>
      <c r="M90" s="37">
        <v>2020</v>
      </c>
      <c r="N90" s="37">
        <v>2030</v>
      </c>
      <c r="O90" s="37">
        <v>2024</v>
      </c>
      <c r="P90" s="37">
        <v>2030</v>
      </c>
      <c r="Q90" s="37">
        <v>94</v>
      </c>
      <c r="R90" s="37">
        <v>92</v>
      </c>
      <c r="S90" s="7">
        <f>AVERAGEIF(A:A,A90,R:R)</f>
        <v>92</v>
      </c>
      <c r="T90" s="1">
        <v>44008</v>
      </c>
      <c r="U90" s="13" t="str">
        <f t="shared" si="33"/>
        <v>June</v>
      </c>
      <c r="V90" s="12">
        <f t="shared" si="34"/>
        <v>44008</v>
      </c>
      <c r="W90" s="11">
        <v>27.31</v>
      </c>
      <c r="X90" s="37">
        <v>1</v>
      </c>
      <c r="Y90" s="11">
        <f t="shared" si="35"/>
        <v>27.31</v>
      </c>
      <c r="Z90" s="109"/>
      <c r="AA90" s="37">
        <f>IF(Y90&gt;=Expenses!$C$32,4,IF(Y90&gt;=Expenses!$C$31,3,IF(Y90&gt;=Expenses!$C$30,2,1)))</f>
        <v>2</v>
      </c>
      <c r="AB90" s="37">
        <f t="shared" si="36"/>
        <v>1</v>
      </c>
      <c r="AC90" s="37" t="str">
        <f t="shared" si="37"/>
        <v>2020</v>
      </c>
      <c r="AD90" s="37" t="s">
        <v>385</v>
      </c>
      <c r="AE90" s="1">
        <v>43924</v>
      </c>
      <c r="AF90" s="13" t="str">
        <f t="shared" si="30"/>
        <v>April</v>
      </c>
      <c r="AG90" s="37" t="str">
        <f t="shared" si="31"/>
        <v>2020</v>
      </c>
    </row>
    <row r="91" spans="1:34" s="37" customFormat="1" ht="18.75" x14ac:dyDescent="0.3">
      <c r="A91" s="67" t="str">
        <f>CONCATENATE(B91,C91,D91)</f>
        <v>2017San AlejandroLas Rocas</v>
      </c>
      <c r="B91" s="37">
        <v>2017</v>
      </c>
      <c r="C91" s="37" t="s">
        <v>152</v>
      </c>
      <c r="D91" s="37" t="s">
        <v>153</v>
      </c>
      <c r="E91" s="37" t="s">
        <v>1248</v>
      </c>
      <c r="F91" s="37" t="s">
        <v>729</v>
      </c>
      <c r="G91" s="37" t="s">
        <v>811</v>
      </c>
      <c r="H91" s="37" t="s">
        <v>812</v>
      </c>
      <c r="I91" s="37">
        <v>1</v>
      </c>
      <c r="J91" s="37">
        <v>750</v>
      </c>
      <c r="K91" s="37" t="s">
        <v>839</v>
      </c>
      <c r="L91" s="37">
        <f>SUMIF(Wine1!A:A,Drank!A91,Wine1!I:I)</f>
        <v>3</v>
      </c>
      <c r="O91" s="37">
        <v>2020</v>
      </c>
      <c r="P91" s="37">
        <v>2024</v>
      </c>
      <c r="R91" s="37">
        <v>88</v>
      </c>
      <c r="S91" s="7">
        <f>AVERAGEIF(A:A,A91,R:R)</f>
        <v>88.4</v>
      </c>
      <c r="T91" s="1">
        <v>44007</v>
      </c>
      <c r="U91" s="13" t="str">
        <f t="shared" si="33"/>
        <v>June</v>
      </c>
      <c r="V91" s="12">
        <f t="shared" si="34"/>
        <v>44007</v>
      </c>
      <c r="W91" s="11">
        <v>9.77</v>
      </c>
      <c r="X91" s="37">
        <v>0</v>
      </c>
      <c r="Y91" s="11">
        <f t="shared" si="35"/>
        <v>9.77</v>
      </c>
      <c r="Z91" s="109"/>
      <c r="AA91" s="37">
        <f>IF(Y91&gt;=Expenses!$C$32,4,IF(Y91&gt;=Expenses!$C$31,3,IF(Y91&gt;=Expenses!$C$30,2,1)))</f>
        <v>1</v>
      </c>
      <c r="AB91" s="37">
        <f t="shared" si="36"/>
        <v>1</v>
      </c>
      <c r="AC91" s="37" t="str">
        <f t="shared" si="37"/>
        <v>2020</v>
      </c>
      <c r="AD91" s="37" t="s">
        <v>1128</v>
      </c>
      <c r="AE91" s="1">
        <v>43966</v>
      </c>
      <c r="AF91" s="13" t="str">
        <f t="shared" si="30"/>
        <v>May</v>
      </c>
      <c r="AG91" s="37" t="str">
        <f t="shared" si="31"/>
        <v>2020</v>
      </c>
    </row>
    <row r="92" spans="1:34" s="37" customFormat="1" ht="18.75" x14ac:dyDescent="0.3">
      <c r="A92" s="67" t="str">
        <f t="shared" ref="A92:A100" si="39">CONCATENATE(B92,C92,D92)</f>
        <v>2010Diez-CaballeroReserva</v>
      </c>
      <c r="B92" s="37">
        <v>2010</v>
      </c>
      <c r="C92" s="37" t="s">
        <v>1216</v>
      </c>
      <c r="D92" s="37" t="s">
        <v>106</v>
      </c>
      <c r="E92" s="37" t="s">
        <v>1220</v>
      </c>
      <c r="F92" s="37" t="s">
        <v>729</v>
      </c>
      <c r="G92" s="37" t="s">
        <v>823</v>
      </c>
      <c r="I92" s="37">
        <v>1</v>
      </c>
      <c r="J92" s="37">
        <v>750</v>
      </c>
      <c r="K92" s="37" t="s">
        <v>384</v>
      </c>
      <c r="L92" s="37">
        <f>SUMIF(Wine1!A:A,Drank!A92,Wine1!I:I)</f>
        <v>9</v>
      </c>
      <c r="M92" s="37">
        <v>2016</v>
      </c>
      <c r="N92" s="37">
        <v>2022</v>
      </c>
      <c r="O92" s="37">
        <v>2020</v>
      </c>
      <c r="P92" s="37">
        <v>2021</v>
      </c>
      <c r="Q92" s="37" t="s">
        <v>196</v>
      </c>
      <c r="R92" s="37">
        <v>91</v>
      </c>
      <c r="S92" s="7">
        <f>AVERAGEIF(A:A,A92,R:R)</f>
        <v>91</v>
      </c>
      <c r="T92" s="1">
        <v>44003</v>
      </c>
      <c r="U92" s="13" t="str">
        <f t="shared" si="33"/>
        <v>June</v>
      </c>
      <c r="V92" s="12">
        <f t="shared" si="34"/>
        <v>44003</v>
      </c>
      <c r="W92" s="11">
        <v>16.28</v>
      </c>
      <c r="X92" s="37">
        <v>0</v>
      </c>
      <c r="Y92" s="11">
        <f t="shared" si="35"/>
        <v>16.28</v>
      </c>
      <c r="Z92" s="109"/>
      <c r="AA92" s="37">
        <f>IF(Y92&gt;=Expenses!$C$32,4,IF(Y92&gt;=Expenses!$C$31,3,IF(Y92&gt;=Expenses!$C$30,2,1)))</f>
        <v>1</v>
      </c>
      <c r="AB92" s="37">
        <f t="shared" si="36"/>
        <v>1</v>
      </c>
      <c r="AC92" s="37" t="str">
        <f t="shared" si="37"/>
        <v>2020</v>
      </c>
      <c r="AD92" s="37" t="s">
        <v>384</v>
      </c>
      <c r="AE92" s="1">
        <v>44000</v>
      </c>
      <c r="AF92" s="13" t="str">
        <f t="shared" ref="AF92:AF123" si="40">TEXT(AE92,"mmmm")</f>
        <v>June</v>
      </c>
      <c r="AG92" s="37" t="str">
        <f t="shared" ref="AG92:AG123" si="41">TEXT(AE92,"yyyy")</f>
        <v>2020</v>
      </c>
    </row>
    <row r="93" spans="1:34" s="37" customFormat="1" ht="18.75" x14ac:dyDescent="0.3">
      <c r="A93" s="67" t="str">
        <f t="shared" si="39"/>
        <v>2016Domaine de la Combe DieuRasteau</v>
      </c>
      <c r="B93" s="37">
        <v>2016</v>
      </c>
      <c r="C93" s="37" t="s">
        <v>407</v>
      </c>
      <c r="D93" s="37" t="s">
        <v>408</v>
      </c>
      <c r="E93" s="37" t="s">
        <v>417</v>
      </c>
      <c r="F93" s="37" t="s">
        <v>742</v>
      </c>
      <c r="G93" s="37" t="s">
        <v>759</v>
      </c>
      <c r="H93" s="37" t="s">
        <v>765</v>
      </c>
      <c r="I93" s="37">
        <v>1</v>
      </c>
      <c r="J93" s="37">
        <v>750</v>
      </c>
      <c r="K93" s="37" t="s">
        <v>589</v>
      </c>
      <c r="L93" s="37">
        <f>SUMIF(Wine1!A:A,Drank!A93,Wine1!I:I)</f>
        <v>15</v>
      </c>
      <c r="M93" s="37">
        <v>2018</v>
      </c>
      <c r="N93" s="37">
        <v>2023</v>
      </c>
      <c r="O93" s="37">
        <v>2021</v>
      </c>
      <c r="P93" s="37">
        <v>2025</v>
      </c>
      <c r="Q93" s="37">
        <v>92</v>
      </c>
      <c r="R93" s="37">
        <v>93</v>
      </c>
      <c r="S93" s="7">
        <f>AVERAGEIF(A:A,A93,R:R)</f>
        <v>92.2</v>
      </c>
      <c r="T93" s="1">
        <v>44002</v>
      </c>
      <c r="U93" s="13" t="str">
        <f t="shared" si="33"/>
        <v>June</v>
      </c>
      <c r="V93" s="12">
        <f t="shared" si="34"/>
        <v>44002</v>
      </c>
      <c r="W93" s="11">
        <v>13.99</v>
      </c>
      <c r="X93" s="37">
        <v>1</v>
      </c>
      <c r="Y93" s="11">
        <f t="shared" si="35"/>
        <v>13.99</v>
      </c>
      <c r="Z93" s="109"/>
      <c r="AA93" s="37">
        <f>IF(Y93&gt;=Expenses!$C$32,4,IF(Y93&gt;=Expenses!$C$31,3,IF(Y93&gt;=Expenses!$C$30,2,1)))</f>
        <v>1</v>
      </c>
      <c r="AB93" s="37">
        <f t="shared" si="36"/>
        <v>1</v>
      </c>
      <c r="AC93" s="37" t="str">
        <f t="shared" si="37"/>
        <v>2020</v>
      </c>
      <c r="AD93" s="37" t="s">
        <v>384</v>
      </c>
      <c r="AE93" s="1"/>
      <c r="AF93" s="13" t="str">
        <f t="shared" si="40"/>
        <v>January</v>
      </c>
      <c r="AG93" s="37" t="str">
        <f t="shared" si="41"/>
        <v>1900</v>
      </c>
    </row>
    <row r="94" spans="1:34" s="37" customFormat="1" ht="18.75" x14ac:dyDescent="0.3">
      <c r="A94" s="67" t="str">
        <f t="shared" si="39"/>
        <v>1998Raymond-LafonRaymond-Lafon</v>
      </c>
      <c r="B94" s="37">
        <v>1998</v>
      </c>
      <c r="C94" s="37" t="s">
        <v>197</v>
      </c>
      <c r="D94" s="37" t="s">
        <v>197</v>
      </c>
      <c r="E94" s="37" t="s">
        <v>1215</v>
      </c>
      <c r="F94" s="37" t="s">
        <v>742</v>
      </c>
      <c r="G94" s="37" t="s">
        <v>748</v>
      </c>
      <c r="H94" s="37" t="s">
        <v>260</v>
      </c>
      <c r="I94" s="37">
        <v>1</v>
      </c>
      <c r="J94" s="37">
        <v>375</v>
      </c>
      <c r="K94" s="37" t="s">
        <v>658</v>
      </c>
      <c r="L94" s="37">
        <f>SUMIF(Wine1!A:A,Drank!A94,Wine1!I:I)</f>
        <v>7</v>
      </c>
      <c r="M94" s="37">
        <v>2018</v>
      </c>
      <c r="N94" s="37">
        <v>2025</v>
      </c>
      <c r="P94" s="37">
        <v>2030</v>
      </c>
      <c r="Q94" s="37">
        <v>93</v>
      </c>
      <c r="R94" s="37">
        <v>92</v>
      </c>
      <c r="S94" s="7">
        <f>AVERAGEIF(A:A,A94,R:R)</f>
        <v>92.666666666666671</v>
      </c>
      <c r="T94" s="1">
        <v>44002</v>
      </c>
      <c r="U94" s="13" t="str">
        <f t="shared" si="33"/>
        <v>June</v>
      </c>
      <c r="V94" s="12">
        <f t="shared" si="34"/>
        <v>44002</v>
      </c>
      <c r="W94" s="11">
        <v>16.989999999999998</v>
      </c>
      <c r="X94" s="37">
        <v>1</v>
      </c>
      <c r="Y94" s="11">
        <f t="shared" si="35"/>
        <v>33.979999999999997</v>
      </c>
      <c r="Z94" s="109"/>
      <c r="AA94" s="37">
        <f>IF(Y94&gt;=Expenses!$C$32,4,IF(Y94&gt;=Expenses!$C$31,3,IF(Y94&gt;=Expenses!$C$30,2,1)))</f>
        <v>3</v>
      </c>
      <c r="AB94" s="37">
        <f t="shared" si="36"/>
        <v>0.5</v>
      </c>
      <c r="AC94" s="37" t="str">
        <f t="shared" si="37"/>
        <v>2020</v>
      </c>
      <c r="AD94" s="37" t="s">
        <v>385</v>
      </c>
      <c r="AE94" s="1"/>
      <c r="AF94" s="13" t="str">
        <f t="shared" si="40"/>
        <v>January</v>
      </c>
      <c r="AG94" s="37" t="str">
        <f t="shared" si="41"/>
        <v>1900</v>
      </c>
    </row>
    <row r="95" spans="1:34" s="37" customFormat="1" ht="18.75" x14ac:dyDescent="0.3">
      <c r="A95" s="67" t="str">
        <f t="shared" si="39"/>
        <v>2017SichelSichel</v>
      </c>
      <c r="B95" s="37">
        <v>2017</v>
      </c>
      <c r="C95" s="37" t="s">
        <v>409</v>
      </c>
      <c r="D95" s="37" t="s">
        <v>409</v>
      </c>
      <c r="E95" s="37" t="s">
        <v>1200</v>
      </c>
      <c r="F95" s="37" t="s">
        <v>742</v>
      </c>
      <c r="G95" s="37" t="s">
        <v>748</v>
      </c>
      <c r="H95" s="37" t="s">
        <v>260</v>
      </c>
      <c r="I95" s="37">
        <v>1</v>
      </c>
      <c r="J95" s="37">
        <v>375</v>
      </c>
      <c r="K95" s="37" t="s">
        <v>236</v>
      </c>
      <c r="L95" s="37">
        <f>SUMIF(Wine1!A:A,Drank!A95,Wine1!I:I)</f>
        <v>20</v>
      </c>
      <c r="O95" s="37">
        <v>2020</v>
      </c>
      <c r="P95" s="37">
        <v>2025</v>
      </c>
      <c r="R95" s="37">
        <v>90</v>
      </c>
      <c r="S95" s="7">
        <f>AVERAGEIF(A:A,A95,R:R)</f>
        <v>89.7</v>
      </c>
      <c r="T95" s="1">
        <v>44002</v>
      </c>
      <c r="U95" s="13" t="str">
        <f t="shared" si="33"/>
        <v>June</v>
      </c>
      <c r="V95" s="12">
        <f t="shared" si="34"/>
        <v>44002</v>
      </c>
      <c r="W95" s="11">
        <v>12</v>
      </c>
      <c r="X95" s="37">
        <v>0</v>
      </c>
      <c r="Y95" s="11">
        <f t="shared" si="35"/>
        <v>24</v>
      </c>
      <c r="Z95" s="109"/>
      <c r="AA95" s="37">
        <f>IF(Y95&gt;=Expenses!$C$32,4,IF(Y95&gt;=Expenses!$C$31,3,IF(Y95&gt;=Expenses!$C$30,2,1)))</f>
        <v>2</v>
      </c>
      <c r="AB95" s="37">
        <f t="shared" si="36"/>
        <v>0.5</v>
      </c>
      <c r="AC95" s="37" t="str">
        <f t="shared" si="37"/>
        <v>2020</v>
      </c>
      <c r="AD95" s="37" t="s">
        <v>385</v>
      </c>
      <c r="AE95" s="1">
        <v>43845</v>
      </c>
      <c r="AF95" s="13" t="str">
        <f t="shared" si="40"/>
        <v>January</v>
      </c>
      <c r="AG95" s="37" t="str">
        <f t="shared" si="41"/>
        <v>2020</v>
      </c>
    </row>
    <row r="96" spans="1:34" s="37" customFormat="1" ht="18.75" x14ac:dyDescent="0.3">
      <c r="A96" s="67" t="str">
        <f t="shared" si="39"/>
        <v>2017Diez-CaballeroCrianza</v>
      </c>
      <c r="B96" s="37">
        <v>2017</v>
      </c>
      <c r="C96" s="37" t="s">
        <v>1216</v>
      </c>
      <c r="D96" s="37" t="s">
        <v>108</v>
      </c>
      <c r="E96" s="37" t="s">
        <v>1220</v>
      </c>
      <c r="F96" s="37" t="s">
        <v>729</v>
      </c>
      <c r="G96" s="37" t="s">
        <v>823</v>
      </c>
      <c r="I96" s="37">
        <v>1</v>
      </c>
      <c r="J96" s="37">
        <v>750</v>
      </c>
      <c r="K96" s="37" t="s">
        <v>384</v>
      </c>
      <c r="L96" s="37">
        <f>SUMIF(Wine1!A:A,Drank!A96,Wine1!I:I)</f>
        <v>21</v>
      </c>
      <c r="M96" s="37">
        <v>2019</v>
      </c>
      <c r="N96" s="37">
        <v>2024</v>
      </c>
      <c r="O96" s="37">
        <v>2020</v>
      </c>
      <c r="P96" s="37">
        <v>2025</v>
      </c>
      <c r="Q96" s="37">
        <v>90</v>
      </c>
      <c r="R96" s="37">
        <v>90</v>
      </c>
      <c r="S96" s="7">
        <f>AVERAGEIF(A:A,A96,R:R)</f>
        <v>90.666666666666671</v>
      </c>
      <c r="T96" s="1">
        <v>44002</v>
      </c>
      <c r="U96" s="13" t="str">
        <f t="shared" si="33"/>
        <v>June</v>
      </c>
      <c r="V96" s="12">
        <f t="shared" si="34"/>
        <v>44002</v>
      </c>
      <c r="W96" s="11">
        <v>14.11</v>
      </c>
      <c r="X96" s="37">
        <v>1</v>
      </c>
      <c r="Y96" s="11">
        <f t="shared" si="35"/>
        <v>14.109999999999998</v>
      </c>
      <c r="Z96" s="109"/>
      <c r="AA96" s="37">
        <f>IF(Y96&gt;=Expenses!$C$32,4,IF(Y96&gt;=Expenses!$C$31,3,IF(Y96&gt;=Expenses!$C$30,2,1)))</f>
        <v>1</v>
      </c>
      <c r="AB96" s="37">
        <f t="shared" si="36"/>
        <v>1</v>
      </c>
      <c r="AC96" s="37" t="str">
        <f t="shared" si="37"/>
        <v>2020</v>
      </c>
      <c r="AD96" s="37" t="s">
        <v>384</v>
      </c>
      <c r="AE96" s="1">
        <v>43993</v>
      </c>
      <c r="AF96" s="13" t="str">
        <f t="shared" si="40"/>
        <v>June</v>
      </c>
      <c r="AG96" s="37" t="str">
        <f t="shared" si="41"/>
        <v>2020</v>
      </c>
    </row>
    <row r="97" spans="1:34" s="37" customFormat="1" ht="18.75" x14ac:dyDescent="0.3">
      <c r="A97" s="67" t="str">
        <f t="shared" si="39"/>
        <v>2010Diez-CaballeroReserva</v>
      </c>
      <c r="B97" s="37">
        <v>2010</v>
      </c>
      <c r="C97" s="37" t="s">
        <v>1216</v>
      </c>
      <c r="D97" s="37" t="s">
        <v>106</v>
      </c>
      <c r="E97" s="37" t="s">
        <v>1220</v>
      </c>
      <c r="F97" s="37" t="s">
        <v>729</v>
      </c>
      <c r="G97" s="37" t="s">
        <v>823</v>
      </c>
      <c r="I97" s="37">
        <v>1</v>
      </c>
      <c r="J97" s="37">
        <v>750</v>
      </c>
      <c r="K97" s="37" t="s">
        <v>384</v>
      </c>
      <c r="L97" s="37">
        <f>SUMIF(Wine1!A:A,Drank!A97,Wine1!I:I)</f>
        <v>9</v>
      </c>
      <c r="M97" s="37">
        <v>2016</v>
      </c>
      <c r="N97" s="37">
        <v>2022</v>
      </c>
      <c r="O97" s="37">
        <v>2020</v>
      </c>
      <c r="P97" s="37">
        <v>2021</v>
      </c>
      <c r="Q97" s="37" t="s">
        <v>196</v>
      </c>
      <c r="R97" s="37">
        <v>92</v>
      </c>
      <c r="S97" s="7">
        <f>AVERAGEIF(A:A,A97,R:R)</f>
        <v>91</v>
      </c>
      <c r="T97" s="1">
        <v>44002</v>
      </c>
      <c r="U97" s="13" t="str">
        <f t="shared" si="33"/>
        <v>June</v>
      </c>
      <c r="V97" s="12">
        <f t="shared" si="34"/>
        <v>44002</v>
      </c>
      <c r="W97" s="11">
        <v>16.28</v>
      </c>
      <c r="X97" s="37">
        <v>1</v>
      </c>
      <c r="Y97" s="11">
        <f t="shared" si="35"/>
        <v>16.28</v>
      </c>
      <c r="Z97" s="109"/>
      <c r="AA97" s="37">
        <f>IF(Y97&gt;=Expenses!$C$32,4,IF(Y97&gt;=Expenses!$C$31,3,IF(Y97&gt;=Expenses!$C$30,2,1)))</f>
        <v>1</v>
      </c>
      <c r="AB97" s="37">
        <f t="shared" si="36"/>
        <v>1</v>
      </c>
      <c r="AC97" s="37" t="str">
        <f t="shared" si="37"/>
        <v>2020</v>
      </c>
      <c r="AD97" s="37" t="s">
        <v>384</v>
      </c>
      <c r="AE97" s="1">
        <v>44000</v>
      </c>
      <c r="AF97" s="13" t="str">
        <f t="shared" si="40"/>
        <v>June</v>
      </c>
      <c r="AG97" s="37" t="str">
        <f t="shared" si="41"/>
        <v>2020</v>
      </c>
    </row>
    <row r="98" spans="1:34" s="37" customFormat="1" ht="18.75" x14ac:dyDescent="0.3">
      <c r="A98" s="67" t="str">
        <f t="shared" si="39"/>
        <v>2017San AlejandroLas Rocas</v>
      </c>
      <c r="B98" s="37">
        <v>2017</v>
      </c>
      <c r="C98" s="37" t="s">
        <v>152</v>
      </c>
      <c r="D98" s="37" t="s">
        <v>153</v>
      </c>
      <c r="E98" s="37" t="s">
        <v>1248</v>
      </c>
      <c r="F98" s="37" t="s">
        <v>729</v>
      </c>
      <c r="G98" s="37" t="s">
        <v>811</v>
      </c>
      <c r="H98" s="37" t="s">
        <v>812</v>
      </c>
      <c r="I98" s="37">
        <v>1</v>
      </c>
      <c r="J98" s="37">
        <v>750</v>
      </c>
      <c r="K98" s="37" t="s">
        <v>839</v>
      </c>
      <c r="L98" s="37">
        <f>SUMIF(Wine1!A:A,Drank!A98,Wine1!I:I)</f>
        <v>3</v>
      </c>
      <c r="O98" s="37">
        <v>2020</v>
      </c>
      <c r="P98" s="37">
        <v>2024</v>
      </c>
      <c r="R98" s="37">
        <v>88</v>
      </c>
      <c r="S98" s="7">
        <f>AVERAGEIF(A:A,A98,R:R)</f>
        <v>88.4</v>
      </c>
      <c r="T98" s="1">
        <v>44001</v>
      </c>
      <c r="U98" s="13" t="str">
        <f t="shared" si="33"/>
        <v>June</v>
      </c>
      <c r="V98" s="12">
        <f t="shared" si="34"/>
        <v>44001</v>
      </c>
      <c r="W98" s="11">
        <v>9.77</v>
      </c>
      <c r="X98" s="37">
        <v>0</v>
      </c>
      <c r="Y98" s="11">
        <f t="shared" si="35"/>
        <v>9.77</v>
      </c>
      <c r="Z98" s="109"/>
      <c r="AA98" s="37">
        <f>IF(Y98&gt;=Expenses!$C$32,4,IF(Y98&gt;=Expenses!$C$31,3,IF(Y98&gt;=Expenses!$C$30,2,1)))</f>
        <v>1</v>
      </c>
      <c r="AB98" s="37">
        <f t="shared" si="36"/>
        <v>1</v>
      </c>
      <c r="AC98" s="37" t="str">
        <f t="shared" si="37"/>
        <v>2020</v>
      </c>
      <c r="AD98" s="37" t="s">
        <v>1128</v>
      </c>
      <c r="AE98" s="1">
        <v>43966</v>
      </c>
      <c r="AF98" s="13" t="str">
        <f t="shared" si="40"/>
        <v>May</v>
      </c>
      <c r="AG98" s="37" t="str">
        <f t="shared" si="41"/>
        <v>2020</v>
      </c>
    </row>
    <row r="99" spans="1:34" s="37" customFormat="1" ht="18.75" x14ac:dyDescent="0.3">
      <c r="A99" s="67" t="str">
        <f t="shared" si="39"/>
        <v>2015Saint Nicolas de Bourgueil Expression Pascal Lorieux</v>
      </c>
      <c r="B99" s="37">
        <v>2015</v>
      </c>
      <c r="C99" s="37" t="s">
        <v>1364</v>
      </c>
      <c r="D99" s="37" t="s">
        <v>1363</v>
      </c>
      <c r="E99" s="37" t="s">
        <v>1365</v>
      </c>
      <c r="F99" s="37" t="s">
        <v>742</v>
      </c>
      <c r="G99" s="37" t="s">
        <v>1366</v>
      </c>
      <c r="H99" s="37" t="s">
        <v>1367</v>
      </c>
      <c r="I99" s="37">
        <v>1</v>
      </c>
      <c r="J99" s="37">
        <v>750</v>
      </c>
      <c r="K99" s="37" t="s">
        <v>58</v>
      </c>
      <c r="L99" s="37">
        <f>SUMIF(Wine1!A:A,Drank!A99,Wine1!I:I)</f>
        <v>0</v>
      </c>
      <c r="P99" s="37">
        <v>2021</v>
      </c>
      <c r="R99" s="37">
        <v>86</v>
      </c>
      <c r="S99" s="7">
        <f>AVERAGEIF(A:A,A99,R:R)</f>
        <v>87</v>
      </c>
      <c r="T99" s="1">
        <v>43998</v>
      </c>
      <c r="U99" s="13" t="str">
        <f t="shared" si="33"/>
        <v>June</v>
      </c>
      <c r="V99" s="12">
        <f t="shared" si="34"/>
        <v>43998</v>
      </c>
      <c r="W99" s="11">
        <v>10.85</v>
      </c>
      <c r="X99" s="37">
        <v>1</v>
      </c>
      <c r="Y99" s="11">
        <f t="shared" si="35"/>
        <v>10.85</v>
      </c>
      <c r="Z99" s="109"/>
      <c r="AA99" s="37">
        <f>IF(Y99&gt;=Expenses!$C$32,4,IF(Y99&gt;=Expenses!$C$31,3,IF(Y99&gt;=Expenses!$C$30,2,1)))</f>
        <v>1</v>
      </c>
      <c r="AB99" s="37">
        <f t="shared" si="36"/>
        <v>1</v>
      </c>
      <c r="AC99" s="37" t="str">
        <f t="shared" si="37"/>
        <v>2020</v>
      </c>
      <c r="AD99" s="37" t="s">
        <v>384</v>
      </c>
      <c r="AE99" s="1">
        <v>43934</v>
      </c>
      <c r="AF99" s="13" t="str">
        <f t="shared" si="40"/>
        <v>April</v>
      </c>
      <c r="AG99" s="37" t="str">
        <f t="shared" si="41"/>
        <v>2020</v>
      </c>
    </row>
    <row r="100" spans="1:34" s="37" customFormat="1" ht="18.75" x14ac:dyDescent="0.3">
      <c r="A100" s="67" t="str">
        <f t="shared" si="39"/>
        <v>2017Diez-CaballeroCrianza</v>
      </c>
      <c r="B100" s="37">
        <v>2017</v>
      </c>
      <c r="C100" s="37" t="s">
        <v>1216</v>
      </c>
      <c r="D100" s="37" t="s">
        <v>108</v>
      </c>
      <c r="E100" s="37" t="s">
        <v>1220</v>
      </c>
      <c r="F100" s="37" t="s">
        <v>729</v>
      </c>
      <c r="G100" s="37" t="s">
        <v>823</v>
      </c>
      <c r="I100" s="37">
        <v>1</v>
      </c>
      <c r="J100" s="37">
        <v>750</v>
      </c>
      <c r="K100" s="37" t="s">
        <v>384</v>
      </c>
      <c r="L100" s="37">
        <f>SUMIF(Wine1!A:A,Drank!A100,Wine1!I:I)</f>
        <v>21</v>
      </c>
      <c r="M100" s="37">
        <v>2019</v>
      </c>
      <c r="N100" s="37">
        <v>2024</v>
      </c>
      <c r="O100" s="37">
        <v>2020</v>
      </c>
      <c r="P100" s="37">
        <v>2023</v>
      </c>
      <c r="Q100" s="37">
        <v>90</v>
      </c>
      <c r="R100" s="37">
        <v>92</v>
      </c>
      <c r="S100" s="7">
        <f>AVERAGEIF(A:A,A100,R:R)</f>
        <v>90.666666666666671</v>
      </c>
      <c r="T100" s="1">
        <v>43996</v>
      </c>
      <c r="U100" s="13" t="str">
        <f t="shared" si="33"/>
        <v>June</v>
      </c>
      <c r="V100" s="12">
        <f t="shared" si="34"/>
        <v>43996</v>
      </c>
      <c r="W100" s="11">
        <v>14.11</v>
      </c>
      <c r="X100" s="37">
        <v>1</v>
      </c>
      <c r="Y100" s="11">
        <f t="shared" si="35"/>
        <v>14.109999999999998</v>
      </c>
      <c r="Z100" s="109"/>
      <c r="AA100" s="37">
        <f>IF(Y100&gt;=Expenses!$C$32,4,IF(Y100&gt;=Expenses!$C$31,3,IF(Y100&gt;=Expenses!$C$30,2,1)))</f>
        <v>1</v>
      </c>
      <c r="AB100" s="37">
        <f t="shared" si="36"/>
        <v>1</v>
      </c>
      <c r="AC100" s="37" t="str">
        <f t="shared" si="37"/>
        <v>2020</v>
      </c>
      <c r="AD100" s="37" t="s">
        <v>384</v>
      </c>
      <c r="AE100" s="1">
        <v>43993</v>
      </c>
      <c r="AF100" s="13" t="str">
        <f t="shared" si="40"/>
        <v>June</v>
      </c>
      <c r="AG100" s="37" t="str">
        <f t="shared" si="41"/>
        <v>2020</v>
      </c>
    </row>
    <row r="101" spans="1:34" s="37" customFormat="1" ht="18.75" x14ac:dyDescent="0.3">
      <c r="A101" s="67" t="str">
        <f t="shared" ref="A101:A112" si="42">CONCATENATE(B101,C101,D101)</f>
        <v>2015CortonesiBrunello di Montalcino La Mannella</v>
      </c>
      <c r="B101" s="37">
        <v>2015</v>
      </c>
      <c r="C101" s="37" t="s">
        <v>72</v>
      </c>
      <c r="D101" s="37" t="s">
        <v>73</v>
      </c>
      <c r="E101" s="37" t="s">
        <v>1250</v>
      </c>
      <c r="F101" s="37" t="s">
        <v>728</v>
      </c>
      <c r="G101" s="37" t="s">
        <v>790</v>
      </c>
      <c r="H101" s="37" t="s">
        <v>19</v>
      </c>
      <c r="I101" s="37">
        <v>1</v>
      </c>
      <c r="J101" s="37">
        <v>750</v>
      </c>
      <c r="K101" s="37" t="s">
        <v>929</v>
      </c>
      <c r="L101" s="37">
        <f>SUMIF(Wine1!A:A,Drank!A101,Wine1!I:I)</f>
        <v>23</v>
      </c>
      <c r="M101" s="37">
        <v>2021</v>
      </c>
      <c r="N101" s="37">
        <v>2035</v>
      </c>
      <c r="O101" s="37">
        <v>2026</v>
      </c>
      <c r="P101" s="37">
        <v>2033</v>
      </c>
      <c r="Q101" s="37">
        <v>94</v>
      </c>
      <c r="R101" s="37">
        <v>94</v>
      </c>
      <c r="S101" s="7">
        <f>AVERAGEIF(A:A,A101,R:R)</f>
        <v>94</v>
      </c>
      <c r="T101" s="1">
        <v>43995</v>
      </c>
      <c r="U101" s="13" t="str">
        <f t="shared" si="33"/>
        <v>June</v>
      </c>
      <c r="V101" s="12">
        <f t="shared" si="34"/>
        <v>43995</v>
      </c>
      <c r="W101" s="11">
        <v>36.92</v>
      </c>
      <c r="X101" s="37">
        <v>1</v>
      </c>
      <c r="Y101" s="11">
        <f t="shared" si="35"/>
        <v>36.92</v>
      </c>
      <c r="Z101" s="109"/>
      <c r="AA101" s="37">
        <f>IF(Y101&gt;=Expenses!$C$32,4,IF(Y101&gt;=Expenses!$C$31,3,IF(Y101&gt;=Expenses!$C$30,2,1)))</f>
        <v>3</v>
      </c>
      <c r="AB101" s="37">
        <f t="shared" si="36"/>
        <v>1</v>
      </c>
      <c r="AC101" s="37" t="str">
        <f t="shared" si="37"/>
        <v>2020</v>
      </c>
      <c r="AD101" s="37" t="s">
        <v>384</v>
      </c>
      <c r="AE101" s="1">
        <v>43984</v>
      </c>
      <c r="AF101" s="13" t="str">
        <f t="shared" si="40"/>
        <v>June</v>
      </c>
      <c r="AG101" s="37" t="str">
        <f t="shared" si="41"/>
        <v>2020</v>
      </c>
      <c r="AH101" s="37">
        <v>3</v>
      </c>
    </row>
    <row r="102" spans="1:34" s="37" customFormat="1" ht="18.75" x14ac:dyDescent="0.3">
      <c r="A102" s="67" t="str">
        <f t="shared" si="42"/>
        <v>2010Cosimo TaurinoSalice Salentino Riserva</v>
      </c>
      <c r="B102" s="37">
        <v>2010</v>
      </c>
      <c r="C102" s="37" t="s">
        <v>56</v>
      </c>
      <c r="D102" s="37" t="s">
        <v>57</v>
      </c>
      <c r="E102" s="37" t="s">
        <v>1204</v>
      </c>
      <c r="F102" s="37" t="s">
        <v>728</v>
      </c>
      <c r="G102" s="37" t="s">
        <v>785</v>
      </c>
      <c r="H102" s="37" t="s">
        <v>769</v>
      </c>
      <c r="I102" s="37">
        <v>1</v>
      </c>
      <c r="J102" s="37">
        <v>750</v>
      </c>
      <c r="K102" s="37" t="s">
        <v>1316</v>
      </c>
      <c r="L102" s="37">
        <f>SUMIF(Wine1!A:A,Drank!A102,Wine1!I:I)</f>
        <v>19</v>
      </c>
      <c r="O102" s="37">
        <v>2020</v>
      </c>
      <c r="P102" s="37">
        <v>2023</v>
      </c>
      <c r="R102" s="37">
        <v>91</v>
      </c>
      <c r="S102" s="7">
        <f>AVERAGEIF(A:A,A102,R:R)</f>
        <v>89.46875</v>
      </c>
      <c r="T102" s="1">
        <v>43995</v>
      </c>
      <c r="U102" s="13" t="str">
        <f t="shared" si="33"/>
        <v>June</v>
      </c>
      <c r="V102" s="12">
        <f t="shared" si="34"/>
        <v>43995</v>
      </c>
      <c r="W102" s="11">
        <v>14.66</v>
      </c>
      <c r="X102" s="37">
        <v>0</v>
      </c>
      <c r="Y102" s="11">
        <f t="shared" si="35"/>
        <v>14.66</v>
      </c>
      <c r="Z102" s="109"/>
      <c r="AA102" s="37">
        <f>IF(Y102&gt;=Expenses!$C$32,4,IF(Y102&gt;=Expenses!$C$31,3,IF(Y102&gt;=Expenses!$C$30,2,1)))</f>
        <v>1</v>
      </c>
      <c r="AB102" s="37">
        <f t="shared" si="36"/>
        <v>1</v>
      </c>
      <c r="AC102" s="37" t="str">
        <f t="shared" si="37"/>
        <v>2020</v>
      </c>
      <c r="AD102" s="37" t="s">
        <v>1128</v>
      </c>
      <c r="AE102" s="1">
        <v>43966</v>
      </c>
      <c r="AF102" s="13" t="str">
        <f t="shared" si="40"/>
        <v>May</v>
      </c>
      <c r="AG102" s="37" t="str">
        <f t="shared" si="41"/>
        <v>2020</v>
      </c>
    </row>
    <row r="103" spans="1:34" s="37" customFormat="1" ht="18.75" x14ac:dyDescent="0.3">
      <c r="A103" s="67" t="str">
        <f t="shared" si="42"/>
        <v>2016Romain DuvernayCotes du Rhone Villages Domaine de Pentelines</v>
      </c>
      <c r="B103" s="37">
        <v>2016</v>
      </c>
      <c r="C103" s="37" t="s">
        <v>1428</v>
      </c>
      <c r="D103" s="37" t="s">
        <v>1429</v>
      </c>
      <c r="E103" s="37" t="s">
        <v>417</v>
      </c>
      <c r="F103" s="37" t="s">
        <v>742</v>
      </c>
      <c r="G103" s="37" t="s">
        <v>759</v>
      </c>
      <c r="H103" s="37" t="s">
        <v>760</v>
      </c>
      <c r="I103" s="37">
        <v>1</v>
      </c>
      <c r="J103" s="37">
        <v>750</v>
      </c>
      <c r="K103" s="37" t="s">
        <v>384</v>
      </c>
      <c r="L103" s="37">
        <f>SUMIF(Wine1!A:A,Drank!A103,Wine1!I:I)</f>
        <v>10</v>
      </c>
      <c r="M103" s="37">
        <v>2017</v>
      </c>
      <c r="N103" s="37">
        <v>2025</v>
      </c>
      <c r="O103" s="37">
        <v>2020</v>
      </c>
      <c r="P103" s="37">
        <v>2023</v>
      </c>
      <c r="Q103" s="37">
        <v>92</v>
      </c>
      <c r="R103" s="37">
        <v>90</v>
      </c>
      <c r="S103" s="7">
        <f>AVERAGEIF(A:A,A103,R:R)</f>
        <v>90.5</v>
      </c>
      <c r="T103" s="1">
        <v>43994</v>
      </c>
      <c r="U103" s="13" t="str">
        <f t="shared" si="33"/>
        <v>June</v>
      </c>
      <c r="V103" s="12">
        <f t="shared" si="34"/>
        <v>43994</v>
      </c>
      <c r="W103" s="11">
        <v>15.2</v>
      </c>
      <c r="X103" s="37">
        <v>1</v>
      </c>
      <c r="Y103" s="11">
        <f t="shared" si="35"/>
        <v>15.2</v>
      </c>
      <c r="Z103" s="109"/>
      <c r="AA103" s="37">
        <f>IF(Y103&gt;=Expenses!$C$32,4,IF(Y103&gt;=Expenses!$C$31,3,IF(Y103&gt;=Expenses!$C$30,2,1)))</f>
        <v>1</v>
      </c>
      <c r="AB103" s="37">
        <f t="shared" si="36"/>
        <v>1</v>
      </c>
      <c r="AC103" s="37" t="str">
        <f t="shared" si="37"/>
        <v>2020</v>
      </c>
      <c r="AD103" s="37" t="s">
        <v>384</v>
      </c>
      <c r="AE103" s="1">
        <v>43992</v>
      </c>
      <c r="AF103" s="13" t="str">
        <f t="shared" si="40"/>
        <v>June</v>
      </c>
      <c r="AG103" s="37" t="str">
        <f t="shared" si="41"/>
        <v>2020</v>
      </c>
    </row>
    <row r="104" spans="1:34" s="37" customFormat="1" ht="18.75" x14ac:dyDescent="0.3">
      <c r="A104" s="67" t="str">
        <f t="shared" si="42"/>
        <v>2010Cosimo TaurinoSalice Salentino Riserva</v>
      </c>
      <c r="B104" s="37">
        <v>2010</v>
      </c>
      <c r="C104" s="37" t="s">
        <v>56</v>
      </c>
      <c r="D104" s="37" t="s">
        <v>57</v>
      </c>
      <c r="E104" s="37" t="s">
        <v>1204</v>
      </c>
      <c r="F104" s="37" t="s">
        <v>728</v>
      </c>
      <c r="G104" s="37" t="s">
        <v>785</v>
      </c>
      <c r="H104" s="37" t="s">
        <v>769</v>
      </c>
      <c r="I104" s="37">
        <v>1</v>
      </c>
      <c r="J104" s="37">
        <v>750</v>
      </c>
      <c r="K104" s="37" t="s">
        <v>1316</v>
      </c>
      <c r="L104" s="37">
        <f>SUMIF(Wine1!A:A,Drank!A104,Wine1!I:I)</f>
        <v>19</v>
      </c>
      <c r="O104" s="37">
        <v>2020</v>
      </c>
      <c r="P104" s="37">
        <v>2023</v>
      </c>
      <c r="R104" s="37">
        <v>89</v>
      </c>
      <c r="S104" s="7">
        <f>AVERAGEIF(A:A,A104,R:R)</f>
        <v>89.46875</v>
      </c>
      <c r="T104" s="1">
        <v>43992</v>
      </c>
      <c r="U104" s="13" t="str">
        <f t="shared" si="33"/>
        <v>June</v>
      </c>
      <c r="V104" s="12">
        <f t="shared" si="34"/>
        <v>43992</v>
      </c>
      <c r="W104" s="11">
        <v>12.99</v>
      </c>
      <c r="Y104" s="11">
        <f t="shared" si="35"/>
        <v>12.989999999999998</v>
      </c>
      <c r="Z104" s="109"/>
      <c r="AA104" s="37">
        <f>IF(Y104&gt;=Expenses!$C$32,4,IF(Y104&gt;=Expenses!$C$31,3,IF(Y104&gt;=Expenses!$C$30,2,1)))</f>
        <v>1</v>
      </c>
      <c r="AB104" s="37">
        <f t="shared" si="36"/>
        <v>1</v>
      </c>
      <c r="AC104" s="37" t="str">
        <f t="shared" si="37"/>
        <v>2020</v>
      </c>
      <c r="AD104" s="37" t="s">
        <v>1128</v>
      </c>
      <c r="AE104" s="1">
        <v>43879</v>
      </c>
      <c r="AF104" s="13" t="str">
        <f t="shared" si="40"/>
        <v>February</v>
      </c>
      <c r="AG104" s="37" t="str">
        <f t="shared" si="41"/>
        <v>2020</v>
      </c>
    </row>
    <row r="105" spans="1:34" s="37" customFormat="1" ht="18.75" x14ac:dyDescent="0.3">
      <c r="A105" s="67" t="str">
        <f t="shared" si="42"/>
        <v>2015Condamine PaulignanMinervois</v>
      </c>
      <c r="B105" s="37">
        <v>2015</v>
      </c>
      <c r="C105" s="37" t="s">
        <v>1321</v>
      </c>
      <c r="D105" s="37" t="s">
        <v>1322</v>
      </c>
      <c r="E105" s="37" t="s">
        <v>1323</v>
      </c>
      <c r="F105" s="37" t="s">
        <v>742</v>
      </c>
      <c r="G105" s="37" t="s">
        <v>1324</v>
      </c>
      <c r="H105" s="37" t="s">
        <v>1322</v>
      </c>
      <c r="I105" s="37">
        <v>1</v>
      </c>
      <c r="J105" s="37">
        <v>750</v>
      </c>
      <c r="K105" s="37" t="s">
        <v>58</v>
      </c>
      <c r="L105" s="37">
        <f>SUMIF(Wine1!A:A,Drank!A105,Wine1!I:I)</f>
        <v>3</v>
      </c>
      <c r="M105" s="37">
        <v>2017</v>
      </c>
      <c r="N105" s="37">
        <v>2023</v>
      </c>
      <c r="O105" s="37">
        <v>2020</v>
      </c>
      <c r="P105" s="37">
        <v>2022</v>
      </c>
      <c r="Q105" s="37" t="s">
        <v>1325</v>
      </c>
      <c r="R105" s="37">
        <v>88</v>
      </c>
      <c r="S105" s="7">
        <f>AVERAGEIF(A:A,A105,R:R)</f>
        <v>88</v>
      </c>
      <c r="T105" s="1">
        <v>43990</v>
      </c>
      <c r="U105" s="13" t="str">
        <f t="shared" ref="U105:U126" si="43">TEXT(T105,"mmmm")</f>
        <v>June</v>
      </c>
      <c r="V105" s="12">
        <f t="shared" ref="V105:V129" si="44">T105</f>
        <v>43990</v>
      </c>
      <c r="W105" s="11">
        <v>13.11</v>
      </c>
      <c r="X105" s="37">
        <v>1</v>
      </c>
      <c r="Y105" s="11">
        <f t="shared" ref="Y105:Y129" si="45">W105/J105*750</f>
        <v>13.11</v>
      </c>
      <c r="Z105" s="109"/>
      <c r="AA105" s="37">
        <f>IF(Y105&gt;=Expenses!$C$32,4,IF(Y105&gt;=Expenses!$C$31,3,IF(Y105&gt;=Expenses!$C$30,2,1)))</f>
        <v>1</v>
      </c>
      <c r="AB105" s="37">
        <f t="shared" ref="AB105:AB129" si="46">J105/750</f>
        <v>1</v>
      </c>
      <c r="AC105" s="37" t="str">
        <f t="shared" ref="AC105:AC129" si="47">TEXT(T105,"yyyy")</f>
        <v>2020</v>
      </c>
      <c r="AD105" s="37" t="s">
        <v>385</v>
      </c>
      <c r="AE105" s="1">
        <v>43923</v>
      </c>
      <c r="AF105" s="13" t="str">
        <f t="shared" si="40"/>
        <v>April</v>
      </c>
      <c r="AG105" s="37" t="str">
        <f t="shared" si="41"/>
        <v>2020</v>
      </c>
    </row>
    <row r="106" spans="1:34" s="37" customFormat="1" ht="18.75" x14ac:dyDescent="0.3">
      <c r="A106" s="67" t="str">
        <f t="shared" si="42"/>
        <v>2017San AlejandroLas Rocas</v>
      </c>
      <c r="B106" s="37">
        <v>2017</v>
      </c>
      <c r="C106" s="37" t="s">
        <v>152</v>
      </c>
      <c r="D106" s="37" t="s">
        <v>153</v>
      </c>
      <c r="E106" s="37" t="s">
        <v>1248</v>
      </c>
      <c r="F106" s="37" t="s">
        <v>729</v>
      </c>
      <c r="G106" s="37" t="s">
        <v>811</v>
      </c>
      <c r="H106" s="37" t="s">
        <v>812</v>
      </c>
      <c r="I106" s="37">
        <v>1</v>
      </c>
      <c r="J106" s="37">
        <v>750</v>
      </c>
      <c r="K106" s="37" t="s">
        <v>1316</v>
      </c>
      <c r="L106" s="37">
        <f>SUMIF(Wine1!A:A,Drank!A106,Wine1!I:I)</f>
        <v>3</v>
      </c>
      <c r="O106" s="37">
        <v>2020</v>
      </c>
      <c r="P106" s="37">
        <v>2025</v>
      </c>
      <c r="R106" s="37">
        <v>89</v>
      </c>
      <c r="S106" s="7">
        <f>AVERAGEIF(A:A,A106,R:R)</f>
        <v>88.4</v>
      </c>
      <c r="T106" s="1">
        <v>43989</v>
      </c>
      <c r="U106" s="13" t="str">
        <f t="shared" si="43"/>
        <v>June</v>
      </c>
      <c r="V106" s="12">
        <f t="shared" si="44"/>
        <v>43989</v>
      </c>
      <c r="W106" s="11">
        <v>9.77</v>
      </c>
      <c r="X106" s="37">
        <v>1</v>
      </c>
      <c r="Y106" s="11">
        <f t="shared" si="45"/>
        <v>9.77</v>
      </c>
      <c r="Z106" s="109"/>
      <c r="AA106" s="37">
        <f>IF(Y106&gt;=Expenses!$C$32,4,IF(Y106&gt;=Expenses!$C$31,3,IF(Y106&gt;=Expenses!$C$30,2,1)))</f>
        <v>1</v>
      </c>
      <c r="AB106" s="37">
        <f t="shared" si="46"/>
        <v>1</v>
      </c>
      <c r="AC106" s="37" t="str">
        <f t="shared" si="47"/>
        <v>2020</v>
      </c>
      <c r="AD106" s="37" t="s">
        <v>1128</v>
      </c>
      <c r="AE106" s="1">
        <v>43966</v>
      </c>
      <c r="AF106" s="13" t="str">
        <f t="shared" si="40"/>
        <v>May</v>
      </c>
      <c r="AG106" s="37" t="str">
        <f t="shared" si="41"/>
        <v>2020</v>
      </c>
    </row>
    <row r="107" spans="1:34" s="37" customFormat="1" ht="18.75" x14ac:dyDescent="0.3">
      <c r="A107" s="67" t="str">
        <f t="shared" si="42"/>
        <v>2018Cave Les Vignerons de Tavel &amp; LiracLirac Domaine de l'Eyrolle</v>
      </c>
      <c r="B107" s="37">
        <v>2018</v>
      </c>
      <c r="C107" s="37" t="s">
        <v>1424</v>
      </c>
      <c r="D107" s="37" t="s">
        <v>1425</v>
      </c>
      <c r="E107" s="37" t="s">
        <v>286</v>
      </c>
      <c r="F107" s="37" t="s">
        <v>742</v>
      </c>
      <c r="G107" s="37" t="s">
        <v>759</v>
      </c>
      <c r="H107" s="37" t="s">
        <v>1426</v>
      </c>
      <c r="I107" s="37">
        <v>1</v>
      </c>
      <c r="J107" s="37">
        <v>750</v>
      </c>
      <c r="K107" s="37" t="s">
        <v>58</v>
      </c>
      <c r="L107" s="37">
        <f>SUMIF(Wine1!A:A,Drank!A107,Wine1!I:I)</f>
        <v>10</v>
      </c>
      <c r="M107" s="37">
        <v>2019</v>
      </c>
      <c r="N107" s="37">
        <v>2025</v>
      </c>
      <c r="O107" s="37">
        <v>2020</v>
      </c>
      <c r="P107" s="37">
        <v>2025</v>
      </c>
      <c r="Q107" s="37">
        <v>92</v>
      </c>
      <c r="R107" s="37">
        <v>92</v>
      </c>
      <c r="S107" s="7">
        <f>AVERAGEIF(A:A,A107,R:R)</f>
        <v>91.5</v>
      </c>
      <c r="T107" s="1">
        <v>43989</v>
      </c>
      <c r="U107" s="13" t="str">
        <f t="shared" si="43"/>
        <v>June</v>
      </c>
      <c r="V107" s="12">
        <f t="shared" si="44"/>
        <v>43989</v>
      </c>
      <c r="W107" s="11">
        <v>14.11</v>
      </c>
      <c r="X107" s="37">
        <v>1</v>
      </c>
      <c r="Y107" s="11">
        <f t="shared" si="45"/>
        <v>14.109999999999998</v>
      </c>
      <c r="Z107" s="109"/>
      <c r="AA107" s="37">
        <f>IF(Y107&gt;=Expenses!$C$32,4,IF(Y107&gt;=Expenses!$C$31,3,IF(Y107&gt;=Expenses!$C$30,2,1)))</f>
        <v>1</v>
      </c>
      <c r="AB107" s="37">
        <f t="shared" si="46"/>
        <v>1</v>
      </c>
      <c r="AC107" s="37" t="str">
        <f t="shared" si="47"/>
        <v>2020</v>
      </c>
      <c r="AD107" s="37" t="s">
        <v>384</v>
      </c>
      <c r="AE107" s="1">
        <v>43986</v>
      </c>
      <c r="AF107" s="13" t="str">
        <f t="shared" si="40"/>
        <v>June</v>
      </c>
      <c r="AG107" s="37" t="str">
        <f t="shared" si="41"/>
        <v>2020</v>
      </c>
    </row>
    <row r="108" spans="1:34" s="37" customFormat="1" ht="18.75" x14ac:dyDescent="0.3">
      <c r="A108" s="67" t="str">
        <f t="shared" si="42"/>
        <v>2015Diez-CaballeroCrianza</v>
      </c>
      <c r="B108" s="37">
        <v>2015</v>
      </c>
      <c r="C108" s="37" t="s">
        <v>1216</v>
      </c>
      <c r="D108" s="37" t="s">
        <v>108</v>
      </c>
      <c r="E108" s="37" t="s">
        <v>1220</v>
      </c>
      <c r="F108" s="37" t="s">
        <v>729</v>
      </c>
      <c r="G108" s="37" t="s">
        <v>823</v>
      </c>
      <c r="I108" s="37">
        <v>1</v>
      </c>
      <c r="J108" s="37">
        <v>750</v>
      </c>
      <c r="K108" s="37" t="s">
        <v>1427</v>
      </c>
      <c r="L108" s="37">
        <f>SUMIF(Wine1!A:A,Drank!A108,Wine1!I:I)</f>
        <v>4</v>
      </c>
      <c r="M108" s="37">
        <v>2018</v>
      </c>
      <c r="N108" s="37">
        <v>2022</v>
      </c>
      <c r="O108" s="37">
        <v>2021</v>
      </c>
      <c r="P108" s="37">
        <v>2022</v>
      </c>
      <c r="Q108" s="37">
        <v>92</v>
      </c>
      <c r="R108" s="37">
        <v>90</v>
      </c>
      <c r="S108" s="7">
        <f>AVERAGEIF(A:A,A108,R:R)</f>
        <v>91.235294117647058</v>
      </c>
      <c r="T108" s="1">
        <v>43987</v>
      </c>
      <c r="U108" s="13" t="str">
        <f t="shared" si="43"/>
        <v>June</v>
      </c>
      <c r="V108" s="12">
        <f t="shared" si="44"/>
        <v>43987</v>
      </c>
      <c r="W108" s="11">
        <v>14.000000000000002</v>
      </c>
      <c r="X108" s="37">
        <v>1</v>
      </c>
      <c r="Y108" s="11">
        <f t="shared" si="45"/>
        <v>14.000000000000002</v>
      </c>
      <c r="Z108" s="109"/>
      <c r="AA108" s="37">
        <f>IF(Y108&gt;=Expenses!$C$32,4,IF(Y108&gt;=Expenses!$C$31,3,IF(Y108&gt;=Expenses!$C$30,2,1)))</f>
        <v>1</v>
      </c>
      <c r="AB108" s="37">
        <f t="shared" si="46"/>
        <v>1</v>
      </c>
      <c r="AC108" s="37" t="str">
        <f t="shared" si="47"/>
        <v>2020</v>
      </c>
      <c r="AD108" s="37" t="s">
        <v>384</v>
      </c>
      <c r="AE108" s="1"/>
      <c r="AF108" s="13" t="str">
        <f t="shared" si="40"/>
        <v>January</v>
      </c>
      <c r="AG108" s="37" t="str">
        <f t="shared" si="41"/>
        <v>1900</v>
      </c>
    </row>
    <row r="109" spans="1:34" s="37" customFormat="1" ht="18.75" x14ac:dyDescent="0.3">
      <c r="A109" s="67" t="str">
        <f t="shared" si="42"/>
        <v>2010CondeNeo</v>
      </c>
      <c r="B109" s="37">
        <v>2010</v>
      </c>
      <c r="C109" s="37" t="s">
        <v>45</v>
      </c>
      <c r="D109" s="37" t="s">
        <v>46</v>
      </c>
      <c r="E109" s="37" t="s">
        <v>276</v>
      </c>
      <c r="F109" s="37" t="s">
        <v>729</v>
      </c>
      <c r="G109" s="37" t="s">
        <v>814</v>
      </c>
      <c r="H109" s="37" t="s">
        <v>818</v>
      </c>
      <c r="I109" s="37">
        <v>1</v>
      </c>
      <c r="J109" s="37">
        <v>750</v>
      </c>
      <c r="K109" s="37" t="s">
        <v>589</v>
      </c>
      <c r="L109" s="37">
        <f>SUMIF(Wine1!A:A,Drank!A109,Wine1!I:I)</f>
        <v>4</v>
      </c>
      <c r="M109" s="37">
        <v>2014</v>
      </c>
      <c r="N109" s="37">
        <v>2020</v>
      </c>
      <c r="O109" s="37">
        <v>2021</v>
      </c>
      <c r="P109" s="37">
        <v>2024</v>
      </c>
      <c r="Q109" s="37">
        <v>93</v>
      </c>
      <c r="R109" s="37">
        <v>91</v>
      </c>
      <c r="S109" s="7">
        <f>AVERAGEIF(A:A,A109,R:R)</f>
        <v>92.166666666666671</v>
      </c>
      <c r="T109" s="1">
        <v>43987</v>
      </c>
      <c r="U109" s="13" t="str">
        <f t="shared" si="43"/>
        <v>June</v>
      </c>
      <c r="V109" s="12">
        <f t="shared" si="44"/>
        <v>43987</v>
      </c>
      <c r="W109" s="11">
        <v>21.99</v>
      </c>
      <c r="X109" s="37">
        <v>1</v>
      </c>
      <c r="Y109" s="11">
        <f t="shared" si="45"/>
        <v>21.99</v>
      </c>
      <c r="Z109" s="109"/>
      <c r="AA109" s="37">
        <f>IF(Y109&gt;=Expenses!$C$32,4,IF(Y109&gt;=Expenses!$C$31,3,IF(Y109&gt;=Expenses!$C$30,2,1)))</f>
        <v>2</v>
      </c>
      <c r="AB109" s="37">
        <f t="shared" si="46"/>
        <v>1</v>
      </c>
      <c r="AC109" s="37" t="str">
        <f t="shared" si="47"/>
        <v>2020</v>
      </c>
      <c r="AD109" s="37" t="s">
        <v>384</v>
      </c>
      <c r="AE109" s="1"/>
      <c r="AF109" s="13" t="str">
        <f t="shared" si="40"/>
        <v>January</v>
      </c>
      <c r="AG109" s="37" t="str">
        <f t="shared" si="41"/>
        <v>1900</v>
      </c>
    </row>
    <row r="110" spans="1:34" s="37" customFormat="1" ht="18.75" x14ac:dyDescent="0.3">
      <c r="A110" s="67" t="str">
        <f t="shared" si="42"/>
        <v>2016Quinta do ValladoField Blend Reserva</v>
      </c>
      <c r="B110" s="37">
        <v>2016</v>
      </c>
      <c r="C110" s="37" t="s">
        <v>210</v>
      </c>
      <c r="D110" s="37" t="s">
        <v>1423</v>
      </c>
      <c r="E110" s="37" t="s">
        <v>274</v>
      </c>
      <c r="F110" s="37" t="s">
        <v>804</v>
      </c>
      <c r="G110" s="37" t="s">
        <v>1422</v>
      </c>
      <c r="I110" s="37">
        <v>1</v>
      </c>
      <c r="J110" s="37">
        <v>750</v>
      </c>
      <c r="K110" s="37" t="s">
        <v>651</v>
      </c>
      <c r="L110" s="37">
        <f>SUMIF(Wine1!A:A,Drank!A110,Wine1!I:I)</f>
        <v>5</v>
      </c>
      <c r="M110" s="37">
        <v>2021</v>
      </c>
      <c r="N110" s="37">
        <v>2041</v>
      </c>
      <c r="O110" s="37">
        <v>2025</v>
      </c>
      <c r="P110" s="37">
        <v>2037</v>
      </c>
      <c r="Q110" s="37">
        <v>95</v>
      </c>
      <c r="R110" s="37">
        <v>92</v>
      </c>
      <c r="S110" s="7">
        <f>AVERAGEIF(A:A,A110,R:R)</f>
        <v>92</v>
      </c>
      <c r="T110" s="1">
        <v>43987</v>
      </c>
      <c r="U110" s="13" t="str">
        <f t="shared" si="43"/>
        <v>June</v>
      </c>
      <c r="V110" s="12">
        <f t="shared" si="44"/>
        <v>43987</v>
      </c>
      <c r="W110" s="11">
        <v>32.58</v>
      </c>
      <c r="X110" s="37">
        <v>1</v>
      </c>
      <c r="Y110" s="11">
        <f t="shared" si="45"/>
        <v>32.58</v>
      </c>
      <c r="Z110" s="109"/>
      <c r="AA110" s="37">
        <f>IF(Y110&gt;=Expenses!$C$32,4,IF(Y110&gt;=Expenses!$C$31,3,IF(Y110&gt;=Expenses!$C$30,2,1)))</f>
        <v>3</v>
      </c>
      <c r="AB110" s="37">
        <f t="shared" si="46"/>
        <v>1</v>
      </c>
      <c r="AC110" s="37" t="str">
        <f t="shared" si="47"/>
        <v>2020</v>
      </c>
      <c r="AD110" s="37" t="s">
        <v>384</v>
      </c>
      <c r="AE110" s="1">
        <v>43984</v>
      </c>
      <c r="AF110" s="13" t="str">
        <f t="shared" si="40"/>
        <v>June</v>
      </c>
      <c r="AG110" s="37" t="str">
        <f t="shared" si="41"/>
        <v>2020</v>
      </c>
      <c r="AH110" s="37">
        <v>4</v>
      </c>
    </row>
    <row r="111" spans="1:34" s="37" customFormat="1" ht="18.75" x14ac:dyDescent="0.3">
      <c r="A111" s="67" t="str">
        <f t="shared" si="42"/>
        <v>2016Tenuta di NozzoleChianti Classico Riserva Nozzole</v>
      </c>
      <c r="B111" s="37">
        <v>2016</v>
      </c>
      <c r="C111" s="37" t="s">
        <v>100</v>
      </c>
      <c r="D111" s="37" t="s">
        <v>101</v>
      </c>
      <c r="E111" s="37" t="s">
        <v>310</v>
      </c>
      <c r="F111" s="37" t="s">
        <v>728</v>
      </c>
      <c r="G111" s="37" t="s">
        <v>790</v>
      </c>
      <c r="H111" s="37" t="s">
        <v>792</v>
      </c>
      <c r="I111" s="37">
        <v>1</v>
      </c>
      <c r="J111" s="37">
        <v>750</v>
      </c>
      <c r="K111" s="37" t="s">
        <v>652</v>
      </c>
      <c r="L111" s="37">
        <f>SUMIF(Wine1!A:A,Drank!A111,Wine1!I:I)</f>
        <v>6</v>
      </c>
      <c r="M111" s="37">
        <v>2019</v>
      </c>
      <c r="N111" s="37">
        <v>2027</v>
      </c>
      <c r="O111" s="37">
        <v>2020</v>
      </c>
      <c r="P111" s="37">
        <v>2033</v>
      </c>
      <c r="Q111" s="37">
        <v>92</v>
      </c>
      <c r="R111" s="37">
        <v>91</v>
      </c>
      <c r="S111" s="7">
        <f>AVERAGEIF(A:A,A111,R:R)</f>
        <v>91.333333333333329</v>
      </c>
      <c r="T111" s="1">
        <v>43985</v>
      </c>
      <c r="U111" s="13" t="str">
        <f t="shared" si="43"/>
        <v>June</v>
      </c>
      <c r="V111" s="12">
        <f t="shared" si="44"/>
        <v>43985</v>
      </c>
      <c r="W111" s="11">
        <v>21.51</v>
      </c>
      <c r="X111" s="37" t="s">
        <v>1120</v>
      </c>
      <c r="Y111" s="11">
        <f t="shared" si="45"/>
        <v>21.51</v>
      </c>
      <c r="Z111" s="109"/>
      <c r="AA111" s="37">
        <f>IF(Y111&gt;=Expenses!$C$32,4,IF(Y111&gt;=Expenses!$C$31,3,IF(Y111&gt;=Expenses!$C$30,2,1)))</f>
        <v>2</v>
      </c>
      <c r="AB111" s="37">
        <f t="shared" si="46"/>
        <v>1</v>
      </c>
      <c r="AC111" s="37" t="str">
        <f t="shared" si="47"/>
        <v>2020</v>
      </c>
      <c r="AD111" s="37" t="s">
        <v>1128</v>
      </c>
      <c r="AE111" s="1">
        <v>43966</v>
      </c>
      <c r="AF111" s="13" t="str">
        <f t="shared" si="40"/>
        <v>May</v>
      </c>
      <c r="AG111" s="37" t="str">
        <f t="shared" si="41"/>
        <v>2020</v>
      </c>
      <c r="AH111" s="37">
        <v>4.5</v>
      </c>
    </row>
    <row r="112" spans="1:34" s="37" customFormat="1" ht="18.75" x14ac:dyDescent="0.3">
      <c r="A112" s="67" t="str">
        <f t="shared" si="42"/>
        <v>2017San AlejandroLas Rocas</v>
      </c>
      <c r="B112" s="37">
        <v>2017</v>
      </c>
      <c r="C112" s="37" t="s">
        <v>152</v>
      </c>
      <c r="D112" s="37" t="s">
        <v>153</v>
      </c>
      <c r="E112" s="37" t="s">
        <v>1248</v>
      </c>
      <c r="F112" s="37" t="s">
        <v>729</v>
      </c>
      <c r="G112" s="37" t="s">
        <v>811</v>
      </c>
      <c r="H112" s="37" t="s">
        <v>812</v>
      </c>
      <c r="I112" s="37">
        <v>1</v>
      </c>
      <c r="J112" s="37">
        <v>750</v>
      </c>
      <c r="K112" s="37" t="s">
        <v>1316</v>
      </c>
      <c r="L112" s="37">
        <f>SUMIF(Wine1!A:A,Drank!A112,Wine1!I:I)</f>
        <v>3</v>
      </c>
      <c r="O112" s="37">
        <v>2020</v>
      </c>
      <c r="P112" s="37">
        <v>2024</v>
      </c>
      <c r="R112" s="37">
        <v>90</v>
      </c>
      <c r="S112" s="7">
        <f>AVERAGEIF(A:A,A112,R:R)</f>
        <v>88.4</v>
      </c>
      <c r="T112" s="1">
        <v>43982</v>
      </c>
      <c r="U112" s="13" t="str">
        <f t="shared" si="43"/>
        <v>May</v>
      </c>
      <c r="V112" s="12">
        <f t="shared" si="44"/>
        <v>43982</v>
      </c>
      <c r="W112" s="11">
        <v>9.77</v>
      </c>
      <c r="X112" s="37">
        <v>0</v>
      </c>
      <c r="Y112" s="11">
        <f t="shared" si="45"/>
        <v>9.77</v>
      </c>
      <c r="Z112" s="109"/>
      <c r="AA112" s="37">
        <f>IF(Y112&gt;=Expenses!$C$32,4,IF(Y112&gt;=Expenses!$C$31,3,IF(Y112&gt;=Expenses!$C$30,2,1)))</f>
        <v>1</v>
      </c>
      <c r="AB112" s="37">
        <f t="shared" si="46"/>
        <v>1</v>
      </c>
      <c r="AC112" s="37" t="str">
        <f t="shared" si="47"/>
        <v>2020</v>
      </c>
      <c r="AD112" s="37" t="s">
        <v>1128</v>
      </c>
      <c r="AE112" s="1">
        <v>43966</v>
      </c>
      <c r="AF112" s="13" t="str">
        <f t="shared" si="40"/>
        <v>May</v>
      </c>
      <c r="AG112" s="37" t="str">
        <f t="shared" si="41"/>
        <v>2020</v>
      </c>
    </row>
    <row r="113" spans="1:33" s="37" customFormat="1" ht="18.75" x14ac:dyDescent="0.3">
      <c r="A113" s="67" t="str">
        <f t="shared" ref="A113:A128" si="48">CONCATENATE(B113,C113,D113)</f>
        <v>2017Domaine de l'AmandineCotes du Rhone Villages Seguret</v>
      </c>
      <c r="B113" s="37">
        <v>2017</v>
      </c>
      <c r="C113" s="37" t="s">
        <v>361</v>
      </c>
      <c r="D113" s="37" t="s">
        <v>362</v>
      </c>
      <c r="E113" s="37" t="s">
        <v>1197</v>
      </c>
      <c r="F113" s="37" t="s">
        <v>742</v>
      </c>
      <c r="G113" s="37" t="s">
        <v>759</v>
      </c>
      <c r="H113" s="37" t="s">
        <v>760</v>
      </c>
      <c r="I113" s="37">
        <v>1</v>
      </c>
      <c r="J113" s="37">
        <v>750</v>
      </c>
      <c r="K113" s="37" t="s">
        <v>25</v>
      </c>
      <c r="L113" s="37">
        <f>SUMIF(Wine1!A:A,Drank!A113,Wine1!I:I)</f>
        <v>20</v>
      </c>
      <c r="M113" s="37">
        <v>2018</v>
      </c>
      <c r="N113" s="37">
        <v>2025</v>
      </c>
      <c r="O113" s="37">
        <v>2020</v>
      </c>
      <c r="P113" s="37">
        <v>2025</v>
      </c>
      <c r="Q113" s="37">
        <v>93</v>
      </c>
      <c r="R113" s="37">
        <v>93</v>
      </c>
      <c r="S113" s="7">
        <f>AVERAGEIF(A:A,A113,R:R)</f>
        <v>92.470588235294116</v>
      </c>
      <c r="T113" s="1">
        <v>43982</v>
      </c>
      <c r="U113" s="13" t="str">
        <f t="shared" si="43"/>
        <v>May</v>
      </c>
      <c r="V113" s="12">
        <f t="shared" si="44"/>
        <v>43982</v>
      </c>
      <c r="W113" s="11">
        <v>16.28</v>
      </c>
      <c r="X113" s="37">
        <v>0</v>
      </c>
      <c r="Y113" s="11">
        <f t="shared" si="45"/>
        <v>16.28</v>
      </c>
      <c r="Z113" s="109"/>
      <c r="AA113" s="37">
        <f>IF(Y113&gt;=Expenses!$C$32,4,IF(Y113&gt;=Expenses!$C$31,3,IF(Y113&gt;=Expenses!$C$30,2,1)))</f>
        <v>1</v>
      </c>
      <c r="AB113" s="37">
        <f t="shared" si="46"/>
        <v>1</v>
      </c>
      <c r="AC113" s="37" t="str">
        <f t="shared" si="47"/>
        <v>2020</v>
      </c>
      <c r="AD113" s="37" t="s">
        <v>384</v>
      </c>
      <c r="AE113" s="1">
        <v>43885</v>
      </c>
      <c r="AF113" s="13" t="str">
        <f t="shared" si="40"/>
        <v>February</v>
      </c>
      <c r="AG113" s="37" t="str">
        <f t="shared" si="41"/>
        <v>2020</v>
      </c>
    </row>
    <row r="114" spans="1:33" s="37" customFormat="1" ht="18.75" x14ac:dyDescent="0.3">
      <c r="A114" s="67" t="str">
        <f t="shared" si="48"/>
        <v>2016Teruzzi &amp; PuthodTerre di Tufi</v>
      </c>
      <c r="B114" s="37">
        <v>2016</v>
      </c>
      <c r="C114" s="37" t="s">
        <v>378</v>
      </c>
      <c r="D114" s="37" t="s">
        <v>379</v>
      </c>
      <c r="E114" s="37" t="s">
        <v>1242</v>
      </c>
      <c r="F114" s="37" t="s">
        <v>728</v>
      </c>
      <c r="G114" s="37" t="s">
        <v>790</v>
      </c>
      <c r="H114" s="37" t="s">
        <v>808</v>
      </c>
      <c r="I114" s="37">
        <v>1</v>
      </c>
      <c r="J114" s="37">
        <v>750</v>
      </c>
      <c r="K114" s="37" t="s">
        <v>58</v>
      </c>
      <c r="L114" s="37">
        <f>SUMIF(Wine1!A:A,Drank!A114,Wine1!I:I)</f>
        <v>0</v>
      </c>
      <c r="P114" s="37">
        <v>2022</v>
      </c>
      <c r="R114" s="37">
        <v>90</v>
      </c>
      <c r="S114" s="7">
        <f>AVERAGEIF(A:A,A114,R:R)</f>
        <v>90.375</v>
      </c>
      <c r="T114" s="1">
        <v>43981</v>
      </c>
      <c r="U114" s="13" t="str">
        <f t="shared" si="43"/>
        <v>May</v>
      </c>
      <c r="V114" s="12">
        <f t="shared" si="44"/>
        <v>43981</v>
      </c>
      <c r="W114" s="11">
        <v>11.69</v>
      </c>
      <c r="X114" s="37">
        <v>0</v>
      </c>
      <c r="Y114" s="11">
        <f t="shared" si="45"/>
        <v>11.69</v>
      </c>
      <c r="Z114" s="109"/>
      <c r="AA114" s="37">
        <f>IF(Y114&gt;=Expenses!$C$32,4,IF(Y114&gt;=Expenses!$C$31,3,IF(Y114&gt;=Expenses!$C$30,2,1)))</f>
        <v>1</v>
      </c>
      <c r="AB114" s="37">
        <f t="shared" si="46"/>
        <v>1</v>
      </c>
      <c r="AC114" s="37" t="str">
        <f t="shared" si="47"/>
        <v>2020</v>
      </c>
      <c r="AD114" s="37" t="s">
        <v>1128</v>
      </c>
      <c r="AE114" s="1"/>
      <c r="AF114" s="13" t="str">
        <f t="shared" si="40"/>
        <v>January</v>
      </c>
      <c r="AG114" s="37" t="str">
        <f t="shared" si="41"/>
        <v>1900</v>
      </c>
    </row>
    <row r="115" spans="1:33" s="37" customFormat="1" ht="18.75" x14ac:dyDescent="0.3">
      <c r="A115" s="67" t="str">
        <f t="shared" si="48"/>
        <v>2010Cosimo TaurinoSalice Salentino Riserva</v>
      </c>
      <c r="B115" s="37">
        <v>2010</v>
      </c>
      <c r="C115" s="37" t="s">
        <v>56</v>
      </c>
      <c r="D115" s="37" t="s">
        <v>57</v>
      </c>
      <c r="E115" s="37" t="s">
        <v>1204</v>
      </c>
      <c r="F115" s="37" t="s">
        <v>728</v>
      </c>
      <c r="G115" s="37" t="s">
        <v>785</v>
      </c>
      <c r="H115" s="37" t="s">
        <v>769</v>
      </c>
      <c r="I115" s="37">
        <v>1</v>
      </c>
      <c r="J115" s="37">
        <v>750</v>
      </c>
      <c r="K115" s="37" t="s">
        <v>1316</v>
      </c>
      <c r="L115" s="37">
        <f>SUMIF(Wine1!A:A,Drank!A115,Wine1!I:I)</f>
        <v>19</v>
      </c>
      <c r="O115" s="37">
        <v>2020</v>
      </c>
      <c r="P115" s="37">
        <v>2023</v>
      </c>
      <c r="R115" s="37">
        <v>89</v>
      </c>
      <c r="S115" s="7">
        <f>AVERAGEIF(A:A,A115,R:R)</f>
        <v>89.46875</v>
      </c>
      <c r="T115" s="1">
        <v>43980</v>
      </c>
      <c r="U115" s="13" t="str">
        <f t="shared" si="43"/>
        <v>May</v>
      </c>
      <c r="V115" s="12">
        <f t="shared" si="44"/>
        <v>43980</v>
      </c>
      <c r="W115" s="11">
        <v>14.66</v>
      </c>
      <c r="X115" s="37">
        <v>0</v>
      </c>
      <c r="Y115" s="11">
        <f t="shared" si="45"/>
        <v>14.66</v>
      </c>
      <c r="Z115" s="109"/>
      <c r="AA115" s="37">
        <f>IF(Y115&gt;=Expenses!$C$32,4,IF(Y115&gt;=Expenses!$C$31,3,IF(Y115&gt;=Expenses!$C$30,2,1)))</f>
        <v>1</v>
      </c>
      <c r="AB115" s="37">
        <f t="shared" si="46"/>
        <v>1</v>
      </c>
      <c r="AC115" s="37" t="str">
        <f t="shared" si="47"/>
        <v>2020</v>
      </c>
      <c r="AD115" s="37" t="s">
        <v>1128</v>
      </c>
      <c r="AE115" s="1">
        <v>43966</v>
      </c>
      <c r="AF115" s="13" t="str">
        <f t="shared" si="40"/>
        <v>May</v>
      </c>
      <c r="AG115" s="37" t="str">
        <f t="shared" si="41"/>
        <v>2020</v>
      </c>
    </row>
    <row r="116" spans="1:33" s="37" customFormat="1" ht="18.75" x14ac:dyDescent="0.3">
      <c r="A116" s="67" t="str">
        <f t="shared" si="48"/>
        <v>2015Mosen CletoCrianza</v>
      </c>
      <c r="B116" s="37">
        <v>2015</v>
      </c>
      <c r="C116" s="37" t="s">
        <v>623</v>
      </c>
      <c r="D116" s="37" t="s">
        <v>108</v>
      </c>
      <c r="E116" s="37" t="s">
        <v>1240</v>
      </c>
      <c r="F116" s="37" t="s">
        <v>729</v>
      </c>
      <c r="G116" s="37" t="s">
        <v>811</v>
      </c>
      <c r="H116" s="37" t="s">
        <v>838</v>
      </c>
      <c r="I116" s="37">
        <v>1</v>
      </c>
      <c r="J116" s="37">
        <v>750</v>
      </c>
      <c r="K116" s="37" t="s">
        <v>1316</v>
      </c>
      <c r="L116" s="37">
        <f>SUMIF(Wine1!A:A,Drank!A116,Wine1!I:I)</f>
        <v>0</v>
      </c>
      <c r="P116" s="37">
        <v>2023</v>
      </c>
      <c r="R116" s="37">
        <v>88</v>
      </c>
      <c r="S116" s="7">
        <f>AVERAGEIF(A:A,A116,R:R)</f>
        <v>88.125</v>
      </c>
      <c r="T116" s="1">
        <v>43979</v>
      </c>
      <c r="U116" s="13" t="str">
        <f t="shared" si="43"/>
        <v>May</v>
      </c>
      <c r="V116" s="12">
        <f t="shared" si="44"/>
        <v>43979</v>
      </c>
      <c r="W116" s="11">
        <v>11.69</v>
      </c>
      <c r="X116" s="37">
        <v>0</v>
      </c>
      <c r="Y116" s="11">
        <f t="shared" si="45"/>
        <v>11.69</v>
      </c>
      <c r="Z116" s="109"/>
      <c r="AA116" s="37">
        <f>IF(Y116&gt;=Expenses!$C$32,4,IF(Y116&gt;=Expenses!$C$31,3,IF(Y116&gt;=Expenses!$C$30,2,1)))</f>
        <v>1</v>
      </c>
      <c r="AB116" s="37">
        <f t="shared" si="46"/>
        <v>1</v>
      </c>
      <c r="AC116" s="37" t="str">
        <f t="shared" si="47"/>
        <v>2020</v>
      </c>
      <c r="AD116" s="37" t="s">
        <v>1128</v>
      </c>
      <c r="AE116" s="1">
        <v>43879</v>
      </c>
      <c r="AF116" s="13" t="str">
        <f t="shared" si="40"/>
        <v>February</v>
      </c>
      <c r="AG116" s="37" t="str">
        <f t="shared" si="41"/>
        <v>2020</v>
      </c>
    </row>
    <row r="117" spans="1:33" s="37" customFormat="1" ht="18.75" x14ac:dyDescent="0.3">
      <c r="A117" s="67" t="str">
        <f t="shared" si="48"/>
        <v>2010Chateau Sigalas RabaudLieutenant de Sigalas</v>
      </c>
      <c r="B117" s="37">
        <v>2010</v>
      </c>
      <c r="C117" s="37" t="s">
        <v>1337</v>
      </c>
      <c r="D117" s="37" t="s">
        <v>1338</v>
      </c>
      <c r="E117" s="37" t="s">
        <v>1339</v>
      </c>
      <c r="F117" s="37" t="s">
        <v>742</v>
      </c>
      <c r="G117" s="37" t="s">
        <v>748</v>
      </c>
      <c r="H117" s="37" t="s">
        <v>260</v>
      </c>
      <c r="I117" s="37">
        <v>1</v>
      </c>
      <c r="J117" s="37">
        <v>375</v>
      </c>
      <c r="K117" s="37" t="s">
        <v>658</v>
      </c>
      <c r="L117" s="37">
        <f>SUMIF(Wine1!A:A,Drank!A117,Wine1!I:I)</f>
        <v>9</v>
      </c>
      <c r="O117" s="37">
        <v>2021</v>
      </c>
      <c r="P117" s="37">
        <v>2030</v>
      </c>
      <c r="R117" s="37">
        <v>88</v>
      </c>
      <c r="S117" s="7">
        <f>AVERAGEIF(A:A,A117,R:R)</f>
        <v>88</v>
      </c>
      <c r="U117" s="13" t="str">
        <f t="shared" si="43"/>
        <v>January</v>
      </c>
      <c r="V117" s="12">
        <f t="shared" si="44"/>
        <v>0</v>
      </c>
      <c r="W117" s="11">
        <v>13.11</v>
      </c>
      <c r="X117" s="37">
        <v>1</v>
      </c>
      <c r="Y117" s="11">
        <f t="shared" si="45"/>
        <v>26.22</v>
      </c>
      <c r="Z117" s="109"/>
      <c r="AA117" s="37">
        <f>IF(Y117&gt;=Expenses!$C$32,4,IF(Y117&gt;=Expenses!$C$31,3,IF(Y117&gt;=Expenses!$C$30,2,1)))</f>
        <v>2</v>
      </c>
      <c r="AB117" s="37">
        <f t="shared" si="46"/>
        <v>0.5</v>
      </c>
      <c r="AC117" s="37" t="str">
        <f t="shared" si="47"/>
        <v>1900</v>
      </c>
      <c r="AD117" s="37" t="s">
        <v>385</v>
      </c>
      <c r="AE117" s="1">
        <v>43923</v>
      </c>
      <c r="AF117" s="13" t="str">
        <f t="shared" si="40"/>
        <v>April</v>
      </c>
      <c r="AG117" s="37" t="str">
        <f t="shared" si="41"/>
        <v>2020</v>
      </c>
    </row>
    <row r="118" spans="1:33" s="37" customFormat="1" ht="18.75" x14ac:dyDescent="0.3">
      <c r="A118" s="67" t="str">
        <f t="shared" si="48"/>
        <v>2015AllegriniPalazzo della Torre</v>
      </c>
      <c r="B118" s="37">
        <v>2015</v>
      </c>
      <c r="C118" s="37" t="s">
        <v>111</v>
      </c>
      <c r="D118" s="37" t="s">
        <v>112</v>
      </c>
      <c r="E118" s="37" t="s">
        <v>1258</v>
      </c>
      <c r="F118" s="37" t="s">
        <v>728</v>
      </c>
      <c r="G118" s="37" t="s">
        <v>799</v>
      </c>
      <c r="H118" s="37" t="s">
        <v>800</v>
      </c>
      <c r="I118" s="37">
        <v>1</v>
      </c>
      <c r="J118" s="37">
        <v>750</v>
      </c>
      <c r="K118" s="37" t="s">
        <v>102</v>
      </c>
      <c r="L118" s="37">
        <f>SUMIF(Wine1!A:A,Drank!A118,Wine1!I:I)</f>
        <v>6</v>
      </c>
      <c r="M118" s="37">
        <v>2019</v>
      </c>
      <c r="N118" s="37">
        <v>2025</v>
      </c>
      <c r="O118" s="37">
        <v>2020</v>
      </c>
      <c r="P118" s="37">
        <v>2025</v>
      </c>
      <c r="Q118" s="37" t="s">
        <v>1404</v>
      </c>
      <c r="R118" s="37">
        <v>91</v>
      </c>
      <c r="S118" s="7">
        <f>AVERAGEIF(A:A,A118,R:R)</f>
        <v>90.909090909090907</v>
      </c>
      <c r="T118" s="1">
        <v>43978</v>
      </c>
      <c r="U118" s="13" t="str">
        <f t="shared" si="43"/>
        <v>May</v>
      </c>
      <c r="V118" s="12">
        <f t="shared" si="44"/>
        <v>43978</v>
      </c>
      <c r="W118" s="11">
        <v>17.989999999999998</v>
      </c>
      <c r="X118" s="37">
        <v>1</v>
      </c>
      <c r="Y118" s="11">
        <f t="shared" si="45"/>
        <v>17.989999999999998</v>
      </c>
      <c r="Z118" s="109"/>
      <c r="AA118" s="37">
        <f>IF(Y118&gt;=Expenses!$C$32,4,IF(Y118&gt;=Expenses!$C$31,3,IF(Y118&gt;=Expenses!$C$30,2,1)))</f>
        <v>2</v>
      </c>
      <c r="AB118" s="37">
        <f t="shared" si="46"/>
        <v>1</v>
      </c>
      <c r="AC118" s="37" t="str">
        <f t="shared" si="47"/>
        <v>2020</v>
      </c>
      <c r="AD118" s="37" t="s">
        <v>1128</v>
      </c>
      <c r="AE118" s="1">
        <v>43879</v>
      </c>
      <c r="AF118" s="13" t="str">
        <f t="shared" si="40"/>
        <v>February</v>
      </c>
      <c r="AG118" s="37" t="str">
        <f t="shared" si="41"/>
        <v>2020</v>
      </c>
    </row>
    <row r="119" spans="1:33" s="37" customFormat="1" ht="18.75" x14ac:dyDescent="0.3">
      <c r="A119" s="67" t="str">
        <f t="shared" si="48"/>
        <v>2013Marques de RiscalReserva</v>
      </c>
      <c r="B119" s="37">
        <v>2013</v>
      </c>
      <c r="C119" s="37" t="s">
        <v>1536</v>
      </c>
      <c r="D119" s="37" t="s">
        <v>106</v>
      </c>
      <c r="E119" s="37" t="s">
        <v>1296</v>
      </c>
      <c r="F119" s="37" t="s">
        <v>729</v>
      </c>
      <c r="G119" s="37" t="s">
        <v>823</v>
      </c>
      <c r="I119" s="37">
        <v>1</v>
      </c>
      <c r="J119" s="37">
        <v>750</v>
      </c>
      <c r="K119" s="37" t="s">
        <v>102</v>
      </c>
      <c r="L119" s="37">
        <f>SUMIF(Wine1!A:A,Drank!A119,Wine1!I:I)</f>
        <v>3</v>
      </c>
      <c r="O119" s="37">
        <v>2020</v>
      </c>
      <c r="P119" s="37">
        <v>2022</v>
      </c>
      <c r="R119" s="37">
        <v>91</v>
      </c>
      <c r="S119" s="7">
        <f>AVERAGEIF(A:A,A119,R:R)</f>
        <v>90.8</v>
      </c>
      <c r="T119" s="1">
        <v>43978</v>
      </c>
      <c r="U119" s="13" t="str">
        <f t="shared" si="43"/>
        <v>May</v>
      </c>
      <c r="V119" s="12">
        <f t="shared" si="44"/>
        <v>43978</v>
      </c>
      <c r="W119" s="11">
        <v>17.600000000000001</v>
      </c>
      <c r="X119" s="37">
        <v>1</v>
      </c>
      <c r="Y119" s="11">
        <f t="shared" si="45"/>
        <v>17.600000000000001</v>
      </c>
      <c r="Z119" s="109"/>
      <c r="AA119" s="37">
        <f>IF(Y119&gt;=Expenses!$C$32,4,IF(Y119&gt;=Expenses!$C$31,3,IF(Y119&gt;=Expenses!$C$30,2,1)))</f>
        <v>2</v>
      </c>
      <c r="AB119" s="37">
        <f t="shared" si="46"/>
        <v>1</v>
      </c>
      <c r="AC119" s="37" t="str">
        <f t="shared" si="47"/>
        <v>2020</v>
      </c>
      <c r="AD119" s="37" t="s">
        <v>1128</v>
      </c>
      <c r="AE119" s="1">
        <v>43966</v>
      </c>
      <c r="AF119" s="13" t="str">
        <f t="shared" si="40"/>
        <v>May</v>
      </c>
      <c r="AG119" s="37" t="str">
        <f t="shared" si="41"/>
        <v>2020</v>
      </c>
    </row>
    <row r="120" spans="1:33" s="37" customFormat="1" ht="18.75" x14ac:dyDescent="0.3">
      <c r="A120" s="67" t="str">
        <f t="shared" si="48"/>
        <v>2017San AlejandroLas Rocas</v>
      </c>
      <c r="B120" s="37">
        <v>2017</v>
      </c>
      <c r="C120" s="37" t="s">
        <v>152</v>
      </c>
      <c r="D120" s="37" t="s">
        <v>153</v>
      </c>
      <c r="E120" s="37" t="s">
        <v>1248</v>
      </c>
      <c r="F120" s="37" t="s">
        <v>729</v>
      </c>
      <c r="G120" s="37" t="s">
        <v>811</v>
      </c>
      <c r="H120" s="37" t="s">
        <v>812</v>
      </c>
      <c r="I120" s="37">
        <v>1</v>
      </c>
      <c r="J120" s="37">
        <v>750</v>
      </c>
      <c r="K120" s="37" t="s">
        <v>839</v>
      </c>
      <c r="L120" s="37">
        <f>SUMIF(Wine1!A:A,Drank!A120,Wine1!I:I)</f>
        <v>3</v>
      </c>
      <c r="O120" s="37">
        <v>2020</v>
      </c>
      <c r="P120" s="37">
        <v>2024</v>
      </c>
      <c r="R120" s="37">
        <v>88</v>
      </c>
      <c r="S120" s="7">
        <f>AVERAGEIF(A:A,A120,R:R)</f>
        <v>88.4</v>
      </c>
      <c r="T120" s="1">
        <v>43978</v>
      </c>
      <c r="U120" s="13" t="str">
        <f t="shared" si="43"/>
        <v>May</v>
      </c>
      <c r="V120" s="12">
        <f t="shared" si="44"/>
        <v>43978</v>
      </c>
      <c r="W120" s="11">
        <v>8.99</v>
      </c>
      <c r="X120" s="37">
        <v>0</v>
      </c>
      <c r="Y120" s="11">
        <f t="shared" si="45"/>
        <v>8.99</v>
      </c>
      <c r="Z120" s="109"/>
      <c r="AA120" s="37">
        <f>IF(Y120&gt;=Expenses!$C$32,4,IF(Y120&gt;=Expenses!$C$31,3,IF(Y120&gt;=Expenses!$C$30,2,1)))</f>
        <v>1</v>
      </c>
      <c r="AB120" s="37">
        <f t="shared" si="46"/>
        <v>1</v>
      </c>
      <c r="AC120" s="37" t="str">
        <f t="shared" si="47"/>
        <v>2020</v>
      </c>
      <c r="AD120" s="37" t="s">
        <v>1128</v>
      </c>
      <c r="AE120" s="1">
        <v>43879</v>
      </c>
      <c r="AF120" s="13" t="str">
        <f t="shared" si="40"/>
        <v>February</v>
      </c>
      <c r="AG120" s="37" t="str">
        <f t="shared" si="41"/>
        <v>2020</v>
      </c>
    </row>
    <row r="121" spans="1:33" s="37" customFormat="1" ht="18.75" x14ac:dyDescent="0.3">
      <c r="A121" s="67" t="str">
        <f t="shared" si="48"/>
        <v>2017Domaine du Grand MontmirailGigondas le Coteau de Mon Reve</v>
      </c>
      <c r="B121" s="37">
        <v>2017</v>
      </c>
      <c r="C121" s="37" t="s">
        <v>1387</v>
      </c>
      <c r="D121" s="37" t="s">
        <v>1388</v>
      </c>
      <c r="E121" s="37" t="s">
        <v>1360</v>
      </c>
      <c r="F121" s="37" t="s">
        <v>742</v>
      </c>
      <c r="G121" s="37" t="s">
        <v>759</v>
      </c>
      <c r="H121" s="37" t="s">
        <v>764</v>
      </c>
      <c r="I121" s="37">
        <v>1</v>
      </c>
      <c r="J121" s="37">
        <v>1500</v>
      </c>
      <c r="K121" s="37" t="s">
        <v>1403</v>
      </c>
      <c r="L121" s="37">
        <f>SUMIF(Wine1!A:A,Drank!A121,Wine1!I:I)</f>
        <v>10</v>
      </c>
      <c r="M121" s="37">
        <v>2020</v>
      </c>
      <c r="N121" s="37">
        <v>2030</v>
      </c>
      <c r="O121" s="37">
        <v>2022</v>
      </c>
      <c r="P121" s="37">
        <v>2030</v>
      </c>
      <c r="Q121" s="37">
        <v>96</v>
      </c>
      <c r="R121" s="37">
        <v>93</v>
      </c>
      <c r="S121" s="7">
        <f>AVERAGEIF(A:A,A121,R:R)</f>
        <v>93</v>
      </c>
      <c r="T121" s="1">
        <v>43976</v>
      </c>
      <c r="U121" s="13" t="str">
        <f t="shared" si="43"/>
        <v>May</v>
      </c>
      <c r="V121" s="12">
        <f t="shared" si="44"/>
        <v>43976</v>
      </c>
      <c r="W121" s="11">
        <v>57.56</v>
      </c>
      <c r="X121" s="37">
        <v>1</v>
      </c>
      <c r="Y121" s="11">
        <f t="shared" si="45"/>
        <v>28.78</v>
      </c>
      <c r="Z121" s="109"/>
      <c r="AA121" s="37">
        <f>IF(Y121&gt;=Expenses!$C$32,4,IF(Y121&gt;=Expenses!$C$31,3,IF(Y121&gt;=Expenses!$C$30,2,1)))</f>
        <v>2</v>
      </c>
      <c r="AB121" s="37">
        <f t="shared" si="46"/>
        <v>2</v>
      </c>
      <c r="AC121" s="37" t="str">
        <f t="shared" si="47"/>
        <v>2020</v>
      </c>
      <c r="AD121" s="37" t="s">
        <v>384</v>
      </c>
      <c r="AE121" s="1">
        <v>43963</v>
      </c>
      <c r="AF121" s="13" t="str">
        <f t="shared" si="40"/>
        <v>May</v>
      </c>
      <c r="AG121" s="37" t="str">
        <f t="shared" si="41"/>
        <v>2020</v>
      </c>
    </row>
    <row r="122" spans="1:33" s="37" customFormat="1" ht="18.75" x14ac:dyDescent="0.3">
      <c r="A122" s="67" t="str">
        <f t="shared" si="48"/>
        <v>2014Los Frailes1771</v>
      </c>
      <c r="B122" s="37">
        <v>2014</v>
      </c>
      <c r="C122" s="37" t="s">
        <v>242</v>
      </c>
      <c r="D122" s="37">
        <v>1771</v>
      </c>
      <c r="E122" s="37" t="s">
        <v>1223</v>
      </c>
      <c r="F122" s="37" t="s">
        <v>729</v>
      </c>
      <c r="G122" s="37" t="s">
        <v>826</v>
      </c>
      <c r="I122" s="37">
        <v>1</v>
      </c>
      <c r="J122" s="37">
        <v>750</v>
      </c>
      <c r="K122" s="37" t="s">
        <v>651</v>
      </c>
      <c r="L122" s="37">
        <f>SUMIF(Wine1!A:A,Drank!A122,Wine1!I:I)</f>
        <v>9</v>
      </c>
      <c r="M122" s="37">
        <v>2018</v>
      </c>
      <c r="N122" s="37">
        <v>2023</v>
      </c>
      <c r="O122" s="37">
        <v>2020</v>
      </c>
      <c r="P122" s="37">
        <v>2023</v>
      </c>
      <c r="Q122" s="37">
        <v>93</v>
      </c>
      <c r="R122" s="37">
        <v>92</v>
      </c>
      <c r="S122" s="7">
        <f>AVERAGEIF(A:A,A122,R:R)</f>
        <v>92.4</v>
      </c>
      <c r="T122" s="1">
        <v>43976</v>
      </c>
      <c r="U122" s="13" t="str">
        <f t="shared" si="43"/>
        <v>May</v>
      </c>
      <c r="V122" s="12">
        <f t="shared" si="44"/>
        <v>43976</v>
      </c>
      <c r="W122" s="11">
        <v>19.5</v>
      </c>
      <c r="X122" s="37">
        <v>1</v>
      </c>
      <c r="Y122" s="11">
        <f t="shared" si="45"/>
        <v>19.5</v>
      </c>
      <c r="Z122" s="109"/>
      <c r="AA122" s="37">
        <f>IF(Y122&gt;=Expenses!$C$32,4,IF(Y122&gt;=Expenses!$C$31,3,IF(Y122&gt;=Expenses!$C$30,2,1)))</f>
        <v>2</v>
      </c>
      <c r="AB122" s="37">
        <f t="shared" si="46"/>
        <v>1</v>
      </c>
      <c r="AC122" s="37" t="str">
        <f t="shared" si="47"/>
        <v>2020</v>
      </c>
      <c r="AD122" s="37" t="s">
        <v>385</v>
      </c>
      <c r="AE122" s="1"/>
      <c r="AF122" s="13" t="str">
        <f t="shared" si="40"/>
        <v>January</v>
      </c>
      <c r="AG122" s="37" t="str">
        <f t="shared" si="41"/>
        <v>1900</v>
      </c>
    </row>
    <row r="123" spans="1:33" s="37" customFormat="1" ht="18.75" x14ac:dyDescent="0.3">
      <c r="A123" s="67" t="str">
        <f t="shared" si="48"/>
        <v>2013Bernabé NavarroTragolargo</v>
      </c>
      <c r="B123" s="37">
        <v>2013</v>
      </c>
      <c r="C123" s="37" t="s">
        <v>1308</v>
      </c>
      <c r="D123" s="37" t="s">
        <v>1309</v>
      </c>
      <c r="E123" s="37" t="s">
        <v>1223</v>
      </c>
      <c r="F123" s="37" t="s">
        <v>729</v>
      </c>
      <c r="G123" s="37" t="s">
        <v>826</v>
      </c>
      <c r="H123" s="37" t="s">
        <v>827</v>
      </c>
      <c r="I123" s="37">
        <v>1</v>
      </c>
      <c r="J123" s="37">
        <v>750</v>
      </c>
      <c r="K123" s="37" t="s">
        <v>839</v>
      </c>
      <c r="L123" s="37">
        <f>SUMIF(Wine1!A:A,Drank!A123,Wine1!I:I)</f>
        <v>1</v>
      </c>
      <c r="M123" s="37">
        <v>2015</v>
      </c>
      <c r="N123" s="37">
        <v>2017</v>
      </c>
      <c r="O123" s="37">
        <v>2020</v>
      </c>
      <c r="P123" s="37">
        <v>2019</v>
      </c>
      <c r="Q123" s="37">
        <v>90</v>
      </c>
      <c r="R123" s="37">
        <v>89</v>
      </c>
      <c r="S123" s="7">
        <f>AVERAGEIF(A:A,A123,R:R)</f>
        <v>90.6</v>
      </c>
      <c r="T123" s="1">
        <v>43976</v>
      </c>
      <c r="U123" s="13" t="str">
        <f t="shared" si="43"/>
        <v>May</v>
      </c>
      <c r="V123" s="12">
        <f t="shared" si="44"/>
        <v>43976</v>
      </c>
      <c r="W123" s="11">
        <v>13.11</v>
      </c>
      <c r="X123" s="37">
        <v>1</v>
      </c>
      <c r="Y123" s="11">
        <f t="shared" si="45"/>
        <v>13.11</v>
      </c>
      <c r="Z123" s="109"/>
      <c r="AA123" s="37">
        <f>IF(Y123&gt;=Expenses!$C$32,4,IF(Y123&gt;=Expenses!$C$31,3,IF(Y123&gt;=Expenses!$C$30,2,1)))</f>
        <v>1</v>
      </c>
      <c r="AB123" s="37">
        <f t="shared" si="46"/>
        <v>1</v>
      </c>
      <c r="AC123" s="37" t="str">
        <f t="shared" si="47"/>
        <v>2020</v>
      </c>
      <c r="AD123" s="37" t="s">
        <v>385</v>
      </c>
      <c r="AE123" s="1">
        <v>43887</v>
      </c>
      <c r="AF123" s="13" t="str">
        <f t="shared" si="40"/>
        <v>February</v>
      </c>
      <c r="AG123" s="37" t="str">
        <f t="shared" si="41"/>
        <v>2020</v>
      </c>
    </row>
    <row r="124" spans="1:33" s="37" customFormat="1" ht="18.75" x14ac:dyDescent="0.3">
      <c r="A124" s="67" t="str">
        <f t="shared" si="48"/>
        <v>2017Domaine de l'AmandineCotes du Rhone Villages Seguret</v>
      </c>
      <c r="B124" s="37">
        <v>2017</v>
      </c>
      <c r="C124" s="37" t="s">
        <v>361</v>
      </c>
      <c r="D124" s="37" t="s">
        <v>362</v>
      </c>
      <c r="E124" s="37" t="s">
        <v>1197</v>
      </c>
      <c r="F124" s="37" t="s">
        <v>742</v>
      </c>
      <c r="G124" s="37" t="s">
        <v>759</v>
      </c>
      <c r="H124" s="37" t="s">
        <v>760</v>
      </c>
      <c r="I124" s="37">
        <v>1</v>
      </c>
      <c r="J124" s="37">
        <v>750</v>
      </c>
      <c r="K124" s="37" t="s">
        <v>929</v>
      </c>
      <c r="L124" s="37">
        <f>SUMIF(Wine1!A:A,Drank!A124,Wine1!I:I)</f>
        <v>20</v>
      </c>
      <c r="M124" s="37">
        <v>2018</v>
      </c>
      <c r="N124" s="37">
        <v>2025</v>
      </c>
      <c r="O124" s="37">
        <v>2020</v>
      </c>
      <c r="P124" s="37">
        <v>2025</v>
      </c>
      <c r="Q124" s="37">
        <v>93</v>
      </c>
      <c r="R124" s="37">
        <v>91</v>
      </c>
      <c r="S124" s="7">
        <f>AVERAGEIF(A:A,A124,R:R)</f>
        <v>92.470588235294116</v>
      </c>
      <c r="T124" s="1">
        <v>43975</v>
      </c>
      <c r="U124" s="13" t="str">
        <f t="shared" si="43"/>
        <v>May</v>
      </c>
      <c r="V124" s="12">
        <f t="shared" si="44"/>
        <v>43975</v>
      </c>
      <c r="W124" s="11">
        <v>16.28</v>
      </c>
      <c r="X124" s="37">
        <v>0</v>
      </c>
      <c r="Y124" s="11">
        <f t="shared" si="45"/>
        <v>16.28</v>
      </c>
      <c r="Z124" s="109"/>
      <c r="AA124" s="37">
        <f>IF(Y124&gt;=Expenses!$C$32,4,IF(Y124&gt;=Expenses!$C$31,3,IF(Y124&gt;=Expenses!$C$30,2,1)))</f>
        <v>1</v>
      </c>
      <c r="AB124" s="37">
        <f t="shared" si="46"/>
        <v>1</v>
      </c>
      <c r="AC124" s="37" t="str">
        <f t="shared" si="47"/>
        <v>2020</v>
      </c>
      <c r="AD124" s="37" t="s">
        <v>384</v>
      </c>
      <c r="AE124" s="1">
        <v>43885</v>
      </c>
      <c r="AF124" s="13" t="str">
        <f t="shared" ref="AF124:AF155" si="49">TEXT(AE124,"mmmm")</f>
        <v>February</v>
      </c>
      <c r="AG124" s="37" t="str">
        <f t="shared" ref="AG124:AG155" si="50">TEXT(AE124,"yyyy")</f>
        <v>2020</v>
      </c>
    </row>
    <row r="125" spans="1:33" s="37" customFormat="1" ht="18.75" x14ac:dyDescent="0.3">
      <c r="A125" s="67" t="str">
        <f t="shared" si="48"/>
        <v>2010Cosimo TaurinoNegroamaro Notarpanaro</v>
      </c>
      <c r="B125" s="37">
        <v>2010</v>
      </c>
      <c r="C125" s="37" t="s">
        <v>56</v>
      </c>
      <c r="D125" s="37" t="s">
        <v>1310</v>
      </c>
      <c r="E125" s="37" t="s">
        <v>1311</v>
      </c>
      <c r="F125" s="37" t="s">
        <v>728</v>
      </c>
      <c r="G125" s="37" t="s">
        <v>785</v>
      </c>
      <c r="H125" s="37" t="s">
        <v>786</v>
      </c>
      <c r="I125" s="37">
        <v>1</v>
      </c>
      <c r="J125" s="37">
        <v>750</v>
      </c>
      <c r="K125" s="37" t="s">
        <v>589</v>
      </c>
      <c r="L125" s="37">
        <f>SUMIF(Wine1!A:A,Drank!A125,Wine1!I:I)</f>
        <v>3</v>
      </c>
      <c r="O125" s="37">
        <v>2020</v>
      </c>
      <c r="P125" s="37">
        <v>2025</v>
      </c>
      <c r="R125" s="37">
        <v>89</v>
      </c>
      <c r="S125" s="7">
        <f>AVERAGEIF(A:A,A125,R:R)</f>
        <v>90</v>
      </c>
      <c r="T125" s="1">
        <v>43974</v>
      </c>
      <c r="U125" s="13" t="str">
        <f t="shared" si="43"/>
        <v>May</v>
      </c>
      <c r="V125" s="12">
        <f t="shared" si="44"/>
        <v>43974</v>
      </c>
      <c r="W125" s="11">
        <v>16.62</v>
      </c>
      <c r="X125" s="37">
        <v>1</v>
      </c>
      <c r="Y125" s="11">
        <f t="shared" si="45"/>
        <v>16.62</v>
      </c>
      <c r="Z125" s="109"/>
      <c r="AA125" s="37">
        <f>IF(Y125&gt;=Expenses!$C$32,4,IF(Y125&gt;=Expenses!$C$31,3,IF(Y125&gt;=Expenses!$C$30,2,1)))</f>
        <v>1</v>
      </c>
      <c r="AB125" s="37">
        <f t="shared" si="46"/>
        <v>1</v>
      </c>
      <c r="AC125" s="37" t="str">
        <f t="shared" si="47"/>
        <v>2020</v>
      </c>
      <c r="AD125" s="37" t="s">
        <v>1128</v>
      </c>
      <c r="AE125" s="1">
        <v>43966</v>
      </c>
      <c r="AF125" s="13" t="str">
        <f t="shared" si="49"/>
        <v>May</v>
      </c>
      <c r="AG125" s="37" t="str">
        <f t="shared" si="50"/>
        <v>2020</v>
      </c>
    </row>
    <row r="126" spans="1:33" s="37" customFormat="1" ht="18.75" x14ac:dyDescent="0.3">
      <c r="A126" s="67" t="str">
        <f t="shared" si="48"/>
        <v>2015Herdade do Arrepiado VelhoTinto</v>
      </c>
      <c r="B126" s="37">
        <v>2015</v>
      </c>
      <c r="C126" s="37" t="s">
        <v>1370</v>
      </c>
      <c r="D126" s="37" t="s">
        <v>1371</v>
      </c>
      <c r="E126" s="37" t="s">
        <v>1221</v>
      </c>
      <c r="F126" s="37" t="s">
        <v>804</v>
      </c>
      <c r="G126" s="37" t="s">
        <v>1372</v>
      </c>
      <c r="H126" s="37" t="s">
        <v>1373</v>
      </c>
      <c r="I126" s="37">
        <v>1</v>
      </c>
      <c r="J126" s="37">
        <v>750</v>
      </c>
      <c r="K126" s="37" t="s">
        <v>58</v>
      </c>
      <c r="L126" s="37">
        <f>SUMIF(Wine1!A:A,Drank!A126,Wine1!I:I)</f>
        <v>0</v>
      </c>
      <c r="M126" s="37">
        <v>2017</v>
      </c>
      <c r="N126" s="37">
        <v>2026</v>
      </c>
      <c r="O126" s="37">
        <v>2020</v>
      </c>
      <c r="P126" s="37">
        <v>2022</v>
      </c>
      <c r="Q126" s="37">
        <v>89</v>
      </c>
      <c r="R126" s="37">
        <v>85</v>
      </c>
      <c r="S126" s="7">
        <f>AVERAGEIF(A:A,A126,R:R)</f>
        <v>86</v>
      </c>
      <c r="T126" s="1">
        <v>43974</v>
      </c>
      <c r="U126" s="13" t="str">
        <f t="shared" si="43"/>
        <v>May</v>
      </c>
      <c r="V126" s="12">
        <f t="shared" si="44"/>
        <v>43974</v>
      </c>
      <c r="W126" s="11">
        <v>10.85</v>
      </c>
      <c r="X126" s="37">
        <v>0</v>
      </c>
      <c r="Y126" s="11">
        <f t="shared" si="45"/>
        <v>10.85</v>
      </c>
      <c r="Z126" s="109"/>
      <c r="AA126" s="37">
        <f>IF(Y126&gt;=Expenses!$C$32,4,IF(Y126&gt;=Expenses!$C$31,3,IF(Y126&gt;=Expenses!$C$30,2,1)))</f>
        <v>1</v>
      </c>
      <c r="AB126" s="37">
        <f t="shared" si="46"/>
        <v>1</v>
      </c>
      <c r="AC126" s="37" t="str">
        <f t="shared" si="47"/>
        <v>2020</v>
      </c>
      <c r="AD126" s="37" t="s">
        <v>384</v>
      </c>
      <c r="AE126" s="1">
        <v>43934</v>
      </c>
      <c r="AF126" s="13" t="str">
        <f t="shared" si="49"/>
        <v>April</v>
      </c>
      <c r="AG126" s="37" t="str">
        <f t="shared" si="50"/>
        <v>2020</v>
      </c>
    </row>
    <row r="127" spans="1:33" s="37" customFormat="1" ht="18.75" x14ac:dyDescent="0.3">
      <c r="A127" s="67" t="str">
        <f t="shared" si="48"/>
        <v>2012Pierre RougonMuscat de Beaumes de Venise</v>
      </c>
      <c r="B127" s="37">
        <v>2012</v>
      </c>
      <c r="C127" s="37" t="s">
        <v>1340</v>
      </c>
      <c r="D127" s="37" t="s">
        <v>1341</v>
      </c>
      <c r="E127" s="37" t="s">
        <v>1343</v>
      </c>
      <c r="F127" s="37" t="s">
        <v>742</v>
      </c>
      <c r="G127" s="37" t="s">
        <v>759</v>
      </c>
      <c r="H127" s="37" t="s">
        <v>1342</v>
      </c>
      <c r="I127" s="37">
        <v>1</v>
      </c>
      <c r="J127" s="37">
        <v>375</v>
      </c>
      <c r="K127" s="37" t="s">
        <v>1195</v>
      </c>
      <c r="L127" s="37">
        <f>SUMIF(Wine1!A:A,Drank!A127,Wine1!I:I)</f>
        <v>1</v>
      </c>
      <c r="O127" s="37">
        <v>2020</v>
      </c>
      <c r="P127" s="37">
        <v>2030</v>
      </c>
      <c r="R127" s="37">
        <v>91</v>
      </c>
      <c r="S127" s="7">
        <f>AVERAGEIF(A:A,A127,R:R)</f>
        <v>91</v>
      </c>
      <c r="T127" s="1">
        <v>43969</v>
      </c>
      <c r="U127" s="13" t="str">
        <f t="shared" ref="U127:U135" si="51">TEXT(T127,"mmmm")</f>
        <v>May</v>
      </c>
      <c r="V127" s="12">
        <f t="shared" si="44"/>
        <v>43969</v>
      </c>
      <c r="W127" s="11">
        <v>9.83</v>
      </c>
      <c r="X127" s="37">
        <v>1</v>
      </c>
      <c r="Y127" s="11">
        <f t="shared" si="45"/>
        <v>19.66</v>
      </c>
      <c r="Z127" s="109"/>
      <c r="AA127" s="37">
        <f>IF(Y127&gt;=Expenses!$C$32,4,IF(Y127&gt;=Expenses!$C$31,3,IF(Y127&gt;=Expenses!$C$30,2,1)))</f>
        <v>2</v>
      </c>
      <c r="AB127" s="37">
        <f t="shared" si="46"/>
        <v>0.5</v>
      </c>
      <c r="AC127" s="37" t="str">
        <f t="shared" si="47"/>
        <v>2020</v>
      </c>
      <c r="AD127" s="37" t="s">
        <v>385</v>
      </c>
      <c r="AE127" s="1">
        <v>43923</v>
      </c>
      <c r="AF127" s="13" t="str">
        <f t="shared" si="49"/>
        <v>April</v>
      </c>
      <c r="AG127" s="37" t="str">
        <f t="shared" si="50"/>
        <v>2020</v>
      </c>
    </row>
    <row r="128" spans="1:33" s="37" customFormat="1" ht="18.75" x14ac:dyDescent="0.3">
      <c r="A128" s="67" t="str">
        <f t="shared" si="48"/>
        <v>2013Marques de RiscalReserva</v>
      </c>
      <c r="B128" s="37">
        <v>2013</v>
      </c>
      <c r="C128" s="37" t="s">
        <v>1536</v>
      </c>
      <c r="D128" s="37" t="s">
        <v>106</v>
      </c>
      <c r="E128" s="37" t="s">
        <v>1296</v>
      </c>
      <c r="F128" s="37" t="s">
        <v>729</v>
      </c>
      <c r="G128" s="37" t="s">
        <v>823</v>
      </c>
      <c r="I128" s="37">
        <v>1</v>
      </c>
      <c r="J128" s="37">
        <v>750</v>
      </c>
      <c r="K128" s="37" t="s">
        <v>652</v>
      </c>
      <c r="L128" s="37">
        <f>SUMIF(Wine1!A:A,Drank!A128,Wine1!I:I)</f>
        <v>3</v>
      </c>
      <c r="O128" s="37">
        <v>2020</v>
      </c>
      <c r="P128" s="37">
        <v>2021</v>
      </c>
      <c r="R128" s="37">
        <v>92</v>
      </c>
      <c r="S128" s="7">
        <f>AVERAGEIF(A:A,A128,R:R)</f>
        <v>90.8</v>
      </c>
      <c r="T128" s="1">
        <v>43968</v>
      </c>
      <c r="U128" s="13" t="str">
        <f t="shared" si="51"/>
        <v>May</v>
      </c>
      <c r="V128" s="12">
        <f t="shared" si="44"/>
        <v>43968</v>
      </c>
      <c r="W128" s="11">
        <v>17.600000000000001</v>
      </c>
      <c r="X128" s="37">
        <v>1</v>
      </c>
      <c r="Y128" s="11">
        <f t="shared" si="45"/>
        <v>17.600000000000001</v>
      </c>
      <c r="Z128" s="109"/>
      <c r="AA128" s="37">
        <f>IF(Y128&gt;=Expenses!$C$32,4,IF(Y128&gt;=Expenses!$C$31,3,IF(Y128&gt;=Expenses!$C$30,2,1)))</f>
        <v>2</v>
      </c>
      <c r="AB128" s="37">
        <f t="shared" si="46"/>
        <v>1</v>
      </c>
      <c r="AC128" s="37" t="str">
        <f t="shared" si="47"/>
        <v>2020</v>
      </c>
      <c r="AD128" s="37" t="s">
        <v>1128</v>
      </c>
      <c r="AE128" s="1">
        <v>43966</v>
      </c>
      <c r="AF128" s="13" t="str">
        <f t="shared" si="49"/>
        <v>May</v>
      </c>
      <c r="AG128" s="37" t="str">
        <f t="shared" si="50"/>
        <v>2020</v>
      </c>
    </row>
    <row r="129" spans="1:33" s="37" customFormat="1" ht="18.75" x14ac:dyDescent="0.3">
      <c r="A129" s="67" t="str">
        <f t="shared" ref="A129:A147" si="52">CONCATENATE(B129,C129,D129)</f>
        <v>2010Cosimo TaurinoSalice Salentino Riserva</v>
      </c>
      <c r="B129" s="37">
        <v>2010</v>
      </c>
      <c r="C129" s="37" t="s">
        <v>56</v>
      </c>
      <c r="D129" s="37" t="s">
        <v>57</v>
      </c>
      <c r="E129" s="37" t="s">
        <v>1204</v>
      </c>
      <c r="F129" s="37" t="s">
        <v>728</v>
      </c>
      <c r="G129" s="37" t="s">
        <v>785</v>
      </c>
      <c r="H129" s="37" t="s">
        <v>769</v>
      </c>
      <c r="I129" s="37">
        <v>1</v>
      </c>
      <c r="J129" s="37">
        <v>750</v>
      </c>
      <c r="K129" s="37" t="s">
        <v>1195</v>
      </c>
      <c r="L129" s="37">
        <f>SUMIF(Wine1!A:A,Drank!A129,Wine1!I:I)</f>
        <v>19</v>
      </c>
      <c r="O129" s="37">
        <v>2020</v>
      </c>
      <c r="P129" s="37">
        <v>2022</v>
      </c>
      <c r="R129" s="37">
        <v>90</v>
      </c>
      <c r="S129" s="7">
        <f>AVERAGEIF(A:A,A129,R:R)</f>
        <v>89.46875</v>
      </c>
      <c r="T129" s="1">
        <v>43967</v>
      </c>
      <c r="U129" s="13" t="str">
        <f t="shared" si="51"/>
        <v>May</v>
      </c>
      <c r="V129" s="12">
        <f t="shared" si="44"/>
        <v>43967</v>
      </c>
      <c r="W129" s="11">
        <v>11.69</v>
      </c>
      <c r="X129" s="37">
        <v>0</v>
      </c>
      <c r="Y129" s="11">
        <f t="shared" si="45"/>
        <v>11.69</v>
      </c>
      <c r="Z129" s="109"/>
      <c r="AA129" s="37">
        <f>IF(Y129&gt;=Expenses!$C$32,4,IF(Y129&gt;=Expenses!$C$31,3,IF(Y129&gt;=Expenses!$C$30,2,1)))</f>
        <v>1</v>
      </c>
      <c r="AB129" s="37">
        <f t="shared" si="46"/>
        <v>1</v>
      </c>
      <c r="AC129" s="37" t="str">
        <f t="shared" si="47"/>
        <v>2020</v>
      </c>
      <c r="AD129" s="37" t="s">
        <v>1128</v>
      </c>
      <c r="AE129" s="1"/>
      <c r="AF129" s="13" t="str">
        <f t="shared" si="49"/>
        <v>January</v>
      </c>
      <c r="AG129" s="37" t="str">
        <f t="shared" si="50"/>
        <v>1900</v>
      </c>
    </row>
    <row r="130" spans="1:33" s="37" customFormat="1" ht="18.75" x14ac:dyDescent="0.3">
      <c r="A130" s="67" t="str">
        <f t="shared" si="52"/>
        <v>2014Prunus DaoPrivate Selection</v>
      </c>
      <c r="B130" s="37">
        <v>2014</v>
      </c>
      <c r="C130" s="37" t="s">
        <v>610</v>
      </c>
      <c r="D130" s="37" t="s">
        <v>611</v>
      </c>
      <c r="E130" s="37" t="s">
        <v>612</v>
      </c>
      <c r="F130" s="37" t="s">
        <v>804</v>
      </c>
      <c r="G130" s="37" t="s">
        <v>837</v>
      </c>
      <c r="I130" s="37">
        <v>1</v>
      </c>
      <c r="J130" s="37">
        <v>750</v>
      </c>
      <c r="K130" s="37" t="s">
        <v>929</v>
      </c>
      <c r="L130" s="37">
        <f>SUMIF(Wine1!A:A,Drank!A130,Wine1!I:I)</f>
        <v>1</v>
      </c>
      <c r="O130" s="37">
        <v>2020</v>
      </c>
      <c r="P130" s="37">
        <v>2019</v>
      </c>
      <c r="R130" s="37">
        <v>85</v>
      </c>
      <c r="S130" s="7">
        <f>AVERAGEIF(A:A,A130,R:R)</f>
        <v>88</v>
      </c>
      <c r="T130" s="1">
        <v>43966</v>
      </c>
      <c r="U130" s="13" t="str">
        <f t="shared" si="51"/>
        <v>May</v>
      </c>
      <c r="V130" s="12">
        <f t="shared" ref="V130:V135" si="53">T130</f>
        <v>43966</v>
      </c>
      <c r="W130" s="11">
        <v>9.99</v>
      </c>
      <c r="X130" s="37">
        <v>0</v>
      </c>
      <c r="Y130" s="11">
        <f t="shared" ref="Y130:Y135" si="54">W130/J130*750</f>
        <v>9.99</v>
      </c>
      <c r="Z130" s="109"/>
      <c r="AA130" s="37">
        <f>IF(Y130&gt;=Expenses!$C$32,4,IF(Y130&gt;=Expenses!$C$31,3,IF(Y130&gt;=Expenses!$C$30,2,1)))</f>
        <v>1</v>
      </c>
      <c r="AB130" s="37">
        <f t="shared" ref="AB130:AB135" si="55">J130/750</f>
        <v>1</v>
      </c>
      <c r="AC130" s="37" t="str">
        <f t="shared" ref="AC130:AC135" si="56">TEXT(T130,"yyyy")</f>
        <v>2020</v>
      </c>
      <c r="AD130" s="37" t="s">
        <v>384</v>
      </c>
      <c r="AE130" s="1">
        <v>43803</v>
      </c>
      <c r="AF130" s="13" t="str">
        <f t="shared" si="49"/>
        <v>December</v>
      </c>
      <c r="AG130" s="37" t="str">
        <f t="shared" si="50"/>
        <v>2019</v>
      </c>
    </row>
    <row r="131" spans="1:33" s="37" customFormat="1" ht="18.75" x14ac:dyDescent="0.3">
      <c r="A131" s="67" t="str">
        <f t="shared" si="52"/>
        <v>2015Domaine LafageBastide Miraflors Vieilles Vignes</v>
      </c>
      <c r="B131" s="37">
        <v>2015</v>
      </c>
      <c r="C131" s="37" t="s">
        <v>671</v>
      </c>
      <c r="D131" s="37" t="s">
        <v>672</v>
      </c>
      <c r="E131" s="37" t="s">
        <v>1172</v>
      </c>
      <c r="F131" s="37" t="s">
        <v>742</v>
      </c>
      <c r="G131" s="37" t="s">
        <v>766</v>
      </c>
      <c r="H131" s="37" t="s">
        <v>767</v>
      </c>
      <c r="I131" s="37">
        <v>1</v>
      </c>
      <c r="J131" s="37">
        <v>750</v>
      </c>
      <c r="K131" s="37" t="s">
        <v>651</v>
      </c>
      <c r="L131" s="37">
        <f>SUMIF(Wine1!A:A,Drank!A131,Wine1!I:I)</f>
        <v>8</v>
      </c>
      <c r="M131" s="37">
        <v>2017</v>
      </c>
      <c r="N131" s="37">
        <v>2021</v>
      </c>
      <c r="O131" s="37">
        <v>2020</v>
      </c>
      <c r="P131" s="37">
        <v>2025</v>
      </c>
      <c r="Q131" s="37">
        <v>94</v>
      </c>
      <c r="R131" s="37">
        <v>93</v>
      </c>
      <c r="S131" s="7">
        <f>AVERAGEIF(A:A,A131,R:R)</f>
        <v>91.333333333333329</v>
      </c>
      <c r="T131" s="1">
        <v>43966</v>
      </c>
      <c r="U131" s="13" t="str">
        <f t="shared" si="51"/>
        <v>May</v>
      </c>
      <c r="V131" s="12">
        <f t="shared" si="53"/>
        <v>43966</v>
      </c>
      <c r="W131" s="11">
        <v>14.99</v>
      </c>
      <c r="X131" s="37">
        <v>1</v>
      </c>
      <c r="Y131" s="11">
        <f t="shared" si="54"/>
        <v>14.99</v>
      </c>
      <c r="Z131" s="109"/>
      <c r="AA131" s="37">
        <f>IF(Y131&gt;=Expenses!$C$32,4,IF(Y131&gt;=Expenses!$C$31,3,IF(Y131&gt;=Expenses!$C$30,2,1)))</f>
        <v>1</v>
      </c>
      <c r="AB131" s="37">
        <f t="shared" si="55"/>
        <v>1</v>
      </c>
      <c r="AC131" s="37" t="str">
        <f t="shared" si="56"/>
        <v>2020</v>
      </c>
      <c r="AD131" s="37" t="s">
        <v>674</v>
      </c>
      <c r="AE131" s="1">
        <v>43877</v>
      </c>
      <c r="AF131" s="13" t="str">
        <f t="shared" si="49"/>
        <v>February</v>
      </c>
      <c r="AG131" s="37" t="str">
        <f t="shared" si="50"/>
        <v>2020</v>
      </c>
    </row>
    <row r="132" spans="1:33" s="37" customFormat="1" ht="18.75" x14ac:dyDescent="0.3">
      <c r="A132" s="67" t="str">
        <f t="shared" si="52"/>
        <v>2018Masseria Li VeliPrimitivo Orion</v>
      </c>
      <c r="B132" s="37">
        <v>2018</v>
      </c>
      <c r="C132" s="37" t="s">
        <v>630</v>
      </c>
      <c r="D132" s="37" t="s">
        <v>631</v>
      </c>
      <c r="E132" s="37" t="s">
        <v>588</v>
      </c>
      <c r="F132" s="37" t="s">
        <v>728</v>
      </c>
      <c r="G132" s="37" t="s">
        <v>785</v>
      </c>
      <c r="H132" s="37" t="s">
        <v>786</v>
      </c>
      <c r="I132" s="37">
        <v>1</v>
      </c>
      <c r="J132" s="37">
        <v>750</v>
      </c>
      <c r="K132" s="37" t="s">
        <v>839</v>
      </c>
      <c r="L132" s="37">
        <f>SUMIF(Wine1!A:A,Drank!A132,Wine1!I:I)</f>
        <v>3</v>
      </c>
      <c r="O132" s="37">
        <v>2020</v>
      </c>
      <c r="P132" s="37">
        <v>2023</v>
      </c>
      <c r="R132" s="37">
        <v>87</v>
      </c>
      <c r="S132" s="7">
        <f>AVERAGEIF(A:A,A132,R:R)</f>
        <v>88.555555555555557</v>
      </c>
      <c r="T132" s="1">
        <v>43966</v>
      </c>
      <c r="U132" s="13" t="str">
        <f t="shared" si="51"/>
        <v>May</v>
      </c>
      <c r="V132" s="12">
        <f t="shared" si="53"/>
        <v>43966</v>
      </c>
      <c r="W132" s="11">
        <v>13.49</v>
      </c>
      <c r="X132" s="37">
        <v>1</v>
      </c>
      <c r="Y132" s="11">
        <f t="shared" si="54"/>
        <v>13.490000000000002</v>
      </c>
      <c r="Z132" s="109"/>
      <c r="AA132" s="37">
        <f>IF(Y132&gt;=Expenses!$C$32,4,IF(Y132&gt;=Expenses!$C$31,3,IF(Y132&gt;=Expenses!$C$30,2,1)))</f>
        <v>1</v>
      </c>
      <c r="AB132" s="37">
        <f t="shared" si="55"/>
        <v>1</v>
      </c>
      <c r="AC132" s="37" t="str">
        <f t="shared" si="56"/>
        <v>2020</v>
      </c>
      <c r="AD132" s="37" t="s">
        <v>1128</v>
      </c>
      <c r="AE132" s="1">
        <v>43878</v>
      </c>
      <c r="AF132" s="13" t="str">
        <f t="shared" si="49"/>
        <v>February</v>
      </c>
      <c r="AG132" s="37" t="str">
        <f t="shared" si="50"/>
        <v>2020</v>
      </c>
    </row>
    <row r="133" spans="1:33" s="37" customFormat="1" ht="18.75" x14ac:dyDescent="0.3">
      <c r="A133" s="67" t="str">
        <f t="shared" si="52"/>
        <v>2017San AlejandroLas Rocas</v>
      </c>
      <c r="B133" s="37">
        <v>2017</v>
      </c>
      <c r="C133" s="37" t="s">
        <v>152</v>
      </c>
      <c r="D133" s="37" t="s">
        <v>153</v>
      </c>
      <c r="E133" s="37" t="s">
        <v>1248</v>
      </c>
      <c r="F133" s="37" t="s">
        <v>729</v>
      </c>
      <c r="G133" s="37" t="s">
        <v>811</v>
      </c>
      <c r="H133" s="37" t="s">
        <v>812</v>
      </c>
      <c r="I133" s="37">
        <v>1</v>
      </c>
      <c r="J133" s="37">
        <v>750</v>
      </c>
      <c r="K133" s="37" t="s">
        <v>839</v>
      </c>
      <c r="L133" s="37">
        <f>SUMIF(Wine1!A:A,Drank!A133,Wine1!I:I)</f>
        <v>3</v>
      </c>
      <c r="O133" s="37">
        <v>2020</v>
      </c>
      <c r="P133" s="37">
        <v>2024</v>
      </c>
      <c r="R133" s="37">
        <v>87</v>
      </c>
      <c r="S133" s="7">
        <f>AVERAGEIF(A:A,A133,R:R)</f>
        <v>88.4</v>
      </c>
      <c r="T133" s="1">
        <v>43963</v>
      </c>
      <c r="U133" s="13" t="str">
        <f t="shared" si="51"/>
        <v>May</v>
      </c>
      <c r="V133" s="12">
        <f t="shared" si="53"/>
        <v>43963</v>
      </c>
      <c r="W133" s="11">
        <v>8.99</v>
      </c>
      <c r="X133" s="37">
        <v>0</v>
      </c>
      <c r="Y133" s="11">
        <f t="shared" si="54"/>
        <v>8.99</v>
      </c>
      <c r="Z133" s="109"/>
      <c r="AA133" s="37">
        <f>IF(Y133&gt;=Expenses!$C$32,4,IF(Y133&gt;=Expenses!$C$31,3,IF(Y133&gt;=Expenses!$C$30,2,1)))</f>
        <v>1</v>
      </c>
      <c r="AB133" s="37">
        <f t="shared" si="55"/>
        <v>1</v>
      </c>
      <c r="AC133" s="37" t="str">
        <f t="shared" si="56"/>
        <v>2020</v>
      </c>
      <c r="AD133" s="37" t="s">
        <v>1128</v>
      </c>
      <c r="AE133" s="1">
        <v>43879</v>
      </c>
      <c r="AF133" s="13" t="str">
        <f t="shared" si="49"/>
        <v>February</v>
      </c>
      <c r="AG133" s="37" t="str">
        <f t="shared" si="50"/>
        <v>2020</v>
      </c>
    </row>
    <row r="134" spans="1:33" s="37" customFormat="1" ht="18.75" x14ac:dyDescent="0.3">
      <c r="A134" s="67" t="str">
        <f t="shared" si="52"/>
        <v>2015Diez-CaballeroCrianza</v>
      </c>
      <c r="B134" s="37">
        <v>2015</v>
      </c>
      <c r="C134" s="37" t="s">
        <v>1216</v>
      </c>
      <c r="D134" s="37" t="s">
        <v>108</v>
      </c>
      <c r="E134" s="37" t="s">
        <v>1220</v>
      </c>
      <c r="F134" s="37" t="s">
        <v>729</v>
      </c>
      <c r="G134" s="37" t="s">
        <v>823</v>
      </c>
      <c r="I134" s="37">
        <v>1</v>
      </c>
      <c r="J134" s="37">
        <v>750</v>
      </c>
      <c r="K134" s="37" t="s">
        <v>1195</v>
      </c>
      <c r="L134" s="37">
        <f>SUMIF(Wine1!A:A,Drank!A134,Wine1!I:I)</f>
        <v>4</v>
      </c>
      <c r="M134" s="37">
        <v>2018</v>
      </c>
      <c r="N134" s="37">
        <v>2022</v>
      </c>
      <c r="O134" s="37">
        <v>2020</v>
      </c>
      <c r="P134" s="37">
        <v>2023</v>
      </c>
      <c r="Q134" s="37">
        <v>92</v>
      </c>
      <c r="R134" s="37">
        <v>91</v>
      </c>
      <c r="S134" s="7">
        <f>AVERAGEIF(A:A,A134,R:R)</f>
        <v>91.235294117647058</v>
      </c>
      <c r="T134" s="1">
        <v>43962</v>
      </c>
      <c r="U134" s="13" t="str">
        <f t="shared" si="51"/>
        <v>May</v>
      </c>
      <c r="V134" s="12">
        <f t="shared" si="53"/>
        <v>43962</v>
      </c>
      <c r="W134" s="11">
        <v>14</v>
      </c>
      <c r="X134" s="37">
        <v>1</v>
      </c>
      <c r="Y134" s="11">
        <f t="shared" si="54"/>
        <v>14.000000000000002</v>
      </c>
      <c r="Z134" s="109"/>
      <c r="AA134" s="37">
        <f>IF(Y134&gt;=Expenses!$C$32,4,IF(Y134&gt;=Expenses!$C$31,3,IF(Y134&gt;=Expenses!$C$30,2,1)))</f>
        <v>1</v>
      </c>
      <c r="AB134" s="37">
        <f t="shared" si="55"/>
        <v>1</v>
      </c>
      <c r="AC134" s="37" t="str">
        <f t="shared" si="56"/>
        <v>2020</v>
      </c>
      <c r="AD134" s="37" t="s">
        <v>384</v>
      </c>
      <c r="AE134" s="1">
        <v>1</v>
      </c>
      <c r="AF134" s="13" t="str">
        <f t="shared" si="49"/>
        <v>January</v>
      </c>
      <c r="AG134" s="37" t="str">
        <f t="shared" si="50"/>
        <v>1900</v>
      </c>
    </row>
    <row r="135" spans="1:33" s="37" customFormat="1" ht="18.75" x14ac:dyDescent="0.3">
      <c r="A135" s="67" t="str">
        <f t="shared" si="52"/>
        <v>2016PlanetaCerasuolo di Vittoria Classico Dorilli</v>
      </c>
      <c r="B135" s="37">
        <v>2016</v>
      </c>
      <c r="C135" s="37" t="s">
        <v>1351</v>
      </c>
      <c r="D135" s="37" t="s">
        <v>1352</v>
      </c>
      <c r="E135" s="37" t="s">
        <v>1353</v>
      </c>
      <c r="F135" s="37" t="s">
        <v>728</v>
      </c>
      <c r="G135" s="37" t="s">
        <v>788</v>
      </c>
      <c r="H135" s="37" t="s">
        <v>1354</v>
      </c>
      <c r="I135" s="37">
        <v>1</v>
      </c>
      <c r="J135" s="37">
        <v>750</v>
      </c>
      <c r="K135" s="37" t="s">
        <v>652</v>
      </c>
      <c r="L135" s="37">
        <f>SUMIF(Wine1!A:A,Drank!A135,Wine1!I:I)</f>
        <v>2</v>
      </c>
      <c r="M135" s="37">
        <v>2018</v>
      </c>
      <c r="N135" s="37">
        <v>2022</v>
      </c>
      <c r="O135" s="37">
        <v>2020</v>
      </c>
      <c r="P135" s="37">
        <v>2022</v>
      </c>
      <c r="Q135" s="37">
        <v>92</v>
      </c>
      <c r="R135" s="37">
        <v>89</v>
      </c>
      <c r="S135" s="7">
        <f>AVERAGEIF(A:A,A135,R:R)</f>
        <v>90.5</v>
      </c>
      <c r="T135" s="1">
        <v>43961</v>
      </c>
      <c r="U135" s="13" t="str">
        <f t="shared" si="51"/>
        <v>May</v>
      </c>
      <c r="V135" s="12">
        <f t="shared" si="53"/>
        <v>43961</v>
      </c>
      <c r="W135" s="11">
        <v>26.22</v>
      </c>
      <c r="X135" s="37">
        <v>1</v>
      </c>
      <c r="Y135" s="11">
        <f t="shared" si="54"/>
        <v>26.22</v>
      </c>
      <c r="Z135" s="109"/>
      <c r="AA135" s="37">
        <f>IF(Y135&gt;=Expenses!$C$32,4,IF(Y135&gt;=Expenses!$C$31,3,IF(Y135&gt;=Expenses!$C$30,2,1)))</f>
        <v>2</v>
      </c>
      <c r="AB135" s="37">
        <f t="shared" si="55"/>
        <v>1</v>
      </c>
      <c r="AC135" s="37" t="str">
        <f t="shared" si="56"/>
        <v>2020</v>
      </c>
      <c r="AD135" s="37" t="s">
        <v>385</v>
      </c>
      <c r="AE135" s="1">
        <v>43926</v>
      </c>
      <c r="AF135" s="13" t="str">
        <f t="shared" si="49"/>
        <v>April</v>
      </c>
      <c r="AG135" s="37" t="str">
        <f t="shared" si="50"/>
        <v>2020</v>
      </c>
    </row>
    <row r="136" spans="1:33" s="37" customFormat="1" ht="18.75" x14ac:dyDescent="0.3">
      <c r="A136" s="67" t="str">
        <f t="shared" si="52"/>
        <v>2010Cosimo TaurinoSalice Salentino Riserva</v>
      </c>
      <c r="B136" s="37">
        <v>2010</v>
      </c>
      <c r="C136" s="37" t="s">
        <v>56</v>
      </c>
      <c r="D136" s="37" t="s">
        <v>57</v>
      </c>
      <c r="E136" s="37" t="s">
        <v>1204</v>
      </c>
      <c r="F136" s="37" t="s">
        <v>728</v>
      </c>
      <c r="G136" s="37" t="s">
        <v>785</v>
      </c>
      <c r="H136" s="37" t="s">
        <v>769</v>
      </c>
      <c r="I136" s="37">
        <v>1</v>
      </c>
      <c r="J136" s="37">
        <v>750</v>
      </c>
      <c r="K136" s="37" t="s">
        <v>1316</v>
      </c>
      <c r="L136" s="37">
        <f>SUMIF(Wine1!A:A,Drank!A136,Wine1!I:I)</f>
        <v>19</v>
      </c>
      <c r="O136" s="37">
        <v>2020</v>
      </c>
      <c r="P136" s="37">
        <v>2022</v>
      </c>
      <c r="R136" s="37">
        <v>89</v>
      </c>
      <c r="S136" s="7">
        <f>AVERAGEIF(A:A,A136,R:R)</f>
        <v>89.46875</v>
      </c>
      <c r="T136" s="1">
        <v>43960</v>
      </c>
      <c r="U136" s="13" t="str">
        <f t="shared" ref="U136:U141" si="57">TEXT(T136,"mmmm")</f>
        <v>May</v>
      </c>
      <c r="V136" s="12">
        <f t="shared" ref="V136:V141" si="58">T136</f>
        <v>43960</v>
      </c>
      <c r="W136" s="11">
        <v>12.99</v>
      </c>
      <c r="X136" s="37">
        <v>0</v>
      </c>
      <c r="Y136" s="11">
        <f>W136/J136*750</f>
        <v>12.989999999999998</v>
      </c>
      <c r="Z136" s="109"/>
      <c r="AA136" s="37">
        <f>IF(Y136&gt;=Expenses!$C$32,4,IF(Y136&gt;=Expenses!$C$31,3,IF(Y136&gt;=Expenses!$C$30,2,1)))</f>
        <v>1</v>
      </c>
      <c r="AB136" s="37">
        <f t="shared" ref="AB136:AB141" si="59">J136/750</f>
        <v>1</v>
      </c>
      <c r="AC136" s="37" t="str">
        <f t="shared" ref="AC136:AC141" si="60">TEXT(T136,"yyyy")</f>
        <v>2020</v>
      </c>
      <c r="AD136" s="37" t="s">
        <v>1128</v>
      </c>
      <c r="AE136" s="1">
        <v>43879</v>
      </c>
      <c r="AF136" s="13" t="str">
        <f t="shared" si="49"/>
        <v>February</v>
      </c>
      <c r="AG136" s="37" t="str">
        <f t="shared" si="50"/>
        <v>2020</v>
      </c>
    </row>
    <row r="137" spans="1:33" s="37" customFormat="1" ht="18.75" x14ac:dyDescent="0.3">
      <c r="A137" s="67" t="str">
        <f t="shared" si="52"/>
        <v>2017Tenuta Due MariLa Chiusa</v>
      </c>
      <c r="B137" s="37">
        <v>2017</v>
      </c>
      <c r="C137" s="37" t="s">
        <v>608</v>
      </c>
      <c r="D137" s="37" t="s">
        <v>609</v>
      </c>
      <c r="E137" s="37" t="s">
        <v>607</v>
      </c>
      <c r="F137" s="37" t="s">
        <v>728</v>
      </c>
      <c r="G137" s="37" t="s">
        <v>785</v>
      </c>
      <c r="H137" s="37" t="s">
        <v>786</v>
      </c>
      <c r="I137" s="37">
        <v>1</v>
      </c>
      <c r="J137" s="37">
        <v>750</v>
      </c>
      <c r="K137" s="37" t="s">
        <v>929</v>
      </c>
      <c r="L137" s="37">
        <f>SUMIF(Wine1!A:A,Drank!A137,Wine1!I:I)</f>
        <v>1</v>
      </c>
      <c r="O137" s="37">
        <v>2020</v>
      </c>
      <c r="P137" s="37">
        <v>2024</v>
      </c>
      <c r="R137" s="37">
        <v>89</v>
      </c>
      <c r="S137" s="7">
        <f>AVERAGEIF(A:A,A137,R:R)</f>
        <v>88.333333333333329</v>
      </c>
      <c r="T137" s="1">
        <v>43960</v>
      </c>
      <c r="U137" s="13" t="str">
        <f t="shared" si="57"/>
        <v>May</v>
      </c>
      <c r="V137" s="12">
        <f t="shared" si="58"/>
        <v>43960</v>
      </c>
      <c r="W137" s="11">
        <v>9.99</v>
      </c>
      <c r="X137" s="37">
        <v>1</v>
      </c>
      <c r="Y137" s="11">
        <f>W137/J137*750</f>
        <v>9.99</v>
      </c>
      <c r="Z137" s="109"/>
      <c r="AA137" s="37">
        <f>IF(Y137&gt;=Expenses!$C$32,4,IF(Y137&gt;=Expenses!$C$31,3,IF(Y137&gt;=Expenses!$C$30,2,1)))</f>
        <v>1</v>
      </c>
      <c r="AB137" s="37">
        <f t="shared" si="59"/>
        <v>1</v>
      </c>
      <c r="AC137" s="37" t="str">
        <f t="shared" si="60"/>
        <v>2020</v>
      </c>
      <c r="AD137" s="37" t="s">
        <v>384</v>
      </c>
      <c r="AE137" s="1">
        <v>43803</v>
      </c>
      <c r="AF137" s="13" t="str">
        <f t="shared" si="49"/>
        <v>December</v>
      </c>
      <c r="AG137" s="37" t="str">
        <f t="shared" si="50"/>
        <v>2019</v>
      </c>
    </row>
    <row r="138" spans="1:33" s="37" customFormat="1" ht="18.75" x14ac:dyDescent="0.3">
      <c r="A138" s="67" t="str">
        <f t="shared" si="52"/>
        <v>2017SichelSichel</v>
      </c>
      <c r="B138" s="37">
        <v>2017</v>
      </c>
      <c r="C138" s="37" t="s">
        <v>409</v>
      </c>
      <c r="D138" s="37" t="s">
        <v>409</v>
      </c>
      <c r="E138" s="37" t="s">
        <v>1200</v>
      </c>
      <c r="F138" s="37" t="s">
        <v>742</v>
      </c>
      <c r="G138" s="37" t="s">
        <v>748</v>
      </c>
      <c r="H138" s="37" t="s">
        <v>260</v>
      </c>
      <c r="I138" s="37">
        <v>1</v>
      </c>
      <c r="J138" s="37">
        <v>375</v>
      </c>
      <c r="K138" s="37" t="s">
        <v>236</v>
      </c>
      <c r="L138" s="37">
        <f>SUMIF(Wine1!A:A,Drank!A138,Wine1!I:I)</f>
        <v>20</v>
      </c>
      <c r="O138" s="37">
        <v>2020</v>
      </c>
      <c r="P138" s="37">
        <v>2032</v>
      </c>
      <c r="R138" s="37">
        <v>92</v>
      </c>
      <c r="S138" s="7">
        <f>AVERAGEIF(A:A,A138,R:R)</f>
        <v>89.7</v>
      </c>
      <c r="T138" s="1">
        <v>43958</v>
      </c>
      <c r="U138" s="13" t="str">
        <f t="shared" si="57"/>
        <v>May</v>
      </c>
      <c r="V138" s="12">
        <f t="shared" si="58"/>
        <v>43958</v>
      </c>
      <c r="W138" s="11">
        <v>12</v>
      </c>
      <c r="X138" s="37">
        <v>0</v>
      </c>
      <c r="Y138" s="11">
        <f>W138/J138*750</f>
        <v>24</v>
      </c>
      <c r="Z138" s="109"/>
      <c r="AA138" s="37">
        <f>IF(Y138&gt;=Expenses!$C$32,4,IF(Y138&gt;=Expenses!$C$31,3,IF(Y138&gt;=Expenses!$C$30,2,1)))</f>
        <v>2</v>
      </c>
      <c r="AB138" s="37">
        <f t="shared" si="59"/>
        <v>0.5</v>
      </c>
      <c r="AC138" s="37" t="str">
        <f t="shared" si="60"/>
        <v>2020</v>
      </c>
      <c r="AD138" s="37" t="s">
        <v>385</v>
      </c>
      <c r="AE138" s="1">
        <v>43845</v>
      </c>
      <c r="AF138" s="13" t="str">
        <f t="shared" si="49"/>
        <v>January</v>
      </c>
      <c r="AG138" s="37" t="str">
        <f t="shared" si="50"/>
        <v>2020</v>
      </c>
    </row>
    <row r="139" spans="1:33" s="37" customFormat="1" ht="18.75" x14ac:dyDescent="0.3">
      <c r="A139" s="67" t="str">
        <f t="shared" si="52"/>
        <v>2017Domaine de l'AmandineCotes du Rhone Villages Seguret</v>
      </c>
      <c r="B139" s="37">
        <v>2017</v>
      </c>
      <c r="C139" s="37" t="s">
        <v>361</v>
      </c>
      <c r="D139" s="37" t="s">
        <v>362</v>
      </c>
      <c r="E139" s="37" t="s">
        <v>1197</v>
      </c>
      <c r="F139" s="37" t="s">
        <v>742</v>
      </c>
      <c r="G139" s="37" t="s">
        <v>759</v>
      </c>
      <c r="H139" s="37" t="s">
        <v>760</v>
      </c>
      <c r="I139" s="37">
        <v>1</v>
      </c>
      <c r="J139" s="37">
        <v>750</v>
      </c>
      <c r="K139" s="37" t="s">
        <v>58</v>
      </c>
      <c r="L139" s="37">
        <f>SUMIF(Wine1!A:A,Drank!A139,Wine1!I:I)</f>
        <v>20</v>
      </c>
      <c r="M139" s="37">
        <v>2018</v>
      </c>
      <c r="N139" s="37">
        <v>2025</v>
      </c>
      <c r="O139" s="37">
        <v>2020</v>
      </c>
      <c r="P139" s="37">
        <v>2025</v>
      </c>
      <c r="Q139" s="37">
        <v>93</v>
      </c>
      <c r="R139" s="37">
        <v>93</v>
      </c>
      <c r="S139" s="7">
        <f>AVERAGEIF(A:A,A139,R:R)</f>
        <v>92.470588235294116</v>
      </c>
      <c r="T139" s="1">
        <v>43958</v>
      </c>
      <c r="U139" s="13" t="str">
        <f t="shared" si="57"/>
        <v>May</v>
      </c>
      <c r="V139" s="12">
        <f t="shared" si="58"/>
        <v>43958</v>
      </c>
      <c r="W139" s="11">
        <v>16.28</v>
      </c>
      <c r="X139" s="37">
        <v>0</v>
      </c>
      <c r="Y139" s="11">
        <f>W139/J139*750</f>
        <v>16.28</v>
      </c>
      <c r="Z139" s="109"/>
      <c r="AA139" s="37">
        <f>IF(Y139&gt;=Expenses!$C$32,4,IF(Y139&gt;=Expenses!$C$31,3,IF(Y139&gt;=Expenses!$C$30,2,1)))</f>
        <v>1</v>
      </c>
      <c r="AB139" s="37">
        <f t="shared" si="59"/>
        <v>1</v>
      </c>
      <c r="AC139" s="37" t="str">
        <f t="shared" si="60"/>
        <v>2020</v>
      </c>
      <c r="AD139" s="37" t="s">
        <v>384</v>
      </c>
      <c r="AE139" s="1">
        <v>43885</v>
      </c>
      <c r="AF139" s="13" t="str">
        <f t="shared" si="49"/>
        <v>February</v>
      </c>
      <c r="AG139" s="37" t="str">
        <f t="shared" si="50"/>
        <v>2020</v>
      </c>
    </row>
    <row r="140" spans="1:33" s="37" customFormat="1" ht="18.75" x14ac:dyDescent="0.3">
      <c r="A140" s="67" t="str">
        <f t="shared" si="52"/>
        <v>2010Cosimo TaurinoSalice Salentino Riserva</v>
      </c>
      <c r="B140" s="37">
        <v>2010</v>
      </c>
      <c r="C140" s="37" t="s">
        <v>56</v>
      </c>
      <c r="D140" s="37" t="s">
        <v>57</v>
      </c>
      <c r="E140" s="37" t="s">
        <v>1204</v>
      </c>
      <c r="F140" s="37" t="s">
        <v>728</v>
      </c>
      <c r="G140" s="37" t="s">
        <v>785</v>
      </c>
      <c r="H140" s="37" t="s">
        <v>769</v>
      </c>
      <c r="I140" s="37">
        <v>1</v>
      </c>
      <c r="J140" s="37">
        <v>750</v>
      </c>
      <c r="K140" s="37" t="s">
        <v>1316</v>
      </c>
      <c r="L140" s="37">
        <f>SUMIF(Wine1!A:A,Drank!A140,Wine1!I:I)</f>
        <v>19</v>
      </c>
      <c r="O140" s="37">
        <v>2020</v>
      </c>
      <c r="P140" s="37">
        <v>2023</v>
      </c>
      <c r="R140" s="37">
        <v>90</v>
      </c>
      <c r="S140" s="7">
        <f>AVERAGEIF(A:A,A140,R:R)</f>
        <v>89.46875</v>
      </c>
      <c r="T140" s="1">
        <v>43956</v>
      </c>
      <c r="U140" s="13" t="str">
        <f t="shared" si="57"/>
        <v>May</v>
      </c>
      <c r="V140" s="12">
        <f t="shared" si="58"/>
        <v>43956</v>
      </c>
      <c r="W140" s="11">
        <v>12.99</v>
      </c>
      <c r="X140" s="37">
        <v>0</v>
      </c>
      <c r="Y140" s="11">
        <f>W140/J140*750</f>
        <v>12.989999999999998</v>
      </c>
      <c r="Z140" s="109"/>
      <c r="AA140" s="37">
        <f>IF(Y140&gt;=Expenses!$C$32,4,IF(Y140&gt;=Expenses!$C$31,3,IF(Y140&gt;=Expenses!$C$30,2,1)))</f>
        <v>1</v>
      </c>
      <c r="AB140" s="37">
        <f t="shared" si="59"/>
        <v>1</v>
      </c>
      <c r="AC140" s="37" t="str">
        <f t="shared" si="60"/>
        <v>2020</v>
      </c>
      <c r="AD140" s="37" t="s">
        <v>1128</v>
      </c>
      <c r="AE140" s="1">
        <v>43879</v>
      </c>
      <c r="AF140" s="13" t="str">
        <f t="shared" si="49"/>
        <v>February</v>
      </c>
      <c r="AG140" s="37" t="str">
        <f t="shared" si="50"/>
        <v>2020</v>
      </c>
    </row>
    <row r="141" spans="1:33" s="37" customFormat="1" ht="18.75" x14ac:dyDescent="0.3">
      <c r="A141" s="67" t="str">
        <f t="shared" si="52"/>
        <v>2016Produttori del BarbarescoBarbaresco</v>
      </c>
      <c r="B141" s="37">
        <v>2016</v>
      </c>
      <c r="C141" s="37" t="s">
        <v>248</v>
      </c>
      <c r="D141" s="37" t="s">
        <v>249</v>
      </c>
      <c r="E141" s="37" t="s">
        <v>1206</v>
      </c>
      <c r="F141" s="37" t="s">
        <v>728</v>
      </c>
      <c r="G141" s="37" t="s">
        <v>778</v>
      </c>
      <c r="H141" s="37" t="s">
        <v>249</v>
      </c>
      <c r="I141" s="37">
        <v>1</v>
      </c>
      <c r="J141" s="37">
        <v>750</v>
      </c>
      <c r="K141" s="37" t="s">
        <v>661</v>
      </c>
      <c r="L141" s="37">
        <f>SUMIF(Wine1!A:A,Drank!A141,Wine1!I:I)</f>
        <v>41</v>
      </c>
      <c r="M141" s="37">
        <v>2022</v>
      </c>
      <c r="N141" s="37">
        <v>2040</v>
      </c>
      <c r="O141" s="37">
        <v>2028</v>
      </c>
      <c r="P141" s="37">
        <v>2035</v>
      </c>
      <c r="Q141" s="37">
        <v>95</v>
      </c>
      <c r="R141" s="37">
        <v>96</v>
      </c>
      <c r="S141" s="7">
        <f>AVERAGEIF(A:A,A141,R:R)</f>
        <v>95.5</v>
      </c>
      <c r="T141" s="1">
        <v>43954</v>
      </c>
      <c r="U141" s="13" t="str">
        <f t="shared" si="57"/>
        <v>May</v>
      </c>
      <c r="V141" s="12">
        <f t="shared" si="58"/>
        <v>43954</v>
      </c>
      <c r="W141" s="11">
        <v>40.39</v>
      </c>
      <c r="X141" s="37">
        <v>1</v>
      </c>
      <c r="Y141" s="11">
        <f t="shared" ref="Y141:Y147" si="61">W141/J141*750</f>
        <v>40.39</v>
      </c>
      <c r="Z141" s="109"/>
      <c r="AA141" s="37">
        <f>IF(Y141&gt;=Expenses!$C$32,4,IF(Y141&gt;=Expenses!$C$31,3,IF(Y141&gt;=Expenses!$C$30,2,1)))</f>
        <v>3</v>
      </c>
      <c r="AB141" s="37">
        <f t="shared" si="59"/>
        <v>1</v>
      </c>
      <c r="AC141" s="37" t="str">
        <f t="shared" si="60"/>
        <v>2020</v>
      </c>
      <c r="AD141" s="37" t="s">
        <v>1128</v>
      </c>
      <c r="AE141" s="1">
        <v>43879</v>
      </c>
      <c r="AF141" s="13" t="str">
        <f t="shared" si="49"/>
        <v>February</v>
      </c>
      <c r="AG141" s="37" t="str">
        <f t="shared" si="50"/>
        <v>2020</v>
      </c>
    </row>
    <row r="142" spans="1:33" s="37" customFormat="1" ht="18.75" x14ac:dyDescent="0.3">
      <c r="A142" s="67" t="str">
        <f t="shared" si="52"/>
        <v>2015Saint Nicolas de Bourgueil Expression Pascal Lorieux</v>
      </c>
      <c r="B142" s="37">
        <v>2015</v>
      </c>
      <c r="C142" s="37" t="s">
        <v>1364</v>
      </c>
      <c r="D142" s="37" t="s">
        <v>1363</v>
      </c>
      <c r="E142" s="37" t="s">
        <v>1365</v>
      </c>
      <c r="F142" s="37" t="s">
        <v>742</v>
      </c>
      <c r="G142" s="37" t="s">
        <v>1366</v>
      </c>
      <c r="H142" s="37" t="s">
        <v>1367</v>
      </c>
      <c r="I142" s="37">
        <v>1</v>
      </c>
      <c r="J142" s="37">
        <v>750</v>
      </c>
      <c r="K142" s="37" t="s">
        <v>1195</v>
      </c>
      <c r="L142" s="37">
        <f>SUMIF(Wine1!A:A,Drank!A142,Wine1!I:I)</f>
        <v>0</v>
      </c>
      <c r="P142" s="37">
        <v>2020</v>
      </c>
      <c r="R142" s="37">
        <v>88</v>
      </c>
      <c r="S142" s="7">
        <f>AVERAGEIF(A:A,A142,R:R)</f>
        <v>87</v>
      </c>
      <c r="T142" s="1">
        <v>43954</v>
      </c>
      <c r="U142" s="13" t="str">
        <f t="shared" ref="U142:U147" si="62">TEXT(T142,"mmmm")</f>
        <v>May</v>
      </c>
      <c r="V142" s="12">
        <f t="shared" ref="V142:V147" si="63">T142</f>
        <v>43954</v>
      </c>
      <c r="W142" s="11">
        <v>10.85</v>
      </c>
      <c r="X142" s="37">
        <v>1</v>
      </c>
      <c r="Y142" s="11">
        <f t="shared" si="61"/>
        <v>10.85</v>
      </c>
      <c r="Z142" s="109"/>
      <c r="AA142" s="37">
        <f>IF(Y142&gt;=Expenses!$C$32,4,IF(Y142&gt;=Expenses!$C$31,3,IF(Y142&gt;=Expenses!$C$30,2,1)))</f>
        <v>1</v>
      </c>
      <c r="AB142" s="37">
        <f t="shared" ref="AB142:AB147" si="64">J142/750</f>
        <v>1</v>
      </c>
      <c r="AC142" s="37" t="str">
        <f t="shared" ref="AC142:AC147" si="65">TEXT(T142,"yyyy")</f>
        <v>2020</v>
      </c>
      <c r="AD142" s="37" t="s">
        <v>384</v>
      </c>
      <c r="AE142" s="1">
        <v>43934</v>
      </c>
      <c r="AF142" s="13" t="str">
        <f t="shared" si="49"/>
        <v>April</v>
      </c>
      <c r="AG142" s="37" t="str">
        <f t="shared" si="50"/>
        <v>2020</v>
      </c>
    </row>
    <row r="143" spans="1:33" s="37" customFormat="1" ht="18.75" x14ac:dyDescent="0.3">
      <c r="A143" s="67" t="str">
        <f t="shared" si="52"/>
        <v>2017Altos Las HormigasMalbec Appellation Gualtallary</v>
      </c>
      <c r="B143" s="37">
        <v>2017</v>
      </c>
      <c r="C143" s="37" t="s">
        <v>232</v>
      </c>
      <c r="D143" s="37" t="s">
        <v>233</v>
      </c>
      <c r="E143" s="37" t="s">
        <v>1207</v>
      </c>
      <c r="F143" s="37" t="s">
        <v>731</v>
      </c>
      <c r="G143" s="37" t="s">
        <v>732</v>
      </c>
      <c r="H143" s="37" t="s">
        <v>1190</v>
      </c>
      <c r="I143" s="37">
        <v>1</v>
      </c>
      <c r="J143" s="37">
        <v>750</v>
      </c>
      <c r="K143" s="37" t="s">
        <v>589</v>
      </c>
      <c r="L143" s="37">
        <f>SUMIF(Wine1!A:A,Drank!A143,Wine1!I:I)</f>
        <v>38</v>
      </c>
      <c r="M143" s="37">
        <v>2019</v>
      </c>
      <c r="N143" s="37">
        <v>2030</v>
      </c>
      <c r="O143" s="37">
        <v>2022</v>
      </c>
      <c r="P143" s="37">
        <v>2030</v>
      </c>
      <c r="Q143" s="37" t="s">
        <v>1180</v>
      </c>
      <c r="R143" s="37">
        <v>94</v>
      </c>
      <c r="S143" s="7">
        <f>AVERAGEIF(A:A,A143,R:R)</f>
        <v>94</v>
      </c>
      <c r="T143" s="1">
        <v>43953</v>
      </c>
      <c r="U143" s="13" t="str">
        <f t="shared" si="62"/>
        <v>May</v>
      </c>
      <c r="V143" s="12">
        <f t="shared" si="63"/>
        <v>43953</v>
      </c>
      <c r="W143" s="11">
        <v>39.97</v>
      </c>
      <c r="X143" s="37" t="s">
        <v>1350</v>
      </c>
      <c r="Y143" s="11">
        <f t="shared" si="61"/>
        <v>39.97</v>
      </c>
      <c r="Z143" s="109"/>
      <c r="AA143" s="37">
        <f>IF(Y143&gt;=Expenses!$C$32,4,IF(Y143&gt;=Expenses!$C$31,3,IF(Y143&gt;=Expenses!$C$30,2,1)))</f>
        <v>3</v>
      </c>
      <c r="AB143" s="37">
        <f t="shared" si="64"/>
        <v>1</v>
      </c>
      <c r="AC143" s="37" t="str">
        <f t="shared" si="65"/>
        <v>2020</v>
      </c>
      <c r="AD143" s="37" t="s">
        <v>1188</v>
      </c>
      <c r="AE143" s="1">
        <v>43860</v>
      </c>
      <c r="AF143" s="13" t="str">
        <f t="shared" si="49"/>
        <v>January</v>
      </c>
      <c r="AG143" s="37" t="str">
        <f t="shared" si="50"/>
        <v>2020</v>
      </c>
    </row>
    <row r="144" spans="1:33" s="37" customFormat="1" ht="18.75" x14ac:dyDescent="0.3">
      <c r="A144" s="67" t="str">
        <f t="shared" si="52"/>
        <v>2017San AlejandroLas Rocas</v>
      </c>
      <c r="B144" s="37">
        <v>2017</v>
      </c>
      <c r="C144" s="37" t="s">
        <v>152</v>
      </c>
      <c r="D144" s="37" t="s">
        <v>153</v>
      </c>
      <c r="E144" s="37" t="s">
        <v>1248</v>
      </c>
      <c r="F144" s="37" t="s">
        <v>729</v>
      </c>
      <c r="G144" s="37" t="s">
        <v>811</v>
      </c>
      <c r="H144" s="37" t="s">
        <v>812</v>
      </c>
      <c r="I144" s="37">
        <v>1</v>
      </c>
      <c r="J144" s="37">
        <v>750</v>
      </c>
      <c r="K144" s="37" t="s">
        <v>839</v>
      </c>
      <c r="L144" s="37">
        <f>SUMIF(Wine1!A:A,Drank!A144,Wine1!I:I)</f>
        <v>3</v>
      </c>
      <c r="O144" s="37">
        <v>2020</v>
      </c>
      <c r="P144" s="37">
        <v>2023</v>
      </c>
      <c r="R144" s="37">
        <v>89</v>
      </c>
      <c r="S144" s="7">
        <f>AVERAGEIF(A:A,A144,R:R)</f>
        <v>88.4</v>
      </c>
      <c r="T144" s="1">
        <v>43953</v>
      </c>
      <c r="U144" s="13" t="str">
        <f t="shared" si="62"/>
        <v>May</v>
      </c>
      <c r="V144" s="12">
        <f t="shared" si="63"/>
        <v>43953</v>
      </c>
      <c r="W144" s="11">
        <v>8.99</v>
      </c>
      <c r="X144" s="37">
        <v>0</v>
      </c>
      <c r="Y144" s="11">
        <f t="shared" si="61"/>
        <v>8.99</v>
      </c>
      <c r="Z144" s="109"/>
      <c r="AA144" s="37">
        <f>IF(Y144&gt;=Expenses!$C$32,4,IF(Y144&gt;=Expenses!$C$31,3,IF(Y144&gt;=Expenses!$C$30,2,1)))</f>
        <v>1</v>
      </c>
      <c r="AB144" s="37">
        <f t="shared" si="64"/>
        <v>1</v>
      </c>
      <c r="AC144" s="37" t="str">
        <f t="shared" si="65"/>
        <v>2020</v>
      </c>
      <c r="AD144" s="37" t="s">
        <v>1128</v>
      </c>
      <c r="AE144" s="1">
        <v>43879</v>
      </c>
      <c r="AF144" s="13" t="str">
        <f t="shared" si="49"/>
        <v>February</v>
      </c>
      <c r="AG144" s="37" t="str">
        <f t="shared" si="50"/>
        <v>2020</v>
      </c>
    </row>
    <row r="145" spans="1:34" s="37" customFormat="1" ht="18.75" x14ac:dyDescent="0.3">
      <c r="A145" s="67" t="str">
        <f t="shared" si="52"/>
        <v>2017Domaine de l'AmandineCotes du Rhone Villages Seguret</v>
      </c>
      <c r="B145" s="37">
        <v>2017</v>
      </c>
      <c r="C145" s="37" t="s">
        <v>361</v>
      </c>
      <c r="D145" s="37" t="s">
        <v>362</v>
      </c>
      <c r="E145" s="37" t="s">
        <v>1197</v>
      </c>
      <c r="F145" s="37" t="s">
        <v>742</v>
      </c>
      <c r="G145" s="37" t="s">
        <v>759</v>
      </c>
      <c r="H145" s="37" t="s">
        <v>760</v>
      </c>
      <c r="I145" s="37">
        <v>1</v>
      </c>
      <c r="J145" s="37">
        <v>750</v>
      </c>
      <c r="K145" s="37" t="s">
        <v>661</v>
      </c>
      <c r="L145" s="37">
        <f>SUMIF(Wine1!A:A,Drank!A145,Wine1!I:I)</f>
        <v>20</v>
      </c>
      <c r="M145" s="37">
        <v>2018</v>
      </c>
      <c r="N145" s="37">
        <v>2025</v>
      </c>
      <c r="Q145" s="37">
        <v>93</v>
      </c>
      <c r="R145" s="37">
        <v>92</v>
      </c>
      <c r="S145" s="7">
        <f>AVERAGEIF(A:A,A145,R:R)</f>
        <v>92.470588235294116</v>
      </c>
      <c r="T145" s="1">
        <v>43953</v>
      </c>
      <c r="U145" s="13" t="str">
        <f t="shared" si="62"/>
        <v>May</v>
      </c>
      <c r="V145" s="12">
        <f t="shared" si="63"/>
        <v>43953</v>
      </c>
      <c r="W145" s="11">
        <v>16.28</v>
      </c>
      <c r="X145" s="37">
        <v>0</v>
      </c>
      <c r="Y145" s="11">
        <f t="shared" si="61"/>
        <v>16.28</v>
      </c>
      <c r="Z145" s="109"/>
      <c r="AA145" s="37">
        <f>IF(Y145&gt;=Expenses!$C$32,4,IF(Y145&gt;=Expenses!$C$31,3,IF(Y145&gt;=Expenses!$C$30,2,1)))</f>
        <v>1</v>
      </c>
      <c r="AB145" s="37">
        <f t="shared" si="64"/>
        <v>1</v>
      </c>
      <c r="AC145" s="37" t="str">
        <f t="shared" si="65"/>
        <v>2020</v>
      </c>
      <c r="AD145" s="37" t="s">
        <v>384</v>
      </c>
      <c r="AE145" s="1">
        <v>43885</v>
      </c>
      <c r="AF145" s="13" t="str">
        <f t="shared" si="49"/>
        <v>February</v>
      </c>
      <c r="AG145" s="37" t="str">
        <f t="shared" si="50"/>
        <v>2020</v>
      </c>
    </row>
    <row r="146" spans="1:34" s="37" customFormat="1" ht="18.75" x14ac:dyDescent="0.3">
      <c r="A146" s="67" t="str">
        <f t="shared" si="52"/>
        <v>2016Teruzzi &amp; PuthodTerre di Tufi</v>
      </c>
      <c r="B146" s="37">
        <v>2016</v>
      </c>
      <c r="C146" s="37" t="s">
        <v>378</v>
      </c>
      <c r="D146" s="37" t="s">
        <v>379</v>
      </c>
      <c r="E146" s="37" t="s">
        <v>1242</v>
      </c>
      <c r="F146" s="37" t="s">
        <v>728</v>
      </c>
      <c r="G146" s="37" t="s">
        <v>790</v>
      </c>
      <c r="H146" s="37" t="s">
        <v>808</v>
      </c>
      <c r="I146" s="37">
        <v>1</v>
      </c>
      <c r="J146" s="37">
        <v>750</v>
      </c>
      <c r="K146" s="37" t="s">
        <v>58</v>
      </c>
      <c r="L146" s="37">
        <f>SUMIF(Wine1!A:A,Drank!A146,Wine1!I:I)</f>
        <v>0</v>
      </c>
      <c r="P146" s="37">
        <v>2021</v>
      </c>
      <c r="R146" s="37">
        <v>90</v>
      </c>
      <c r="S146" s="7">
        <f>AVERAGEIF(A:A,A146,R:R)</f>
        <v>90.375</v>
      </c>
      <c r="T146" s="1">
        <v>43952</v>
      </c>
      <c r="U146" s="13" t="str">
        <f t="shared" si="62"/>
        <v>May</v>
      </c>
      <c r="V146" s="12">
        <f t="shared" si="63"/>
        <v>43952</v>
      </c>
      <c r="W146" s="11">
        <v>11.69</v>
      </c>
      <c r="X146" s="37">
        <v>0</v>
      </c>
      <c r="Y146" s="11">
        <f t="shared" si="61"/>
        <v>11.69</v>
      </c>
      <c r="Z146" s="109"/>
      <c r="AA146" s="37">
        <f>IF(Y146&gt;=Expenses!$C$32,4,IF(Y146&gt;=Expenses!$C$31,3,IF(Y146&gt;=Expenses!$C$30,2,1)))</f>
        <v>1</v>
      </c>
      <c r="AB146" s="37">
        <f t="shared" si="64"/>
        <v>1</v>
      </c>
      <c r="AC146" s="37" t="str">
        <f t="shared" si="65"/>
        <v>2020</v>
      </c>
      <c r="AD146" s="37" t="s">
        <v>1128</v>
      </c>
      <c r="AE146" s="1"/>
      <c r="AF146" s="13" t="str">
        <f t="shared" si="49"/>
        <v>January</v>
      </c>
      <c r="AG146" s="37" t="str">
        <f t="shared" si="50"/>
        <v>1900</v>
      </c>
    </row>
    <row r="147" spans="1:34" s="37" customFormat="1" ht="18.75" x14ac:dyDescent="0.3">
      <c r="A147" s="67" t="str">
        <f t="shared" si="52"/>
        <v>2015Herdade do Arrepiado VelhoTinto</v>
      </c>
      <c r="B147" s="37">
        <v>2015</v>
      </c>
      <c r="C147" s="37" t="s">
        <v>1370</v>
      </c>
      <c r="D147" s="37" t="s">
        <v>1371</v>
      </c>
      <c r="E147" s="37" t="s">
        <v>1221</v>
      </c>
      <c r="F147" s="37" t="s">
        <v>804</v>
      </c>
      <c r="G147" s="37" t="s">
        <v>1372</v>
      </c>
      <c r="H147" s="37" t="s">
        <v>1373</v>
      </c>
      <c r="I147" s="37">
        <v>1</v>
      </c>
      <c r="J147" s="37">
        <v>750</v>
      </c>
      <c r="K147" s="37" t="s">
        <v>1195</v>
      </c>
      <c r="L147" s="37">
        <f>SUMIF(Wine1!A:A,Drank!A147,Wine1!I:I)</f>
        <v>0</v>
      </c>
      <c r="M147" s="37">
        <v>2017</v>
      </c>
      <c r="N147" s="37">
        <v>2026</v>
      </c>
      <c r="P147" s="37">
        <v>2026</v>
      </c>
      <c r="Q147" s="37">
        <v>89</v>
      </c>
      <c r="R147" s="37">
        <v>87</v>
      </c>
      <c r="S147" s="7">
        <f>AVERAGEIF(A:A,A147,R:R)</f>
        <v>86</v>
      </c>
      <c r="T147" s="1">
        <v>43952</v>
      </c>
      <c r="U147" s="13" t="str">
        <f t="shared" si="62"/>
        <v>May</v>
      </c>
      <c r="V147" s="12">
        <f t="shared" si="63"/>
        <v>43952</v>
      </c>
      <c r="W147" s="11">
        <v>10.85</v>
      </c>
      <c r="X147" s="37">
        <v>1</v>
      </c>
      <c r="Y147" s="11">
        <f t="shared" si="61"/>
        <v>10.85</v>
      </c>
      <c r="Z147" s="109"/>
      <c r="AA147" s="37">
        <f>IF(Y147&gt;=Expenses!$C$32,4,IF(Y147&gt;=Expenses!$C$31,3,IF(Y147&gt;=Expenses!$C$30,2,1)))</f>
        <v>1</v>
      </c>
      <c r="AB147" s="37">
        <f t="shared" si="64"/>
        <v>1</v>
      </c>
      <c r="AC147" s="37" t="str">
        <f t="shared" si="65"/>
        <v>2020</v>
      </c>
      <c r="AD147" s="37" t="s">
        <v>384</v>
      </c>
      <c r="AE147" s="1">
        <v>43934</v>
      </c>
      <c r="AF147" s="13" t="str">
        <f t="shared" si="49"/>
        <v>April</v>
      </c>
      <c r="AG147" s="37" t="str">
        <f t="shared" si="50"/>
        <v>2020</v>
      </c>
    </row>
    <row r="148" spans="1:34" s="37" customFormat="1" ht="18.75" x14ac:dyDescent="0.3">
      <c r="A148" s="67" t="str">
        <f t="shared" ref="A148:A154" si="66">CONCATENATE(B148,C148,D148)</f>
        <v>2017Domaine du Grand MontmirailGigondas le Coteau de Mon Reve</v>
      </c>
      <c r="B148" s="37">
        <v>2017</v>
      </c>
      <c r="C148" s="37" t="s">
        <v>1387</v>
      </c>
      <c r="D148" s="37" t="s">
        <v>1388</v>
      </c>
      <c r="E148" s="37" t="s">
        <v>1360</v>
      </c>
      <c r="F148" s="37" t="s">
        <v>742</v>
      </c>
      <c r="G148" s="37" t="s">
        <v>759</v>
      </c>
      <c r="H148" s="37" t="s">
        <v>764</v>
      </c>
      <c r="I148" s="37">
        <v>1</v>
      </c>
      <c r="J148" s="37">
        <v>750</v>
      </c>
      <c r="K148" s="37" t="s">
        <v>236</v>
      </c>
      <c r="L148" s="37">
        <f>SUMIF(Wine1!A:A,Drank!A148,Wine1!I:I)</f>
        <v>10</v>
      </c>
      <c r="M148" s="37">
        <v>2020</v>
      </c>
      <c r="N148" s="37">
        <v>2030</v>
      </c>
      <c r="P148" s="37">
        <v>2030</v>
      </c>
      <c r="Q148" s="37">
        <v>96</v>
      </c>
      <c r="R148" s="37">
        <v>93</v>
      </c>
      <c r="S148" s="7">
        <f>AVERAGEIF(A:A,A148,R:R)</f>
        <v>93</v>
      </c>
      <c r="T148" s="1">
        <v>43950</v>
      </c>
      <c r="U148" s="13" t="str">
        <f t="shared" ref="U148:U189" si="67">TEXT(T148,"mmmm")</f>
        <v>April</v>
      </c>
      <c r="V148" s="12">
        <f t="shared" ref="V148:V191" si="68">T148</f>
        <v>43950</v>
      </c>
      <c r="W148" s="11">
        <v>24.97</v>
      </c>
      <c r="X148" s="37">
        <v>1</v>
      </c>
      <c r="Y148" s="11">
        <f t="shared" ref="Y148:Y178" si="69">W148/J148*750</f>
        <v>24.970000000000002</v>
      </c>
      <c r="Z148" s="109"/>
      <c r="AA148" s="37">
        <f>IF(Y148&gt;=Expenses!$C$32,4,IF(Y148&gt;=Expenses!$C$31,3,IF(Y148&gt;=Expenses!$C$30,2,1)))</f>
        <v>2</v>
      </c>
      <c r="AB148" s="37">
        <f t="shared" ref="AB148:AB191" si="70">J148/750</f>
        <v>1</v>
      </c>
      <c r="AC148" s="37" t="str">
        <f t="shared" ref="AC148:AC191" si="71">TEXT(T148,"yyyy")</f>
        <v>2020</v>
      </c>
      <c r="AD148" s="37" t="s">
        <v>384</v>
      </c>
      <c r="AE148" s="1">
        <v>43948</v>
      </c>
      <c r="AF148" s="13" t="str">
        <f t="shared" si="49"/>
        <v>April</v>
      </c>
      <c r="AG148" s="37" t="str">
        <f t="shared" si="50"/>
        <v>2020</v>
      </c>
      <c r="AH148" s="37">
        <v>5.5</v>
      </c>
    </row>
    <row r="149" spans="1:34" s="37" customFormat="1" ht="18.75" x14ac:dyDescent="0.3">
      <c r="A149" s="67" t="str">
        <f t="shared" si="66"/>
        <v>2010Cosimo TaurinoSalice Salentino Riserva</v>
      </c>
      <c r="B149" s="37">
        <v>2010</v>
      </c>
      <c r="C149" s="37" t="s">
        <v>56</v>
      </c>
      <c r="D149" s="37" t="s">
        <v>57</v>
      </c>
      <c r="E149" s="37" t="s">
        <v>1204</v>
      </c>
      <c r="F149" s="37" t="s">
        <v>728</v>
      </c>
      <c r="G149" s="37" t="s">
        <v>785</v>
      </c>
      <c r="H149" s="37" t="s">
        <v>769</v>
      </c>
      <c r="I149" s="37">
        <v>1</v>
      </c>
      <c r="J149" s="37">
        <v>750</v>
      </c>
      <c r="K149" s="37" t="s">
        <v>652</v>
      </c>
      <c r="L149" s="37">
        <f>SUMIF(Wine1!A:A,Drank!A149,Wine1!I:I)</f>
        <v>19</v>
      </c>
      <c r="O149" s="37">
        <v>2020</v>
      </c>
      <c r="P149" s="37">
        <v>2021</v>
      </c>
      <c r="R149" s="37">
        <v>89</v>
      </c>
      <c r="S149" s="7">
        <f>AVERAGEIF(A:A,A149,R:R)</f>
        <v>89.46875</v>
      </c>
      <c r="T149" s="1">
        <v>43948</v>
      </c>
      <c r="U149" s="13" t="str">
        <f t="shared" si="67"/>
        <v>April</v>
      </c>
      <c r="V149" s="12">
        <f t="shared" si="68"/>
        <v>43948</v>
      </c>
      <c r="W149" s="11">
        <v>12.99</v>
      </c>
      <c r="X149" s="37">
        <v>1</v>
      </c>
      <c r="Y149" s="11">
        <f t="shared" si="69"/>
        <v>12.989999999999998</v>
      </c>
      <c r="Z149" s="109"/>
      <c r="AA149" s="37">
        <f>IF(Y149&gt;=Expenses!$C$32,4,IF(Y149&gt;=Expenses!$C$31,3,IF(Y149&gt;=Expenses!$C$30,2,1)))</f>
        <v>1</v>
      </c>
      <c r="AB149" s="37">
        <f t="shared" si="70"/>
        <v>1</v>
      </c>
      <c r="AC149" s="37" t="str">
        <f t="shared" si="71"/>
        <v>2020</v>
      </c>
      <c r="AD149" s="37" t="s">
        <v>1128</v>
      </c>
      <c r="AE149" s="1"/>
      <c r="AF149" s="13" t="str">
        <f t="shared" si="49"/>
        <v>January</v>
      </c>
      <c r="AG149" s="37" t="str">
        <f t="shared" si="50"/>
        <v>1900</v>
      </c>
    </row>
    <row r="150" spans="1:34" s="37" customFormat="1" ht="18.75" x14ac:dyDescent="0.3">
      <c r="A150" s="67" t="str">
        <f t="shared" si="66"/>
        <v>2014Cantine do OraAmicone</v>
      </c>
      <c r="B150" s="37">
        <v>2014</v>
      </c>
      <c r="C150" s="37" t="s">
        <v>183</v>
      </c>
      <c r="D150" s="37" t="s">
        <v>184</v>
      </c>
      <c r="E150" s="37" t="s">
        <v>262</v>
      </c>
      <c r="F150" s="37" t="s">
        <v>728</v>
      </c>
      <c r="G150" s="37" t="s">
        <v>799</v>
      </c>
      <c r="H150" s="37" t="s">
        <v>801</v>
      </c>
      <c r="I150" s="37">
        <v>1</v>
      </c>
      <c r="J150" s="37">
        <v>750</v>
      </c>
      <c r="K150" s="37" t="s">
        <v>102</v>
      </c>
      <c r="L150" s="37">
        <f>SUMIF(Wine1!A:A,Drank!A150,Wine1!I:I)</f>
        <v>0</v>
      </c>
      <c r="P150" s="37">
        <v>2021</v>
      </c>
      <c r="R150" s="37">
        <v>86</v>
      </c>
      <c r="S150" s="7">
        <f>AVERAGEIF(A:A,A150,R:R)</f>
        <v>87</v>
      </c>
      <c r="T150" s="1">
        <v>43947</v>
      </c>
      <c r="U150" s="13" t="str">
        <f t="shared" si="67"/>
        <v>April</v>
      </c>
      <c r="V150" s="12">
        <f t="shared" si="68"/>
        <v>43947</v>
      </c>
      <c r="W150" s="11">
        <v>14.39</v>
      </c>
      <c r="X150" s="37">
        <v>1</v>
      </c>
      <c r="Y150" s="11">
        <f t="shared" si="69"/>
        <v>14.39</v>
      </c>
      <c r="Z150" s="109"/>
      <c r="AA150" s="37">
        <f>IF(Y150&gt;=Expenses!$C$32,4,IF(Y150&gt;=Expenses!$C$31,3,IF(Y150&gt;=Expenses!$C$30,2,1)))</f>
        <v>1</v>
      </c>
      <c r="AB150" s="37">
        <f t="shared" si="70"/>
        <v>1</v>
      </c>
      <c r="AC150" s="37" t="str">
        <f t="shared" si="71"/>
        <v>2020</v>
      </c>
      <c r="AD150" s="37" t="s">
        <v>1128</v>
      </c>
      <c r="AE150" s="1"/>
      <c r="AF150" s="13" t="str">
        <f t="shared" si="49"/>
        <v>January</v>
      </c>
      <c r="AG150" s="37" t="str">
        <f t="shared" si="50"/>
        <v>1900</v>
      </c>
    </row>
    <row r="151" spans="1:34" s="37" customFormat="1" ht="18.75" x14ac:dyDescent="0.3">
      <c r="A151" s="64" t="str">
        <f t="shared" si="66"/>
        <v>2015BertaniValpolicella Ripasso</v>
      </c>
      <c r="B151" s="37">
        <v>2015</v>
      </c>
      <c r="C151" s="37" t="s">
        <v>9</v>
      </c>
      <c r="D151" s="37" t="s">
        <v>115</v>
      </c>
      <c r="E151" s="37" t="s">
        <v>262</v>
      </c>
      <c r="F151" s="37" t="s">
        <v>728</v>
      </c>
      <c r="G151" s="37" t="s">
        <v>799</v>
      </c>
      <c r="H151" s="37" t="s">
        <v>803</v>
      </c>
      <c r="I151" s="37">
        <v>1</v>
      </c>
      <c r="J151" s="37">
        <v>750</v>
      </c>
      <c r="K151" s="37" t="s">
        <v>25</v>
      </c>
      <c r="L151" s="37">
        <f>SUMIF(Wine1!A:A,Drank!A151,Wine1!I:I)</f>
        <v>1</v>
      </c>
      <c r="O151" s="37">
        <v>2023</v>
      </c>
      <c r="P151" s="37">
        <v>2023</v>
      </c>
      <c r="R151" s="37">
        <v>91</v>
      </c>
      <c r="S151" s="7">
        <f>AVERAGEIF(A:A,A151,R:R)</f>
        <v>91</v>
      </c>
      <c r="T151" s="1">
        <v>43947</v>
      </c>
      <c r="U151" s="13" t="str">
        <f t="shared" si="67"/>
        <v>April</v>
      </c>
      <c r="V151" s="12">
        <f t="shared" si="68"/>
        <v>43947</v>
      </c>
      <c r="W151" s="11">
        <v>22.49</v>
      </c>
      <c r="X151" s="37">
        <v>1</v>
      </c>
      <c r="Y151" s="11">
        <f t="shared" si="69"/>
        <v>22.49</v>
      </c>
      <c r="Z151" s="109"/>
      <c r="AA151" s="37">
        <f>IF(Y151&gt;=Expenses!$C$32,4,IF(Y151&gt;=Expenses!$C$31,3,IF(Y151&gt;=Expenses!$C$30,2,1)))</f>
        <v>2</v>
      </c>
      <c r="AB151" s="37">
        <f t="shared" si="70"/>
        <v>1</v>
      </c>
      <c r="AC151" s="37" t="str">
        <f t="shared" si="71"/>
        <v>2020</v>
      </c>
      <c r="AD151" s="37" t="s">
        <v>1128</v>
      </c>
      <c r="AE151" s="1">
        <v>2</v>
      </c>
      <c r="AF151" s="13" t="str">
        <f t="shared" si="49"/>
        <v>January</v>
      </c>
      <c r="AG151" s="37" t="str">
        <f t="shared" si="50"/>
        <v>1900</v>
      </c>
    </row>
    <row r="152" spans="1:34" s="37" customFormat="1" ht="18.75" x14ac:dyDescent="0.3">
      <c r="A152" s="67" t="str">
        <f t="shared" si="66"/>
        <v>2015Bodegas Hornillos BallesterosMibal Joven</v>
      </c>
      <c r="B152" s="37">
        <v>2015</v>
      </c>
      <c r="C152" s="37" t="s">
        <v>1361</v>
      </c>
      <c r="D152" s="37" t="s">
        <v>1362</v>
      </c>
      <c r="E152" s="37" t="s">
        <v>1220</v>
      </c>
      <c r="F152" s="37" t="s">
        <v>729</v>
      </c>
      <c r="G152" s="37" t="s">
        <v>814</v>
      </c>
      <c r="H152" s="37" t="s">
        <v>818</v>
      </c>
      <c r="I152" s="37">
        <v>1</v>
      </c>
      <c r="J152" s="37">
        <v>750</v>
      </c>
      <c r="K152" s="37" t="s">
        <v>1195</v>
      </c>
      <c r="L152" s="37">
        <f>SUMIF(Wine1!A:A,Drank!A152,Wine1!I:I)</f>
        <v>0</v>
      </c>
      <c r="O152" s="37">
        <v>2020</v>
      </c>
      <c r="P152" s="37">
        <v>2021</v>
      </c>
      <c r="R152" s="37">
        <v>85</v>
      </c>
      <c r="S152" s="7">
        <f>AVERAGEIF(A:A,A152,R:R)</f>
        <v>85.5</v>
      </c>
      <c r="T152" s="1">
        <v>43946</v>
      </c>
      <c r="U152" s="13" t="str">
        <f t="shared" si="67"/>
        <v>April</v>
      </c>
      <c r="V152" s="12">
        <f t="shared" si="68"/>
        <v>43946</v>
      </c>
      <c r="W152" s="11">
        <v>10.85</v>
      </c>
      <c r="X152" s="37">
        <v>1</v>
      </c>
      <c r="Y152" s="11">
        <f t="shared" si="69"/>
        <v>10.85</v>
      </c>
      <c r="Z152" s="109"/>
      <c r="AA152" s="37">
        <f>IF(Y152&gt;=Expenses!$C$32,4,IF(Y152&gt;=Expenses!$C$31,3,IF(Y152&gt;=Expenses!$C$30,2,1)))</f>
        <v>1</v>
      </c>
      <c r="AB152" s="37">
        <f t="shared" si="70"/>
        <v>1</v>
      </c>
      <c r="AC152" s="37" t="str">
        <f t="shared" si="71"/>
        <v>2020</v>
      </c>
      <c r="AD152" s="37" t="s">
        <v>384</v>
      </c>
      <c r="AE152" s="1">
        <v>43934</v>
      </c>
      <c r="AF152" s="13" t="str">
        <f t="shared" si="49"/>
        <v>April</v>
      </c>
      <c r="AG152" s="37" t="str">
        <f t="shared" si="50"/>
        <v>2020</v>
      </c>
    </row>
    <row r="153" spans="1:34" s="37" customFormat="1" ht="18.75" x14ac:dyDescent="0.3">
      <c r="A153" s="67" t="str">
        <f t="shared" si="66"/>
        <v>2015Saint Nicolas de Bourgueil Expression Pascal Lorieux</v>
      </c>
      <c r="B153" s="37">
        <v>2015</v>
      </c>
      <c r="C153" s="37" t="s">
        <v>1364</v>
      </c>
      <c r="D153" s="37" t="s">
        <v>1363</v>
      </c>
      <c r="E153" s="37" t="s">
        <v>1365</v>
      </c>
      <c r="F153" s="37" t="s">
        <v>742</v>
      </c>
      <c r="G153" s="37" t="s">
        <v>1366</v>
      </c>
      <c r="H153" s="37" t="s">
        <v>1367</v>
      </c>
      <c r="I153" s="37">
        <v>1</v>
      </c>
      <c r="J153" s="37">
        <v>750</v>
      </c>
      <c r="K153" s="37" t="s">
        <v>1195</v>
      </c>
      <c r="L153" s="37">
        <f>SUMIF(Wine1!A:A,Drank!A153,Wine1!I:I)</f>
        <v>0</v>
      </c>
      <c r="O153" s="37">
        <v>2020</v>
      </c>
      <c r="P153" s="37">
        <v>2021</v>
      </c>
      <c r="R153" s="37">
        <v>87</v>
      </c>
      <c r="S153" s="7">
        <f>AVERAGEIF(A:A,A153,R:R)</f>
        <v>87</v>
      </c>
      <c r="T153" s="1">
        <v>43946</v>
      </c>
      <c r="U153" s="13" t="str">
        <f t="shared" si="67"/>
        <v>April</v>
      </c>
      <c r="V153" s="12">
        <f t="shared" si="68"/>
        <v>43946</v>
      </c>
      <c r="W153" s="11">
        <v>10.85</v>
      </c>
      <c r="X153" s="37">
        <v>1</v>
      </c>
      <c r="Y153" s="11">
        <f t="shared" si="69"/>
        <v>10.85</v>
      </c>
      <c r="Z153" s="109"/>
      <c r="AA153" s="37">
        <f>IF(Y153&gt;=Expenses!$C$32,4,IF(Y153&gt;=Expenses!$C$31,3,IF(Y153&gt;=Expenses!$C$30,2,1)))</f>
        <v>1</v>
      </c>
      <c r="AB153" s="37">
        <f t="shared" si="70"/>
        <v>1</v>
      </c>
      <c r="AC153" s="37" t="str">
        <f t="shared" si="71"/>
        <v>2020</v>
      </c>
      <c r="AD153" s="37" t="s">
        <v>384</v>
      </c>
      <c r="AE153" s="1">
        <v>43934</v>
      </c>
      <c r="AF153" s="13" t="str">
        <f t="shared" si="49"/>
        <v>April</v>
      </c>
      <c r="AG153" s="37" t="str">
        <f t="shared" si="50"/>
        <v>2020</v>
      </c>
    </row>
    <row r="154" spans="1:34" s="37" customFormat="1" ht="18.75" x14ac:dyDescent="0.3">
      <c r="A154" s="67" t="str">
        <f t="shared" si="66"/>
        <v>2016Tenuta Due MariPrimitivo Salento IGT</v>
      </c>
      <c r="B154" s="37">
        <v>2016</v>
      </c>
      <c r="C154" s="37" t="s">
        <v>608</v>
      </c>
      <c r="D154" s="37" t="s">
        <v>1368</v>
      </c>
      <c r="E154" s="37" t="s">
        <v>1369</v>
      </c>
      <c r="F154" s="37" t="s">
        <v>728</v>
      </c>
      <c r="G154" s="37" t="s">
        <v>785</v>
      </c>
      <c r="H154" s="37" t="s">
        <v>786</v>
      </c>
      <c r="I154" s="37">
        <v>1</v>
      </c>
      <c r="J154" s="37">
        <v>750</v>
      </c>
      <c r="K154" s="37" t="s">
        <v>1195</v>
      </c>
      <c r="L154" s="37">
        <f>SUMIF(Wine1!A:A,Drank!A154,Wine1!I:I)</f>
        <v>1</v>
      </c>
      <c r="O154" s="37">
        <v>2020</v>
      </c>
      <c r="P154" s="37">
        <v>2023</v>
      </c>
      <c r="R154" s="37">
        <v>86</v>
      </c>
      <c r="S154" s="7">
        <f>AVERAGEIF(A:A,A154,R:R)</f>
        <v>86</v>
      </c>
      <c r="T154" s="1">
        <v>43945</v>
      </c>
      <c r="U154" s="13" t="str">
        <f t="shared" si="67"/>
        <v>April</v>
      </c>
      <c r="V154" s="12">
        <f t="shared" si="68"/>
        <v>43945</v>
      </c>
      <c r="W154" s="11">
        <v>10.85</v>
      </c>
      <c r="X154" s="37">
        <v>1</v>
      </c>
      <c r="Y154" s="11">
        <f t="shared" si="69"/>
        <v>10.85</v>
      </c>
      <c r="Z154" s="109"/>
      <c r="AA154" s="37">
        <f>IF(Y154&gt;=Expenses!$C$32,4,IF(Y154&gt;=Expenses!$C$31,3,IF(Y154&gt;=Expenses!$C$30,2,1)))</f>
        <v>1</v>
      </c>
      <c r="AB154" s="37">
        <f t="shared" si="70"/>
        <v>1</v>
      </c>
      <c r="AC154" s="37" t="str">
        <f t="shared" si="71"/>
        <v>2020</v>
      </c>
      <c r="AD154" s="37" t="s">
        <v>384</v>
      </c>
      <c r="AE154" s="1">
        <v>43934</v>
      </c>
      <c r="AF154" s="13" t="str">
        <f t="shared" si="49"/>
        <v>April</v>
      </c>
      <c r="AG154" s="37" t="str">
        <f t="shared" si="50"/>
        <v>2020</v>
      </c>
    </row>
    <row r="155" spans="1:34" s="37" customFormat="1" ht="18.75" x14ac:dyDescent="0.3">
      <c r="A155" s="67" t="str">
        <f t="shared" ref="A155:A160" si="72">CONCATENATE(B155,C155,D155)</f>
        <v>2018Masseria Li VeliPrimitivo Orion</v>
      </c>
      <c r="B155" s="37">
        <v>2018</v>
      </c>
      <c r="C155" s="37" t="s">
        <v>630</v>
      </c>
      <c r="D155" s="37" t="s">
        <v>631</v>
      </c>
      <c r="E155" s="37" t="s">
        <v>588</v>
      </c>
      <c r="F155" s="37" t="s">
        <v>728</v>
      </c>
      <c r="G155" s="37" t="s">
        <v>785</v>
      </c>
      <c r="H155" s="37" t="s">
        <v>786</v>
      </c>
      <c r="I155" s="37">
        <v>1</v>
      </c>
      <c r="J155" s="37">
        <v>750</v>
      </c>
      <c r="K155" s="37" t="s">
        <v>58</v>
      </c>
      <c r="L155" s="37">
        <f>SUMIF(Wine1!A:A,Drank!A155,Wine1!I:I)</f>
        <v>3</v>
      </c>
      <c r="O155" s="37">
        <v>2020</v>
      </c>
      <c r="P155" s="37">
        <v>2024</v>
      </c>
      <c r="R155" s="37">
        <v>88</v>
      </c>
      <c r="S155" s="7">
        <f>AVERAGEIF(A:A,A155,R:R)</f>
        <v>88.555555555555557</v>
      </c>
      <c r="T155" s="1">
        <v>43944</v>
      </c>
      <c r="U155" s="13" t="str">
        <f t="shared" si="67"/>
        <v>April</v>
      </c>
      <c r="V155" s="12">
        <f t="shared" si="68"/>
        <v>43944</v>
      </c>
      <c r="W155" s="11">
        <v>12.99</v>
      </c>
      <c r="X155" s="37">
        <v>1</v>
      </c>
      <c r="Y155" s="11">
        <f t="shared" si="69"/>
        <v>12.989999999999998</v>
      </c>
      <c r="Z155" s="109"/>
      <c r="AA155" s="37">
        <f>IF(Y155&gt;=Expenses!$C$32,4,IF(Y155&gt;=Expenses!$C$31,3,IF(Y155&gt;=Expenses!$C$30,2,1)))</f>
        <v>1</v>
      </c>
      <c r="AB155" s="37">
        <f t="shared" si="70"/>
        <v>1</v>
      </c>
      <c r="AC155" s="37" t="str">
        <f t="shared" si="71"/>
        <v>2020</v>
      </c>
      <c r="AD155" s="37" t="s">
        <v>1128</v>
      </c>
      <c r="AE155" s="1">
        <v>43879</v>
      </c>
      <c r="AF155" s="13" t="str">
        <f t="shared" si="49"/>
        <v>February</v>
      </c>
      <c r="AG155" s="37" t="str">
        <f t="shared" si="50"/>
        <v>2020</v>
      </c>
    </row>
    <row r="156" spans="1:34" s="37" customFormat="1" ht="18.75" x14ac:dyDescent="0.3">
      <c r="A156" s="67" t="str">
        <f t="shared" si="72"/>
        <v>2013Marques de RiscalReserva</v>
      </c>
      <c r="B156" s="37">
        <v>2013</v>
      </c>
      <c r="C156" s="37" t="s">
        <v>1536</v>
      </c>
      <c r="D156" s="37" t="s">
        <v>106</v>
      </c>
      <c r="E156" s="37" t="s">
        <v>1296</v>
      </c>
      <c r="F156" s="37" t="s">
        <v>729</v>
      </c>
      <c r="G156" s="37" t="s">
        <v>823</v>
      </c>
      <c r="I156" s="37">
        <v>1</v>
      </c>
      <c r="J156" s="37">
        <v>750</v>
      </c>
      <c r="K156" s="37" t="s">
        <v>58</v>
      </c>
      <c r="L156" s="37">
        <f>SUMIF(Wine1!A:A,Drank!A156,Wine1!I:I)</f>
        <v>3</v>
      </c>
      <c r="P156" s="37">
        <v>2023</v>
      </c>
      <c r="R156" s="37">
        <v>90</v>
      </c>
      <c r="S156" s="7">
        <f>AVERAGEIF(A:A,A156,R:R)</f>
        <v>90.8</v>
      </c>
      <c r="T156" s="1">
        <v>43940</v>
      </c>
      <c r="U156" s="13" t="str">
        <f t="shared" si="67"/>
        <v>April</v>
      </c>
      <c r="V156" s="12">
        <f t="shared" si="68"/>
        <v>43940</v>
      </c>
      <c r="W156" s="2">
        <v>15.59</v>
      </c>
      <c r="X156" s="37">
        <v>1</v>
      </c>
      <c r="Y156" s="11">
        <f t="shared" si="69"/>
        <v>15.589999999999998</v>
      </c>
      <c r="Z156" s="109"/>
      <c r="AA156" s="37">
        <f>IF(Y156&gt;=Expenses!$C$32,4,IF(Y156&gt;=Expenses!$C$31,3,IF(Y156&gt;=Expenses!$C$30,2,1)))</f>
        <v>1</v>
      </c>
      <c r="AB156" s="37">
        <f t="shared" si="70"/>
        <v>1</v>
      </c>
      <c r="AC156" s="37" t="str">
        <f t="shared" si="71"/>
        <v>2020</v>
      </c>
      <c r="AD156" s="37" t="s">
        <v>1128</v>
      </c>
      <c r="AE156" s="1">
        <v>43879</v>
      </c>
      <c r="AF156" s="13" t="str">
        <f t="shared" ref="AF156:AF183" si="73">TEXT(AE156,"mmmm")</f>
        <v>February</v>
      </c>
      <c r="AG156" s="37" t="str">
        <f t="shared" ref="AG156:AG183" si="74">TEXT(AE156,"yyyy")</f>
        <v>2020</v>
      </c>
    </row>
    <row r="157" spans="1:34" s="37" customFormat="1" ht="18.75" x14ac:dyDescent="0.3">
      <c r="A157" s="67" t="str">
        <f t="shared" si="72"/>
        <v>2004TalentiBrunello di Montalcino Pian di Conte</v>
      </c>
      <c r="B157" s="37">
        <v>2004</v>
      </c>
      <c r="C157" s="37" t="s">
        <v>410</v>
      </c>
      <c r="D157" s="37" t="s">
        <v>1122</v>
      </c>
      <c r="E157" s="37" t="s">
        <v>280</v>
      </c>
      <c r="F157" s="37" t="s">
        <v>728</v>
      </c>
      <c r="G157" s="37" t="s">
        <v>790</v>
      </c>
      <c r="H157" s="37" t="s">
        <v>19</v>
      </c>
      <c r="I157" s="37">
        <v>1</v>
      </c>
      <c r="J157" s="37">
        <v>750</v>
      </c>
      <c r="K157" s="37" t="s">
        <v>839</v>
      </c>
      <c r="L157" s="37">
        <f>SUMIF(Wine1!A:A,Drank!A157,Wine1!I:I)</f>
        <v>1</v>
      </c>
      <c r="M157" s="37">
        <v>2012</v>
      </c>
      <c r="N157" s="37">
        <v>2024</v>
      </c>
      <c r="O157" s="37">
        <v>2025</v>
      </c>
      <c r="P157" s="37">
        <v>2025</v>
      </c>
      <c r="Q157" s="37">
        <v>94</v>
      </c>
      <c r="R157" s="37">
        <v>95</v>
      </c>
      <c r="S157" s="7">
        <f>AVERAGEIF(A:A,A157,R:R)</f>
        <v>95</v>
      </c>
      <c r="T157" s="1">
        <v>43940</v>
      </c>
      <c r="U157" s="13" t="str">
        <f t="shared" si="67"/>
        <v>April</v>
      </c>
      <c r="V157" s="12">
        <f t="shared" si="68"/>
        <v>43940</v>
      </c>
      <c r="W157" s="2">
        <v>79.989999999999995</v>
      </c>
      <c r="X157" s="37">
        <v>1</v>
      </c>
      <c r="Y157" s="11">
        <f t="shared" si="69"/>
        <v>79.989999999999995</v>
      </c>
      <c r="Z157" s="109"/>
      <c r="AA157" s="37">
        <f>IF(Y157&gt;=Expenses!$C$32,4,IF(Y157&gt;=Expenses!$C$31,3,IF(Y157&gt;=Expenses!$C$30,2,1)))</f>
        <v>4</v>
      </c>
      <c r="AB157" s="37">
        <f t="shared" si="70"/>
        <v>1</v>
      </c>
      <c r="AC157" s="37" t="str">
        <f t="shared" si="71"/>
        <v>2020</v>
      </c>
      <c r="AD157" s="37" t="s">
        <v>415</v>
      </c>
      <c r="AE157" s="1">
        <v>43832</v>
      </c>
      <c r="AF157" s="13" t="str">
        <f t="shared" si="73"/>
        <v>January</v>
      </c>
      <c r="AG157" s="37" t="str">
        <f t="shared" si="74"/>
        <v>2020</v>
      </c>
    </row>
    <row r="158" spans="1:34" s="37" customFormat="1" ht="18.75" x14ac:dyDescent="0.3">
      <c r="A158" s="67" t="str">
        <f t="shared" si="72"/>
        <v>2016García FigueroTinto Figuero 12 Tempranillo</v>
      </c>
      <c r="B158" s="37">
        <v>2016</v>
      </c>
      <c r="C158" s="37" t="s">
        <v>1268</v>
      </c>
      <c r="D158" s="37" t="s">
        <v>604</v>
      </c>
      <c r="E158" s="37" t="s">
        <v>1220</v>
      </c>
      <c r="F158" s="37" t="s">
        <v>729</v>
      </c>
      <c r="G158" s="37" t="s">
        <v>814</v>
      </c>
      <c r="H158" s="37" t="s">
        <v>818</v>
      </c>
      <c r="I158" s="37">
        <v>1</v>
      </c>
      <c r="J158" s="37">
        <v>750</v>
      </c>
      <c r="K158" s="37" t="s">
        <v>929</v>
      </c>
      <c r="L158" s="37">
        <f>SUMIF(Wine1!A:A,Drank!A158,Wine1!I:I)</f>
        <v>2</v>
      </c>
      <c r="M158" s="37">
        <v>2018</v>
      </c>
      <c r="N158" s="37">
        <v>2021</v>
      </c>
      <c r="O158" s="37">
        <v>2021</v>
      </c>
      <c r="P158" s="37">
        <v>2024</v>
      </c>
      <c r="Q158" s="37">
        <v>90</v>
      </c>
      <c r="R158" s="37">
        <v>90</v>
      </c>
      <c r="S158" s="7">
        <f>AVERAGEIF(A:A,A158,R:R)</f>
        <v>90</v>
      </c>
      <c r="T158" s="1">
        <v>43940</v>
      </c>
      <c r="U158" s="13" t="str">
        <f t="shared" si="67"/>
        <v>April</v>
      </c>
      <c r="V158" s="12">
        <f t="shared" si="68"/>
        <v>43940</v>
      </c>
      <c r="W158" s="2">
        <v>17.989999999999998</v>
      </c>
      <c r="X158" s="37">
        <v>1</v>
      </c>
      <c r="Y158" s="11">
        <f t="shared" si="69"/>
        <v>17.989999999999998</v>
      </c>
      <c r="Z158" s="109"/>
      <c r="AA158" s="37">
        <f>IF(Y158&gt;=Expenses!$C$32,4,IF(Y158&gt;=Expenses!$C$31,3,IF(Y158&gt;=Expenses!$C$30,2,1)))</f>
        <v>2</v>
      </c>
      <c r="AB158" s="37">
        <f t="shared" si="70"/>
        <v>1</v>
      </c>
      <c r="AC158" s="37" t="str">
        <f t="shared" si="71"/>
        <v>2020</v>
      </c>
      <c r="AD158" s="37" t="s">
        <v>384</v>
      </c>
      <c r="AE158" s="1"/>
      <c r="AF158" s="13" t="str">
        <f t="shared" si="73"/>
        <v>January</v>
      </c>
      <c r="AG158" s="37" t="str">
        <f t="shared" si="74"/>
        <v>1900</v>
      </c>
    </row>
    <row r="159" spans="1:34" s="37" customFormat="1" ht="18.75" x14ac:dyDescent="0.3">
      <c r="A159" s="67" t="str">
        <f t="shared" si="72"/>
        <v xml:space="preserve">2013Ramon BilbaoCrianza Rioja Tempranillo </v>
      </c>
      <c r="B159" s="37">
        <v>2013</v>
      </c>
      <c r="C159" s="37" t="s">
        <v>181</v>
      </c>
      <c r="D159" s="37" t="s">
        <v>1243</v>
      </c>
      <c r="E159" s="37" t="s">
        <v>276</v>
      </c>
      <c r="F159" s="37" t="s">
        <v>729</v>
      </c>
      <c r="G159" s="37" t="s">
        <v>823</v>
      </c>
      <c r="H159" s="37" t="s">
        <v>824</v>
      </c>
      <c r="I159" s="37">
        <v>1</v>
      </c>
      <c r="J159" s="37">
        <v>750</v>
      </c>
      <c r="K159" s="37" t="s">
        <v>102</v>
      </c>
      <c r="L159" s="37">
        <f>SUMIF(Wine1!A:A,Drank!A159,Wine1!I:I)</f>
        <v>0</v>
      </c>
      <c r="P159" s="37">
        <v>2019</v>
      </c>
      <c r="R159" s="37">
        <v>91</v>
      </c>
      <c r="S159" s="7">
        <f>AVERAGEIF(A:A,A159,R:R)</f>
        <v>90</v>
      </c>
      <c r="T159" s="1">
        <v>43939</v>
      </c>
      <c r="U159" s="13" t="str">
        <f t="shared" si="67"/>
        <v>April</v>
      </c>
      <c r="V159" s="12">
        <f t="shared" si="68"/>
        <v>43939</v>
      </c>
      <c r="W159" s="2">
        <v>8.49</v>
      </c>
      <c r="X159" s="37">
        <v>1</v>
      </c>
      <c r="Y159" s="11">
        <f t="shared" si="69"/>
        <v>8.49</v>
      </c>
      <c r="Z159" s="109"/>
      <c r="AA159" s="37">
        <f>IF(Y159&gt;=Expenses!$C$32,4,IF(Y159&gt;=Expenses!$C$31,3,IF(Y159&gt;=Expenses!$C$30,2,1)))</f>
        <v>1</v>
      </c>
      <c r="AB159" s="37">
        <f t="shared" si="70"/>
        <v>1</v>
      </c>
      <c r="AC159" s="37" t="str">
        <f t="shared" si="71"/>
        <v>2020</v>
      </c>
      <c r="AD159" s="37" t="s">
        <v>1128</v>
      </c>
      <c r="AE159" s="1"/>
      <c r="AF159" s="13" t="str">
        <f t="shared" si="73"/>
        <v>January</v>
      </c>
      <c r="AG159" s="37" t="str">
        <f t="shared" si="74"/>
        <v>1900</v>
      </c>
    </row>
    <row r="160" spans="1:34" s="37" customFormat="1" ht="18.75" x14ac:dyDescent="0.3">
      <c r="A160" s="67" t="str">
        <f t="shared" si="72"/>
        <v>2012Gustave LorentzAlsace Grand Cru Altenberg de Bergheim Riesling</v>
      </c>
      <c r="B160" s="37">
        <v>2012</v>
      </c>
      <c r="C160" s="37" t="s">
        <v>1355</v>
      </c>
      <c r="D160" s="37" t="s">
        <v>1356</v>
      </c>
      <c r="E160" s="37" t="s">
        <v>1357</v>
      </c>
      <c r="F160" s="37" t="s">
        <v>742</v>
      </c>
      <c r="G160" s="37" t="s">
        <v>743</v>
      </c>
      <c r="H160" s="37" t="s">
        <v>1358</v>
      </c>
      <c r="I160" s="37">
        <v>1</v>
      </c>
      <c r="J160" s="37">
        <v>750</v>
      </c>
      <c r="K160" s="37" t="s">
        <v>58</v>
      </c>
      <c r="L160" s="37">
        <f>SUMIF(Wine1!A:A,Drank!A160,Wine1!I:I)</f>
        <v>1</v>
      </c>
      <c r="M160" s="37">
        <v>2018</v>
      </c>
      <c r="N160" s="37">
        <v>2026</v>
      </c>
      <c r="O160" s="37">
        <v>2020</v>
      </c>
      <c r="Q160" s="37">
        <v>91</v>
      </c>
      <c r="R160" s="37">
        <v>90</v>
      </c>
      <c r="S160" s="7">
        <f>AVERAGEIF(A:A,A160,R:R)</f>
        <v>90</v>
      </c>
      <c r="T160" s="1">
        <v>43939</v>
      </c>
      <c r="U160" s="13" t="str">
        <f t="shared" si="67"/>
        <v>April</v>
      </c>
      <c r="V160" s="12">
        <f t="shared" si="68"/>
        <v>43939</v>
      </c>
      <c r="W160" s="2">
        <v>29.32</v>
      </c>
      <c r="X160" s="37">
        <v>0</v>
      </c>
      <c r="Y160" s="11">
        <f t="shared" si="69"/>
        <v>29.32</v>
      </c>
      <c r="Z160" s="109"/>
      <c r="AA160" s="37">
        <f>IF(Y160&gt;=Expenses!$C$32,4,IF(Y160&gt;=Expenses!$C$31,3,IF(Y160&gt;=Expenses!$C$30,2,1)))</f>
        <v>2</v>
      </c>
      <c r="AB160" s="37">
        <f t="shared" si="70"/>
        <v>1</v>
      </c>
      <c r="AC160" s="37" t="str">
        <f t="shared" si="71"/>
        <v>2020</v>
      </c>
      <c r="AD160" s="37" t="s">
        <v>384</v>
      </c>
      <c r="AE160" s="1">
        <v>43931</v>
      </c>
      <c r="AF160" s="13" t="str">
        <f t="shared" si="73"/>
        <v>April</v>
      </c>
      <c r="AG160" s="37" t="str">
        <f t="shared" si="74"/>
        <v>2020</v>
      </c>
    </row>
    <row r="161" spans="1:33" s="37" customFormat="1" ht="18.75" x14ac:dyDescent="0.3">
      <c r="A161" s="67" t="str">
        <f t="shared" ref="A161:A190" si="75">CONCATENATE(B161,C161,D161)</f>
        <v>2017Domaine de l'AmandineCotes du Rhone Villages Seguret</v>
      </c>
      <c r="B161" s="37">
        <v>2017</v>
      </c>
      <c r="C161" s="37" t="s">
        <v>361</v>
      </c>
      <c r="D161" s="37" t="s">
        <v>362</v>
      </c>
      <c r="E161" s="37" t="s">
        <v>1197</v>
      </c>
      <c r="F161" s="37" t="s">
        <v>742</v>
      </c>
      <c r="G161" s="37" t="s">
        <v>759</v>
      </c>
      <c r="H161" s="37" t="s">
        <v>760</v>
      </c>
      <c r="I161" s="37">
        <v>1</v>
      </c>
      <c r="J161" s="37">
        <v>750</v>
      </c>
      <c r="K161" s="37" t="s">
        <v>58</v>
      </c>
      <c r="L161" s="37">
        <f>SUMIF(Wine1!A:A,Drank!A161,Wine1!I:I)</f>
        <v>20</v>
      </c>
      <c r="M161" s="37">
        <v>2018</v>
      </c>
      <c r="N161" s="37">
        <v>2025</v>
      </c>
      <c r="O161" s="37">
        <v>2020</v>
      </c>
      <c r="P161" s="37">
        <v>2025</v>
      </c>
      <c r="Q161" s="37">
        <v>93</v>
      </c>
      <c r="R161" s="37">
        <v>93</v>
      </c>
      <c r="S161" s="7">
        <f>AVERAGEIF(A:A,A161,R:R)</f>
        <v>92.470588235294116</v>
      </c>
      <c r="T161" s="1">
        <v>43935</v>
      </c>
      <c r="U161" s="13" t="str">
        <f t="shared" si="67"/>
        <v>April</v>
      </c>
      <c r="V161" s="12">
        <f t="shared" si="68"/>
        <v>43935</v>
      </c>
      <c r="W161" s="2">
        <v>16.28</v>
      </c>
      <c r="X161" s="37">
        <v>1</v>
      </c>
      <c r="Y161" s="11">
        <f t="shared" si="69"/>
        <v>16.28</v>
      </c>
      <c r="Z161" s="109"/>
      <c r="AA161" s="37">
        <f>IF(Y161&gt;=Expenses!$C$32,4,IF(Y161&gt;=Expenses!$C$31,3,IF(Y161&gt;=Expenses!$C$30,2,1)))</f>
        <v>1</v>
      </c>
      <c r="AB161" s="37">
        <f t="shared" si="70"/>
        <v>1</v>
      </c>
      <c r="AC161" s="37" t="str">
        <f t="shared" si="71"/>
        <v>2020</v>
      </c>
      <c r="AD161" s="37" t="s">
        <v>384</v>
      </c>
      <c r="AE161" s="1">
        <v>43885</v>
      </c>
      <c r="AF161" s="13" t="str">
        <f t="shared" si="73"/>
        <v>February</v>
      </c>
      <c r="AG161" s="37" t="str">
        <f t="shared" si="74"/>
        <v>2020</v>
      </c>
    </row>
    <row r="162" spans="1:33" s="37" customFormat="1" ht="18.75" x14ac:dyDescent="0.3">
      <c r="A162" s="67" t="str">
        <f t="shared" si="75"/>
        <v>2013Bernabé NavarroTragolargo</v>
      </c>
      <c r="B162" s="37">
        <v>2013</v>
      </c>
      <c r="C162" s="37" t="s">
        <v>1308</v>
      </c>
      <c r="D162" s="37" t="s">
        <v>1309</v>
      </c>
      <c r="E162" s="37" t="s">
        <v>1223</v>
      </c>
      <c r="F162" s="37" t="s">
        <v>729</v>
      </c>
      <c r="G162" s="37" t="s">
        <v>826</v>
      </c>
      <c r="H162" s="37" t="s">
        <v>827</v>
      </c>
      <c r="I162" s="37">
        <v>1</v>
      </c>
      <c r="J162" s="37">
        <v>750</v>
      </c>
      <c r="K162" s="37" t="s">
        <v>652</v>
      </c>
      <c r="L162" s="37">
        <f>SUMIF(Wine1!A:A,Drank!A162,Wine1!I:I)</f>
        <v>1</v>
      </c>
      <c r="M162" s="37">
        <v>2015</v>
      </c>
      <c r="N162" s="37">
        <v>2017</v>
      </c>
      <c r="O162" s="37">
        <v>2020</v>
      </c>
      <c r="P162" s="37">
        <v>2019</v>
      </c>
      <c r="Q162" s="37">
        <v>90</v>
      </c>
      <c r="R162" s="37">
        <v>91</v>
      </c>
      <c r="S162" s="7">
        <f>AVERAGEIF(A:A,A162,R:R)</f>
        <v>90.6</v>
      </c>
      <c r="T162" s="1">
        <v>43934</v>
      </c>
      <c r="U162" s="13" t="str">
        <f t="shared" si="67"/>
        <v>April</v>
      </c>
      <c r="V162" s="12">
        <f t="shared" si="68"/>
        <v>43934</v>
      </c>
      <c r="W162" s="2">
        <v>13.11</v>
      </c>
      <c r="X162" s="37">
        <v>0</v>
      </c>
      <c r="Y162" s="11">
        <f t="shared" si="69"/>
        <v>13.11</v>
      </c>
      <c r="Z162" s="109"/>
      <c r="AA162" s="37">
        <f>IF(Y162&gt;=Expenses!$C$32,4,IF(Y162&gt;=Expenses!$C$31,3,IF(Y162&gt;=Expenses!$C$30,2,1)))</f>
        <v>1</v>
      </c>
      <c r="AB162" s="37">
        <f t="shared" si="70"/>
        <v>1</v>
      </c>
      <c r="AC162" s="37" t="str">
        <f t="shared" si="71"/>
        <v>2020</v>
      </c>
      <c r="AD162" s="37" t="s">
        <v>385</v>
      </c>
      <c r="AE162" s="1">
        <v>43887</v>
      </c>
      <c r="AF162" s="13" t="str">
        <f t="shared" si="73"/>
        <v>February</v>
      </c>
      <c r="AG162" s="37" t="str">
        <f t="shared" si="74"/>
        <v>2020</v>
      </c>
    </row>
    <row r="163" spans="1:33" s="37" customFormat="1" ht="18.75" x14ac:dyDescent="0.3">
      <c r="A163" s="67" t="str">
        <f t="shared" si="75"/>
        <v>2011BertaniAmarone della Valpolicella Villa Arvedi</v>
      </c>
      <c r="B163" s="37">
        <v>2011</v>
      </c>
      <c r="C163" s="37" t="s">
        <v>9</v>
      </c>
      <c r="D163" s="37" t="s">
        <v>61</v>
      </c>
      <c r="E163" s="37" t="s">
        <v>1241</v>
      </c>
      <c r="F163" s="37" t="s">
        <v>728</v>
      </c>
      <c r="G163" s="37" t="s">
        <v>799</v>
      </c>
      <c r="H163" s="37" t="s">
        <v>803</v>
      </c>
      <c r="I163" s="37">
        <v>1</v>
      </c>
      <c r="J163" s="37">
        <v>750</v>
      </c>
      <c r="K163" s="37" t="s">
        <v>25</v>
      </c>
      <c r="L163" s="37">
        <f>SUMIF(Wine1!A:A,Drank!A163,Wine1!I:I)</f>
        <v>0</v>
      </c>
      <c r="P163" s="37">
        <v>2025</v>
      </c>
      <c r="Q163" s="37">
        <v>93</v>
      </c>
      <c r="R163" s="37">
        <v>90</v>
      </c>
      <c r="S163" s="7">
        <f>AVERAGEIF(A:A,A163,R:R)</f>
        <v>90</v>
      </c>
      <c r="T163" s="1">
        <v>43933</v>
      </c>
      <c r="U163" s="13" t="str">
        <f t="shared" si="67"/>
        <v>April</v>
      </c>
      <c r="V163" s="12">
        <f t="shared" si="68"/>
        <v>43933</v>
      </c>
      <c r="W163" s="2">
        <v>59.99</v>
      </c>
      <c r="X163" s="37">
        <v>1</v>
      </c>
      <c r="Y163" s="11">
        <f t="shared" si="69"/>
        <v>59.989999999999995</v>
      </c>
      <c r="Z163" s="109"/>
      <c r="AA163" s="37">
        <f>IF(Y163&gt;=Expenses!$C$32,4,IF(Y163&gt;=Expenses!$C$31,3,IF(Y163&gt;=Expenses!$C$30,2,1)))</f>
        <v>3</v>
      </c>
      <c r="AB163" s="37">
        <f t="shared" si="70"/>
        <v>1</v>
      </c>
      <c r="AC163" s="37" t="str">
        <f t="shared" si="71"/>
        <v>2020</v>
      </c>
      <c r="AE163" s="1"/>
      <c r="AF163" s="13" t="str">
        <f t="shared" si="73"/>
        <v>January</v>
      </c>
      <c r="AG163" s="37" t="str">
        <f t="shared" si="74"/>
        <v>1900</v>
      </c>
    </row>
    <row r="164" spans="1:33" s="37" customFormat="1" ht="18.75" x14ac:dyDescent="0.3">
      <c r="A164" s="67" t="str">
        <f t="shared" si="75"/>
        <v>2015AllegriniPalazzo della Torre</v>
      </c>
      <c r="B164" s="37">
        <v>2015</v>
      </c>
      <c r="C164" s="37" t="s">
        <v>111</v>
      </c>
      <c r="D164" s="37" t="s">
        <v>112</v>
      </c>
      <c r="E164" s="37" t="s">
        <v>1258</v>
      </c>
      <c r="F164" s="37" t="s">
        <v>728</v>
      </c>
      <c r="G164" s="37" t="s">
        <v>799</v>
      </c>
      <c r="H164" s="37" t="s">
        <v>800</v>
      </c>
      <c r="I164" s="37">
        <v>1</v>
      </c>
      <c r="J164" s="37">
        <v>750</v>
      </c>
      <c r="K164" s="37" t="s">
        <v>102</v>
      </c>
      <c r="L164" s="37">
        <f>SUMIF(Wine1!A:A,Drank!A164,Wine1!I:I)</f>
        <v>6</v>
      </c>
      <c r="M164" s="37">
        <v>2019</v>
      </c>
      <c r="N164" s="37">
        <v>2025</v>
      </c>
      <c r="O164" s="37">
        <v>2020</v>
      </c>
      <c r="P164" s="37">
        <v>2023</v>
      </c>
      <c r="Q164" s="37">
        <v>90</v>
      </c>
      <c r="R164" s="37">
        <v>90</v>
      </c>
      <c r="S164" s="7">
        <f>AVERAGEIF(A:A,A164,R:R)</f>
        <v>90.909090909090907</v>
      </c>
      <c r="T164" s="1">
        <v>43933</v>
      </c>
      <c r="U164" s="13" t="str">
        <f t="shared" si="67"/>
        <v>April</v>
      </c>
      <c r="V164" s="12">
        <f t="shared" si="68"/>
        <v>43933</v>
      </c>
      <c r="W164" s="2">
        <v>17.989999999999998</v>
      </c>
      <c r="X164" s="37">
        <v>0</v>
      </c>
      <c r="Y164" s="11">
        <f t="shared" si="69"/>
        <v>17.989999999999998</v>
      </c>
      <c r="Z164" s="109"/>
      <c r="AA164" s="37">
        <f>IF(Y164&gt;=Expenses!$C$32,4,IF(Y164&gt;=Expenses!$C$31,3,IF(Y164&gt;=Expenses!$C$30,2,1)))</f>
        <v>2</v>
      </c>
      <c r="AB164" s="37">
        <f t="shared" si="70"/>
        <v>1</v>
      </c>
      <c r="AC164" s="37" t="str">
        <f t="shared" si="71"/>
        <v>2020</v>
      </c>
      <c r="AD164" s="37" t="s">
        <v>1128</v>
      </c>
      <c r="AE164" s="1">
        <v>43879</v>
      </c>
      <c r="AF164" s="13" t="str">
        <f t="shared" si="73"/>
        <v>February</v>
      </c>
      <c r="AG164" s="37" t="str">
        <f t="shared" si="74"/>
        <v>2020</v>
      </c>
    </row>
    <row r="165" spans="1:33" s="37" customFormat="1" ht="18.75" x14ac:dyDescent="0.3">
      <c r="A165" s="67" t="str">
        <f t="shared" si="75"/>
        <v>2013ZenatoValpolicella Ripasso Superiore Ripassa</v>
      </c>
      <c r="B165" s="37">
        <v>2013</v>
      </c>
      <c r="C165" s="37" t="s">
        <v>70</v>
      </c>
      <c r="D165" s="37" t="s">
        <v>71</v>
      </c>
      <c r="E165" s="37" t="s">
        <v>1239</v>
      </c>
      <c r="F165" s="37" t="s">
        <v>728</v>
      </c>
      <c r="G165" s="37" t="s">
        <v>799</v>
      </c>
      <c r="H165" s="37" t="s">
        <v>800</v>
      </c>
      <c r="I165" s="37">
        <v>1</v>
      </c>
      <c r="J165" s="37">
        <v>750</v>
      </c>
      <c r="K165" s="37" t="s">
        <v>102</v>
      </c>
      <c r="L165" s="37">
        <f>SUMIF(Wine1!A:A,Drank!A165,Wine1!I:I)</f>
        <v>0</v>
      </c>
      <c r="M165" s="37">
        <v>2017</v>
      </c>
      <c r="N165" s="37">
        <v>2022</v>
      </c>
      <c r="P165" s="37">
        <v>2024</v>
      </c>
      <c r="Q165" s="37">
        <v>88</v>
      </c>
      <c r="R165" s="37">
        <v>90</v>
      </c>
      <c r="S165" s="7">
        <f>AVERAGEIF(A:A,A165,R:R)</f>
        <v>90</v>
      </c>
      <c r="T165" s="1">
        <v>43932</v>
      </c>
      <c r="U165" s="13" t="str">
        <f t="shared" si="67"/>
        <v>April</v>
      </c>
      <c r="V165" s="12">
        <f t="shared" si="68"/>
        <v>43932</v>
      </c>
      <c r="W165" s="2">
        <v>27</v>
      </c>
      <c r="X165" s="37">
        <v>1</v>
      </c>
      <c r="Y165" s="11">
        <f t="shared" si="69"/>
        <v>26.999999999999996</v>
      </c>
      <c r="Z165" s="109"/>
      <c r="AA165" s="37">
        <f>IF(Y165&gt;=Expenses!$C$32,4,IF(Y165&gt;=Expenses!$C$31,3,IF(Y165&gt;=Expenses!$C$30,2,1)))</f>
        <v>2</v>
      </c>
      <c r="AB165" s="37">
        <f t="shared" si="70"/>
        <v>1</v>
      </c>
      <c r="AC165" s="37" t="str">
        <f t="shared" si="71"/>
        <v>2020</v>
      </c>
      <c r="AD165" s="37" t="s">
        <v>1128</v>
      </c>
      <c r="AE165" s="1"/>
      <c r="AF165" s="13" t="str">
        <f t="shared" si="73"/>
        <v>January</v>
      </c>
      <c r="AG165" s="37" t="str">
        <f t="shared" si="74"/>
        <v>1900</v>
      </c>
    </row>
    <row r="166" spans="1:33" s="37" customFormat="1" ht="18.75" x14ac:dyDescent="0.3">
      <c r="A166" s="67" t="str">
        <f t="shared" si="75"/>
        <v>2017San AlejandroLas Rocas</v>
      </c>
      <c r="B166" s="37">
        <v>2017</v>
      </c>
      <c r="C166" s="37" t="s">
        <v>152</v>
      </c>
      <c r="D166" s="37" t="s">
        <v>153</v>
      </c>
      <c r="E166" s="37" t="s">
        <v>1248</v>
      </c>
      <c r="F166" s="37" t="s">
        <v>729</v>
      </c>
      <c r="G166" s="37" t="s">
        <v>811</v>
      </c>
      <c r="H166" s="37" t="s">
        <v>812</v>
      </c>
      <c r="I166" s="37">
        <v>1</v>
      </c>
      <c r="J166" s="37">
        <v>750</v>
      </c>
      <c r="K166" s="37" t="s">
        <v>25</v>
      </c>
      <c r="L166" s="37">
        <f>SUMIF(Wine1!A:A,Drank!A166,Wine1!I:I)</f>
        <v>3</v>
      </c>
      <c r="O166" s="37">
        <v>2020</v>
      </c>
      <c r="P166" s="37">
        <v>2023</v>
      </c>
      <c r="R166" s="37">
        <v>90</v>
      </c>
      <c r="S166" s="7">
        <f>AVERAGEIF(A:A,A166,R:R)</f>
        <v>88.4</v>
      </c>
      <c r="T166" s="1">
        <v>43929</v>
      </c>
      <c r="U166" s="13" t="str">
        <f t="shared" si="67"/>
        <v>April</v>
      </c>
      <c r="V166" s="12">
        <f t="shared" si="68"/>
        <v>43929</v>
      </c>
      <c r="W166" s="2">
        <v>8.99</v>
      </c>
      <c r="X166" s="37">
        <v>0</v>
      </c>
      <c r="Y166" s="11">
        <f t="shared" si="69"/>
        <v>8.99</v>
      </c>
      <c r="Z166" s="109"/>
      <c r="AA166" s="37">
        <f>IF(Y166&gt;=Expenses!$C$32,4,IF(Y166&gt;=Expenses!$C$31,3,IF(Y166&gt;=Expenses!$C$30,2,1)))</f>
        <v>1</v>
      </c>
      <c r="AB166" s="37">
        <f t="shared" si="70"/>
        <v>1</v>
      </c>
      <c r="AC166" s="37" t="str">
        <f t="shared" si="71"/>
        <v>2020</v>
      </c>
      <c r="AD166" s="37" t="s">
        <v>1128</v>
      </c>
      <c r="AE166" s="1">
        <v>43879</v>
      </c>
      <c r="AF166" s="13" t="str">
        <f t="shared" si="73"/>
        <v>February</v>
      </c>
      <c r="AG166" s="37" t="str">
        <f t="shared" si="74"/>
        <v>2020</v>
      </c>
    </row>
    <row r="167" spans="1:33" s="37" customFormat="1" ht="18.75" x14ac:dyDescent="0.3">
      <c r="A167" s="67" t="str">
        <f t="shared" si="75"/>
        <v>2013Bernabé NavarroTragolargo</v>
      </c>
      <c r="B167" s="37">
        <v>2013</v>
      </c>
      <c r="C167" s="37" t="s">
        <v>1308</v>
      </c>
      <c r="D167" s="37" t="s">
        <v>1309</v>
      </c>
      <c r="E167" s="37" t="s">
        <v>1223</v>
      </c>
      <c r="F167" s="37" t="s">
        <v>729</v>
      </c>
      <c r="G167" s="37" t="s">
        <v>826</v>
      </c>
      <c r="H167" s="37" t="s">
        <v>827</v>
      </c>
      <c r="I167" s="37">
        <v>1</v>
      </c>
      <c r="J167" s="37">
        <v>750</v>
      </c>
      <c r="K167" s="37" t="s">
        <v>929</v>
      </c>
      <c r="L167" s="37">
        <f>SUMIF(Wine1!A:A,Drank!A167,Wine1!I:I)</f>
        <v>1</v>
      </c>
      <c r="M167" s="37">
        <v>2015</v>
      </c>
      <c r="N167" s="37">
        <v>2017</v>
      </c>
      <c r="O167" s="37">
        <v>2020</v>
      </c>
      <c r="P167" s="37">
        <v>2018</v>
      </c>
      <c r="Q167" s="37">
        <v>90</v>
      </c>
      <c r="R167" s="37">
        <v>91</v>
      </c>
      <c r="S167" s="7">
        <f>AVERAGEIF(A:A,A167,R:R)</f>
        <v>90.6</v>
      </c>
      <c r="T167" s="1">
        <v>43926</v>
      </c>
      <c r="U167" s="13" t="str">
        <f t="shared" si="67"/>
        <v>April</v>
      </c>
      <c r="V167" s="12">
        <f t="shared" si="68"/>
        <v>43926</v>
      </c>
      <c r="W167" s="2">
        <v>13.11</v>
      </c>
      <c r="X167" s="37">
        <v>1</v>
      </c>
      <c r="Y167" s="11">
        <f t="shared" si="69"/>
        <v>13.11</v>
      </c>
      <c r="Z167" s="109"/>
      <c r="AA167" s="37">
        <f>IF(Y167&gt;=Expenses!$C$32,4,IF(Y167&gt;=Expenses!$C$31,3,IF(Y167&gt;=Expenses!$C$30,2,1)))</f>
        <v>1</v>
      </c>
      <c r="AB167" s="37">
        <f t="shared" si="70"/>
        <v>1</v>
      </c>
      <c r="AC167" s="37" t="str">
        <f t="shared" si="71"/>
        <v>2020</v>
      </c>
      <c r="AD167" s="37" t="s">
        <v>385</v>
      </c>
      <c r="AE167" s="1">
        <v>43887</v>
      </c>
      <c r="AF167" s="13" t="str">
        <f t="shared" si="73"/>
        <v>February</v>
      </c>
      <c r="AG167" s="37" t="str">
        <f t="shared" si="74"/>
        <v>2020</v>
      </c>
    </row>
    <row r="168" spans="1:33" s="37" customFormat="1" ht="18.75" x14ac:dyDescent="0.3">
      <c r="A168" s="67" t="str">
        <f t="shared" si="75"/>
        <v>2013Castello RomitorioBrunello di Montalcino</v>
      </c>
      <c r="B168" s="37">
        <v>2013</v>
      </c>
      <c r="C168" s="37" t="s">
        <v>689</v>
      </c>
      <c r="D168" s="37" t="s">
        <v>19</v>
      </c>
      <c r="E168" s="37" t="s">
        <v>1250</v>
      </c>
      <c r="F168" s="37" t="s">
        <v>728</v>
      </c>
      <c r="G168" s="37" t="s">
        <v>790</v>
      </c>
      <c r="H168" s="37" t="s">
        <v>19</v>
      </c>
      <c r="I168" s="37">
        <v>1</v>
      </c>
      <c r="J168" s="37">
        <v>750</v>
      </c>
      <c r="K168" s="37" t="s">
        <v>839</v>
      </c>
      <c r="L168" s="37">
        <f>SUMIF(Wine1!A:A,Drank!A168,Wine1!I:I)</f>
        <v>2</v>
      </c>
      <c r="M168" s="37">
        <v>2020</v>
      </c>
      <c r="N168" s="37">
        <v>2030</v>
      </c>
      <c r="O168" s="37">
        <v>2026</v>
      </c>
      <c r="P168" s="37">
        <v>2032</v>
      </c>
      <c r="Q168" s="37" t="s">
        <v>74</v>
      </c>
      <c r="R168" s="37">
        <v>92</v>
      </c>
      <c r="S168" s="7">
        <f>AVERAGEIF(A:A,A168,R:R)</f>
        <v>92</v>
      </c>
      <c r="T168" s="1">
        <v>43925</v>
      </c>
      <c r="U168" s="13" t="str">
        <f t="shared" si="67"/>
        <v>April</v>
      </c>
      <c r="V168" s="12">
        <f t="shared" si="68"/>
        <v>43925</v>
      </c>
      <c r="W168" s="2">
        <v>42.99</v>
      </c>
      <c r="X168" s="37">
        <v>1</v>
      </c>
      <c r="Y168" s="11">
        <f t="shared" si="69"/>
        <v>42.99</v>
      </c>
      <c r="Z168" s="109"/>
      <c r="AA168" s="37">
        <f>IF(Y168&gt;=Expenses!$C$32,4,IF(Y168&gt;=Expenses!$C$31,3,IF(Y168&gt;=Expenses!$C$30,2,1)))</f>
        <v>3</v>
      </c>
      <c r="AB168" s="37">
        <f t="shared" si="70"/>
        <v>1</v>
      </c>
      <c r="AC168" s="37" t="str">
        <f t="shared" si="71"/>
        <v>2020</v>
      </c>
      <c r="AD168" s="37" t="s">
        <v>384</v>
      </c>
      <c r="AE168" s="1">
        <v>43882</v>
      </c>
      <c r="AF168" s="13" t="str">
        <f t="shared" si="73"/>
        <v>February</v>
      </c>
      <c r="AG168" s="37" t="str">
        <f t="shared" si="74"/>
        <v>2020</v>
      </c>
    </row>
    <row r="169" spans="1:33" s="37" customFormat="1" ht="18.75" x14ac:dyDescent="0.3">
      <c r="A169" s="64" t="str">
        <f t="shared" si="75"/>
        <v>2016Tenuta di NozzoleChianti Classico Riserva Nozzole</v>
      </c>
      <c r="B169" s="37">
        <v>2016</v>
      </c>
      <c r="C169" s="37" t="s">
        <v>100</v>
      </c>
      <c r="D169" s="37" t="s">
        <v>101</v>
      </c>
      <c r="E169" s="37" t="s">
        <v>310</v>
      </c>
      <c r="F169" s="37" t="s">
        <v>728</v>
      </c>
      <c r="G169" s="37" t="s">
        <v>790</v>
      </c>
      <c r="H169" s="37" t="s">
        <v>792</v>
      </c>
      <c r="I169" s="37">
        <v>1</v>
      </c>
      <c r="J169" s="37">
        <v>750</v>
      </c>
      <c r="K169" s="37" t="s">
        <v>652</v>
      </c>
      <c r="L169" s="37">
        <f>SUMIF(Wine1!A:A,Drank!A169,Wine1!I:I)</f>
        <v>6</v>
      </c>
      <c r="M169" s="37">
        <v>2019</v>
      </c>
      <c r="N169" s="37">
        <v>2027</v>
      </c>
      <c r="O169" s="37">
        <v>2025</v>
      </c>
      <c r="P169" s="37">
        <v>2033</v>
      </c>
      <c r="Q169" s="37">
        <v>92</v>
      </c>
      <c r="R169" s="37">
        <v>92</v>
      </c>
      <c r="S169" s="7">
        <f>AVERAGEIF(A:A,A169,R:R)</f>
        <v>91.333333333333329</v>
      </c>
      <c r="T169" s="1">
        <v>43925</v>
      </c>
      <c r="U169" s="13" t="str">
        <f t="shared" si="67"/>
        <v>April</v>
      </c>
      <c r="V169" s="12">
        <f t="shared" si="68"/>
        <v>43925</v>
      </c>
      <c r="W169" s="2">
        <v>19.79</v>
      </c>
      <c r="X169" s="37" t="s">
        <v>1350</v>
      </c>
      <c r="Y169" s="11">
        <f t="shared" si="69"/>
        <v>19.79</v>
      </c>
      <c r="Z169" s="109"/>
      <c r="AA169" s="37">
        <f>IF(Y169&gt;=Expenses!$C$32,4,IF(Y169&gt;=Expenses!$C$31,3,IF(Y169&gt;=Expenses!$C$30,2,1)))</f>
        <v>2</v>
      </c>
      <c r="AB169" s="37">
        <f t="shared" si="70"/>
        <v>1</v>
      </c>
      <c r="AC169" s="37" t="str">
        <f t="shared" si="71"/>
        <v>2020</v>
      </c>
      <c r="AD169" s="37" t="s">
        <v>1128</v>
      </c>
      <c r="AE169" s="1">
        <v>43883</v>
      </c>
      <c r="AF169" s="13" t="str">
        <f t="shared" si="73"/>
        <v>February</v>
      </c>
      <c r="AG169" s="37" t="str">
        <f t="shared" si="74"/>
        <v>2020</v>
      </c>
    </row>
    <row r="170" spans="1:33" s="37" customFormat="1" ht="18.75" x14ac:dyDescent="0.3">
      <c r="A170" s="67" t="str">
        <f t="shared" si="75"/>
        <v>2013CortonesiBrunello di Montalcino La Mannella</v>
      </c>
      <c r="B170" s="37">
        <v>2013</v>
      </c>
      <c r="C170" s="37" t="s">
        <v>72</v>
      </c>
      <c r="D170" s="37" t="s">
        <v>73</v>
      </c>
      <c r="E170" s="37" t="s">
        <v>1250</v>
      </c>
      <c r="F170" s="37" t="s">
        <v>728</v>
      </c>
      <c r="G170" s="37" t="s">
        <v>790</v>
      </c>
      <c r="H170" s="37" t="s">
        <v>19</v>
      </c>
      <c r="I170" s="37">
        <v>1</v>
      </c>
      <c r="J170" s="37">
        <v>750</v>
      </c>
      <c r="K170" s="37" t="s">
        <v>661</v>
      </c>
      <c r="L170" s="37">
        <f>SUMIF(Wine1!A:A,Drank!A170,Wine1!I:I)</f>
        <v>5</v>
      </c>
      <c r="M170" s="37">
        <v>2020</v>
      </c>
      <c r="N170" s="37">
        <v>2033</v>
      </c>
      <c r="O170" s="37">
        <v>2024</v>
      </c>
      <c r="P170" s="37">
        <v>2030</v>
      </c>
      <c r="Q170" s="37" t="s">
        <v>74</v>
      </c>
      <c r="R170" s="37">
        <v>93</v>
      </c>
      <c r="S170" s="7">
        <f>AVERAGEIF(A:A,A170,R:R)</f>
        <v>93</v>
      </c>
      <c r="T170" s="1">
        <v>43924</v>
      </c>
      <c r="U170" s="13" t="str">
        <f t="shared" si="67"/>
        <v>April</v>
      </c>
      <c r="V170" s="12">
        <f t="shared" si="68"/>
        <v>43924</v>
      </c>
      <c r="W170" s="2">
        <v>33.99</v>
      </c>
      <c r="X170" s="37">
        <v>1</v>
      </c>
      <c r="Y170" s="11">
        <f t="shared" si="69"/>
        <v>33.99</v>
      </c>
      <c r="Z170" s="109"/>
      <c r="AA170" s="37">
        <f>IF(Y170&gt;=Expenses!$C$32,4,IF(Y170&gt;=Expenses!$C$31,3,IF(Y170&gt;=Expenses!$C$30,2,1)))</f>
        <v>3</v>
      </c>
      <c r="AB170" s="37">
        <f t="shared" si="70"/>
        <v>1</v>
      </c>
      <c r="AC170" s="37" t="str">
        <f t="shared" si="71"/>
        <v>2020</v>
      </c>
      <c r="AD170" s="37" t="s">
        <v>1131</v>
      </c>
      <c r="AE170" s="1">
        <v>43884</v>
      </c>
      <c r="AF170" s="13" t="str">
        <f t="shared" si="73"/>
        <v>February</v>
      </c>
      <c r="AG170" s="37" t="str">
        <f t="shared" si="74"/>
        <v>2020</v>
      </c>
    </row>
    <row r="171" spans="1:33" s="37" customFormat="1" ht="18.75" x14ac:dyDescent="0.3">
      <c r="A171" s="67" t="str">
        <f t="shared" si="75"/>
        <v>2017Domaine de l'AmandineCotes du Rhone Villages Seguret</v>
      </c>
      <c r="B171" s="37">
        <v>2017</v>
      </c>
      <c r="C171" s="37" t="s">
        <v>361</v>
      </c>
      <c r="D171" s="37" t="s">
        <v>362</v>
      </c>
      <c r="E171" s="37" t="s">
        <v>1197</v>
      </c>
      <c r="F171" s="37" t="s">
        <v>742</v>
      </c>
      <c r="G171" s="37" t="s">
        <v>759</v>
      </c>
      <c r="H171" s="37" t="s">
        <v>760</v>
      </c>
      <c r="I171" s="37">
        <v>1</v>
      </c>
      <c r="J171" s="37">
        <v>750</v>
      </c>
      <c r="K171" s="37" t="s">
        <v>58</v>
      </c>
      <c r="L171" s="37">
        <f>SUMIF(Wine1!A:A,Drank!A171,Wine1!I:I)</f>
        <v>20</v>
      </c>
      <c r="M171" s="37">
        <v>2018</v>
      </c>
      <c r="N171" s="37">
        <v>2025</v>
      </c>
      <c r="O171" s="37">
        <v>2020</v>
      </c>
      <c r="P171" s="37">
        <v>2024</v>
      </c>
      <c r="Q171" s="37">
        <v>93</v>
      </c>
      <c r="R171" s="37">
        <v>92</v>
      </c>
      <c r="S171" s="7">
        <f>AVERAGEIF(A:A,A171,R:R)</f>
        <v>92.470588235294116</v>
      </c>
      <c r="T171" s="1">
        <v>43921</v>
      </c>
      <c r="U171" s="13" t="str">
        <f t="shared" si="67"/>
        <v>March</v>
      </c>
      <c r="V171" s="12">
        <f t="shared" si="68"/>
        <v>43921</v>
      </c>
      <c r="W171" s="2">
        <v>16.28</v>
      </c>
      <c r="X171" s="37">
        <v>-2</v>
      </c>
      <c r="Y171" s="11">
        <f t="shared" si="69"/>
        <v>16.28</v>
      </c>
      <c r="Z171" s="109"/>
      <c r="AA171" s="37">
        <f>IF(Y171&gt;=Expenses!$C$32,4,IF(Y171&gt;=Expenses!$C$31,3,IF(Y171&gt;=Expenses!$C$30,2,1)))</f>
        <v>1</v>
      </c>
      <c r="AB171" s="37">
        <f t="shared" si="70"/>
        <v>1</v>
      </c>
      <c r="AC171" s="37" t="str">
        <f t="shared" si="71"/>
        <v>2020</v>
      </c>
      <c r="AD171" s="37" t="s">
        <v>384</v>
      </c>
      <c r="AE171" s="1">
        <v>43885</v>
      </c>
      <c r="AF171" s="13" t="str">
        <f t="shared" si="73"/>
        <v>February</v>
      </c>
      <c r="AG171" s="37" t="str">
        <f t="shared" si="74"/>
        <v>2020</v>
      </c>
    </row>
    <row r="172" spans="1:33" s="37" customFormat="1" ht="18.75" x14ac:dyDescent="0.3">
      <c r="A172" s="67" t="str">
        <f t="shared" si="75"/>
        <v>2016Tour Saint-MichelChateauneuf du Pape Cuvee des Deux Soeurs</v>
      </c>
      <c r="B172" s="37">
        <v>2016</v>
      </c>
      <c r="C172" s="37" t="s">
        <v>712</v>
      </c>
      <c r="D172" s="37" t="s">
        <v>713</v>
      </c>
      <c r="E172" s="37" t="s">
        <v>1254</v>
      </c>
      <c r="F172" s="37" t="s">
        <v>742</v>
      </c>
      <c r="G172" s="37" t="s">
        <v>759</v>
      </c>
      <c r="H172" s="37" t="s">
        <v>762</v>
      </c>
      <c r="I172" s="37">
        <v>1</v>
      </c>
      <c r="J172" s="37">
        <v>750</v>
      </c>
      <c r="K172" s="37" t="s">
        <v>929</v>
      </c>
      <c r="L172" s="37">
        <f>SUMIF(Wine1!A:A,Drank!A172,Wine1!I:I)</f>
        <v>3</v>
      </c>
      <c r="M172" s="37">
        <v>2018</v>
      </c>
      <c r="N172" s="37">
        <v>2028</v>
      </c>
      <c r="O172" s="37">
        <v>2025</v>
      </c>
      <c r="P172" s="37">
        <v>2030</v>
      </c>
      <c r="Q172" s="37">
        <v>92</v>
      </c>
      <c r="R172" s="37">
        <v>92</v>
      </c>
      <c r="S172" s="7">
        <f>AVERAGEIF(A:A,A172,R:R)</f>
        <v>92</v>
      </c>
      <c r="T172" s="1">
        <v>43921</v>
      </c>
      <c r="U172" s="13" t="str">
        <f t="shared" si="67"/>
        <v>March</v>
      </c>
      <c r="V172" s="12">
        <f t="shared" si="68"/>
        <v>43921</v>
      </c>
      <c r="W172" s="2">
        <v>24.99</v>
      </c>
      <c r="X172" s="37">
        <v>-1</v>
      </c>
      <c r="Y172" s="11">
        <f t="shared" si="69"/>
        <v>24.989999999999995</v>
      </c>
      <c r="Z172" s="109"/>
      <c r="AA172" s="37">
        <f>IF(Y172&gt;=Expenses!$C$32,4,IF(Y172&gt;=Expenses!$C$31,3,IF(Y172&gt;=Expenses!$C$30,2,1)))</f>
        <v>2</v>
      </c>
      <c r="AB172" s="37">
        <f t="shared" si="70"/>
        <v>1</v>
      </c>
      <c r="AC172" s="37" t="str">
        <f t="shared" si="71"/>
        <v>2020</v>
      </c>
      <c r="AD172" s="37" t="s">
        <v>384</v>
      </c>
      <c r="AE172" s="1">
        <v>43815</v>
      </c>
      <c r="AF172" s="13" t="str">
        <f t="shared" si="73"/>
        <v>December</v>
      </c>
      <c r="AG172" s="37" t="str">
        <f t="shared" si="74"/>
        <v>2019</v>
      </c>
    </row>
    <row r="173" spans="1:33" s="37" customFormat="1" ht="18.75" x14ac:dyDescent="0.3">
      <c r="A173" s="67" t="str">
        <f t="shared" si="75"/>
        <v>2017Domaine la Bastide Saint DominiqueVentoux Reserve Saint Dominique</v>
      </c>
      <c r="B173" s="37">
        <v>2017</v>
      </c>
      <c r="C173" s="37" t="s">
        <v>605</v>
      </c>
      <c r="D173" s="37" t="s">
        <v>606</v>
      </c>
      <c r="E173" s="37" t="s">
        <v>1248</v>
      </c>
      <c r="F173" s="37" t="s">
        <v>742</v>
      </c>
      <c r="G173" s="37" t="s">
        <v>759</v>
      </c>
      <c r="H173" s="37" t="s">
        <v>763</v>
      </c>
      <c r="I173" s="37">
        <v>1</v>
      </c>
      <c r="J173" s="37">
        <v>750</v>
      </c>
      <c r="K173" s="37" t="s">
        <v>839</v>
      </c>
      <c r="L173" s="37">
        <f>SUMIF(Wine1!A:A,Drank!A173,Wine1!I:I)</f>
        <v>3</v>
      </c>
      <c r="M173" s="37">
        <v>2018</v>
      </c>
      <c r="N173" s="37">
        <v>2023</v>
      </c>
      <c r="O173" s="37">
        <v>2020</v>
      </c>
      <c r="P173" s="37">
        <v>2023</v>
      </c>
      <c r="Q173" s="37">
        <v>91</v>
      </c>
      <c r="R173" s="37">
        <v>90</v>
      </c>
      <c r="S173" s="7">
        <f>AVERAGEIF(A:A,A173,R:R)</f>
        <v>90</v>
      </c>
      <c r="T173" s="1">
        <v>43919</v>
      </c>
      <c r="U173" s="13" t="str">
        <f t="shared" si="67"/>
        <v>March</v>
      </c>
      <c r="V173" s="12">
        <f t="shared" si="68"/>
        <v>43919</v>
      </c>
      <c r="W173" s="2">
        <v>9.99</v>
      </c>
      <c r="X173" s="37">
        <v>0</v>
      </c>
      <c r="Y173" s="11">
        <f t="shared" si="69"/>
        <v>9.99</v>
      </c>
      <c r="Z173" s="109"/>
      <c r="AA173" s="37">
        <f>IF(Y173&gt;=Expenses!$C$32,4,IF(Y173&gt;=Expenses!$C$31,3,IF(Y173&gt;=Expenses!$C$30,2,1)))</f>
        <v>1</v>
      </c>
      <c r="AB173" s="37">
        <f t="shared" si="70"/>
        <v>1</v>
      </c>
      <c r="AC173" s="37" t="str">
        <f t="shared" si="71"/>
        <v>2020</v>
      </c>
      <c r="AD173" s="37" t="s">
        <v>384</v>
      </c>
      <c r="AE173" s="1">
        <v>43803</v>
      </c>
      <c r="AF173" s="13" t="str">
        <f t="shared" si="73"/>
        <v>December</v>
      </c>
      <c r="AG173" s="37" t="str">
        <f t="shared" si="74"/>
        <v>2019</v>
      </c>
    </row>
    <row r="174" spans="1:33" s="37" customFormat="1" ht="18.75" x14ac:dyDescent="0.3">
      <c r="A174" s="63" t="str">
        <f t="shared" si="75"/>
        <v>2015MasiAmarone della Valpolicella Classico Costasera</v>
      </c>
      <c r="B174" s="37">
        <v>2015</v>
      </c>
      <c r="C174" s="37" t="s">
        <v>37</v>
      </c>
      <c r="D174" s="37" t="s">
        <v>53</v>
      </c>
      <c r="E174" s="37" t="s">
        <v>313</v>
      </c>
      <c r="F174" s="37" t="s">
        <v>728</v>
      </c>
      <c r="G174" s="37" t="s">
        <v>799</v>
      </c>
      <c r="H174" s="37" t="s">
        <v>800</v>
      </c>
      <c r="I174" s="37">
        <v>1</v>
      </c>
      <c r="J174" s="37">
        <v>750</v>
      </c>
      <c r="K174" s="37" t="s">
        <v>661</v>
      </c>
      <c r="L174" s="37">
        <f>SUMIF(Wine1!A:A,Drank!A174,Wine1!I:I)</f>
        <v>11</v>
      </c>
      <c r="O174" s="37">
        <v>2030</v>
      </c>
      <c r="P174" s="37">
        <v>2030</v>
      </c>
      <c r="R174" s="37">
        <v>94</v>
      </c>
      <c r="S174" s="7">
        <f>AVERAGEIF(A:A,A174,R:R)</f>
        <v>94</v>
      </c>
      <c r="T174" s="1">
        <v>43918</v>
      </c>
      <c r="U174" s="13" t="str">
        <f t="shared" si="67"/>
        <v>March</v>
      </c>
      <c r="V174" s="12">
        <f t="shared" si="68"/>
        <v>43918</v>
      </c>
      <c r="W174" s="2">
        <v>49.99</v>
      </c>
      <c r="X174" s="37">
        <v>1</v>
      </c>
      <c r="Y174" s="11">
        <f t="shared" si="69"/>
        <v>49.990000000000009</v>
      </c>
      <c r="Z174" s="109"/>
      <c r="AA174" s="37">
        <f>IF(Y174&gt;=Expenses!$C$32,4,IF(Y174&gt;=Expenses!$C$31,3,IF(Y174&gt;=Expenses!$C$30,2,1)))</f>
        <v>3</v>
      </c>
      <c r="AB174" s="37">
        <f t="shared" si="70"/>
        <v>1</v>
      </c>
      <c r="AC174" s="37" t="str">
        <f t="shared" si="71"/>
        <v>2020</v>
      </c>
      <c r="AD174" s="37" t="s">
        <v>1128</v>
      </c>
      <c r="AE174" s="1">
        <v>43879</v>
      </c>
      <c r="AF174" s="13" t="str">
        <f t="shared" si="73"/>
        <v>February</v>
      </c>
      <c r="AG174" s="37" t="str">
        <f t="shared" si="74"/>
        <v>2020</v>
      </c>
    </row>
    <row r="175" spans="1:33" s="37" customFormat="1" ht="18.75" x14ac:dyDescent="0.3">
      <c r="A175" s="64" t="str">
        <f t="shared" si="75"/>
        <v>2018DAOU VineyardsCabernet Sauvignon</v>
      </c>
      <c r="B175" s="37">
        <v>2018</v>
      </c>
      <c r="C175" s="37" t="s">
        <v>1298</v>
      </c>
      <c r="D175" s="37" t="s">
        <v>32</v>
      </c>
      <c r="E175" s="37" t="s">
        <v>1317</v>
      </c>
      <c r="F175" s="37" t="s">
        <v>727</v>
      </c>
      <c r="G175" s="37" t="s">
        <v>806</v>
      </c>
      <c r="H175" s="37" t="s">
        <v>1299</v>
      </c>
      <c r="I175" s="37">
        <v>1</v>
      </c>
      <c r="J175" s="37">
        <v>750</v>
      </c>
      <c r="K175" s="37" t="s">
        <v>1316</v>
      </c>
      <c r="L175" s="37">
        <f>SUMIF(Wine1!A:A,Drank!A175,Wine1!I:I)</f>
        <v>0</v>
      </c>
      <c r="M175" s="37">
        <v>2020</v>
      </c>
      <c r="N175" s="37">
        <v>2030</v>
      </c>
      <c r="P175" s="37">
        <v>2027</v>
      </c>
      <c r="Q175" s="37">
        <v>92</v>
      </c>
      <c r="R175" s="37">
        <v>92</v>
      </c>
      <c r="S175" s="7">
        <f>AVERAGEIF(A:A,A175,R:R)</f>
        <v>92</v>
      </c>
      <c r="T175" s="1">
        <v>43918</v>
      </c>
      <c r="U175" s="13" t="str">
        <f t="shared" si="67"/>
        <v>March</v>
      </c>
      <c r="V175" s="12">
        <f t="shared" si="68"/>
        <v>43918</v>
      </c>
      <c r="W175" s="2">
        <v>20.99</v>
      </c>
      <c r="X175" s="37">
        <v>1</v>
      </c>
      <c r="Y175" s="11">
        <f t="shared" si="69"/>
        <v>20.99</v>
      </c>
      <c r="Z175" s="109"/>
      <c r="AA175" s="37">
        <f>IF(Y175&gt;=Expenses!$C$32,4,IF(Y175&gt;=Expenses!$C$31,3,IF(Y175&gt;=Expenses!$C$30,2,1)))</f>
        <v>2</v>
      </c>
      <c r="AB175" s="37">
        <f t="shared" si="70"/>
        <v>1</v>
      </c>
      <c r="AC175" s="37" t="str">
        <f t="shared" si="71"/>
        <v>2020</v>
      </c>
      <c r="AD175" s="37" t="s">
        <v>1128</v>
      </c>
      <c r="AE175" s="1">
        <v>43879</v>
      </c>
      <c r="AF175" s="13" t="str">
        <f t="shared" si="73"/>
        <v>February</v>
      </c>
      <c r="AG175" s="37" t="str">
        <f t="shared" si="74"/>
        <v>2020</v>
      </c>
    </row>
    <row r="176" spans="1:33" s="37" customFormat="1" ht="18.75" x14ac:dyDescent="0.3">
      <c r="A176" s="37" t="str">
        <f t="shared" si="75"/>
        <v>2013Bernabé NavarroTragolargo</v>
      </c>
      <c r="B176" s="37">
        <v>2013</v>
      </c>
      <c r="C176" s="37" t="s">
        <v>1308</v>
      </c>
      <c r="D176" s="37" t="s">
        <v>1309</v>
      </c>
      <c r="E176" s="37" t="s">
        <v>1223</v>
      </c>
      <c r="F176" s="37" t="s">
        <v>729</v>
      </c>
      <c r="G176" s="37" t="s">
        <v>826</v>
      </c>
      <c r="H176" s="37" t="s">
        <v>827</v>
      </c>
      <c r="I176" s="37">
        <v>1</v>
      </c>
      <c r="J176" s="37">
        <v>750</v>
      </c>
      <c r="K176" s="37" t="s">
        <v>661</v>
      </c>
      <c r="L176" s="37">
        <f>SUMIF(Wine1!A:A,Drank!A176,Wine1!I:I)</f>
        <v>1</v>
      </c>
      <c r="M176" s="37">
        <v>2015</v>
      </c>
      <c r="N176" s="37">
        <v>2017</v>
      </c>
      <c r="O176" s="37">
        <v>2020</v>
      </c>
      <c r="P176" s="37">
        <v>2017</v>
      </c>
      <c r="Q176" s="37">
        <v>90</v>
      </c>
      <c r="R176" s="37">
        <v>91</v>
      </c>
      <c r="S176" s="7">
        <f>AVERAGEIF(A:A,A176,R:R)</f>
        <v>90.6</v>
      </c>
      <c r="T176" s="1">
        <v>43917</v>
      </c>
      <c r="U176" s="13" t="str">
        <f t="shared" si="67"/>
        <v>March</v>
      </c>
      <c r="V176" s="12">
        <f t="shared" si="68"/>
        <v>43917</v>
      </c>
      <c r="W176" s="2">
        <v>13.11</v>
      </c>
      <c r="X176" s="37">
        <v>0</v>
      </c>
      <c r="Y176" s="11">
        <f t="shared" si="69"/>
        <v>13.11</v>
      </c>
      <c r="Z176" s="109"/>
      <c r="AA176" s="37">
        <f>IF(Y176&gt;=Expenses!$C$32,4,IF(Y176&gt;=Expenses!$C$31,3,IF(Y176&gt;=Expenses!$C$30,2,1)))</f>
        <v>1</v>
      </c>
      <c r="AB176" s="37">
        <f t="shared" si="70"/>
        <v>1</v>
      </c>
      <c r="AC176" s="37" t="str">
        <f t="shared" si="71"/>
        <v>2020</v>
      </c>
      <c r="AD176" s="37" t="s">
        <v>385</v>
      </c>
      <c r="AE176" s="1">
        <v>43887</v>
      </c>
      <c r="AF176" s="13" t="str">
        <f t="shared" si="73"/>
        <v>February</v>
      </c>
      <c r="AG176" s="37" t="str">
        <f t="shared" si="74"/>
        <v>2020</v>
      </c>
    </row>
    <row r="177" spans="1:33" s="37" customFormat="1" ht="18.75" x14ac:dyDescent="0.3">
      <c r="A177" s="37" t="str">
        <f t="shared" si="75"/>
        <v>2017SichelSichel</v>
      </c>
      <c r="B177" s="37">
        <v>2017</v>
      </c>
      <c r="C177" s="37" t="s">
        <v>409</v>
      </c>
      <c r="D177" s="37" t="s">
        <v>409</v>
      </c>
      <c r="E177" s="37" t="s">
        <v>1200</v>
      </c>
      <c r="F177" s="37" t="s">
        <v>742</v>
      </c>
      <c r="G177" s="37" t="s">
        <v>748</v>
      </c>
      <c r="H177" s="37" t="s">
        <v>260</v>
      </c>
      <c r="I177" s="37">
        <v>1</v>
      </c>
      <c r="J177" s="37">
        <v>375</v>
      </c>
      <c r="K177" s="37" t="s">
        <v>236</v>
      </c>
      <c r="L177" s="37">
        <f>SUMIF(Wine1!A:A,Drank!A177,Wine1!I:I)</f>
        <v>20</v>
      </c>
      <c r="O177" s="37">
        <v>2020</v>
      </c>
      <c r="P177" s="37">
        <v>2035</v>
      </c>
      <c r="R177" s="37">
        <v>87</v>
      </c>
      <c r="S177" s="7">
        <f>AVERAGEIF(A:A,A177,R:R)</f>
        <v>89.7</v>
      </c>
      <c r="T177" s="1">
        <v>43914</v>
      </c>
      <c r="U177" s="13" t="str">
        <f t="shared" si="67"/>
        <v>March</v>
      </c>
      <c r="V177" s="12">
        <f t="shared" si="68"/>
        <v>43914</v>
      </c>
      <c r="W177" s="2">
        <v>12</v>
      </c>
      <c r="X177" s="37">
        <v>0</v>
      </c>
      <c r="Y177" s="11">
        <f t="shared" si="69"/>
        <v>24</v>
      </c>
      <c r="Z177" s="109"/>
      <c r="AA177" s="37">
        <f>IF(Y177&gt;=Expenses!$C$32,4,IF(Y177&gt;=Expenses!$C$31,3,IF(Y177&gt;=Expenses!$C$30,2,1)))</f>
        <v>2</v>
      </c>
      <c r="AB177" s="37">
        <f t="shared" si="70"/>
        <v>0.5</v>
      </c>
      <c r="AC177" s="37" t="str">
        <f t="shared" si="71"/>
        <v>2020</v>
      </c>
      <c r="AD177" s="37" t="s">
        <v>385</v>
      </c>
      <c r="AE177" s="1">
        <v>43845</v>
      </c>
      <c r="AF177" s="13" t="str">
        <f t="shared" si="73"/>
        <v>January</v>
      </c>
      <c r="AG177" s="37" t="str">
        <f t="shared" si="74"/>
        <v>2020</v>
      </c>
    </row>
    <row r="178" spans="1:33" s="37" customFormat="1" ht="18.75" x14ac:dyDescent="0.3">
      <c r="A178" s="37" t="str">
        <f t="shared" si="75"/>
        <v>2017San AlejandroLas Rocas</v>
      </c>
      <c r="B178" s="37">
        <v>2017</v>
      </c>
      <c r="C178" s="37" t="s">
        <v>152</v>
      </c>
      <c r="D178" s="37" t="s">
        <v>153</v>
      </c>
      <c r="E178" s="37" t="s">
        <v>1248</v>
      </c>
      <c r="F178" s="37" t="s">
        <v>729</v>
      </c>
      <c r="G178" s="37" t="s">
        <v>811</v>
      </c>
      <c r="H178" s="37" t="s">
        <v>812</v>
      </c>
      <c r="I178" s="37">
        <v>1</v>
      </c>
      <c r="J178" s="37">
        <v>750</v>
      </c>
      <c r="K178" s="37" t="s">
        <v>589</v>
      </c>
      <c r="L178" s="37">
        <f>SUMIF(Wine1!A:A,Drank!A178,Wine1!I:I)</f>
        <v>3</v>
      </c>
      <c r="O178" s="37">
        <v>2020</v>
      </c>
      <c r="P178" s="37">
        <v>2023</v>
      </c>
      <c r="R178" s="37">
        <v>89</v>
      </c>
      <c r="S178" s="7">
        <f>AVERAGEIF(A:A,A178,R:R)</f>
        <v>88.4</v>
      </c>
      <c r="T178" s="1">
        <v>43913</v>
      </c>
      <c r="U178" s="13" t="str">
        <f t="shared" si="67"/>
        <v>March</v>
      </c>
      <c r="V178" s="12">
        <f t="shared" si="68"/>
        <v>43913</v>
      </c>
      <c r="W178" s="2">
        <v>8.99</v>
      </c>
      <c r="X178" s="37">
        <v>1</v>
      </c>
      <c r="Y178" s="11">
        <f t="shared" si="69"/>
        <v>8.99</v>
      </c>
      <c r="Z178" s="109"/>
      <c r="AA178" s="37">
        <f>IF(Y178&gt;=Expenses!$C$32,4,IF(Y178&gt;=Expenses!$C$31,3,IF(Y178&gt;=Expenses!$C$30,2,1)))</f>
        <v>1</v>
      </c>
      <c r="AB178" s="37">
        <f t="shared" si="70"/>
        <v>1</v>
      </c>
      <c r="AC178" s="37" t="str">
        <f t="shared" si="71"/>
        <v>2020</v>
      </c>
      <c r="AD178" s="37" t="s">
        <v>1128</v>
      </c>
      <c r="AE178" s="1">
        <v>43879</v>
      </c>
      <c r="AF178" s="13" t="str">
        <f t="shared" si="73"/>
        <v>February</v>
      </c>
      <c r="AG178" s="37" t="str">
        <f t="shared" si="74"/>
        <v>2020</v>
      </c>
    </row>
    <row r="179" spans="1:33" s="37" customFormat="1" ht="18.75" x14ac:dyDescent="0.3">
      <c r="A179" s="37" t="str">
        <f t="shared" si="75"/>
        <v>2015Luna BeberideArt</v>
      </c>
      <c r="B179" s="37">
        <v>2015</v>
      </c>
      <c r="C179" s="37" t="s">
        <v>357</v>
      </c>
      <c r="D179" s="37" t="s">
        <v>670</v>
      </c>
      <c r="E179" s="37" t="s">
        <v>1253</v>
      </c>
      <c r="F179" s="37" t="s">
        <v>729</v>
      </c>
      <c r="G179" s="37" t="s">
        <v>814</v>
      </c>
      <c r="H179" s="37" t="s">
        <v>815</v>
      </c>
      <c r="I179" s="37">
        <v>1</v>
      </c>
      <c r="J179" s="37">
        <v>750</v>
      </c>
      <c r="K179" s="37" t="s">
        <v>839</v>
      </c>
      <c r="L179" s="37">
        <f>SUMIF(Wine1!A:A,Drank!A179,Wine1!I:I)</f>
        <v>2</v>
      </c>
      <c r="M179" s="37">
        <v>2017</v>
      </c>
      <c r="N179" s="37">
        <v>2022</v>
      </c>
      <c r="O179" s="37">
        <v>2020</v>
      </c>
      <c r="P179" s="37">
        <v>2024</v>
      </c>
      <c r="Q179" s="37">
        <v>93</v>
      </c>
      <c r="R179" s="37">
        <v>92</v>
      </c>
      <c r="S179" s="7">
        <f>AVERAGEIF(A:A,A179,R:R)</f>
        <v>92</v>
      </c>
      <c r="T179" s="1">
        <v>43912</v>
      </c>
      <c r="U179" s="13" t="str">
        <f t="shared" si="67"/>
        <v>March</v>
      </c>
      <c r="V179" s="12">
        <f t="shared" si="68"/>
        <v>43912</v>
      </c>
      <c r="W179" s="11">
        <v>22</v>
      </c>
      <c r="X179" s="37">
        <v>1</v>
      </c>
      <c r="Y179" s="11">
        <f t="shared" ref="Y179:Y184" si="76">W179/J179*750</f>
        <v>22</v>
      </c>
      <c r="Z179" s="109"/>
      <c r="AA179" s="37">
        <f>IF(Y179&gt;=Expenses!$C$32,4,IF(Y179&gt;=Expenses!$C$31,3,IF(Y179&gt;=Expenses!$C$30,2,1)))</f>
        <v>2</v>
      </c>
      <c r="AB179" s="37">
        <f t="shared" si="70"/>
        <v>1</v>
      </c>
      <c r="AC179" s="37" t="str">
        <f t="shared" si="71"/>
        <v>2020</v>
      </c>
      <c r="AD179" s="37" t="s">
        <v>385</v>
      </c>
      <c r="AE179" s="1"/>
      <c r="AF179" s="13" t="str">
        <f t="shared" si="73"/>
        <v>January</v>
      </c>
      <c r="AG179" s="37" t="str">
        <f t="shared" si="74"/>
        <v>1900</v>
      </c>
    </row>
    <row r="180" spans="1:33" s="37" customFormat="1" ht="18.75" x14ac:dyDescent="0.3">
      <c r="A180" s="37" t="str">
        <f t="shared" si="75"/>
        <v>2013Marques de RiscalReserva</v>
      </c>
      <c r="B180" s="37">
        <v>2013</v>
      </c>
      <c r="C180" s="37" t="s">
        <v>1536</v>
      </c>
      <c r="D180" s="37" t="s">
        <v>106</v>
      </c>
      <c r="E180" s="37" t="s">
        <v>1296</v>
      </c>
      <c r="F180" s="37" t="s">
        <v>729</v>
      </c>
      <c r="G180" s="37" t="s">
        <v>1297</v>
      </c>
      <c r="I180" s="37">
        <v>1</v>
      </c>
      <c r="J180" s="37">
        <v>750</v>
      </c>
      <c r="K180" s="37" t="s">
        <v>102</v>
      </c>
      <c r="L180" s="37">
        <f>SUMIF(Wine1!A:A,Drank!A180,Wine1!I:I)</f>
        <v>3</v>
      </c>
      <c r="O180" s="37">
        <v>2020</v>
      </c>
      <c r="P180" s="37">
        <v>2024</v>
      </c>
      <c r="R180" s="37">
        <v>90</v>
      </c>
      <c r="S180" s="7">
        <f>AVERAGEIF(A:A,A180,R:R)</f>
        <v>90.8</v>
      </c>
      <c r="T180" s="1">
        <v>43912</v>
      </c>
      <c r="U180" s="13" t="str">
        <f t="shared" si="67"/>
        <v>March</v>
      </c>
      <c r="V180" s="12">
        <f t="shared" si="68"/>
        <v>43912</v>
      </c>
      <c r="W180" s="2">
        <v>15.59</v>
      </c>
      <c r="X180" s="37">
        <v>1</v>
      </c>
      <c r="Y180" s="11">
        <f t="shared" si="76"/>
        <v>15.589999999999998</v>
      </c>
      <c r="Z180" s="109"/>
      <c r="AA180" s="37">
        <f>IF(Y180&gt;=Expenses!$C$32,4,IF(Y180&gt;=Expenses!$C$31,3,IF(Y180&gt;=Expenses!$C$30,2,1)))</f>
        <v>1</v>
      </c>
      <c r="AB180" s="37">
        <f t="shared" si="70"/>
        <v>1</v>
      </c>
      <c r="AC180" s="37" t="str">
        <f t="shared" si="71"/>
        <v>2020</v>
      </c>
      <c r="AD180" s="37" t="s">
        <v>1128</v>
      </c>
      <c r="AE180" s="1">
        <v>43879</v>
      </c>
      <c r="AF180" s="13" t="str">
        <f t="shared" si="73"/>
        <v>February</v>
      </c>
      <c r="AG180" s="37" t="str">
        <f t="shared" si="74"/>
        <v>2020</v>
      </c>
    </row>
    <row r="181" spans="1:33" s="37" customFormat="1" ht="18.75" x14ac:dyDescent="0.3">
      <c r="A181" s="37" t="str">
        <f t="shared" si="75"/>
        <v>2017Masseria Li VeliPrimitivo Orion</v>
      </c>
      <c r="B181" s="37">
        <v>2017</v>
      </c>
      <c r="C181" s="37" t="s">
        <v>630</v>
      </c>
      <c r="D181" s="37" t="s">
        <v>631</v>
      </c>
      <c r="E181" s="37" t="s">
        <v>588</v>
      </c>
      <c r="F181" s="37" t="s">
        <v>728</v>
      </c>
      <c r="G181" s="37" t="s">
        <v>785</v>
      </c>
      <c r="H181" s="37" t="s">
        <v>786</v>
      </c>
      <c r="I181" s="37">
        <v>1</v>
      </c>
      <c r="J181" s="37">
        <v>750</v>
      </c>
      <c r="K181" s="37" t="s">
        <v>1316</v>
      </c>
      <c r="L181" s="37">
        <f>SUMIF(Wine1!A:A,Drank!A181,Wine1!I:I)</f>
        <v>2</v>
      </c>
      <c r="O181" s="37">
        <v>2020</v>
      </c>
      <c r="P181" s="37">
        <v>2022</v>
      </c>
      <c r="R181" s="37">
        <v>88</v>
      </c>
      <c r="S181" s="7">
        <f>AVERAGEIF(A:A,A181,R:R)</f>
        <v>88</v>
      </c>
      <c r="T181" s="1">
        <v>43911</v>
      </c>
      <c r="U181" s="13" t="str">
        <f t="shared" si="67"/>
        <v>March</v>
      </c>
      <c r="V181" s="12">
        <f t="shared" si="68"/>
        <v>43911</v>
      </c>
      <c r="W181" s="2">
        <v>12.99</v>
      </c>
      <c r="X181" s="37">
        <v>1</v>
      </c>
      <c r="Y181" s="11">
        <f t="shared" si="76"/>
        <v>12.989999999999998</v>
      </c>
      <c r="Z181" s="109"/>
      <c r="AA181" s="37">
        <f>IF(Y181&gt;=Expenses!$C$32,4,IF(Y181&gt;=Expenses!$C$31,3,IF(Y181&gt;=Expenses!$C$30,2,1)))</f>
        <v>1</v>
      </c>
      <c r="AB181" s="37">
        <f t="shared" si="70"/>
        <v>1</v>
      </c>
      <c r="AC181" s="37" t="str">
        <f t="shared" si="71"/>
        <v>2020</v>
      </c>
      <c r="AD181" s="37" t="s">
        <v>1128</v>
      </c>
      <c r="AE181" s="1">
        <v>43879</v>
      </c>
      <c r="AF181" s="13" t="str">
        <f t="shared" si="73"/>
        <v>February</v>
      </c>
      <c r="AG181" s="37" t="str">
        <f t="shared" si="74"/>
        <v>2020</v>
      </c>
    </row>
    <row r="182" spans="1:33" s="37" customFormat="1" ht="18.75" x14ac:dyDescent="0.3">
      <c r="A182" s="37" t="str">
        <f t="shared" si="75"/>
        <v>2016BrotteGigondas la Marasque</v>
      </c>
      <c r="B182" s="37">
        <v>2016</v>
      </c>
      <c r="C182" s="37" t="s">
        <v>1230</v>
      </c>
      <c r="D182" s="37" t="s">
        <v>1231</v>
      </c>
      <c r="E182" s="37" t="s">
        <v>1233</v>
      </c>
      <c r="F182" s="37" t="s">
        <v>742</v>
      </c>
      <c r="G182" s="37" t="s">
        <v>759</v>
      </c>
      <c r="H182" s="37" t="s">
        <v>764</v>
      </c>
      <c r="I182" s="37">
        <v>1</v>
      </c>
      <c r="J182" s="37">
        <v>750</v>
      </c>
      <c r="K182" s="37" t="s">
        <v>929</v>
      </c>
      <c r="L182" s="37">
        <f>SUMIF(Wine1!A:A,Drank!A182,Wine1!I:I)</f>
        <v>4</v>
      </c>
      <c r="M182" s="37">
        <v>2018</v>
      </c>
      <c r="N182" s="37">
        <v>2023</v>
      </c>
      <c r="O182" s="37">
        <v>2020</v>
      </c>
      <c r="P182" s="37">
        <v>2024</v>
      </c>
      <c r="Q182" s="37" t="s">
        <v>1232</v>
      </c>
      <c r="R182" s="37">
        <v>91</v>
      </c>
      <c r="S182" s="7">
        <f>AVERAGEIF(A:A,A182,R:R)</f>
        <v>91</v>
      </c>
      <c r="T182" s="1">
        <v>43911</v>
      </c>
      <c r="U182" s="13" t="str">
        <f t="shared" si="67"/>
        <v>March</v>
      </c>
      <c r="V182" s="12">
        <f t="shared" si="68"/>
        <v>43911</v>
      </c>
      <c r="W182" s="2">
        <v>16.989999999999998</v>
      </c>
      <c r="X182" s="37">
        <v>1</v>
      </c>
      <c r="Y182" s="11">
        <f t="shared" si="76"/>
        <v>16.989999999999998</v>
      </c>
      <c r="Z182" s="109"/>
      <c r="AA182" s="37">
        <f>IF(Y182&gt;=Expenses!$C$32,4,IF(Y182&gt;=Expenses!$C$31,3,IF(Y182&gt;=Expenses!$C$30,2,1)))</f>
        <v>2</v>
      </c>
      <c r="AB182" s="37">
        <f t="shared" si="70"/>
        <v>1</v>
      </c>
      <c r="AC182" s="37" t="str">
        <f t="shared" si="71"/>
        <v>2020</v>
      </c>
      <c r="AD182" s="37" t="s">
        <v>384</v>
      </c>
      <c r="AE182" s="1">
        <v>43863</v>
      </c>
      <c r="AF182" s="13" t="str">
        <f t="shared" si="73"/>
        <v>February</v>
      </c>
      <c r="AG182" s="37" t="str">
        <f t="shared" si="74"/>
        <v>2020</v>
      </c>
    </row>
    <row r="183" spans="1:33" s="37" customFormat="1" ht="18.75" x14ac:dyDescent="0.3">
      <c r="A183" s="37" t="str">
        <f t="shared" si="75"/>
        <v>2017SichelSichel</v>
      </c>
      <c r="B183" s="37">
        <v>2017</v>
      </c>
      <c r="C183" s="37" t="s">
        <v>409</v>
      </c>
      <c r="D183" s="37" t="s">
        <v>409</v>
      </c>
      <c r="E183" s="37" t="s">
        <v>1200</v>
      </c>
      <c r="F183" s="37" t="s">
        <v>742</v>
      </c>
      <c r="G183" s="37" t="s">
        <v>748</v>
      </c>
      <c r="H183" s="37" t="s">
        <v>260</v>
      </c>
      <c r="I183" s="37">
        <v>1</v>
      </c>
      <c r="J183" s="37">
        <v>375</v>
      </c>
      <c r="K183" s="37" t="s">
        <v>236</v>
      </c>
      <c r="L183" s="37">
        <f>SUMIF(Wine1!A:A,Drank!A183,Wine1!I:I)</f>
        <v>20</v>
      </c>
      <c r="O183" s="37">
        <v>2020</v>
      </c>
      <c r="P183" s="37">
        <v>2040</v>
      </c>
      <c r="R183" s="37">
        <v>90</v>
      </c>
      <c r="S183" s="7">
        <f>AVERAGEIF(A:A,A183,R:R)</f>
        <v>89.7</v>
      </c>
      <c r="T183" s="1">
        <v>43907</v>
      </c>
      <c r="U183" s="13" t="str">
        <f t="shared" si="67"/>
        <v>March</v>
      </c>
      <c r="V183" s="12">
        <f t="shared" si="68"/>
        <v>43907</v>
      </c>
      <c r="W183" s="2">
        <v>12</v>
      </c>
      <c r="X183" s="37">
        <v>0</v>
      </c>
      <c r="Y183" s="11">
        <f t="shared" si="76"/>
        <v>24</v>
      </c>
      <c r="Z183" s="109"/>
      <c r="AA183" s="37">
        <f>IF(Y183&gt;=Expenses!$C$32,4,IF(Y183&gt;=Expenses!$C$31,3,IF(Y183&gt;=Expenses!$C$30,2,1)))</f>
        <v>2</v>
      </c>
      <c r="AB183" s="37">
        <f t="shared" si="70"/>
        <v>0.5</v>
      </c>
      <c r="AC183" s="37" t="str">
        <f t="shared" si="71"/>
        <v>2020</v>
      </c>
      <c r="AD183" s="37" t="s">
        <v>385</v>
      </c>
      <c r="AE183" s="1">
        <v>43845</v>
      </c>
      <c r="AF183" s="13" t="str">
        <f t="shared" si="73"/>
        <v>January</v>
      </c>
      <c r="AG183" s="37" t="str">
        <f t="shared" si="74"/>
        <v>2020</v>
      </c>
    </row>
    <row r="184" spans="1:33" s="37" customFormat="1" ht="18.75" x14ac:dyDescent="0.3">
      <c r="A184" s="37" t="str">
        <f t="shared" si="75"/>
        <v>2017Domaine de l'AmandineCotes du Rhone Villages Seguret</v>
      </c>
      <c r="B184" s="37">
        <v>2017</v>
      </c>
      <c r="C184" s="37" t="s">
        <v>361</v>
      </c>
      <c r="D184" s="37" t="s">
        <v>362</v>
      </c>
      <c r="E184" s="37" t="s">
        <v>1197</v>
      </c>
      <c r="F184" s="37" t="s">
        <v>742</v>
      </c>
      <c r="G184" s="37" t="s">
        <v>759</v>
      </c>
      <c r="H184" s="37" t="s">
        <v>760</v>
      </c>
      <c r="I184" s="37">
        <v>1</v>
      </c>
      <c r="J184" s="37">
        <v>750</v>
      </c>
      <c r="K184" s="37" t="s">
        <v>58</v>
      </c>
      <c r="L184" s="37">
        <f>SUMIF(Wine1!A:A,Drank!A184,Wine1!I:I)</f>
        <v>20</v>
      </c>
      <c r="M184" s="37">
        <v>2018</v>
      </c>
      <c r="N184" s="37">
        <v>2025</v>
      </c>
      <c r="O184" s="37">
        <v>2020</v>
      </c>
      <c r="P184" s="37">
        <v>2024</v>
      </c>
      <c r="R184" s="37">
        <v>93</v>
      </c>
      <c r="S184" s="7">
        <f>AVERAGEIF(A:A,A184,R:R)</f>
        <v>92.470588235294116</v>
      </c>
      <c r="T184" s="1">
        <v>43907</v>
      </c>
      <c r="U184" s="13" t="str">
        <f t="shared" si="67"/>
        <v>March</v>
      </c>
      <c r="V184" s="12">
        <f t="shared" si="68"/>
        <v>43907</v>
      </c>
      <c r="W184" s="2">
        <v>16.28</v>
      </c>
      <c r="X184" s="37">
        <v>1</v>
      </c>
      <c r="Y184" s="11">
        <f t="shared" si="76"/>
        <v>16.28</v>
      </c>
      <c r="Z184" s="109"/>
      <c r="AA184" s="37">
        <f>IF(Y184&gt;=Expenses!$C$32,4,IF(Y184&gt;=Expenses!$C$31,3,IF(Y184&gt;=Expenses!$C$30,2,1)))</f>
        <v>1</v>
      </c>
      <c r="AB184" s="37">
        <f t="shared" si="70"/>
        <v>1</v>
      </c>
      <c r="AC184" s="37" t="str">
        <f t="shared" si="71"/>
        <v>2020</v>
      </c>
      <c r="AD184" s="37" t="s">
        <v>384</v>
      </c>
      <c r="AE184" s="1">
        <v>43885</v>
      </c>
      <c r="AF184" s="13" t="str">
        <f t="shared" ref="AF184:AF189" si="77">TEXT(AE184,"mmmm")</f>
        <v>February</v>
      </c>
      <c r="AG184" s="37" t="str">
        <f t="shared" ref="AG184:AG191" si="78">TEXT(AE184,"yyyy")</f>
        <v>2020</v>
      </c>
    </row>
    <row r="185" spans="1:33" s="37" customFormat="1" ht="18.75" x14ac:dyDescent="0.3">
      <c r="A185" s="37" t="str">
        <f t="shared" si="75"/>
        <v>2016NortonPrivada Family Blend</v>
      </c>
      <c r="B185" s="37">
        <v>2016</v>
      </c>
      <c r="C185" s="37" t="s">
        <v>1227</v>
      </c>
      <c r="D185" s="37" t="s">
        <v>1228</v>
      </c>
      <c r="E185" s="37" t="s">
        <v>1229</v>
      </c>
      <c r="F185" s="37" t="s">
        <v>731</v>
      </c>
      <c r="G185" s="37" t="s">
        <v>732</v>
      </c>
      <c r="I185" s="37">
        <v>1</v>
      </c>
      <c r="J185" s="37">
        <v>750</v>
      </c>
      <c r="K185" s="37" t="s">
        <v>58</v>
      </c>
      <c r="L185" s="37">
        <f>SUMIF(Wine1!A:A,Drank!A185,Wine1!I:I)</f>
        <v>2</v>
      </c>
      <c r="O185" s="37">
        <v>2022</v>
      </c>
      <c r="P185" s="37">
        <v>2025</v>
      </c>
      <c r="R185" s="37">
        <v>88</v>
      </c>
      <c r="S185" s="7">
        <f>AVERAGEIF(A:A,A185,R:R)</f>
        <v>88</v>
      </c>
      <c r="T185" s="1">
        <v>43905</v>
      </c>
      <c r="U185" s="13" t="str">
        <f t="shared" si="67"/>
        <v>March</v>
      </c>
      <c r="V185" s="12">
        <f t="shared" si="68"/>
        <v>43905</v>
      </c>
      <c r="W185" s="2">
        <v>16</v>
      </c>
      <c r="X185" s="37">
        <v>1</v>
      </c>
      <c r="Y185" s="11">
        <f t="shared" ref="Y185:Y191" si="79">W185/J185*750</f>
        <v>16</v>
      </c>
      <c r="Z185" s="109"/>
      <c r="AA185" s="37">
        <f>IF(Y185&gt;=Expenses!$C$32,4,IF(Y185&gt;=Expenses!$C$31,3,IF(Y185&gt;=Expenses!$C$30,2,1)))</f>
        <v>1</v>
      </c>
      <c r="AB185" s="37">
        <f t="shared" si="70"/>
        <v>1</v>
      </c>
      <c r="AC185" s="37" t="str">
        <f t="shared" si="71"/>
        <v>2020</v>
      </c>
      <c r="AD185" s="37" t="s">
        <v>385</v>
      </c>
      <c r="AE185" s="1">
        <v>43862</v>
      </c>
      <c r="AF185" s="13" t="str">
        <f t="shared" si="77"/>
        <v>February</v>
      </c>
      <c r="AG185" s="37" t="str">
        <f t="shared" si="78"/>
        <v>2020</v>
      </c>
    </row>
    <row r="186" spans="1:33" s="37" customFormat="1" ht="18.75" x14ac:dyDescent="0.3">
      <c r="A186" s="37" t="str">
        <f t="shared" si="75"/>
        <v>2015OdderoBarolo</v>
      </c>
      <c r="B186" s="37">
        <v>2015</v>
      </c>
      <c r="C186" s="37" t="s">
        <v>1173</v>
      </c>
      <c r="D186" s="37" t="s">
        <v>268</v>
      </c>
      <c r="E186" s="37" t="s">
        <v>1206</v>
      </c>
      <c r="F186" s="37" t="s">
        <v>728</v>
      </c>
      <c r="G186" s="37" t="s">
        <v>778</v>
      </c>
      <c r="H186" s="37" t="s">
        <v>268</v>
      </c>
      <c r="I186" s="37">
        <v>1</v>
      </c>
      <c r="J186" s="37">
        <v>375</v>
      </c>
      <c r="K186" s="37" t="s">
        <v>658</v>
      </c>
      <c r="L186" s="37">
        <f>SUMIF(Wine1!A:A,Drank!A186,Wine1!I:I)</f>
        <v>22</v>
      </c>
      <c r="M186" s="37">
        <v>2020</v>
      </c>
      <c r="N186" s="37">
        <v>2035</v>
      </c>
      <c r="O186" s="37">
        <v>2022</v>
      </c>
      <c r="P186" s="37">
        <v>2035</v>
      </c>
      <c r="Q186" s="37" t="s">
        <v>74</v>
      </c>
      <c r="R186" s="37">
        <v>93</v>
      </c>
      <c r="S186" s="7">
        <f>AVERAGEIF(A:A,A186,R:R)</f>
        <v>93</v>
      </c>
      <c r="T186" s="1">
        <v>43905</v>
      </c>
      <c r="U186" s="13" t="str">
        <f t="shared" si="67"/>
        <v>March</v>
      </c>
      <c r="V186" s="12">
        <f t="shared" si="68"/>
        <v>43905</v>
      </c>
      <c r="W186" s="2">
        <v>26.48</v>
      </c>
      <c r="X186" s="37">
        <v>1</v>
      </c>
      <c r="Y186" s="11">
        <f t="shared" si="79"/>
        <v>52.96</v>
      </c>
      <c r="Z186" s="109"/>
      <c r="AA186" s="37">
        <f>IF(Y186&gt;=Expenses!$C$32,4,IF(Y186&gt;=Expenses!$C$31,3,IF(Y186&gt;=Expenses!$C$30,2,1)))</f>
        <v>3</v>
      </c>
      <c r="AB186" s="37">
        <f t="shared" si="70"/>
        <v>0.5</v>
      </c>
      <c r="AC186" s="37" t="str">
        <f t="shared" si="71"/>
        <v>2020</v>
      </c>
      <c r="AD186" s="37" t="s">
        <v>1175</v>
      </c>
      <c r="AE186" s="1">
        <v>43858</v>
      </c>
      <c r="AF186" s="13" t="str">
        <f t="shared" si="77"/>
        <v>January</v>
      </c>
      <c r="AG186" s="37" t="str">
        <f t="shared" si="78"/>
        <v>2020</v>
      </c>
    </row>
    <row r="187" spans="1:33" s="37" customFormat="1" ht="18.75" x14ac:dyDescent="0.3">
      <c r="A187" s="37" t="str">
        <f t="shared" si="75"/>
        <v>2015OdderoBarolo</v>
      </c>
      <c r="B187" s="37">
        <v>2015</v>
      </c>
      <c r="C187" s="37" t="s">
        <v>1173</v>
      </c>
      <c r="D187" s="37" t="s">
        <v>268</v>
      </c>
      <c r="E187" s="37" t="s">
        <v>1206</v>
      </c>
      <c r="F187" s="37" t="s">
        <v>728</v>
      </c>
      <c r="G187" s="37" t="s">
        <v>778</v>
      </c>
      <c r="H187" s="37" t="s">
        <v>268</v>
      </c>
      <c r="I187" s="37">
        <v>1</v>
      </c>
      <c r="J187" s="37">
        <v>750</v>
      </c>
      <c r="K187" s="37" t="s">
        <v>253</v>
      </c>
      <c r="L187" s="37">
        <f>SUMIF(Wine1!A:A,Drank!A187,Wine1!I:I)</f>
        <v>22</v>
      </c>
      <c r="M187" s="37">
        <v>2020</v>
      </c>
      <c r="N187" s="37">
        <v>2035</v>
      </c>
      <c r="O187" s="37">
        <v>2022</v>
      </c>
      <c r="P187" s="37">
        <v>2035</v>
      </c>
      <c r="Q187" s="37" t="s">
        <v>74</v>
      </c>
      <c r="R187" s="37">
        <v>93</v>
      </c>
      <c r="S187" s="7">
        <f>AVERAGEIF(A:A,A187,R:R)</f>
        <v>93</v>
      </c>
      <c r="T187" s="1">
        <v>43905</v>
      </c>
      <c r="U187" s="13" t="str">
        <f t="shared" si="67"/>
        <v>March</v>
      </c>
      <c r="V187" s="12">
        <f t="shared" si="68"/>
        <v>43905</v>
      </c>
      <c r="W187" s="2">
        <v>40.229999999999997</v>
      </c>
      <c r="X187" s="37">
        <v>1</v>
      </c>
      <c r="Y187" s="11">
        <f t="shared" si="79"/>
        <v>40.229999999999997</v>
      </c>
      <c r="Z187" s="109"/>
      <c r="AA187" s="37">
        <f>IF(Y187&gt;=Expenses!$C$32,4,IF(Y187&gt;=Expenses!$C$31,3,IF(Y187&gt;=Expenses!$C$30,2,1)))</f>
        <v>3</v>
      </c>
      <c r="AB187" s="37">
        <f t="shared" si="70"/>
        <v>1</v>
      </c>
      <c r="AC187" s="37" t="str">
        <f t="shared" si="71"/>
        <v>2020</v>
      </c>
      <c r="AD187" s="37" t="s">
        <v>1174</v>
      </c>
      <c r="AE187" s="1">
        <v>43858</v>
      </c>
      <c r="AF187" s="13" t="str">
        <f t="shared" si="77"/>
        <v>January</v>
      </c>
      <c r="AG187" s="37" t="str">
        <f t="shared" si="78"/>
        <v>2020</v>
      </c>
    </row>
    <row r="188" spans="1:33" s="37" customFormat="1" ht="18.75" x14ac:dyDescent="0.3">
      <c r="A188" s="67" t="str">
        <f t="shared" si="75"/>
        <v>2016FontanabiancaBarbaresco</v>
      </c>
      <c r="B188" s="37">
        <v>2016</v>
      </c>
      <c r="C188" s="37" t="s">
        <v>1312</v>
      </c>
      <c r="D188" s="37" t="s">
        <v>249</v>
      </c>
      <c r="E188" s="37" t="s">
        <v>1206</v>
      </c>
      <c r="F188" s="37" t="s">
        <v>728</v>
      </c>
      <c r="G188" s="37" t="s">
        <v>778</v>
      </c>
      <c r="H188" s="37" t="s">
        <v>249</v>
      </c>
      <c r="I188" s="37">
        <v>1</v>
      </c>
      <c r="J188" s="37">
        <v>750</v>
      </c>
      <c r="K188" s="37" t="s">
        <v>253</v>
      </c>
      <c r="L188" s="37">
        <f>SUMIF(Wine1!A:A,Drank!A188,Wine1!I:I)</f>
        <v>3</v>
      </c>
      <c r="M188" s="37">
        <v>2020</v>
      </c>
      <c r="N188" s="37">
        <v>2033</v>
      </c>
      <c r="P188" s="37">
        <v>2033</v>
      </c>
      <c r="Q188" s="37">
        <v>93</v>
      </c>
      <c r="R188" s="37">
        <v>93</v>
      </c>
      <c r="S188" s="7">
        <f>AVERAGEIF(A:A,A188,R:R)</f>
        <v>93.5</v>
      </c>
      <c r="T188" s="1">
        <v>43904</v>
      </c>
      <c r="U188" s="13" t="str">
        <f t="shared" si="67"/>
        <v>March</v>
      </c>
      <c r="V188" s="12">
        <f t="shared" si="68"/>
        <v>43904</v>
      </c>
      <c r="W188" s="2">
        <v>37.79</v>
      </c>
      <c r="X188" s="37">
        <v>1</v>
      </c>
      <c r="Y188" s="11">
        <f t="shared" si="79"/>
        <v>37.79</v>
      </c>
      <c r="Z188" s="109"/>
      <c r="AA188" s="37">
        <f>IF(Y188&gt;=Expenses!$C$32,4,IF(Y188&gt;=Expenses!$C$31,3,IF(Y188&gt;=Expenses!$C$30,2,1)))</f>
        <v>3</v>
      </c>
      <c r="AB188" s="37">
        <f t="shared" si="70"/>
        <v>1</v>
      </c>
      <c r="AC188" s="37" t="str">
        <f t="shared" si="71"/>
        <v>2020</v>
      </c>
      <c r="AD188" s="37" t="s">
        <v>1128</v>
      </c>
      <c r="AE188" s="1">
        <v>43903</v>
      </c>
      <c r="AF188" s="13" t="str">
        <f t="shared" si="77"/>
        <v>March</v>
      </c>
      <c r="AG188" s="37" t="str">
        <f t="shared" si="78"/>
        <v>2020</v>
      </c>
    </row>
    <row r="189" spans="1:33" s="37" customFormat="1" ht="18.75" x14ac:dyDescent="0.3">
      <c r="A189" s="37" t="str">
        <f t="shared" si="75"/>
        <v>2016ViettiLanghe Nebbiolo Perbacco</v>
      </c>
      <c r="B189" s="37">
        <v>2016</v>
      </c>
      <c r="C189" s="37" t="s">
        <v>1186</v>
      </c>
      <c r="D189" s="37" t="s">
        <v>1187</v>
      </c>
      <c r="E189" s="37" t="s">
        <v>288</v>
      </c>
      <c r="F189" s="37" t="s">
        <v>728</v>
      </c>
      <c r="G189" s="37" t="s">
        <v>778</v>
      </c>
      <c r="H189" s="37" t="s">
        <v>1193</v>
      </c>
      <c r="I189" s="37">
        <v>1</v>
      </c>
      <c r="J189" s="37">
        <v>750</v>
      </c>
      <c r="K189" s="37" t="s">
        <v>652</v>
      </c>
      <c r="L189" s="37">
        <f>SUMIF(Wine1!A:A,Drank!A189,Wine1!I:I)</f>
        <v>1</v>
      </c>
      <c r="M189" s="37">
        <v>2019</v>
      </c>
      <c r="N189" s="37">
        <v>2026</v>
      </c>
      <c r="O189" s="37">
        <v>2028</v>
      </c>
      <c r="P189" s="37">
        <v>2028</v>
      </c>
      <c r="Q189" s="37">
        <v>93</v>
      </c>
      <c r="R189" s="37">
        <v>92</v>
      </c>
      <c r="S189" s="7">
        <f>AVERAGEIF(A:A,A189,R:R)</f>
        <v>92</v>
      </c>
      <c r="T189" s="1">
        <v>43904</v>
      </c>
      <c r="U189" s="13" t="str">
        <f t="shared" si="67"/>
        <v>March</v>
      </c>
      <c r="V189" s="12">
        <f t="shared" si="68"/>
        <v>43904</v>
      </c>
      <c r="W189" s="2">
        <v>18.940000000000001</v>
      </c>
      <c r="X189" s="37">
        <v>1</v>
      </c>
      <c r="Y189" s="11">
        <f t="shared" si="79"/>
        <v>18.940000000000001</v>
      </c>
      <c r="Z189" s="109"/>
      <c r="AA189" s="37">
        <f>IF(Y189&gt;=Expenses!$C$32,4,IF(Y189&gt;=Expenses!$C$31,3,IF(Y189&gt;=Expenses!$C$30,2,1)))</f>
        <v>2</v>
      </c>
      <c r="AB189" s="37">
        <f t="shared" si="70"/>
        <v>1</v>
      </c>
      <c r="AC189" s="37" t="str">
        <f t="shared" si="71"/>
        <v>2020</v>
      </c>
      <c r="AD189" s="37" t="s">
        <v>1189</v>
      </c>
      <c r="AE189" s="1"/>
      <c r="AF189" s="13" t="str">
        <f t="shared" si="77"/>
        <v>January</v>
      </c>
      <c r="AG189" s="37" t="str">
        <f t="shared" si="78"/>
        <v>1900</v>
      </c>
    </row>
    <row r="190" spans="1:33" s="37" customFormat="1" ht="18.75" x14ac:dyDescent="0.3">
      <c r="A190" s="37" t="str">
        <f t="shared" si="75"/>
        <v>2010Cosimo TaurinoNegroamaro Notarpanaro</v>
      </c>
      <c r="B190" s="37">
        <v>2010</v>
      </c>
      <c r="C190" s="37" t="s">
        <v>56</v>
      </c>
      <c r="D190" s="37" t="s">
        <v>1310</v>
      </c>
      <c r="E190" s="37" t="s">
        <v>1311</v>
      </c>
      <c r="F190" s="37" t="s">
        <v>728</v>
      </c>
      <c r="G190" s="37" t="s">
        <v>785</v>
      </c>
      <c r="H190" s="37" t="s">
        <v>786</v>
      </c>
      <c r="I190" s="37">
        <v>1</v>
      </c>
      <c r="J190" s="37">
        <v>750</v>
      </c>
      <c r="K190" s="37" t="s">
        <v>435</v>
      </c>
      <c r="L190" s="37">
        <f>SUMIF(Wine1!A:A,Drank!A190,Wine1!I:I)</f>
        <v>3</v>
      </c>
      <c r="P190" s="37">
        <v>2025</v>
      </c>
      <c r="R190" s="37">
        <v>91</v>
      </c>
      <c r="S190" s="7">
        <f>AVERAGEIF(A:A,A190,R:R)</f>
        <v>90</v>
      </c>
      <c r="T190" s="1">
        <v>43903</v>
      </c>
      <c r="U190" s="13" t="str">
        <f t="shared" ref="U190:U222" si="80">TEXT(T190,"mmmm")</f>
        <v>March</v>
      </c>
      <c r="V190" s="12">
        <f t="shared" si="68"/>
        <v>43903</v>
      </c>
      <c r="W190" s="2">
        <v>15.29</v>
      </c>
      <c r="X190" s="37">
        <v>0</v>
      </c>
      <c r="Y190" s="11">
        <f t="shared" si="79"/>
        <v>15.289999999999997</v>
      </c>
      <c r="Z190" s="109"/>
      <c r="AA190" s="37">
        <f>IF(Y190&gt;=Expenses!$C$32,4,IF(Y190&gt;=Expenses!$C$31,3,IF(Y190&gt;=Expenses!$C$30,2,1)))</f>
        <v>1</v>
      </c>
      <c r="AB190" s="37">
        <f t="shared" si="70"/>
        <v>1</v>
      </c>
      <c r="AC190" s="37" t="str">
        <f t="shared" si="71"/>
        <v>2020</v>
      </c>
      <c r="AD190" s="37" t="s">
        <v>1128</v>
      </c>
      <c r="AE190" s="1">
        <v>43903</v>
      </c>
      <c r="AF190" s="13" t="str">
        <f t="shared" ref="AF190:AF205" si="81">TEXT(AE190,"mmmm")</f>
        <v>March</v>
      </c>
      <c r="AG190" s="37" t="str">
        <f t="shared" si="78"/>
        <v>2020</v>
      </c>
    </row>
    <row r="191" spans="1:33" s="37" customFormat="1" ht="18.75" x14ac:dyDescent="0.3">
      <c r="A191" s="37" t="str">
        <f>CONCATENATE(B191,C191,D191)</f>
        <v>2010Cosimo TaurinoSalice Salentino Riserva</v>
      </c>
      <c r="B191" s="37">
        <v>2010</v>
      </c>
      <c r="C191" s="37" t="s">
        <v>56</v>
      </c>
      <c r="D191" s="37" t="s">
        <v>57</v>
      </c>
      <c r="E191" s="37" t="s">
        <v>1204</v>
      </c>
      <c r="F191" s="37" t="s">
        <v>728</v>
      </c>
      <c r="G191" s="37" t="s">
        <v>785</v>
      </c>
      <c r="H191" s="37" t="s">
        <v>769</v>
      </c>
      <c r="I191" s="37">
        <v>1</v>
      </c>
      <c r="J191" s="37">
        <v>750</v>
      </c>
      <c r="K191" s="37" t="s">
        <v>652</v>
      </c>
      <c r="L191" s="37">
        <f>SUMIF(Wine1!A:A,Drank!A191,Wine1!I:I)</f>
        <v>19</v>
      </c>
      <c r="O191" s="37">
        <v>2020</v>
      </c>
      <c r="P191" s="37">
        <v>2022</v>
      </c>
      <c r="R191" s="37">
        <v>90</v>
      </c>
      <c r="S191" s="7">
        <f>AVERAGEIF(A:A,A191,R:R)</f>
        <v>89.46875</v>
      </c>
      <c r="T191" s="1">
        <v>43898</v>
      </c>
      <c r="U191" s="13" t="str">
        <f t="shared" si="80"/>
        <v>March</v>
      </c>
      <c r="V191" s="12">
        <f t="shared" si="68"/>
        <v>43898</v>
      </c>
      <c r="W191" s="2">
        <v>13.49</v>
      </c>
      <c r="X191" s="37">
        <v>0</v>
      </c>
      <c r="Y191" s="11">
        <f t="shared" si="79"/>
        <v>13.490000000000002</v>
      </c>
      <c r="Z191" s="109"/>
      <c r="AA191" s="37">
        <f>IF(Y191&gt;=Expenses!$C$32,4,IF(Y191&gt;=Expenses!$C$31,3,IF(Y191&gt;=Expenses!$C$30,2,1)))</f>
        <v>1</v>
      </c>
      <c r="AB191" s="37">
        <f t="shared" si="70"/>
        <v>1</v>
      </c>
      <c r="AC191" s="37" t="str">
        <f t="shared" si="71"/>
        <v>2020</v>
      </c>
      <c r="AD191" s="37" t="s">
        <v>1128</v>
      </c>
      <c r="AE191" s="1"/>
      <c r="AF191" s="13" t="str">
        <f t="shared" si="81"/>
        <v>January</v>
      </c>
      <c r="AG191" s="37" t="str">
        <f t="shared" si="78"/>
        <v>1900</v>
      </c>
    </row>
    <row r="192" spans="1:33" s="37" customFormat="1" ht="18.75" x14ac:dyDescent="0.3">
      <c r="A192" s="64" t="str">
        <f>CONCATENATE(B192,C192,D192)</f>
        <v>2016FelsinaChianti Classico Riserva Rancia</v>
      </c>
      <c r="B192" s="37">
        <v>2016</v>
      </c>
      <c r="C192" s="37" t="s">
        <v>795</v>
      </c>
      <c r="D192" s="37" t="s">
        <v>845</v>
      </c>
      <c r="E192" s="37" t="s">
        <v>1250</v>
      </c>
      <c r="F192" s="37" t="s">
        <v>728</v>
      </c>
      <c r="G192" s="37" t="s">
        <v>790</v>
      </c>
      <c r="H192" s="37" t="s">
        <v>792</v>
      </c>
      <c r="I192" s="37">
        <v>1</v>
      </c>
      <c r="J192" s="37">
        <v>750</v>
      </c>
      <c r="K192" s="37" t="s">
        <v>839</v>
      </c>
      <c r="L192" s="37">
        <f>SUMIF(Wine1!A:A,Drank!A192,Wine1!I:I)</f>
        <v>5</v>
      </c>
      <c r="M192" s="37">
        <v>2020</v>
      </c>
      <c r="N192" s="37">
        <v>2040</v>
      </c>
      <c r="O192" s="37">
        <v>2027</v>
      </c>
      <c r="P192" s="37">
        <v>2037</v>
      </c>
      <c r="Q192" s="37">
        <v>96</v>
      </c>
      <c r="R192" s="37">
        <v>96</v>
      </c>
      <c r="S192" s="7">
        <f>AVERAGEIF(A:A,A192,R:R)</f>
        <v>96</v>
      </c>
      <c r="T192" s="1">
        <v>43897</v>
      </c>
      <c r="U192" s="13" t="str">
        <f t="shared" si="80"/>
        <v>March</v>
      </c>
      <c r="V192" s="12">
        <f t="shared" ref="V192:V222" si="82">T192</f>
        <v>43897</v>
      </c>
      <c r="W192" s="2">
        <v>54.99</v>
      </c>
      <c r="X192" s="37">
        <v>1</v>
      </c>
      <c r="Y192" s="11">
        <f t="shared" ref="Y192:Y223" si="83">W192/J192*750</f>
        <v>54.989999999999995</v>
      </c>
      <c r="Z192" s="109"/>
      <c r="AA192" s="37">
        <f>IF(Y192&gt;=Expenses!$C$32,4,IF(Y192&gt;=Expenses!$C$31,3,IF(Y192&gt;=Expenses!$C$30,2,1)))</f>
        <v>3</v>
      </c>
      <c r="AB192" s="37">
        <f t="shared" ref="AB192:AB223" si="84">J192/750</f>
        <v>1</v>
      </c>
      <c r="AC192" s="37" t="str">
        <f t="shared" ref="AC192:AC223" si="85">TEXT(T192,"yyyy")</f>
        <v>2020</v>
      </c>
      <c r="AD192" s="37" t="s">
        <v>1139</v>
      </c>
      <c r="AE192" s="1">
        <v>3</v>
      </c>
      <c r="AF192" s="13" t="str">
        <f t="shared" si="81"/>
        <v>January</v>
      </c>
      <c r="AG192" s="37" t="str">
        <f t="shared" ref="AG192:AG205" si="86">TEXT(AE192,"yyyy")</f>
        <v>1900</v>
      </c>
    </row>
    <row r="193" spans="1:33" s="37" customFormat="1" ht="18.75" x14ac:dyDescent="0.3">
      <c r="A193" s="37" t="str">
        <f t="shared" ref="A193:A207" si="87">CONCATENATE(B193,C193,D193)</f>
        <v>2016Yves CheronGigondas La Grand Comtadine Heritiers Cheron-Misset</v>
      </c>
      <c r="B193" s="37">
        <v>2016</v>
      </c>
      <c r="C193" s="37" t="s">
        <v>413</v>
      </c>
      <c r="D193" s="37" t="s">
        <v>414</v>
      </c>
      <c r="E193" s="37" t="s">
        <v>1249</v>
      </c>
      <c r="F193" s="37" t="s">
        <v>742</v>
      </c>
      <c r="G193" s="37" t="s">
        <v>759</v>
      </c>
      <c r="H193" s="37" t="s">
        <v>764</v>
      </c>
      <c r="I193" s="37">
        <v>1</v>
      </c>
      <c r="J193" s="37">
        <v>750</v>
      </c>
      <c r="K193" s="37" t="s">
        <v>661</v>
      </c>
      <c r="L193" s="37">
        <f>SUMIF(Wine1!A:A,Drank!A193,Wine1!I:I)</f>
        <v>5</v>
      </c>
      <c r="M193" s="37">
        <v>2018</v>
      </c>
      <c r="N193" s="37">
        <v>2028</v>
      </c>
      <c r="O193" s="37">
        <v>2022</v>
      </c>
      <c r="P193" s="37">
        <v>2028</v>
      </c>
      <c r="Q193" s="37">
        <v>93</v>
      </c>
      <c r="R193" s="37">
        <v>92</v>
      </c>
      <c r="S193" s="7">
        <f>AVERAGEIF(A:A,A193,R:R)</f>
        <v>92</v>
      </c>
      <c r="T193" s="1">
        <v>43897</v>
      </c>
      <c r="U193" s="13" t="str">
        <f t="shared" si="80"/>
        <v>March</v>
      </c>
      <c r="V193" s="12">
        <f t="shared" si="82"/>
        <v>43897</v>
      </c>
      <c r="W193" s="2">
        <v>23</v>
      </c>
      <c r="X193" s="37">
        <v>1</v>
      </c>
      <c r="Y193" s="11">
        <f t="shared" si="83"/>
        <v>23</v>
      </c>
      <c r="Z193" s="109"/>
      <c r="AA193" s="37">
        <f>IF(Y193&gt;=Expenses!$C$32,4,IF(Y193&gt;=Expenses!$C$31,3,IF(Y193&gt;=Expenses!$C$30,2,1)))</f>
        <v>2</v>
      </c>
      <c r="AB193" s="37">
        <f t="shared" si="84"/>
        <v>1</v>
      </c>
      <c r="AC193" s="37" t="str">
        <f t="shared" si="85"/>
        <v>2020</v>
      </c>
      <c r="AD193" s="37" t="s">
        <v>384</v>
      </c>
      <c r="AE193" s="1">
        <v>2</v>
      </c>
      <c r="AF193" s="13" t="str">
        <f t="shared" si="81"/>
        <v>January</v>
      </c>
      <c r="AG193" s="37" t="str">
        <f t="shared" si="86"/>
        <v>1900</v>
      </c>
    </row>
    <row r="194" spans="1:33" s="37" customFormat="1" ht="18.75" x14ac:dyDescent="0.3">
      <c r="A194" s="37" t="str">
        <f t="shared" si="87"/>
        <v>2014Prunus DaoPrivate Selection</v>
      </c>
      <c r="B194" s="37">
        <v>2014</v>
      </c>
      <c r="C194" s="37" t="s">
        <v>610</v>
      </c>
      <c r="D194" s="37" t="s">
        <v>611</v>
      </c>
      <c r="E194" s="37" t="s">
        <v>612</v>
      </c>
      <c r="F194" s="37" t="s">
        <v>804</v>
      </c>
      <c r="G194" s="37" t="s">
        <v>837</v>
      </c>
      <c r="I194" s="37">
        <v>1</v>
      </c>
      <c r="J194" s="37">
        <v>750</v>
      </c>
      <c r="K194" s="37" t="s">
        <v>929</v>
      </c>
      <c r="L194" s="37">
        <f>SUMIF(Wine1!A:A,Drank!A194,Wine1!I:I)</f>
        <v>1</v>
      </c>
      <c r="O194" s="37">
        <v>2020</v>
      </c>
      <c r="P194" s="37">
        <v>2021</v>
      </c>
      <c r="R194" s="37">
        <v>89</v>
      </c>
      <c r="S194" s="7">
        <f>AVERAGEIF(A:A,A194,R:R)</f>
        <v>88</v>
      </c>
      <c r="T194" s="1">
        <v>43891</v>
      </c>
      <c r="U194" s="13" t="str">
        <f t="shared" si="80"/>
        <v>March</v>
      </c>
      <c r="V194" s="12">
        <f t="shared" si="82"/>
        <v>43891</v>
      </c>
      <c r="W194" s="2">
        <v>9.99</v>
      </c>
      <c r="X194" s="37">
        <v>0</v>
      </c>
      <c r="Y194" s="11">
        <f t="shared" si="83"/>
        <v>9.99</v>
      </c>
      <c r="Z194" s="109"/>
      <c r="AA194" s="37">
        <f>IF(Y194&gt;=Expenses!$C$32,4,IF(Y194&gt;=Expenses!$C$31,3,IF(Y194&gt;=Expenses!$C$30,2,1)))</f>
        <v>1</v>
      </c>
      <c r="AB194" s="37">
        <f t="shared" si="84"/>
        <v>1</v>
      </c>
      <c r="AC194" s="37" t="str">
        <f t="shared" si="85"/>
        <v>2020</v>
      </c>
      <c r="AD194" s="37" t="s">
        <v>384</v>
      </c>
      <c r="AE194" s="1">
        <v>43803</v>
      </c>
      <c r="AF194" s="13" t="str">
        <f t="shared" si="81"/>
        <v>December</v>
      </c>
      <c r="AG194" s="37" t="str">
        <f t="shared" si="86"/>
        <v>2019</v>
      </c>
    </row>
    <row r="195" spans="1:33" s="37" customFormat="1" ht="18.75" x14ac:dyDescent="0.3">
      <c r="A195" s="37" t="str">
        <f t="shared" si="87"/>
        <v>2017Altos Las HormigasMalbec Appellation Altamira</v>
      </c>
      <c r="B195" s="37">
        <v>2017</v>
      </c>
      <c r="C195" s="37" t="s">
        <v>232</v>
      </c>
      <c r="D195" s="37" t="s">
        <v>1178</v>
      </c>
      <c r="E195" s="37" t="s">
        <v>281</v>
      </c>
      <c r="F195" s="37" t="s">
        <v>731</v>
      </c>
      <c r="G195" s="37" t="s">
        <v>732</v>
      </c>
      <c r="H195" s="37" t="s">
        <v>1191</v>
      </c>
      <c r="I195" s="37">
        <v>1</v>
      </c>
      <c r="J195" s="37">
        <v>750</v>
      </c>
      <c r="K195" s="37" t="s">
        <v>652</v>
      </c>
      <c r="L195" s="37">
        <f>SUMIF(Wine1!A:A,Drank!A195,Wine1!I:I)</f>
        <v>0</v>
      </c>
      <c r="M195" s="37">
        <v>2019</v>
      </c>
      <c r="N195" s="37">
        <v>2027</v>
      </c>
      <c r="P195" s="37">
        <v>2025</v>
      </c>
      <c r="Q195" s="37">
        <v>95</v>
      </c>
      <c r="R195" s="37">
        <v>92</v>
      </c>
      <c r="S195" s="7">
        <f>AVERAGEIF(A:A,A195,R:R)</f>
        <v>92</v>
      </c>
      <c r="T195" s="1">
        <v>43890</v>
      </c>
      <c r="U195" s="13" t="str">
        <f t="shared" si="80"/>
        <v>February</v>
      </c>
      <c r="V195" s="12">
        <f t="shared" si="82"/>
        <v>43890</v>
      </c>
      <c r="W195" s="2">
        <v>39.97</v>
      </c>
      <c r="X195" s="37">
        <v>1</v>
      </c>
      <c r="Y195" s="11">
        <f t="shared" si="83"/>
        <v>39.97</v>
      </c>
      <c r="Z195" s="109"/>
      <c r="AA195" s="37">
        <f>IF(Y195&gt;=Expenses!$C$32,4,IF(Y195&gt;=Expenses!$C$31,3,IF(Y195&gt;=Expenses!$C$30,2,1)))</f>
        <v>3</v>
      </c>
      <c r="AB195" s="37">
        <f t="shared" si="84"/>
        <v>1</v>
      </c>
      <c r="AC195" s="37" t="str">
        <f t="shared" si="85"/>
        <v>2020</v>
      </c>
      <c r="AD195" s="37" t="s">
        <v>1188</v>
      </c>
      <c r="AE195" s="1">
        <v>43860</v>
      </c>
      <c r="AF195" s="13" t="str">
        <f t="shared" si="81"/>
        <v>January</v>
      </c>
      <c r="AG195" s="37" t="str">
        <f t="shared" si="86"/>
        <v>2020</v>
      </c>
    </row>
    <row r="196" spans="1:33" s="37" customFormat="1" ht="18.75" x14ac:dyDescent="0.3">
      <c r="A196" s="37" t="str">
        <f t="shared" si="87"/>
        <v>2015Giuseppe CampagnolaAmarone della Valpolicella Classico Vigneti Vallata di Marano</v>
      </c>
      <c r="B196" s="37">
        <v>2015</v>
      </c>
      <c r="C196" s="37" t="s">
        <v>311</v>
      </c>
      <c r="D196" s="37" t="s">
        <v>592</v>
      </c>
      <c r="E196" s="37" t="s">
        <v>313</v>
      </c>
      <c r="F196" s="37" t="s">
        <v>728</v>
      </c>
      <c r="G196" s="37" t="s">
        <v>799</v>
      </c>
      <c r="H196" s="37" t="s">
        <v>800</v>
      </c>
      <c r="I196" s="37">
        <v>1</v>
      </c>
      <c r="J196" s="37">
        <v>750</v>
      </c>
      <c r="K196" s="37" t="s">
        <v>661</v>
      </c>
      <c r="L196" s="37">
        <f>SUMIF(Wine1!A:A,Drank!A196,Wine1!I:I)</f>
        <v>8</v>
      </c>
      <c r="M196" s="37">
        <v>2019</v>
      </c>
      <c r="N196" s="37">
        <v>2028</v>
      </c>
      <c r="O196" s="37">
        <v>2025</v>
      </c>
      <c r="P196" s="37">
        <v>2028</v>
      </c>
      <c r="Q196" s="37">
        <v>91</v>
      </c>
      <c r="R196" s="37">
        <v>92</v>
      </c>
      <c r="S196" s="7">
        <f>AVERAGEIF(A:A,A196,R:R)</f>
        <v>92</v>
      </c>
      <c r="T196" s="1">
        <v>43890</v>
      </c>
      <c r="U196" s="13" t="str">
        <f t="shared" si="80"/>
        <v>February</v>
      </c>
      <c r="V196" s="12">
        <f t="shared" si="82"/>
        <v>43890</v>
      </c>
      <c r="W196" s="2">
        <v>29.99</v>
      </c>
      <c r="X196" s="37">
        <v>1</v>
      </c>
      <c r="Y196" s="11">
        <f t="shared" si="83"/>
        <v>29.99</v>
      </c>
      <c r="Z196" s="109"/>
      <c r="AA196" s="37">
        <f>IF(Y196&gt;=Expenses!$C$32,4,IF(Y196&gt;=Expenses!$C$31,3,IF(Y196&gt;=Expenses!$C$30,2,1)))</f>
        <v>3</v>
      </c>
      <c r="AB196" s="37">
        <f t="shared" si="84"/>
        <v>1</v>
      </c>
      <c r="AC196" s="37" t="str">
        <f t="shared" si="85"/>
        <v>2020</v>
      </c>
      <c r="AD196" s="37" t="s">
        <v>384</v>
      </c>
      <c r="AE196" s="1"/>
      <c r="AF196" s="13" t="str">
        <f t="shared" si="81"/>
        <v>January</v>
      </c>
      <c r="AG196" s="37" t="str">
        <f t="shared" si="86"/>
        <v>1900</v>
      </c>
    </row>
    <row r="197" spans="1:33" s="37" customFormat="1" ht="18.75" x14ac:dyDescent="0.3">
      <c r="A197" s="37" t="str">
        <f t="shared" si="87"/>
        <v>2015Mosen CletoCrianza</v>
      </c>
      <c r="B197" s="37">
        <v>2015</v>
      </c>
      <c r="C197" s="37" t="s">
        <v>623</v>
      </c>
      <c r="D197" s="37" t="s">
        <v>108</v>
      </c>
      <c r="E197" s="37" t="s">
        <v>1240</v>
      </c>
      <c r="F197" s="37" t="s">
        <v>729</v>
      </c>
      <c r="G197" s="37" t="s">
        <v>811</v>
      </c>
      <c r="H197" s="37" t="s">
        <v>838</v>
      </c>
      <c r="I197" s="37">
        <v>1</v>
      </c>
      <c r="J197" s="37">
        <v>750</v>
      </c>
      <c r="K197" s="37" t="s">
        <v>839</v>
      </c>
      <c r="L197" s="37">
        <f>SUMIF(Wine1!A:A,Drank!A197,Wine1!I:I)</f>
        <v>0</v>
      </c>
      <c r="O197" s="37">
        <v>2020</v>
      </c>
      <c r="P197" s="37">
        <v>2021</v>
      </c>
      <c r="R197" s="37">
        <v>87</v>
      </c>
      <c r="S197" s="7">
        <f>AVERAGEIF(A:A,A197,R:R)</f>
        <v>88.125</v>
      </c>
      <c r="T197" s="1">
        <v>43890</v>
      </c>
      <c r="U197" s="13" t="str">
        <f t="shared" si="80"/>
        <v>February</v>
      </c>
      <c r="V197" s="12">
        <f t="shared" si="82"/>
        <v>43890</v>
      </c>
      <c r="W197" s="2">
        <v>11.69</v>
      </c>
      <c r="X197" s="37">
        <v>0</v>
      </c>
      <c r="Y197" s="11">
        <f t="shared" si="83"/>
        <v>11.69</v>
      </c>
      <c r="Z197" s="109"/>
      <c r="AA197" s="37">
        <f>IF(Y197&gt;=Expenses!$C$32,4,IF(Y197&gt;=Expenses!$C$31,3,IF(Y197&gt;=Expenses!$C$30,2,1)))</f>
        <v>1</v>
      </c>
      <c r="AB197" s="37">
        <f t="shared" si="84"/>
        <v>1</v>
      </c>
      <c r="AC197" s="37" t="str">
        <f t="shared" si="85"/>
        <v>2020</v>
      </c>
      <c r="AD197" s="37" t="s">
        <v>1128</v>
      </c>
      <c r="AE197" s="1"/>
      <c r="AF197" s="13" t="str">
        <f t="shared" si="81"/>
        <v>January</v>
      </c>
      <c r="AG197" s="37" t="str">
        <f t="shared" si="86"/>
        <v>1900</v>
      </c>
    </row>
    <row r="198" spans="1:33" s="37" customFormat="1" ht="18.75" x14ac:dyDescent="0.3">
      <c r="A198" s="37" t="str">
        <f t="shared" si="87"/>
        <v>2016San AlejandroLas Rocas</v>
      </c>
      <c r="B198" s="37">
        <v>2016</v>
      </c>
      <c r="C198" s="37" t="s">
        <v>152</v>
      </c>
      <c r="D198" s="37" t="s">
        <v>153</v>
      </c>
      <c r="E198" s="37" t="s">
        <v>1248</v>
      </c>
      <c r="F198" s="37" t="s">
        <v>729</v>
      </c>
      <c r="G198" s="37" t="s">
        <v>811</v>
      </c>
      <c r="H198" s="37" t="s">
        <v>812</v>
      </c>
      <c r="I198" s="37">
        <v>1</v>
      </c>
      <c r="J198" s="37">
        <v>750</v>
      </c>
      <c r="K198" s="37" t="s">
        <v>102</v>
      </c>
      <c r="L198" s="37">
        <f>SUMIF(Wine1!A:A,Drank!A198,Wine1!I:I)</f>
        <v>4</v>
      </c>
      <c r="M198" s="37">
        <v>2019</v>
      </c>
      <c r="N198" s="37">
        <v>2021</v>
      </c>
      <c r="O198" s="37">
        <v>2020</v>
      </c>
      <c r="P198" s="37">
        <v>2023</v>
      </c>
      <c r="Q198" s="37">
        <v>89</v>
      </c>
      <c r="R198" s="37">
        <v>90</v>
      </c>
      <c r="S198" s="7">
        <f>AVERAGEIF(A:A,A198,R:R)</f>
        <v>88.944444444444443</v>
      </c>
      <c r="T198" s="1">
        <v>43889</v>
      </c>
      <c r="U198" s="13" t="str">
        <f t="shared" si="80"/>
        <v>February</v>
      </c>
      <c r="V198" s="12">
        <f t="shared" si="82"/>
        <v>43889</v>
      </c>
      <c r="W198" s="2">
        <v>8.99</v>
      </c>
      <c r="X198" s="37">
        <v>0</v>
      </c>
      <c r="Y198" s="11">
        <f t="shared" si="83"/>
        <v>8.99</v>
      </c>
      <c r="Z198" s="109"/>
      <c r="AA198" s="37">
        <f>IF(Y198&gt;=Expenses!$C$32,4,IF(Y198&gt;=Expenses!$C$31,3,IF(Y198&gt;=Expenses!$C$30,2,1)))</f>
        <v>1</v>
      </c>
      <c r="AB198" s="37">
        <f t="shared" si="84"/>
        <v>1</v>
      </c>
      <c r="AC198" s="37" t="str">
        <f t="shared" si="85"/>
        <v>2020</v>
      </c>
      <c r="AD198" s="37" t="s">
        <v>1128</v>
      </c>
      <c r="AE198" s="1"/>
      <c r="AF198" s="13" t="str">
        <f t="shared" si="81"/>
        <v>January</v>
      </c>
      <c r="AG198" s="37" t="str">
        <f t="shared" si="86"/>
        <v>1900</v>
      </c>
    </row>
    <row r="199" spans="1:33" s="37" customFormat="1" ht="18.75" x14ac:dyDescent="0.3">
      <c r="A199" s="37" t="str">
        <f t="shared" si="87"/>
        <v>2017Domaine de l'AmandineCotes du Rhone Villages Seguret</v>
      </c>
      <c r="B199" s="37">
        <v>2017</v>
      </c>
      <c r="C199" s="37" t="s">
        <v>361</v>
      </c>
      <c r="D199" s="37" t="s">
        <v>362</v>
      </c>
      <c r="E199" s="37" t="s">
        <v>1197</v>
      </c>
      <c r="F199" s="37" t="s">
        <v>742</v>
      </c>
      <c r="G199" s="37" t="s">
        <v>759</v>
      </c>
      <c r="H199" s="37" t="s">
        <v>760</v>
      </c>
      <c r="I199" s="37">
        <v>1</v>
      </c>
      <c r="J199" s="37">
        <v>750</v>
      </c>
      <c r="K199" s="37" t="s">
        <v>384</v>
      </c>
      <c r="L199" s="37">
        <f>SUMIF(Wine1!A:A,Drank!A199,Wine1!I:I)</f>
        <v>20</v>
      </c>
      <c r="M199" s="37">
        <v>2018</v>
      </c>
      <c r="N199" s="37">
        <v>2025</v>
      </c>
      <c r="O199" s="37">
        <v>2020</v>
      </c>
      <c r="P199" s="37">
        <v>2025</v>
      </c>
      <c r="Q199" s="37">
        <v>93</v>
      </c>
      <c r="R199" s="37">
        <v>92</v>
      </c>
      <c r="S199" s="7">
        <f>AVERAGEIF(A:A,A199,R:R)</f>
        <v>92.470588235294116</v>
      </c>
      <c r="T199" s="1">
        <v>43888</v>
      </c>
      <c r="U199" s="13" t="str">
        <f t="shared" si="80"/>
        <v>February</v>
      </c>
      <c r="V199" s="12">
        <f t="shared" si="82"/>
        <v>43888</v>
      </c>
      <c r="W199" s="2">
        <v>16.28</v>
      </c>
      <c r="X199" s="37">
        <v>0</v>
      </c>
      <c r="Y199" s="11">
        <f t="shared" si="83"/>
        <v>16.28</v>
      </c>
      <c r="Z199" s="109"/>
      <c r="AA199" s="37">
        <f>IF(Y199&gt;=Expenses!$C$32,4,IF(Y199&gt;=Expenses!$C$31,3,IF(Y199&gt;=Expenses!$C$30,2,1)))</f>
        <v>1</v>
      </c>
      <c r="AB199" s="37">
        <f t="shared" si="84"/>
        <v>1</v>
      </c>
      <c r="AC199" s="37" t="str">
        <f t="shared" si="85"/>
        <v>2020</v>
      </c>
      <c r="AD199" s="37" t="s">
        <v>384</v>
      </c>
      <c r="AE199" s="1">
        <v>43885</v>
      </c>
      <c r="AF199" s="13" t="str">
        <f t="shared" si="81"/>
        <v>February</v>
      </c>
      <c r="AG199" s="37" t="str">
        <f t="shared" si="86"/>
        <v>2020</v>
      </c>
    </row>
    <row r="200" spans="1:33" s="37" customFormat="1" ht="18.75" x14ac:dyDescent="0.3">
      <c r="A200" s="37" t="str">
        <f t="shared" si="87"/>
        <v>2017TommasiValpolicella Classico Superiore RafaÃ¨l</v>
      </c>
      <c r="B200" s="37">
        <v>2017</v>
      </c>
      <c r="C200" s="37" t="s">
        <v>316</v>
      </c>
      <c r="D200" s="37" t="s">
        <v>317</v>
      </c>
      <c r="E200" s="37" t="s">
        <v>1256</v>
      </c>
      <c r="F200" s="37" t="s">
        <v>728</v>
      </c>
      <c r="G200" s="37" t="s">
        <v>799</v>
      </c>
      <c r="H200" s="37" t="s">
        <v>800</v>
      </c>
      <c r="I200" s="37">
        <v>1</v>
      </c>
      <c r="J200" s="37">
        <v>750</v>
      </c>
      <c r="K200" s="37" t="s">
        <v>25</v>
      </c>
      <c r="L200" s="37">
        <f>SUMIF(Wine1!A:A,Drank!A200,Wine1!I:I)</f>
        <v>0</v>
      </c>
      <c r="P200" s="37">
        <v>2019</v>
      </c>
      <c r="R200" s="37">
        <v>88</v>
      </c>
      <c r="S200" s="7">
        <f>AVERAGEIF(A:A,A200,R:R)</f>
        <v>88</v>
      </c>
      <c r="T200" s="1">
        <v>43888</v>
      </c>
      <c r="U200" s="13" t="str">
        <f t="shared" si="80"/>
        <v>February</v>
      </c>
      <c r="V200" s="12">
        <f t="shared" si="82"/>
        <v>43888</v>
      </c>
      <c r="W200" s="2">
        <v>14.39</v>
      </c>
      <c r="X200" s="37">
        <v>0</v>
      </c>
      <c r="Y200" s="11">
        <f t="shared" si="83"/>
        <v>14.39</v>
      </c>
      <c r="Z200" s="109"/>
      <c r="AA200" s="37">
        <f>IF(Y200&gt;=Expenses!$C$32,4,IF(Y200&gt;=Expenses!$C$31,3,IF(Y200&gt;=Expenses!$C$30,2,1)))</f>
        <v>1</v>
      </c>
      <c r="AB200" s="37">
        <f t="shared" si="84"/>
        <v>1</v>
      </c>
      <c r="AC200" s="37" t="str">
        <f t="shared" si="85"/>
        <v>2020</v>
      </c>
      <c r="AD200" s="37" t="s">
        <v>1128</v>
      </c>
      <c r="AE200" s="1"/>
      <c r="AF200" s="13" t="str">
        <f t="shared" si="81"/>
        <v>January</v>
      </c>
      <c r="AG200" s="37" t="str">
        <f t="shared" si="86"/>
        <v>1900</v>
      </c>
    </row>
    <row r="201" spans="1:33" s="37" customFormat="1" ht="18.75" x14ac:dyDescent="0.3">
      <c r="A201" s="37" t="str">
        <f t="shared" si="87"/>
        <v>2004Ciacci Piccolomini d AragonaBrunello di Montalcino</v>
      </c>
      <c r="B201" s="37">
        <v>2004</v>
      </c>
      <c r="C201" s="37" t="s">
        <v>1123</v>
      </c>
      <c r="D201" s="37" t="s">
        <v>19</v>
      </c>
      <c r="E201" s="37" t="s">
        <v>1250</v>
      </c>
      <c r="F201" s="37" t="s">
        <v>728</v>
      </c>
      <c r="G201" s="37" t="s">
        <v>790</v>
      </c>
      <c r="H201" s="37" t="s">
        <v>19</v>
      </c>
      <c r="I201" s="37">
        <v>1</v>
      </c>
      <c r="J201" s="37">
        <v>750</v>
      </c>
      <c r="K201" s="37" t="s">
        <v>839</v>
      </c>
      <c r="L201" s="37">
        <f>SUMIF(Wine1!A:A,Drank!A201,Wine1!I:I)</f>
        <v>1</v>
      </c>
      <c r="M201" s="37">
        <v>2012</v>
      </c>
      <c r="N201" s="37">
        <v>2022</v>
      </c>
      <c r="O201" s="37">
        <v>2023</v>
      </c>
      <c r="P201" s="37">
        <v>2023</v>
      </c>
      <c r="Q201" s="37">
        <v>92</v>
      </c>
      <c r="R201" s="37">
        <v>92</v>
      </c>
      <c r="S201" s="7">
        <f>AVERAGEIF(A:A,A201,R:R)</f>
        <v>92</v>
      </c>
      <c r="T201" s="1">
        <v>43884</v>
      </c>
      <c r="U201" s="13" t="str">
        <f t="shared" si="80"/>
        <v>February</v>
      </c>
      <c r="V201" s="12">
        <f t="shared" si="82"/>
        <v>43884</v>
      </c>
      <c r="W201" s="2">
        <v>54.99</v>
      </c>
      <c r="X201" s="37">
        <v>1</v>
      </c>
      <c r="Y201" s="11">
        <f t="shared" si="83"/>
        <v>54.989999999999995</v>
      </c>
      <c r="Z201" s="109"/>
      <c r="AA201" s="37">
        <f>IF(Y201&gt;=Expenses!$C$32,4,IF(Y201&gt;=Expenses!$C$31,3,IF(Y201&gt;=Expenses!$C$30,2,1)))</f>
        <v>3</v>
      </c>
      <c r="AB201" s="37">
        <f t="shared" si="84"/>
        <v>1</v>
      </c>
      <c r="AC201" s="37" t="str">
        <f t="shared" si="85"/>
        <v>2020</v>
      </c>
      <c r="AD201" s="37" t="s">
        <v>415</v>
      </c>
      <c r="AE201" s="1">
        <v>43832</v>
      </c>
      <c r="AF201" s="13" t="str">
        <f t="shared" si="81"/>
        <v>January</v>
      </c>
      <c r="AG201" s="37" t="str">
        <f t="shared" si="86"/>
        <v>2020</v>
      </c>
    </row>
    <row r="202" spans="1:33" s="37" customFormat="1" ht="18.75" x14ac:dyDescent="0.3">
      <c r="A202" s="37" t="str">
        <f t="shared" si="87"/>
        <v>2013Elia PalazzesiBrunello di Montalcino</v>
      </c>
      <c r="B202" s="37">
        <v>2013</v>
      </c>
      <c r="C202" s="37" t="s">
        <v>440</v>
      </c>
      <c r="D202" s="37" t="s">
        <v>19</v>
      </c>
      <c r="E202" s="37" t="s">
        <v>1250</v>
      </c>
      <c r="F202" s="37" t="s">
        <v>728</v>
      </c>
      <c r="G202" s="37" t="s">
        <v>790</v>
      </c>
      <c r="H202" s="37" t="s">
        <v>19</v>
      </c>
      <c r="I202" s="37">
        <v>1</v>
      </c>
      <c r="J202" s="37">
        <v>750</v>
      </c>
      <c r="K202" s="37" t="s">
        <v>661</v>
      </c>
      <c r="L202" s="37">
        <f>SUMIF(Wine1!A:A,Drank!A202,Wine1!I:I)</f>
        <v>3</v>
      </c>
      <c r="M202" s="37">
        <v>2020</v>
      </c>
      <c r="N202" s="37">
        <v>2030</v>
      </c>
      <c r="O202" s="37">
        <v>2025</v>
      </c>
      <c r="P202" s="37">
        <v>2028</v>
      </c>
      <c r="Q202" s="37">
        <v>89</v>
      </c>
      <c r="R202" s="37">
        <v>89</v>
      </c>
      <c r="S202" s="7">
        <f>AVERAGEIF(A:A,A202,R:R)</f>
        <v>89</v>
      </c>
      <c r="T202" s="1">
        <v>43884</v>
      </c>
      <c r="U202" s="13" t="str">
        <f t="shared" si="80"/>
        <v>February</v>
      </c>
      <c r="V202" s="12">
        <f t="shared" si="82"/>
        <v>43884</v>
      </c>
      <c r="W202" s="2">
        <v>29.99</v>
      </c>
      <c r="X202" s="37">
        <v>1</v>
      </c>
      <c r="Y202" s="11">
        <f t="shared" si="83"/>
        <v>29.99</v>
      </c>
      <c r="Z202" s="109"/>
      <c r="AA202" s="37">
        <f>IF(Y202&gt;=Expenses!$C$32,4,IF(Y202&gt;=Expenses!$C$31,3,IF(Y202&gt;=Expenses!$C$30,2,1)))</f>
        <v>3</v>
      </c>
      <c r="AB202" s="37">
        <f t="shared" si="84"/>
        <v>1</v>
      </c>
      <c r="AC202" s="37" t="str">
        <f t="shared" si="85"/>
        <v>2020</v>
      </c>
      <c r="AD202" s="37" t="s">
        <v>384</v>
      </c>
      <c r="AE202" s="1">
        <v>2</v>
      </c>
      <c r="AF202" s="13" t="str">
        <f t="shared" si="81"/>
        <v>January</v>
      </c>
      <c r="AG202" s="37" t="str">
        <f t="shared" si="86"/>
        <v>1900</v>
      </c>
    </row>
    <row r="203" spans="1:33" s="37" customFormat="1" ht="18.75" x14ac:dyDescent="0.3">
      <c r="A203" s="37" t="str">
        <f t="shared" si="87"/>
        <v>2015Resalte de PeñafielOrigen de Resalte</v>
      </c>
      <c r="B203" s="37">
        <v>2015</v>
      </c>
      <c r="C203" s="37" t="s">
        <v>1246</v>
      </c>
      <c r="D203" s="37" t="s">
        <v>1247</v>
      </c>
      <c r="E203" s="37" t="s">
        <v>1220</v>
      </c>
      <c r="F203" s="37" t="s">
        <v>729</v>
      </c>
      <c r="G203" s="37" t="s">
        <v>814</v>
      </c>
      <c r="H203" s="37" t="s">
        <v>818</v>
      </c>
      <c r="I203" s="37">
        <v>1</v>
      </c>
      <c r="J203" s="37">
        <v>750</v>
      </c>
      <c r="K203" s="37" t="s">
        <v>58</v>
      </c>
      <c r="L203" s="37">
        <f>SUMIF(Wine1!A:A,Drank!A203,Wine1!I:I)</f>
        <v>2</v>
      </c>
      <c r="M203" s="37">
        <v>2018</v>
      </c>
      <c r="N203" s="37">
        <v>2021</v>
      </c>
      <c r="O203" s="37">
        <v>2021</v>
      </c>
      <c r="P203" s="37">
        <v>2023</v>
      </c>
      <c r="Q203" s="37">
        <v>91</v>
      </c>
      <c r="R203" s="37">
        <v>90</v>
      </c>
      <c r="S203" s="7">
        <f>AVERAGEIF(A:A,A203,R:R)</f>
        <v>90</v>
      </c>
      <c r="T203" s="1">
        <v>43883</v>
      </c>
      <c r="U203" s="13" t="str">
        <f t="shared" si="80"/>
        <v>February</v>
      </c>
      <c r="V203" s="12">
        <f t="shared" si="82"/>
        <v>43883</v>
      </c>
      <c r="W203" s="2">
        <v>19.989999999999998</v>
      </c>
      <c r="X203" s="37">
        <v>1</v>
      </c>
      <c r="Y203" s="11">
        <f t="shared" si="83"/>
        <v>19.989999999999998</v>
      </c>
      <c r="Z203" s="109"/>
      <c r="AA203" s="37">
        <f>IF(Y203&gt;=Expenses!$C$32,4,IF(Y203&gt;=Expenses!$C$31,3,IF(Y203&gt;=Expenses!$C$30,2,1)))</f>
        <v>2</v>
      </c>
      <c r="AB203" s="37">
        <f t="shared" si="84"/>
        <v>1</v>
      </c>
      <c r="AC203" s="37" t="str">
        <f t="shared" si="85"/>
        <v>2020</v>
      </c>
      <c r="AD203" s="37" t="s">
        <v>384</v>
      </c>
      <c r="AE203" s="1">
        <v>43871</v>
      </c>
      <c r="AF203" s="13" t="str">
        <f t="shared" si="81"/>
        <v>February</v>
      </c>
      <c r="AG203" s="37" t="str">
        <f t="shared" si="86"/>
        <v>2020</v>
      </c>
    </row>
    <row r="204" spans="1:33" s="37" customFormat="1" ht="18.75" x14ac:dyDescent="0.3">
      <c r="A204" s="37" t="str">
        <f t="shared" si="87"/>
        <v>2016Diez-CaballeroVendimia Seleccionada</v>
      </c>
      <c r="B204" s="37">
        <v>2016</v>
      </c>
      <c r="C204" s="37" t="s">
        <v>1216</v>
      </c>
      <c r="D204" s="37" t="s">
        <v>303</v>
      </c>
      <c r="E204" s="37" t="s">
        <v>1220</v>
      </c>
      <c r="F204" s="37" t="s">
        <v>729</v>
      </c>
      <c r="G204" s="37" t="s">
        <v>823</v>
      </c>
      <c r="I204" s="37">
        <v>1</v>
      </c>
      <c r="J204" s="37">
        <v>750</v>
      </c>
      <c r="K204" s="37" t="s">
        <v>58</v>
      </c>
      <c r="L204" s="37">
        <f>SUMIF(Wine1!A:A,Drank!A204,Wine1!I:I)</f>
        <v>7</v>
      </c>
      <c r="M204" s="37">
        <v>2019</v>
      </c>
      <c r="N204" s="37">
        <v>2026</v>
      </c>
      <c r="O204" s="37">
        <v>2021</v>
      </c>
      <c r="P204" s="37">
        <v>2025</v>
      </c>
      <c r="Q204" s="37">
        <v>92</v>
      </c>
      <c r="R204" s="37">
        <v>90</v>
      </c>
      <c r="S204" s="7">
        <f>AVERAGEIF(A:A,A204,R:R)</f>
        <v>90</v>
      </c>
      <c r="T204" s="1">
        <v>43883</v>
      </c>
      <c r="U204" s="13" t="str">
        <f t="shared" si="80"/>
        <v>February</v>
      </c>
      <c r="V204" s="12">
        <f t="shared" si="82"/>
        <v>43883</v>
      </c>
      <c r="W204" s="2">
        <v>16.989999999999998</v>
      </c>
      <c r="X204" s="37">
        <v>1</v>
      </c>
      <c r="Y204" s="11">
        <f t="shared" si="83"/>
        <v>16.989999999999998</v>
      </c>
      <c r="Z204" s="109"/>
      <c r="AA204" s="37">
        <f>IF(Y204&gt;=Expenses!$C$32,4,IF(Y204&gt;=Expenses!$C$31,3,IF(Y204&gt;=Expenses!$C$30,2,1)))</f>
        <v>2</v>
      </c>
      <c r="AB204" s="37">
        <f t="shared" si="84"/>
        <v>1</v>
      </c>
      <c r="AC204" s="37" t="str">
        <f t="shared" si="85"/>
        <v>2020</v>
      </c>
      <c r="AD204" s="37" t="s">
        <v>384</v>
      </c>
      <c r="AE204" s="1">
        <v>43873</v>
      </c>
      <c r="AF204" s="13" t="str">
        <f t="shared" si="81"/>
        <v>February</v>
      </c>
      <c r="AG204" s="37" t="str">
        <f t="shared" si="86"/>
        <v>2020</v>
      </c>
    </row>
    <row r="205" spans="1:33" s="37" customFormat="1" ht="18.75" x14ac:dyDescent="0.3">
      <c r="A205" s="37" t="str">
        <f t="shared" si="87"/>
        <v>2016San AlejandroLas Rocas</v>
      </c>
      <c r="B205" s="37">
        <v>2016</v>
      </c>
      <c r="C205" s="37" t="s">
        <v>152</v>
      </c>
      <c r="D205" s="37" t="s">
        <v>153</v>
      </c>
      <c r="E205" s="37" t="s">
        <v>1248</v>
      </c>
      <c r="F205" s="37" t="s">
        <v>729</v>
      </c>
      <c r="G205" s="37" t="s">
        <v>811</v>
      </c>
      <c r="H205" s="37" t="s">
        <v>812</v>
      </c>
      <c r="I205" s="37">
        <v>1</v>
      </c>
      <c r="J205" s="37">
        <v>750</v>
      </c>
      <c r="K205" s="37" t="s">
        <v>102</v>
      </c>
      <c r="L205" s="37">
        <f>SUMIF(Wine1!A:A,Drank!A205,Wine1!I:I)</f>
        <v>4</v>
      </c>
      <c r="M205" s="37">
        <v>2019</v>
      </c>
      <c r="N205" s="37">
        <v>2021</v>
      </c>
      <c r="O205" s="37">
        <v>2020</v>
      </c>
      <c r="P205" s="37">
        <v>2021</v>
      </c>
      <c r="Q205" s="37">
        <v>89</v>
      </c>
      <c r="R205" s="37">
        <v>90</v>
      </c>
      <c r="S205" s="7">
        <f>AVERAGEIF(A:A,A205,R:R)</f>
        <v>88.944444444444443</v>
      </c>
      <c r="T205" s="1">
        <v>43876</v>
      </c>
      <c r="U205" s="13" t="str">
        <f t="shared" si="80"/>
        <v>February</v>
      </c>
      <c r="V205" s="12">
        <f t="shared" si="82"/>
        <v>43876</v>
      </c>
      <c r="W205" s="2">
        <v>8.99</v>
      </c>
      <c r="X205" s="37">
        <v>0</v>
      </c>
      <c r="Y205" s="11">
        <f t="shared" si="83"/>
        <v>8.99</v>
      </c>
      <c r="Z205" s="109"/>
      <c r="AA205" s="37">
        <f>IF(Y205&gt;=Expenses!$C$32,4,IF(Y205&gt;=Expenses!$C$31,3,IF(Y205&gt;=Expenses!$C$30,2,1)))</f>
        <v>1</v>
      </c>
      <c r="AB205" s="37">
        <f t="shared" si="84"/>
        <v>1</v>
      </c>
      <c r="AC205" s="37" t="str">
        <f t="shared" si="85"/>
        <v>2020</v>
      </c>
      <c r="AD205" s="37" t="s">
        <v>1128</v>
      </c>
      <c r="AE205" s="1"/>
      <c r="AF205" s="13" t="str">
        <f t="shared" si="81"/>
        <v>January</v>
      </c>
      <c r="AG205" s="37" t="str">
        <f t="shared" si="86"/>
        <v>1900</v>
      </c>
    </row>
    <row r="206" spans="1:33" s="37" customFormat="1" ht="18.75" x14ac:dyDescent="0.3">
      <c r="A206" s="37" t="str">
        <f t="shared" si="87"/>
        <v>2017SichelSichel</v>
      </c>
      <c r="B206" s="37">
        <v>2017</v>
      </c>
      <c r="C206" s="37" t="s">
        <v>409</v>
      </c>
      <c r="D206" s="37" t="s">
        <v>409</v>
      </c>
      <c r="E206" s="37" t="s">
        <v>1200</v>
      </c>
      <c r="F206" s="37" t="s">
        <v>742</v>
      </c>
      <c r="G206" s="37" t="s">
        <v>748</v>
      </c>
      <c r="H206" s="37" t="s">
        <v>260</v>
      </c>
      <c r="I206" s="37">
        <v>1</v>
      </c>
      <c r="J206" s="37">
        <v>375</v>
      </c>
      <c r="K206" s="37" t="s">
        <v>658</v>
      </c>
      <c r="L206" s="37">
        <f>SUMIF(Wine1!A:A,Drank!A206,Wine1!I:I)</f>
        <v>20</v>
      </c>
      <c r="O206" s="37">
        <v>2020</v>
      </c>
      <c r="P206" s="37">
        <v>2035</v>
      </c>
      <c r="R206" s="37">
        <v>91</v>
      </c>
      <c r="S206" s="7">
        <f>AVERAGEIF(A:A,A206,R:R)</f>
        <v>89.7</v>
      </c>
      <c r="T206" s="1">
        <v>43876</v>
      </c>
      <c r="U206" s="13" t="str">
        <f t="shared" si="80"/>
        <v>February</v>
      </c>
      <c r="V206" s="12">
        <f t="shared" si="82"/>
        <v>43876</v>
      </c>
      <c r="W206" s="2">
        <v>12</v>
      </c>
      <c r="X206" s="37">
        <v>0</v>
      </c>
      <c r="Y206" s="11">
        <f t="shared" si="83"/>
        <v>24</v>
      </c>
      <c r="Z206" s="109"/>
      <c r="AA206" s="37">
        <f>IF(Y206&gt;=Expenses!$C$32,4,IF(Y206&gt;=Expenses!$C$31,3,IF(Y206&gt;=Expenses!$C$30,2,1)))</f>
        <v>2</v>
      </c>
      <c r="AB206" s="37">
        <f t="shared" si="84"/>
        <v>0.5</v>
      </c>
      <c r="AC206" s="37" t="str">
        <f t="shared" si="85"/>
        <v>2020</v>
      </c>
      <c r="AD206" s="37" t="s">
        <v>385</v>
      </c>
      <c r="AE206" s="1">
        <v>43845</v>
      </c>
      <c r="AF206" s="13" t="str">
        <f t="shared" ref="AF206:AF266" si="88">TEXT(AE206,"mmmm")</f>
        <v>January</v>
      </c>
      <c r="AG206" s="37" t="str">
        <f t="shared" ref="AG206:AG266" si="89">TEXT(AE206,"yyyy")</f>
        <v>2020</v>
      </c>
    </row>
    <row r="207" spans="1:33" s="37" customFormat="1" ht="18.75" x14ac:dyDescent="0.3">
      <c r="A207" s="37" t="str">
        <f t="shared" si="87"/>
        <v>2017Domaine de l'AmandineCotes du Rhone Villages Seguret</v>
      </c>
      <c r="B207" s="37">
        <v>2017</v>
      </c>
      <c r="C207" s="37" t="s">
        <v>361</v>
      </c>
      <c r="D207" s="37" t="s">
        <v>362</v>
      </c>
      <c r="E207" s="37" t="s">
        <v>1197</v>
      </c>
      <c r="F207" s="37" t="s">
        <v>742</v>
      </c>
      <c r="G207" s="37" t="s">
        <v>759</v>
      </c>
      <c r="H207" s="37" t="s">
        <v>760</v>
      </c>
      <c r="I207" s="37">
        <v>1</v>
      </c>
      <c r="J207" s="37">
        <v>750</v>
      </c>
      <c r="K207" s="37" t="s">
        <v>929</v>
      </c>
      <c r="L207" s="37">
        <f>SUMIF(Wine1!A:A,Drank!A207,Wine1!I:I)</f>
        <v>20</v>
      </c>
      <c r="M207" s="37">
        <v>2018</v>
      </c>
      <c r="N207" s="37">
        <v>2025</v>
      </c>
      <c r="O207" s="37">
        <v>2021</v>
      </c>
      <c r="P207" s="37">
        <v>2025</v>
      </c>
      <c r="Q207" s="37">
        <v>93</v>
      </c>
      <c r="R207" s="37">
        <v>92</v>
      </c>
      <c r="S207" s="7">
        <f>AVERAGEIF(A:A,A207,R:R)</f>
        <v>92.470588235294116</v>
      </c>
      <c r="T207" s="1">
        <v>43876</v>
      </c>
      <c r="U207" s="13" t="str">
        <f t="shared" si="80"/>
        <v>February</v>
      </c>
      <c r="V207" s="12">
        <f t="shared" si="82"/>
        <v>43876</v>
      </c>
      <c r="W207" s="2">
        <v>14.99</v>
      </c>
      <c r="X207" s="37">
        <v>1</v>
      </c>
      <c r="Y207" s="11">
        <f t="shared" si="83"/>
        <v>14.99</v>
      </c>
      <c r="Z207" s="109"/>
      <c r="AA207" s="37">
        <f>IF(Y207&gt;=Expenses!$C$32,4,IF(Y207&gt;=Expenses!$C$31,3,IF(Y207&gt;=Expenses!$C$30,2,1)))</f>
        <v>1</v>
      </c>
      <c r="AB207" s="37">
        <f t="shared" si="84"/>
        <v>1</v>
      </c>
      <c r="AC207" s="37" t="str">
        <f t="shared" si="85"/>
        <v>2020</v>
      </c>
      <c r="AD207" s="37" t="s">
        <v>384</v>
      </c>
      <c r="AE207" s="1">
        <v>43806</v>
      </c>
      <c r="AF207" s="13" t="str">
        <f t="shared" si="88"/>
        <v>December</v>
      </c>
      <c r="AG207" s="37" t="str">
        <f t="shared" si="89"/>
        <v>2019</v>
      </c>
    </row>
    <row r="208" spans="1:33" s="37" customFormat="1" ht="18.75" x14ac:dyDescent="0.3">
      <c r="A208" s="37" t="str">
        <f t="shared" ref="A208:A213" si="90">CONCATENATE(B208,C208,D208)</f>
        <v>2015Mosen CletoCrianza</v>
      </c>
      <c r="B208" s="37">
        <v>2015</v>
      </c>
      <c r="C208" s="37" t="s">
        <v>623</v>
      </c>
      <c r="D208" s="37" t="s">
        <v>108</v>
      </c>
      <c r="E208" s="37" t="s">
        <v>1240</v>
      </c>
      <c r="F208" s="37" t="s">
        <v>729</v>
      </c>
      <c r="G208" s="37" t="s">
        <v>811</v>
      </c>
      <c r="H208" s="37" t="s">
        <v>838</v>
      </c>
      <c r="I208" s="37">
        <v>1</v>
      </c>
      <c r="J208" s="37">
        <v>750</v>
      </c>
      <c r="K208" s="37" t="s">
        <v>839</v>
      </c>
      <c r="L208" s="37">
        <f>SUMIF(Wine1!A:A,Drank!A208,Wine1!I:I)</f>
        <v>0</v>
      </c>
      <c r="O208" s="37">
        <v>2020</v>
      </c>
      <c r="P208" s="37">
        <v>2024</v>
      </c>
      <c r="R208" s="37">
        <v>86</v>
      </c>
      <c r="S208" s="7">
        <f>AVERAGEIF(A:A,A208,R:R)</f>
        <v>88.125</v>
      </c>
      <c r="T208" s="1">
        <v>43875</v>
      </c>
      <c r="U208" s="13" t="str">
        <f t="shared" si="80"/>
        <v>February</v>
      </c>
      <c r="V208" s="12">
        <f t="shared" si="82"/>
        <v>43875</v>
      </c>
      <c r="W208" s="2">
        <v>11.69</v>
      </c>
      <c r="X208" s="37">
        <v>0</v>
      </c>
      <c r="Y208" s="11">
        <f t="shared" si="83"/>
        <v>11.69</v>
      </c>
      <c r="Z208" s="109"/>
      <c r="AA208" s="37">
        <f>IF(Y208&gt;=Expenses!$C$32,4,IF(Y208&gt;=Expenses!$C$31,3,IF(Y208&gt;=Expenses!$C$30,2,1)))</f>
        <v>1</v>
      </c>
      <c r="AB208" s="37">
        <f t="shared" si="84"/>
        <v>1</v>
      </c>
      <c r="AC208" s="37" t="str">
        <f t="shared" si="85"/>
        <v>2020</v>
      </c>
      <c r="AD208" s="37" t="s">
        <v>1128</v>
      </c>
      <c r="AE208" s="1"/>
      <c r="AF208" s="13" t="str">
        <f t="shared" si="88"/>
        <v>January</v>
      </c>
      <c r="AG208" s="37" t="str">
        <f t="shared" si="89"/>
        <v>1900</v>
      </c>
    </row>
    <row r="209" spans="1:33" s="37" customFormat="1" ht="18.75" x14ac:dyDescent="0.3">
      <c r="A209" s="37" t="str">
        <f t="shared" si="90"/>
        <v>2011MazzeiTenuta Belguardo</v>
      </c>
      <c r="B209" s="37">
        <v>2011</v>
      </c>
      <c r="C209" s="37" t="s">
        <v>1166</v>
      </c>
      <c r="D209" s="37" t="s">
        <v>1167</v>
      </c>
      <c r="E209" s="37" t="s">
        <v>1199</v>
      </c>
      <c r="F209" s="37" t="s">
        <v>728</v>
      </c>
      <c r="G209" s="37" t="s">
        <v>790</v>
      </c>
      <c r="H209" s="37" t="s">
        <v>793</v>
      </c>
      <c r="I209" s="37">
        <v>1</v>
      </c>
      <c r="J209" s="37">
        <v>750</v>
      </c>
      <c r="K209" s="37" t="s">
        <v>929</v>
      </c>
      <c r="L209" s="37">
        <f>SUMIF(Wine1!A:A,Drank!A209,Wine1!I:I)</f>
        <v>3</v>
      </c>
      <c r="M209" s="37">
        <v>2017</v>
      </c>
      <c r="N209" s="37">
        <v>2024</v>
      </c>
      <c r="O209" s="37">
        <v>2023</v>
      </c>
      <c r="P209" s="37">
        <v>2026</v>
      </c>
      <c r="Q209" s="37" t="s">
        <v>29</v>
      </c>
      <c r="R209" s="37">
        <v>91</v>
      </c>
      <c r="S209" s="7">
        <f>AVERAGEIF(A:A,A209,R:R)</f>
        <v>91</v>
      </c>
      <c r="T209" s="1">
        <v>43870</v>
      </c>
      <c r="U209" s="13" t="str">
        <f t="shared" si="80"/>
        <v>February</v>
      </c>
      <c r="V209" s="12">
        <f t="shared" si="82"/>
        <v>43870</v>
      </c>
      <c r="W209" s="2">
        <v>32.99</v>
      </c>
      <c r="X209" s="37">
        <v>1</v>
      </c>
      <c r="Y209" s="11">
        <f t="shared" si="83"/>
        <v>32.99</v>
      </c>
      <c r="Z209" s="109"/>
      <c r="AA209" s="37">
        <f>IF(Y209&gt;=Expenses!$C$32,4,IF(Y209&gt;=Expenses!$C$31,3,IF(Y209&gt;=Expenses!$C$30,2,1)))</f>
        <v>3</v>
      </c>
      <c r="AB209" s="37">
        <f t="shared" si="84"/>
        <v>1</v>
      </c>
      <c r="AC209" s="37" t="str">
        <f t="shared" si="85"/>
        <v>2020</v>
      </c>
      <c r="AD209" s="37" t="s">
        <v>384</v>
      </c>
      <c r="AE209" s="1">
        <v>43853</v>
      </c>
      <c r="AF209" s="13" t="str">
        <f t="shared" si="88"/>
        <v>January</v>
      </c>
      <c r="AG209" s="37" t="str">
        <f t="shared" si="89"/>
        <v>2020</v>
      </c>
    </row>
    <row r="210" spans="1:33" s="37" customFormat="1" ht="18.75" x14ac:dyDescent="0.3">
      <c r="A210" s="37" t="str">
        <f t="shared" si="90"/>
        <v>2016AaltoAalto</v>
      </c>
      <c r="B210" s="37">
        <v>2016</v>
      </c>
      <c r="C210" s="37" t="s">
        <v>1184</v>
      </c>
      <c r="D210" s="37" t="s">
        <v>1184</v>
      </c>
      <c r="E210" s="37" t="s">
        <v>276</v>
      </c>
      <c r="F210" s="37" t="s">
        <v>729</v>
      </c>
      <c r="G210" s="37" t="s">
        <v>814</v>
      </c>
      <c r="H210" s="37" t="s">
        <v>818</v>
      </c>
      <c r="I210" s="37">
        <v>1</v>
      </c>
      <c r="J210" s="37">
        <v>750</v>
      </c>
      <c r="K210" s="37" t="s">
        <v>25</v>
      </c>
      <c r="L210" s="37">
        <f>SUMIF(Wine1!A:A,Drank!A210,Wine1!I:I)</f>
        <v>7</v>
      </c>
      <c r="M210" s="37">
        <v>2020</v>
      </c>
      <c r="N210" s="37">
        <v>2026</v>
      </c>
      <c r="O210" s="37">
        <v>2026</v>
      </c>
      <c r="P210" s="37">
        <v>2029</v>
      </c>
      <c r="Q210" s="37" t="s">
        <v>1185</v>
      </c>
      <c r="R210" s="37">
        <v>94</v>
      </c>
      <c r="S210" s="7">
        <f>AVERAGEIF(A:A,A210,R:R)</f>
        <v>94</v>
      </c>
      <c r="T210" s="1">
        <v>43870</v>
      </c>
      <c r="U210" s="13" t="str">
        <f t="shared" si="80"/>
        <v>February</v>
      </c>
      <c r="V210" s="12">
        <f t="shared" si="82"/>
        <v>43870</v>
      </c>
      <c r="W210" s="2">
        <v>39.840000000000003</v>
      </c>
      <c r="X210" s="37">
        <v>1</v>
      </c>
      <c r="Y210" s="11">
        <f t="shared" si="83"/>
        <v>39.840000000000003</v>
      </c>
      <c r="Z210" s="109"/>
      <c r="AA210" s="37">
        <f>IF(Y210&gt;=Expenses!$C$32,4,IF(Y210&gt;=Expenses!$C$31,3,IF(Y210&gt;=Expenses!$C$30,2,1)))</f>
        <v>3</v>
      </c>
      <c r="AB210" s="37">
        <f t="shared" si="84"/>
        <v>1</v>
      </c>
      <c r="AC210" s="37" t="str">
        <f t="shared" si="85"/>
        <v>2020</v>
      </c>
      <c r="AD210" s="37" t="s">
        <v>1189</v>
      </c>
      <c r="AE210" s="1">
        <v>43860</v>
      </c>
      <c r="AF210" s="13" t="str">
        <f t="shared" si="88"/>
        <v>January</v>
      </c>
      <c r="AG210" s="37" t="str">
        <f t="shared" si="89"/>
        <v>2020</v>
      </c>
    </row>
    <row r="211" spans="1:33" s="37" customFormat="1" ht="18.75" x14ac:dyDescent="0.3">
      <c r="A211" s="37" t="str">
        <f t="shared" si="90"/>
        <v>2017Zorzal WinesEggo Franco</v>
      </c>
      <c r="B211" s="37">
        <v>2017</v>
      </c>
      <c r="C211" s="37" t="s">
        <v>1176</v>
      </c>
      <c r="D211" s="37" t="s">
        <v>1177</v>
      </c>
      <c r="E211" s="37" t="s">
        <v>1192</v>
      </c>
      <c r="F211" s="37" t="s">
        <v>731</v>
      </c>
      <c r="G211" s="37" t="s">
        <v>732</v>
      </c>
      <c r="H211" s="37" t="s">
        <v>1190</v>
      </c>
      <c r="I211" s="37">
        <v>1</v>
      </c>
      <c r="J211" s="37">
        <v>750</v>
      </c>
      <c r="K211" s="37" t="s">
        <v>58</v>
      </c>
      <c r="L211" s="37">
        <f>SUMIF(Wine1!A:A,Drank!A211,Wine1!I:I)</f>
        <v>0</v>
      </c>
      <c r="M211" s="37">
        <v>2018</v>
      </c>
      <c r="N211" s="37">
        <v>2022</v>
      </c>
      <c r="P211" s="37">
        <v>2022</v>
      </c>
      <c r="Q211" s="37">
        <v>93</v>
      </c>
      <c r="R211" s="37">
        <v>92</v>
      </c>
      <c r="S211" s="7">
        <f>AVERAGEIF(A:A,A211,R:R)</f>
        <v>92</v>
      </c>
      <c r="T211" s="1">
        <v>43870</v>
      </c>
      <c r="U211" s="13" t="str">
        <f t="shared" si="80"/>
        <v>February</v>
      </c>
      <c r="V211" s="12">
        <f t="shared" si="82"/>
        <v>43870</v>
      </c>
      <c r="W211" s="2">
        <v>24.93</v>
      </c>
      <c r="X211" s="37">
        <v>1</v>
      </c>
      <c r="Y211" s="11">
        <f t="shared" si="83"/>
        <v>24.93</v>
      </c>
      <c r="Z211" s="109"/>
      <c r="AA211" s="37">
        <f>IF(Y211&gt;=Expenses!$C$32,4,IF(Y211&gt;=Expenses!$C$31,3,IF(Y211&gt;=Expenses!$C$30,2,1)))</f>
        <v>2</v>
      </c>
      <c r="AB211" s="37">
        <f t="shared" si="84"/>
        <v>1</v>
      </c>
      <c r="AC211" s="37" t="str">
        <f t="shared" si="85"/>
        <v>2020</v>
      </c>
      <c r="AD211" s="37" t="s">
        <v>1189</v>
      </c>
      <c r="AE211" s="1">
        <v>43860</v>
      </c>
      <c r="AF211" s="13" t="str">
        <f t="shared" si="88"/>
        <v>January</v>
      </c>
      <c r="AG211" s="37" t="str">
        <f t="shared" si="89"/>
        <v>2020</v>
      </c>
    </row>
    <row r="212" spans="1:33" s="37" customFormat="1" ht="18.75" x14ac:dyDescent="0.3">
      <c r="A212" s="37" t="str">
        <f t="shared" si="90"/>
        <v>2018Masseria Li VeliPrimitivo Orion</v>
      </c>
      <c r="B212" s="37">
        <v>2018</v>
      </c>
      <c r="C212" s="37" t="s">
        <v>630</v>
      </c>
      <c r="D212" s="37" t="s">
        <v>631</v>
      </c>
      <c r="E212" s="37" t="s">
        <v>588</v>
      </c>
      <c r="F212" s="37" t="s">
        <v>728</v>
      </c>
      <c r="G212" s="37" t="s">
        <v>785</v>
      </c>
      <c r="H212" s="37" t="s">
        <v>786</v>
      </c>
      <c r="I212" s="37">
        <v>1</v>
      </c>
      <c r="J212" s="37">
        <v>750</v>
      </c>
      <c r="K212" s="37" t="s">
        <v>839</v>
      </c>
      <c r="L212" s="37">
        <f>SUMIF(Wine1!A:A,Drank!A212,Wine1!I:I)</f>
        <v>3</v>
      </c>
      <c r="O212" s="37">
        <v>2020</v>
      </c>
      <c r="P212" s="37">
        <v>2025</v>
      </c>
      <c r="R212" s="37">
        <v>88</v>
      </c>
      <c r="S212" s="7">
        <f>AVERAGEIF(A:A,A212,R:R)</f>
        <v>88.555555555555557</v>
      </c>
      <c r="T212" s="1">
        <v>43869</v>
      </c>
      <c r="U212" s="13" t="str">
        <f t="shared" si="80"/>
        <v>February</v>
      </c>
      <c r="V212" s="12">
        <f t="shared" si="82"/>
        <v>43869</v>
      </c>
      <c r="W212" s="2">
        <v>13.49</v>
      </c>
      <c r="X212" s="37">
        <v>0</v>
      </c>
      <c r="Y212" s="11">
        <f t="shared" si="83"/>
        <v>13.490000000000002</v>
      </c>
      <c r="Z212" s="109"/>
      <c r="AA212" s="37">
        <f>IF(Y212&gt;=Expenses!$C$32,4,IF(Y212&gt;=Expenses!$C$31,3,IF(Y212&gt;=Expenses!$C$30,2,1)))</f>
        <v>1</v>
      </c>
      <c r="AB212" s="37">
        <f t="shared" si="84"/>
        <v>1</v>
      </c>
      <c r="AC212" s="37" t="str">
        <f t="shared" si="85"/>
        <v>2020</v>
      </c>
      <c r="AD212" s="37" t="s">
        <v>1128</v>
      </c>
      <c r="AE212" s="1"/>
      <c r="AF212" s="13" t="str">
        <f t="shared" si="88"/>
        <v>January</v>
      </c>
      <c r="AG212" s="37" t="str">
        <f t="shared" si="89"/>
        <v>1900</v>
      </c>
    </row>
    <row r="213" spans="1:33" s="37" customFormat="1" ht="18.75" x14ac:dyDescent="0.3">
      <c r="A213" s="37" t="str">
        <f t="shared" si="90"/>
        <v>2016Tenuta San GuidoGuidalberto</v>
      </c>
      <c r="B213" s="37">
        <v>2016</v>
      </c>
      <c r="C213" s="37" t="s">
        <v>91</v>
      </c>
      <c r="D213" s="37" t="s">
        <v>1236</v>
      </c>
      <c r="E213" s="37" t="s">
        <v>1237</v>
      </c>
      <c r="F213" s="37" t="s">
        <v>728</v>
      </c>
      <c r="G213" s="37" t="s">
        <v>790</v>
      </c>
      <c r="H213" s="37" t="s">
        <v>796</v>
      </c>
      <c r="I213" s="37">
        <v>1</v>
      </c>
      <c r="J213" s="37">
        <v>750</v>
      </c>
      <c r="L213" s="37">
        <f>SUMIF(Wine1!A:A,Drank!A213,Wine1!I:I)</f>
        <v>6</v>
      </c>
      <c r="M213" s="37">
        <v>2019</v>
      </c>
      <c r="N213" s="37">
        <v>230</v>
      </c>
      <c r="O213" s="37">
        <v>2025</v>
      </c>
      <c r="P213" s="37">
        <v>2030</v>
      </c>
      <c r="Q213" s="37" t="s">
        <v>17</v>
      </c>
      <c r="R213" s="37">
        <v>93</v>
      </c>
      <c r="S213" s="7">
        <f>AVERAGEIF(A:A,A213,R:R)</f>
        <v>93</v>
      </c>
      <c r="T213" s="1">
        <v>43866</v>
      </c>
      <c r="U213" s="13" t="str">
        <f t="shared" si="80"/>
        <v>February</v>
      </c>
      <c r="V213" s="12">
        <f t="shared" si="82"/>
        <v>43866</v>
      </c>
      <c r="W213" s="2">
        <v>0</v>
      </c>
      <c r="X213" s="37">
        <v>3</v>
      </c>
      <c r="Y213" s="11">
        <f t="shared" si="83"/>
        <v>0</v>
      </c>
      <c r="Z213" s="109"/>
      <c r="AA213" s="37">
        <f>IF(Y213&gt;=Expenses!$C$32,4,IF(Y213&gt;=Expenses!$C$31,3,IF(Y213&gt;=Expenses!$C$30,2,1)))</f>
        <v>1</v>
      </c>
      <c r="AB213" s="37">
        <f t="shared" si="84"/>
        <v>1</v>
      </c>
      <c r="AC213" s="37" t="str">
        <f t="shared" si="85"/>
        <v>2020</v>
      </c>
      <c r="AE213" s="1"/>
      <c r="AF213" s="13" t="str">
        <f t="shared" si="88"/>
        <v>January</v>
      </c>
      <c r="AG213" s="37" t="str">
        <f t="shared" si="89"/>
        <v>1900</v>
      </c>
    </row>
    <row r="214" spans="1:33" s="37" customFormat="1" ht="18.75" x14ac:dyDescent="0.3">
      <c r="A214" s="37" t="str">
        <f t="shared" ref="A214:A239" si="91">CONCATENATE(B214,C214,D214)</f>
        <v>2010Cosimo TaurinoSalice Salentino Riserva</v>
      </c>
      <c r="B214" s="37">
        <v>2010</v>
      </c>
      <c r="C214" s="37" t="s">
        <v>56</v>
      </c>
      <c r="D214" s="37" t="s">
        <v>57</v>
      </c>
      <c r="E214" s="37" t="s">
        <v>1204</v>
      </c>
      <c r="F214" s="37" t="s">
        <v>728</v>
      </c>
      <c r="G214" s="37" t="s">
        <v>785</v>
      </c>
      <c r="H214" s="37" t="s">
        <v>769</v>
      </c>
      <c r="I214" s="37">
        <v>1</v>
      </c>
      <c r="J214" s="37">
        <v>750</v>
      </c>
      <c r="K214" s="37" t="s">
        <v>652</v>
      </c>
      <c r="L214" s="37">
        <f>SUMIF(Wine1!A:A,Drank!A214,Wine1!I:I)</f>
        <v>19</v>
      </c>
      <c r="O214" s="37">
        <v>2020</v>
      </c>
      <c r="P214" s="37">
        <v>2023</v>
      </c>
      <c r="R214" s="37">
        <v>90</v>
      </c>
      <c r="S214" s="7">
        <f>AVERAGEIF(A:A,A214,R:R)</f>
        <v>89.46875</v>
      </c>
      <c r="T214" s="1">
        <v>43864</v>
      </c>
      <c r="U214" s="13" t="str">
        <f t="shared" si="80"/>
        <v>February</v>
      </c>
      <c r="V214" s="12">
        <f t="shared" si="82"/>
        <v>43864</v>
      </c>
      <c r="W214" s="2">
        <v>13.49</v>
      </c>
      <c r="X214" s="37">
        <v>0</v>
      </c>
      <c r="Y214" s="11">
        <f t="shared" si="83"/>
        <v>13.490000000000002</v>
      </c>
      <c r="Z214" s="109"/>
      <c r="AA214" s="37">
        <f>IF(Y214&gt;=Expenses!$C$32,4,IF(Y214&gt;=Expenses!$C$31,3,IF(Y214&gt;=Expenses!$C$30,2,1)))</f>
        <v>1</v>
      </c>
      <c r="AB214" s="37">
        <f t="shared" si="84"/>
        <v>1</v>
      </c>
      <c r="AC214" s="37" t="str">
        <f t="shared" si="85"/>
        <v>2020</v>
      </c>
      <c r="AE214" s="1"/>
      <c r="AF214" s="13" t="str">
        <f t="shared" si="88"/>
        <v>January</v>
      </c>
      <c r="AG214" s="37" t="str">
        <f t="shared" si="89"/>
        <v>1900</v>
      </c>
    </row>
    <row r="215" spans="1:33" s="37" customFormat="1" ht="18.75" x14ac:dyDescent="0.3">
      <c r="A215" s="37" t="str">
        <f t="shared" si="91"/>
        <v>2017Tenuta Due MariLa Chiusa</v>
      </c>
      <c r="B215" s="37">
        <v>2017</v>
      </c>
      <c r="C215" s="37" t="s">
        <v>608</v>
      </c>
      <c r="D215" s="37" t="s">
        <v>609</v>
      </c>
      <c r="E215" s="37" t="s">
        <v>607</v>
      </c>
      <c r="F215" s="37" t="s">
        <v>728</v>
      </c>
      <c r="G215" s="37" t="s">
        <v>785</v>
      </c>
      <c r="H215" s="37" t="s">
        <v>786</v>
      </c>
      <c r="I215" s="37">
        <v>1</v>
      </c>
      <c r="J215" s="37">
        <v>750</v>
      </c>
      <c r="K215" s="37" t="s">
        <v>929</v>
      </c>
      <c r="L215" s="37">
        <f>SUMIF(Wine1!A:A,Drank!A215,Wine1!I:I)</f>
        <v>1</v>
      </c>
      <c r="O215" s="37">
        <v>2023</v>
      </c>
      <c r="P215" s="37">
        <v>2026</v>
      </c>
      <c r="R215" s="37">
        <v>89</v>
      </c>
      <c r="S215" s="7">
        <f>AVERAGEIF(A:A,A215,R:R)</f>
        <v>88.333333333333329</v>
      </c>
      <c r="T215" s="1">
        <v>43863</v>
      </c>
      <c r="U215" s="13" t="str">
        <f t="shared" si="80"/>
        <v>February</v>
      </c>
      <c r="V215" s="12">
        <f t="shared" si="82"/>
        <v>43863</v>
      </c>
      <c r="W215" s="2">
        <v>9.99</v>
      </c>
      <c r="X215" s="37">
        <v>1</v>
      </c>
      <c r="Y215" s="11">
        <f t="shared" si="83"/>
        <v>9.99</v>
      </c>
      <c r="Z215" s="109"/>
      <c r="AA215" s="37">
        <f>IF(Y215&gt;=Expenses!$C$32,4,IF(Y215&gt;=Expenses!$C$31,3,IF(Y215&gt;=Expenses!$C$30,2,1)))</f>
        <v>1</v>
      </c>
      <c r="AB215" s="37">
        <f t="shared" si="84"/>
        <v>1</v>
      </c>
      <c r="AC215" s="37" t="str">
        <f t="shared" si="85"/>
        <v>2020</v>
      </c>
      <c r="AE215" s="1">
        <v>43803</v>
      </c>
      <c r="AF215" s="13" t="str">
        <f t="shared" si="88"/>
        <v>December</v>
      </c>
      <c r="AG215" s="37" t="str">
        <f t="shared" si="89"/>
        <v>2019</v>
      </c>
    </row>
    <row r="216" spans="1:33" s="37" customFormat="1" ht="18.75" x14ac:dyDescent="0.3">
      <c r="A216" s="37" t="str">
        <f t="shared" si="91"/>
        <v>2017SichelSichel</v>
      </c>
      <c r="B216" s="37">
        <v>2017</v>
      </c>
      <c r="C216" s="37" t="s">
        <v>409</v>
      </c>
      <c r="D216" s="37" t="s">
        <v>409</v>
      </c>
      <c r="E216" s="37" t="s">
        <v>1200</v>
      </c>
      <c r="F216" s="37" t="s">
        <v>742</v>
      </c>
      <c r="G216" s="37" t="s">
        <v>748</v>
      </c>
      <c r="H216" s="37" t="s">
        <v>260</v>
      </c>
      <c r="I216" s="37">
        <v>1</v>
      </c>
      <c r="J216" s="37">
        <v>375</v>
      </c>
      <c r="K216" s="37" t="s">
        <v>236</v>
      </c>
      <c r="L216" s="37">
        <f>SUMIF(Wine1!A:A,Drank!A216,Wine1!I:I)</f>
        <v>20</v>
      </c>
      <c r="P216" s="37">
        <v>2040</v>
      </c>
      <c r="R216" s="37">
        <v>90</v>
      </c>
      <c r="S216" s="7">
        <f>AVERAGEIF(A:A,A216,R:R)</f>
        <v>89.7</v>
      </c>
      <c r="T216" s="1">
        <v>43863</v>
      </c>
      <c r="U216" s="13" t="str">
        <f t="shared" si="80"/>
        <v>February</v>
      </c>
      <c r="V216" s="12">
        <f t="shared" si="82"/>
        <v>43863</v>
      </c>
      <c r="W216" s="2">
        <v>12</v>
      </c>
      <c r="X216" s="37">
        <v>1</v>
      </c>
      <c r="Y216" s="11">
        <f t="shared" si="83"/>
        <v>24</v>
      </c>
      <c r="Z216" s="109"/>
      <c r="AA216" s="37">
        <f>IF(Y216&gt;=Expenses!$C$32,4,IF(Y216&gt;=Expenses!$C$31,3,IF(Y216&gt;=Expenses!$C$30,2,1)))</f>
        <v>2</v>
      </c>
      <c r="AB216" s="37">
        <f t="shared" si="84"/>
        <v>0.5</v>
      </c>
      <c r="AC216" s="37" t="str">
        <f t="shared" si="85"/>
        <v>2020</v>
      </c>
      <c r="AE216" s="1"/>
      <c r="AF216" s="13" t="str">
        <f t="shared" si="88"/>
        <v>January</v>
      </c>
      <c r="AG216" s="37" t="str">
        <f t="shared" si="89"/>
        <v>1900</v>
      </c>
    </row>
    <row r="217" spans="1:33" s="37" customFormat="1" ht="18.75" x14ac:dyDescent="0.3">
      <c r="A217" s="37" t="str">
        <f t="shared" si="91"/>
        <v>2015Domaine LafageBastide Miraflors Vieilles Vignes</v>
      </c>
      <c r="B217" s="37">
        <v>2015</v>
      </c>
      <c r="C217" s="37" t="s">
        <v>671</v>
      </c>
      <c r="D217" s="37" t="s">
        <v>672</v>
      </c>
      <c r="E217" s="37" t="s">
        <v>1172</v>
      </c>
      <c r="F217" s="37" t="s">
        <v>742</v>
      </c>
      <c r="G217" s="37" t="s">
        <v>766</v>
      </c>
      <c r="H217" s="37" t="s">
        <v>767</v>
      </c>
      <c r="I217" s="37">
        <v>1</v>
      </c>
      <c r="J217" s="37">
        <v>750</v>
      </c>
      <c r="K217" s="37" t="s">
        <v>651</v>
      </c>
      <c r="L217" s="37">
        <f>SUMIF(Wine1!A:A,Drank!A217,Wine1!I:I)</f>
        <v>8</v>
      </c>
      <c r="M217" s="37">
        <v>2017</v>
      </c>
      <c r="N217" s="37">
        <v>2021</v>
      </c>
      <c r="O217" s="37">
        <v>2020</v>
      </c>
      <c r="P217" s="37">
        <v>2023</v>
      </c>
      <c r="Q217" s="37">
        <v>94</v>
      </c>
      <c r="R217" s="37">
        <v>91</v>
      </c>
      <c r="S217" s="7">
        <f>AVERAGEIF(A:A,A217,R:R)</f>
        <v>91.333333333333329</v>
      </c>
      <c r="T217" s="1">
        <v>43863</v>
      </c>
      <c r="U217" s="13" t="str">
        <f t="shared" si="80"/>
        <v>February</v>
      </c>
      <c r="V217" s="12">
        <f t="shared" si="82"/>
        <v>43863</v>
      </c>
      <c r="W217" s="2">
        <v>14.99</v>
      </c>
      <c r="X217" s="37">
        <v>1</v>
      </c>
      <c r="Y217" s="11">
        <f t="shared" si="83"/>
        <v>14.99</v>
      </c>
      <c r="Z217" s="109"/>
      <c r="AA217" s="37">
        <f>IF(Y217&gt;=Expenses!$C$32,4,IF(Y217&gt;=Expenses!$C$31,3,IF(Y217&gt;=Expenses!$C$30,2,1)))</f>
        <v>1</v>
      </c>
      <c r="AB217" s="37">
        <f t="shared" si="84"/>
        <v>1</v>
      </c>
      <c r="AC217" s="37" t="str">
        <f t="shared" si="85"/>
        <v>2020</v>
      </c>
      <c r="AE217" s="1"/>
      <c r="AF217" s="13" t="str">
        <f t="shared" si="88"/>
        <v>January</v>
      </c>
      <c r="AG217" s="37" t="str">
        <f t="shared" si="89"/>
        <v>1900</v>
      </c>
    </row>
    <row r="218" spans="1:33" s="37" customFormat="1" ht="18.75" x14ac:dyDescent="0.3">
      <c r="A218" s="37" t="str">
        <f t="shared" si="91"/>
        <v>2005Pierre UsseglioChateauneuf du Pape</v>
      </c>
      <c r="B218" s="37">
        <v>2005</v>
      </c>
      <c r="C218" s="37" t="s">
        <v>1126</v>
      </c>
      <c r="D218" s="37" t="s">
        <v>1106</v>
      </c>
      <c r="E218" s="37" t="s">
        <v>1171</v>
      </c>
      <c r="F218" s="37" t="s">
        <v>742</v>
      </c>
      <c r="G218" s="37" t="s">
        <v>759</v>
      </c>
      <c r="H218" s="37" t="s">
        <v>762</v>
      </c>
      <c r="I218" s="37">
        <v>1</v>
      </c>
      <c r="J218" s="37">
        <v>750</v>
      </c>
      <c r="K218" s="37" t="s">
        <v>839</v>
      </c>
      <c r="L218" s="37">
        <f>SUMIF(Wine1!A:A,Drank!A218,Wine1!I:I)</f>
        <v>3</v>
      </c>
      <c r="M218" s="37">
        <v>2015</v>
      </c>
      <c r="N218" s="37">
        <v>2021</v>
      </c>
      <c r="O218" s="37">
        <v>2024</v>
      </c>
      <c r="P218" s="37">
        <v>2024</v>
      </c>
      <c r="Q218" s="37">
        <v>91</v>
      </c>
      <c r="R218" s="37">
        <v>92</v>
      </c>
      <c r="S218" s="7">
        <f>AVERAGEIF(A:A,A218,R:R)</f>
        <v>92</v>
      </c>
      <c r="T218" s="1">
        <v>43862</v>
      </c>
      <c r="U218" s="13" t="str">
        <f t="shared" si="80"/>
        <v>February</v>
      </c>
      <c r="V218" s="12">
        <f t="shared" si="82"/>
        <v>43862</v>
      </c>
      <c r="W218" s="2">
        <v>39.99</v>
      </c>
      <c r="X218" s="37">
        <v>1</v>
      </c>
      <c r="Y218" s="11">
        <f t="shared" si="83"/>
        <v>39.99</v>
      </c>
      <c r="Z218" s="109"/>
      <c r="AA218" s="37">
        <f>IF(Y218&gt;=Expenses!$C$32,4,IF(Y218&gt;=Expenses!$C$31,3,IF(Y218&gt;=Expenses!$C$30,2,1)))</f>
        <v>3</v>
      </c>
      <c r="AB218" s="37">
        <f t="shared" si="84"/>
        <v>1</v>
      </c>
      <c r="AC218" s="37" t="str">
        <f t="shared" si="85"/>
        <v>2020</v>
      </c>
      <c r="AE218" s="1">
        <v>43832</v>
      </c>
      <c r="AF218" s="13" t="str">
        <f t="shared" si="88"/>
        <v>January</v>
      </c>
      <c r="AG218" s="37" t="str">
        <f t="shared" si="89"/>
        <v>2020</v>
      </c>
    </row>
    <row r="219" spans="1:33" s="37" customFormat="1" ht="18.75" x14ac:dyDescent="0.3">
      <c r="A219" s="37" t="str">
        <f t="shared" si="91"/>
        <v>2018Masseria Li VeliPrimitivo Orion</v>
      </c>
      <c r="B219" s="37">
        <v>2018</v>
      </c>
      <c r="C219" s="37" t="s">
        <v>630</v>
      </c>
      <c r="D219" s="37" t="s">
        <v>631</v>
      </c>
      <c r="E219" s="37" t="s">
        <v>588</v>
      </c>
      <c r="F219" s="37" t="s">
        <v>728</v>
      </c>
      <c r="G219" s="37" t="s">
        <v>785</v>
      </c>
      <c r="H219" s="37" t="s">
        <v>786</v>
      </c>
      <c r="I219" s="37">
        <v>1</v>
      </c>
      <c r="J219" s="37">
        <v>750</v>
      </c>
      <c r="K219" s="37" t="s">
        <v>58</v>
      </c>
      <c r="L219" s="37">
        <f>SUMIF(Wine1!A:A,Drank!A219,Wine1!I:I)</f>
        <v>3</v>
      </c>
      <c r="O219" s="37">
        <v>2020</v>
      </c>
      <c r="P219" s="37">
        <v>2026</v>
      </c>
      <c r="R219" s="37">
        <v>90</v>
      </c>
      <c r="S219" s="7">
        <f>AVERAGEIF(A:A,A219,R:R)</f>
        <v>88.555555555555557</v>
      </c>
      <c r="T219" s="1">
        <v>43856</v>
      </c>
      <c r="U219" s="13" t="str">
        <f t="shared" si="80"/>
        <v>January</v>
      </c>
      <c r="V219" s="12">
        <f t="shared" si="82"/>
        <v>43856</v>
      </c>
      <c r="W219" s="2">
        <v>13.49</v>
      </c>
      <c r="X219" s="37">
        <v>1</v>
      </c>
      <c r="Y219" s="11">
        <f t="shared" si="83"/>
        <v>13.490000000000002</v>
      </c>
      <c r="Z219" s="109"/>
      <c r="AA219" s="37">
        <f>IF(Y219&gt;=Expenses!$C$32,4,IF(Y219&gt;=Expenses!$C$31,3,IF(Y219&gt;=Expenses!$C$30,2,1)))</f>
        <v>1</v>
      </c>
      <c r="AB219" s="37">
        <f t="shared" si="84"/>
        <v>1</v>
      </c>
      <c r="AC219" s="37" t="str">
        <f t="shared" si="85"/>
        <v>2020</v>
      </c>
      <c r="AE219" s="1"/>
      <c r="AF219" s="13" t="str">
        <f t="shared" si="88"/>
        <v>January</v>
      </c>
      <c r="AG219" s="37" t="str">
        <f t="shared" si="89"/>
        <v>1900</v>
      </c>
    </row>
    <row r="220" spans="1:33" s="37" customFormat="1" ht="18.75" x14ac:dyDescent="0.3">
      <c r="A220" s="37" t="str">
        <f t="shared" si="91"/>
        <v>2010Cosimo TaurinoSalice Salentino Riserva</v>
      </c>
      <c r="B220" s="37">
        <v>2010</v>
      </c>
      <c r="C220" s="37" t="s">
        <v>56</v>
      </c>
      <c r="D220" s="37" t="s">
        <v>57</v>
      </c>
      <c r="E220" s="37" t="s">
        <v>1204</v>
      </c>
      <c r="F220" s="37" t="s">
        <v>728</v>
      </c>
      <c r="G220" s="37" t="s">
        <v>785</v>
      </c>
      <c r="H220" s="37" t="s">
        <v>769</v>
      </c>
      <c r="I220" s="37">
        <v>1</v>
      </c>
      <c r="J220" s="37">
        <v>750</v>
      </c>
      <c r="K220" s="37" t="s">
        <v>652</v>
      </c>
      <c r="L220" s="37">
        <f>SUMIF(Wine1!A:A,Drank!A220,Wine1!I:I)</f>
        <v>19</v>
      </c>
      <c r="O220" s="37">
        <v>2020</v>
      </c>
      <c r="P220" s="37">
        <v>2022</v>
      </c>
      <c r="R220" s="37">
        <v>89</v>
      </c>
      <c r="S220" s="7">
        <f>AVERAGEIF(A:A,A220,R:R)</f>
        <v>89.46875</v>
      </c>
      <c r="T220" s="1">
        <v>43855</v>
      </c>
      <c r="U220" s="13" t="str">
        <f t="shared" si="80"/>
        <v>January</v>
      </c>
      <c r="V220" s="12">
        <f t="shared" si="82"/>
        <v>43855</v>
      </c>
      <c r="W220" s="2">
        <v>13.49</v>
      </c>
      <c r="X220" s="37">
        <v>0</v>
      </c>
      <c r="Y220" s="11">
        <f t="shared" si="83"/>
        <v>13.490000000000002</v>
      </c>
      <c r="Z220" s="109"/>
      <c r="AA220" s="37">
        <f>IF(Y220&gt;=Expenses!$C$32,4,IF(Y220&gt;=Expenses!$C$31,3,IF(Y220&gt;=Expenses!$C$30,2,1)))</f>
        <v>1</v>
      </c>
      <c r="AB220" s="37">
        <f t="shared" si="84"/>
        <v>1</v>
      </c>
      <c r="AC220" s="37" t="str">
        <f t="shared" si="85"/>
        <v>2020</v>
      </c>
      <c r="AE220" s="1"/>
      <c r="AF220" s="13" t="str">
        <f t="shared" si="88"/>
        <v>January</v>
      </c>
      <c r="AG220" s="37" t="str">
        <f t="shared" si="89"/>
        <v>1900</v>
      </c>
    </row>
    <row r="221" spans="1:33" s="37" customFormat="1" ht="18.75" x14ac:dyDescent="0.3">
      <c r="A221" s="37" t="str">
        <f t="shared" si="91"/>
        <v>2010La Rioja AltaViña Ardanza Selección Especial</v>
      </c>
      <c r="B221" s="37">
        <v>2010</v>
      </c>
      <c r="C221" s="37" t="s">
        <v>221</v>
      </c>
      <c r="D221" s="37" t="s">
        <v>1274</v>
      </c>
      <c r="E221" s="37" t="s">
        <v>276</v>
      </c>
      <c r="F221" s="37" t="s">
        <v>729</v>
      </c>
      <c r="G221" s="37" t="s">
        <v>823</v>
      </c>
      <c r="I221" s="37">
        <v>1</v>
      </c>
      <c r="J221" s="37">
        <v>750</v>
      </c>
      <c r="K221" s="37" t="s">
        <v>651</v>
      </c>
      <c r="L221" s="37">
        <f>SUMIF(Wine1!A:A,Drank!A221,Wine1!I:I)</f>
        <v>3</v>
      </c>
      <c r="M221" s="37">
        <v>2019</v>
      </c>
      <c r="N221" s="37">
        <v>2035</v>
      </c>
      <c r="O221" s="37">
        <v>2024</v>
      </c>
      <c r="P221" s="37">
        <v>2035</v>
      </c>
      <c r="Q221" s="37">
        <v>95</v>
      </c>
      <c r="R221" s="37">
        <v>91</v>
      </c>
      <c r="S221" s="7">
        <f>AVERAGEIF(A:A,A221,R:R)</f>
        <v>91</v>
      </c>
      <c r="T221" s="1">
        <v>43855</v>
      </c>
      <c r="U221" s="13" t="str">
        <f t="shared" si="80"/>
        <v>January</v>
      </c>
      <c r="V221" s="12">
        <f t="shared" si="82"/>
        <v>43855</v>
      </c>
      <c r="W221" s="2">
        <v>32.99</v>
      </c>
      <c r="X221" s="37">
        <v>1</v>
      </c>
      <c r="Y221" s="11">
        <f t="shared" si="83"/>
        <v>32.99</v>
      </c>
      <c r="Z221" s="109"/>
      <c r="AA221" s="37">
        <f>IF(Y221&gt;=Expenses!$C$32,4,IF(Y221&gt;=Expenses!$C$31,3,IF(Y221&gt;=Expenses!$C$30,2,1)))</f>
        <v>3</v>
      </c>
      <c r="AB221" s="37">
        <f t="shared" si="84"/>
        <v>1</v>
      </c>
      <c r="AC221" s="37" t="str">
        <f t="shared" si="85"/>
        <v>2020</v>
      </c>
      <c r="AE221" s="1"/>
      <c r="AF221" s="13" t="str">
        <f t="shared" si="88"/>
        <v>January</v>
      </c>
      <c r="AG221" s="37" t="str">
        <f t="shared" si="89"/>
        <v>1900</v>
      </c>
    </row>
    <row r="222" spans="1:33" s="37" customFormat="1" ht="18.75" x14ac:dyDescent="0.3">
      <c r="A222" s="37" t="str">
        <f t="shared" si="91"/>
        <v>2000Taylor FladgateVintage Port</v>
      </c>
      <c r="B222" s="37">
        <v>2000</v>
      </c>
      <c r="C222" s="37" t="s">
        <v>243</v>
      </c>
      <c r="D222" s="37" t="s">
        <v>244</v>
      </c>
      <c r="E222" s="37" t="s">
        <v>257</v>
      </c>
      <c r="F222" s="37" t="s">
        <v>804</v>
      </c>
      <c r="G222" s="37" t="s">
        <v>805</v>
      </c>
      <c r="I222" s="37">
        <v>1</v>
      </c>
      <c r="J222" s="37">
        <v>750</v>
      </c>
      <c r="K222" s="37" t="s">
        <v>647</v>
      </c>
      <c r="L222" s="37">
        <f>SUMIF(Wine1!A:A,Drank!A222,Wine1!I:I)</f>
        <v>0</v>
      </c>
      <c r="M222" s="37">
        <v>2010</v>
      </c>
      <c r="N222" s="37">
        <v>2040</v>
      </c>
      <c r="Q222" s="37">
        <v>98</v>
      </c>
      <c r="R222" s="37">
        <v>95</v>
      </c>
      <c r="S222" s="7">
        <f>AVERAGEIF(A:A,A222,R:R)</f>
        <v>95</v>
      </c>
      <c r="T222" s="1">
        <v>43854</v>
      </c>
      <c r="U222" s="13" t="str">
        <f t="shared" si="80"/>
        <v>January</v>
      </c>
      <c r="V222" s="12">
        <f t="shared" si="82"/>
        <v>43854</v>
      </c>
      <c r="W222" s="2">
        <v>99.99</v>
      </c>
      <c r="X222" s="37">
        <v>1</v>
      </c>
      <c r="Y222" s="11">
        <f t="shared" si="83"/>
        <v>99.99</v>
      </c>
      <c r="Z222" s="109"/>
      <c r="AA222" s="37">
        <f>IF(Y222&gt;=Expenses!$C$32,4,IF(Y222&gt;=Expenses!$C$31,3,IF(Y222&gt;=Expenses!$C$30,2,1)))</f>
        <v>4</v>
      </c>
      <c r="AB222" s="37">
        <f t="shared" si="84"/>
        <v>1</v>
      </c>
      <c r="AC222" s="37" t="str">
        <f t="shared" si="85"/>
        <v>2020</v>
      </c>
      <c r="AE222" s="1"/>
      <c r="AF222" s="13" t="str">
        <f t="shared" si="88"/>
        <v>January</v>
      </c>
      <c r="AG222" s="37" t="str">
        <f t="shared" si="89"/>
        <v>1900</v>
      </c>
    </row>
    <row r="223" spans="1:33" s="37" customFormat="1" ht="18.75" x14ac:dyDescent="0.3">
      <c r="A223" s="37" t="str">
        <f t="shared" si="91"/>
        <v>2017Domaine de l'AmandineCotes du Rhone Villages Seguret</v>
      </c>
      <c r="B223" s="37">
        <v>2017</v>
      </c>
      <c r="C223" s="37" t="s">
        <v>361</v>
      </c>
      <c r="D223" s="37" t="s">
        <v>362</v>
      </c>
      <c r="E223" s="37" t="s">
        <v>673</v>
      </c>
      <c r="F223" s="37" t="s">
        <v>742</v>
      </c>
      <c r="G223" s="37" t="s">
        <v>759</v>
      </c>
      <c r="H223" s="37" t="s">
        <v>760</v>
      </c>
      <c r="I223" s="37">
        <v>1</v>
      </c>
      <c r="J223" s="37">
        <v>750</v>
      </c>
      <c r="K223" s="37" t="s">
        <v>929</v>
      </c>
      <c r="L223" s="37">
        <f>SUMIF(Wine1!A:A,Drank!A223,Wine1!I:I)</f>
        <v>20</v>
      </c>
      <c r="M223" s="37">
        <v>2018</v>
      </c>
      <c r="N223" s="37">
        <v>2025</v>
      </c>
      <c r="O223" s="37">
        <v>2020</v>
      </c>
      <c r="P223" s="37">
        <v>2024</v>
      </c>
      <c r="Q223" s="37">
        <v>93</v>
      </c>
      <c r="R223" s="37">
        <v>93</v>
      </c>
      <c r="S223" s="7">
        <f>AVERAGEIF(A:A,A223,R:R)</f>
        <v>92.470588235294116</v>
      </c>
      <c r="T223" s="1">
        <v>43849</v>
      </c>
      <c r="U223" s="13" t="str">
        <f t="shared" ref="U223:U230" si="92">TEXT(T223,"mmmm")</f>
        <v>January</v>
      </c>
      <c r="V223" s="12">
        <f t="shared" ref="V223:V230" si="93">T223</f>
        <v>43849</v>
      </c>
      <c r="W223" s="2">
        <v>14.99</v>
      </c>
      <c r="X223" s="37">
        <v>0</v>
      </c>
      <c r="Y223" s="11">
        <f t="shared" si="83"/>
        <v>14.99</v>
      </c>
      <c r="Z223" s="109"/>
      <c r="AA223" s="37">
        <f>IF(Y223&gt;=Expenses!$C$32,4,IF(Y223&gt;=Expenses!$C$31,3,IF(Y223&gt;=Expenses!$C$30,2,1)))</f>
        <v>1</v>
      </c>
      <c r="AB223" s="37">
        <f t="shared" si="84"/>
        <v>1</v>
      </c>
      <c r="AC223" s="37" t="str">
        <f t="shared" si="85"/>
        <v>2020</v>
      </c>
      <c r="AE223" s="1">
        <v>43806</v>
      </c>
      <c r="AF223" s="13" t="str">
        <f t="shared" si="88"/>
        <v>December</v>
      </c>
      <c r="AG223" s="37" t="str">
        <f t="shared" si="89"/>
        <v>2019</v>
      </c>
    </row>
    <row r="224" spans="1:33" s="37" customFormat="1" ht="18.75" x14ac:dyDescent="0.3">
      <c r="A224" s="37" t="str">
        <f t="shared" si="91"/>
        <v>2013BootlegProprietary Red</v>
      </c>
      <c r="B224" s="37">
        <v>2013</v>
      </c>
      <c r="C224" s="37" t="s">
        <v>83</v>
      </c>
      <c r="D224" s="37" t="s">
        <v>84</v>
      </c>
      <c r="E224" s="37" t="s">
        <v>1121</v>
      </c>
      <c r="F224" s="37" t="s">
        <v>727</v>
      </c>
      <c r="G224" s="37" t="s">
        <v>806</v>
      </c>
      <c r="H224" s="37" t="s">
        <v>832</v>
      </c>
      <c r="I224" s="37">
        <v>1</v>
      </c>
      <c r="J224" s="37">
        <v>750</v>
      </c>
      <c r="K224" s="37" t="s">
        <v>25</v>
      </c>
      <c r="L224" s="37">
        <f>SUMIF(Wine1!A:A,Drank!A224,Wine1!I:I)</f>
        <v>0</v>
      </c>
      <c r="M224" s="37">
        <v>2016</v>
      </c>
      <c r="N224" s="37">
        <v>2022</v>
      </c>
      <c r="P224" s="37">
        <v>2022</v>
      </c>
      <c r="Q224" s="37">
        <v>94</v>
      </c>
      <c r="R224" s="37">
        <v>93</v>
      </c>
      <c r="S224" s="7">
        <f>AVERAGEIF(A:A,A224,R:R)</f>
        <v>93</v>
      </c>
      <c r="T224" s="1">
        <v>43849</v>
      </c>
      <c r="U224" s="13" t="str">
        <f t="shared" si="92"/>
        <v>January</v>
      </c>
      <c r="V224" s="12">
        <f t="shared" si="93"/>
        <v>43849</v>
      </c>
      <c r="W224" s="2">
        <v>35</v>
      </c>
      <c r="X224" s="37">
        <v>3</v>
      </c>
      <c r="Y224" s="11">
        <f t="shared" ref="Y224:Y230" si="94">W224/J224*750</f>
        <v>35</v>
      </c>
      <c r="Z224" s="109"/>
      <c r="AA224" s="37">
        <f>IF(Y224&gt;=Expenses!$C$32,4,IF(Y224&gt;=Expenses!$C$31,3,IF(Y224&gt;=Expenses!$C$30,2,1)))</f>
        <v>3</v>
      </c>
      <c r="AB224" s="37">
        <f t="shared" ref="AB224:AB230" si="95">J224/750</f>
        <v>1</v>
      </c>
      <c r="AC224" s="37" t="str">
        <f t="shared" ref="AC224:AC230" si="96">TEXT(T224,"yyyy")</f>
        <v>2020</v>
      </c>
      <c r="AE224" s="1"/>
      <c r="AF224" s="13" t="str">
        <f t="shared" si="88"/>
        <v>January</v>
      </c>
      <c r="AG224" s="37" t="str">
        <f t="shared" si="89"/>
        <v>1900</v>
      </c>
    </row>
    <row r="225" spans="1:35" s="37" customFormat="1" ht="18.75" x14ac:dyDescent="0.3">
      <c r="A225" s="37" t="str">
        <f t="shared" si="91"/>
        <v>2016Domaine de la Combe DieuRasteau</v>
      </c>
      <c r="B225" s="37">
        <v>2016</v>
      </c>
      <c r="C225" s="37" t="s">
        <v>407</v>
      </c>
      <c r="D225" s="37" t="s">
        <v>408</v>
      </c>
      <c r="E225" s="37" t="s">
        <v>417</v>
      </c>
      <c r="F225" s="37" t="s">
        <v>742</v>
      </c>
      <c r="G225" s="37" t="s">
        <v>759</v>
      </c>
      <c r="H225" s="37" t="s">
        <v>765</v>
      </c>
      <c r="I225" s="37">
        <v>1</v>
      </c>
      <c r="J225" s="37">
        <v>750</v>
      </c>
      <c r="K225" s="37" t="s">
        <v>589</v>
      </c>
      <c r="L225" s="37">
        <f>SUMIF(Wine1!A:A,Drank!A225,Wine1!I:I)</f>
        <v>15</v>
      </c>
      <c r="M225" s="37">
        <v>2018</v>
      </c>
      <c r="N225" s="37">
        <v>2023</v>
      </c>
      <c r="O225" s="37">
        <v>2020</v>
      </c>
      <c r="P225" s="37">
        <v>2023</v>
      </c>
      <c r="Q225" s="37">
        <v>92</v>
      </c>
      <c r="R225" s="37">
        <v>92</v>
      </c>
      <c r="S225" s="7">
        <f>AVERAGEIF(A:A,A225,R:R)</f>
        <v>92.2</v>
      </c>
      <c r="T225" s="1">
        <v>43849</v>
      </c>
      <c r="U225" s="13" t="str">
        <f t="shared" si="92"/>
        <v>January</v>
      </c>
      <c r="V225" s="12">
        <f t="shared" si="93"/>
        <v>43849</v>
      </c>
      <c r="W225" s="2">
        <v>13.99</v>
      </c>
      <c r="X225" s="37">
        <v>0</v>
      </c>
      <c r="Y225" s="11">
        <f t="shared" si="94"/>
        <v>13.99</v>
      </c>
      <c r="Z225" s="109"/>
      <c r="AA225" s="37">
        <f>IF(Y225&gt;=Expenses!$C$32,4,IF(Y225&gt;=Expenses!$C$31,3,IF(Y225&gt;=Expenses!$C$30,2,1)))</f>
        <v>1</v>
      </c>
      <c r="AB225" s="37">
        <f t="shared" si="95"/>
        <v>1</v>
      </c>
      <c r="AC225" s="37" t="str">
        <f t="shared" si="96"/>
        <v>2020</v>
      </c>
      <c r="AE225" s="1"/>
      <c r="AF225" s="13" t="str">
        <f t="shared" si="88"/>
        <v>January</v>
      </c>
      <c r="AG225" s="37" t="str">
        <f t="shared" si="89"/>
        <v>1900</v>
      </c>
    </row>
    <row r="226" spans="1:35" s="37" customFormat="1" ht="18.75" x14ac:dyDescent="0.3">
      <c r="A226" s="37" t="str">
        <f t="shared" si="91"/>
        <v>2013Tenuta CarrettaRoero Riserva Bric Paradiso</v>
      </c>
      <c r="B226" s="37">
        <v>2013</v>
      </c>
      <c r="C226" s="37" t="s">
        <v>452</v>
      </c>
      <c r="D226" s="37" t="s">
        <v>453</v>
      </c>
      <c r="E226" s="37" t="s">
        <v>288</v>
      </c>
      <c r="F226" s="37" t="s">
        <v>728</v>
      </c>
      <c r="G226" s="37" t="s">
        <v>778</v>
      </c>
      <c r="H226" s="37" t="s">
        <v>773</v>
      </c>
      <c r="I226" s="37">
        <v>1</v>
      </c>
      <c r="J226" s="37">
        <v>750</v>
      </c>
      <c r="K226" s="37" t="s">
        <v>25</v>
      </c>
      <c r="L226" s="37">
        <f>SUMIF(Wine1!A:A,Drank!A226,Wine1!I:I)</f>
        <v>5</v>
      </c>
      <c r="M226" s="37">
        <v>2018</v>
      </c>
      <c r="N226" s="37">
        <v>2028</v>
      </c>
      <c r="O226" s="37">
        <v>2022</v>
      </c>
      <c r="P226" s="37">
        <v>2030</v>
      </c>
      <c r="Q226" s="37" t="s">
        <v>196</v>
      </c>
      <c r="R226" s="37">
        <v>94</v>
      </c>
      <c r="S226" s="7">
        <f>AVERAGEIF(A:A,A226,R:R)</f>
        <v>94</v>
      </c>
      <c r="T226" s="1">
        <v>43849</v>
      </c>
      <c r="U226" s="13" t="str">
        <f t="shared" si="92"/>
        <v>January</v>
      </c>
      <c r="V226" s="12">
        <f t="shared" si="93"/>
        <v>43849</v>
      </c>
      <c r="W226" s="2">
        <v>26</v>
      </c>
      <c r="X226" s="37">
        <v>1</v>
      </c>
      <c r="Y226" s="11">
        <f t="shared" si="94"/>
        <v>26</v>
      </c>
      <c r="Z226" s="109"/>
      <c r="AA226" s="37">
        <f>IF(Y226&gt;=Expenses!$C$32,4,IF(Y226&gt;=Expenses!$C$31,3,IF(Y226&gt;=Expenses!$C$30,2,1)))</f>
        <v>2</v>
      </c>
      <c r="AB226" s="37">
        <f t="shared" si="95"/>
        <v>1</v>
      </c>
      <c r="AC226" s="37" t="str">
        <f t="shared" si="96"/>
        <v>2020</v>
      </c>
      <c r="AE226" s="1"/>
      <c r="AF226" s="13" t="str">
        <f t="shared" si="88"/>
        <v>January</v>
      </c>
      <c r="AG226" s="37" t="str">
        <f t="shared" si="89"/>
        <v>1900</v>
      </c>
    </row>
    <row r="227" spans="1:35" s="37" customFormat="1" ht="18.75" x14ac:dyDescent="0.3">
      <c r="A227" s="37" t="str">
        <f t="shared" si="91"/>
        <v>2010CondeNeo</v>
      </c>
      <c r="B227" s="37">
        <v>2010</v>
      </c>
      <c r="C227" s="37" t="s">
        <v>45</v>
      </c>
      <c r="D227" s="37" t="s">
        <v>46</v>
      </c>
      <c r="E227" s="37" t="s">
        <v>277</v>
      </c>
      <c r="F227" s="37" t="s">
        <v>729</v>
      </c>
      <c r="G227" s="37" t="s">
        <v>814</v>
      </c>
      <c r="H227" s="37" t="s">
        <v>818</v>
      </c>
      <c r="I227" s="37">
        <v>1</v>
      </c>
      <c r="J227" s="37">
        <v>750</v>
      </c>
      <c r="K227" s="37" t="s">
        <v>589</v>
      </c>
      <c r="L227" s="37">
        <f>SUMIF(Wine1!A:A,Drank!A227,Wine1!I:I)</f>
        <v>4</v>
      </c>
      <c r="M227" s="37">
        <v>2014</v>
      </c>
      <c r="N227" s="37">
        <v>2020</v>
      </c>
      <c r="O227" s="37">
        <v>2021</v>
      </c>
      <c r="P227" s="37">
        <v>2024</v>
      </c>
      <c r="Q227" s="37">
        <v>93</v>
      </c>
      <c r="R227" s="37">
        <v>93</v>
      </c>
      <c r="S227" s="7">
        <f>AVERAGEIF(A:A,A227,R:R)</f>
        <v>92.166666666666671</v>
      </c>
      <c r="T227" s="1">
        <v>43849</v>
      </c>
      <c r="U227" s="13" t="str">
        <f t="shared" si="92"/>
        <v>January</v>
      </c>
      <c r="V227" s="12">
        <f t="shared" si="93"/>
        <v>43849</v>
      </c>
      <c r="W227" s="2">
        <v>21.99</v>
      </c>
      <c r="X227" s="37">
        <v>1</v>
      </c>
      <c r="Y227" s="11">
        <f t="shared" si="94"/>
        <v>21.99</v>
      </c>
      <c r="Z227" s="109"/>
      <c r="AA227" s="37">
        <f>IF(Y227&gt;=Expenses!$C$32,4,IF(Y227&gt;=Expenses!$C$31,3,IF(Y227&gt;=Expenses!$C$30,2,1)))</f>
        <v>2</v>
      </c>
      <c r="AB227" s="37">
        <f t="shared" si="95"/>
        <v>1</v>
      </c>
      <c r="AC227" s="37" t="str">
        <f t="shared" si="96"/>
        <v>2020</v>
      </c>
      <c r="AE227" s="1"/>
      <c r="AF227" s="13" t="str">
        <f t="shared" si="88"/>
        <v>January</v>
      </c>
      <c r="AG227" s="37" t="str">
        <f t="shared" si="89"/>
        <v>1900</v>
      </c>
    </row>
    <row r="228" spans="1:35" s="37" customFormat="1" ht="18.75" x14ac:dyDescent="0.3">
      <c r="A228" s="37" t="str">
        <f t="shared" si="91"/>
        <v>2016San AlejandroLas Rocas</v>
      </c>
      <c r="B228" s="37">
        <v>2016</v>
      </c>
      <c r="C228" s="37" t="s">
        <v>152</v>
      </c>
      <c r="D228" s="37" t="s">
        <v>153</v>
      </c>
      <c r="E228" s="37" t="s">
        <v>284</v>
      </c>
      <c r="F228" s="37" t="s">
        <v>729</v>
      </c>
      <c r="G228" s="37" t="s">
        <v>811</v>
      </c>
      <c r="H228" s="37" t="s">
        <v>812</v>
      </c>
      <c r="I228" s="37">
        <v>1</v>
      </c>
      <c r="J228" s="37">
        <v>750</v>
      </c>
      <c r="K228" s="37" t="s">
        <v>58</v>
      </c>
      <c r="L228" s="37">
        <f>SUMIF(Wine1!A:A,Drank!A228,Wine1!I:I)</f>
        <v>4</v>
      </c>
      <c r="M228" s="37">
        <v>2019</v>
      </c>
      <c r="N228" s="37">
        <v>2021</v>
      </c>
      <c r="O228" s="37">
        <v>2020</v>
      </c>
      <c r="P228" s="37">
        <v>2021</v>
      </c>
      <c r="Q228" s="37">
        <v>89</v>
      </c>
      <c r="R228" s="37">
        <v>89</v>
      </c>
      <c r="S228" s="7">
        <f>AVERAGEIF(A:A,A228,R:R)</f>
        <v>88.944444444444443</v>
      </c>
      <c r="T228" s="1">
        <v>43849</v>
      </c>
      <c r="U228" s="13" t="str">
        <f t="shared" si="92"/>
        <v>January</v>
      </c>
      <c r="V228" s="12">
        <f t="shared" si="93"/>
        <v>43849</v>
      </c>
      <c r="W228" s="2">
        <v>8.99</v>
      </c>
      <c r="X228" s="37">
        <v>0</v>
      </c>
      <c r="Y228" s="11">
        <f t="shared" si="94"/>
        <v>8.99</v>
      </c>
      <c r="Z228" s="109"/>
      <c r="AA228" s="37">
        <f>IF(Y228&gt;=Expenses!$C$32,4,IF(Y228&gt;=Expenses!$C$31,3,IF(Y228&gt;=Expenses!$C$30,2,1)))</f>
        <v>1</v>
      </c>
      <c r="AB228" s="37">
        <f t="shared" si="95"/>
        <v>1</v>
      </c>
      <c r="AC228" s="37" t="str">
        <f t="shared" si="96"/>
        <v>2020</v>
      </c>
      <c r="AE228" s="1"/>
      <c r="AF228" s="13" t="str">
        <f t="shared" si="88"/>
        <v>January</v>
      </c>
      <c r="AG228" s="37" t="str">
        <f t="shared" si="89"/>
        <v>1900</v>
      </c>
    </row>
    <row r="229" spans="1:35" s="37" customFormat="1" ht="18.75" x14ac:dyDescent="0.3">
      <c r="A229" s="37" t="str">
        <f t="shared" si="91"/>
        <v>2015Mosen CletoCrianza</v>
      </c>
      <c r="B229" s="37">
        <v>2015</v>
      </c>
      <c r="C229" s="37" t="s">
        <v>623</v>
      </c>
      <c r="D229" s="37" t="s">
        <v>108</v>
      </c>
      <c r="E229" s="37" t="s">
        <v>624</v>
      </c>
      <c r="F229" s="37" t="s">
        <v>729</v>
      </c>
      <c r="G229" s="37" t="s">
        <v>811</v>
      </c>
      <c r="H229" s="37" t="s">
        <v>838</v>
      </c>
      <c r="I229" s="37">
        <v>1</v>
      </c>
      <c r="J229" s="37">
        <v>750</v>
      </c>
      <c r="K229" s="37" t="s">
        <v>58</v>
      </c>
      <c r="L229" s="37">
        <f>SUMIF(Wine1!A:A,Drank!A229,Wine1!I:I)</f>
        <v>0</v>
      </c>
      <c r="O229" s="37">
        <v>2020</v>
      </c>
      <c r="P229" s="37">
        <v>2020</v>
      </c>
      <c r="R229" s="37">
        <v>88</v>
      </c>
      <c r="S229" s="7">
        <f>AVERAGEIF(A:A,A229,R:R)</f>
        <v>88.125</v>
      </c>
      <c r="T229" s="1">
        <v>43849</v>
      </c>
      <c r="U229" s="13" t="str">
        <f t="shared" si="92"/>
        <v>January</v>
      </c>
      <c r="V229" s="12">
        <f t="shared" si="93"/>
        <v>43849</v>
      </c>
      <c r="W229" s="2">
        <v>11.69</v>
      </c>
      <c r="X229" s="37">
        <v>0</v>
      </c>
      <c r="Y229" s="11">
        <f t="shared" si="94"/>
        <v>11.69</v>
      </c>
      <c r="Z229" s="109"/>
      <c r="AA229" s="37">
        <f>IF(Y229&gt;=Expenses!$C$32,4,IF(Y229&gt;=Expenses!$C$31,3,IF(Y229&gt;=Expenses!$C$30,2,1)))</f>
        <v>1</v>
      </c>
      <c r="AB229" s="37">
        <f t="shared" si="95"/>
        <v>1</v>
      </c>
      <c r="AC229" s="37" t="str">
        <f t="shared" si="96"/>
        <v>2020</v>
      </c>
      <c r="AE229" s="1"/>
      <c r="AF229" s="13" t="str">
        <f t="shared" si="88"/>
        <v>January</v>
      </c>
      <c r="AG229" s="37" t="str">
        <f t="shared" si="89"/>
        <v>1900</v>
      </c>
    </row>
    <row r="230" spans="1:35" s="8" customFormat="1" ht="18.75" x14ac:dyDescent="0.3">
      <c r="A230" s="37" t="str">
        <f t="shared" si="91"/>
        <v>2015Diez-CaballeroVendimia Seleccionada</v>
      </c>
      <c r="B230" s="8">
        <v>2015</v>
      </c>
      <c r="C230" s="8" t="s">
        <v>1216</v>
      </c>
      <c r="D230" s="8" t="s">
        <v>303</v>
      </c>
      <c r="E230" s="8" t="s">
        <v>276</v>
      </c>
      <c r="F230" s="8" t="s">
        <v>729</v>
      </c>
      <c r="G230" s="8" t="s">
        <v>823</v>
      </c>
      <c r="I230" s="8">
        <v>1</v>
      </c>
      <c r="J230" s="8">
        <v>750</v>
      </c>
      <c r="K230" s="8" t="s">
        <v>25</v>
      </c>
      <c r="L230" s="37">
        <f>SUMIF(Wine1!A:A,Drank!A230,Wine1!I:I)</f>
        <v>1</v>
      </c>
      <c r="M230" s="8">
        <v>2018</v>
      </c>
      <c r="N230" s="8">
        <v>2022</v>
      </c>
      <c r="O230" s="8">
        <v>2022</v>
      </c>
      <c r="P230" s="8">
        <v>2022</v>
      </c>
      <c r="Q230" s="8" t="s">
        <v>196</v>
      </c>
      <c r="R230" s="61">
        <v>92</v>
      </c>
      <c r="S230" s="7">
        <f>AVERAGEIF(A:A,A230,R:R)</f>
        <v>91</v>
      </c>
      <c r="T230" s="62">
        <v>43848</v>
      </c>
      <c r="U230" s="13" t="str">
        <f t="shared" si="92"/>
        <v>January</v>
      </c>
      <c r="V230" s="12">
        <f t="shared" si="93"/>
        <v>43848</v>
      </c>
      <c r="W230" s="2">
        <v>16.989999999999998</v>
      </c>
      <c r="X230" s="61">
        <v>1</v>
      </c>
      <c r="Y230" s="11">
        <f t="shared" si="94"/>
        <v>16.989999999999998</v>
      </c>
      <c r="Z230" s="109"/>
      <c r="AA230" s="37">
        <f>IF(Y230&gt;=Expenses!$C$32,4,IF(Y230&gt;=Expenses!$C$31,3,IF(Y230&gt;=Expenses!$C$30,2,1)))</f>
        <v>2</v>
      </c>
      <c r="AB230" s="37">
        <f t="shared" si="95"/>
        <v>1</v>
      </c>
      <c r="AC230" s="37" t="str">
        <f t="shared" si="96"/>
        <v>2020</v>
      </c>
      <c r="AE230" s="62"/>
      <c r="AF230" s="13" t="str">
        <f t="shared" si="88"/>
        <v>January</v>
      </c>
      <c r="AG230" s="37" t="str">
        <f t="shared" si="89"/>
        <v>1900</v>
      </c>
      <c r="AI230" s="16"/>
    </row>
    <row r="231" spans="1:35" s="37" customFormat="1" ht="18.75" x14ac:dyDescent="0.3">
      <c r="A231" s="37" t="str">
        <f t="shared" si="91"/>
        <v>2016Quinta do ValladoTouriga Nacional</v>
      </c>
      <c r="B231" s="37">
        <v>2016</v>
      </c>
      <c r="C231" s="37" t="s">
        <v>210</v>
      </c>
      <c r="D231" s="37" t="s">
        <v>211</v>
      </c>
      <c r="E231" s="37" t="s">
        <v>211</v>
      </c>
      <c r="F231" s="37" t="s">
        <v>804</v>
      </c>
      <c r="G231" s="37" t="s">
        <v>805</v>
      </c>
      <c r="I231" s="37">
        <v>1</v>
      </c>
      <c r="J231" s="37">
        <v>750</v>
      </c>
      <c r="K231" s="37" t="s">
        <v>58</v>
      </c>
      <c r="L231" s="37">
        <f>SUMIF(Wine1!A:A,Drank!A231,Wine1!I:I)</f>
        <v>7</v>
      </c>
      <c r="M231" s="37">
        <v>2020</v>
      </c>
      <c r="N231" s="37">
        <v>2032</v>
      </c>
      <c r="O231" s="37">
        <v>2021</v>
      </c>
      <c r="P231" s="37">
        <v>2030</v>
      </c>
      <c r="Q231" s="37">
        <v>93</v>
      </c>
      <c r="R231" s="37">
        <v>91</v>
      </c>
      <c r="S231" s="7">
        <f>AVERAGEIF(A:A,A231,R:R)</f>
        <v>92</v>
      </c>
      <c r="T231" s="1">
        <v>43847</v>
      </c>
      <c r="U231" s="13" t="str">
        <f>TEXT(T231,"mmmm")</f>
        <v>January</v>
      </c>
      <c r="V231" s="12">
        <f t="shared" ref="V231:V236" si="97">T231</f>
        <v>43847</v>
      </c>
      <c r="W231" s="2">
        <v>24.99</v>
      </c>
      <c r="X231" s="37">
        <v>2</v>
      </c>
      <c r="Y231" s="11">
        <f>W231/J231*750</f>
        <v>24.989999999999995</v>
      </c>
      <c r="Z231" s="109"/>
      <c r="AA231" s="37">
        <f>IF(Y231&gt;=Expenses!$C$32,4,IF(Y231&gt;=Expenses!$C$31,3,IF(Y231&gt;=Expenses!$C$30,2,1)))</f>
        <v>2</v>
      </c>
      <c r="AB231" s="37">
        <f>J231/750</f>
        <v>1</v>
      </c>
      <c r="AC231" s="37" t="str">
        <f>TEXT(T231,"yyyy")</f>
        <v>2020</v>
      </c>
      <c r="AE231" s="1"/>
      <c r="AF231" s="13" t="str">
        <f t="shared" si="88"/>
        <v>January</v>
      </c>
      <c r="AG231" s="37" t="str">
        <f t="shared" si="89"/>
        <v>1900</v>
      </c>
    </row>
    <row r="232" spans="1:35" s="37" customFormat="1" ht="18.75" x14ac:dyDescent="0.3">
      <c r="A232" s="37" t="str">
        <f t="shared" si="91"/>
        <v>2015Quinta da AlornaMarquesa de Alorna Grande Reserva</v>
      </c>
      <c r="B232" s="37">
        <v>2015</v>
      </c>
      <c r="C232" s="37" t="s">
        <v>1151</v>
      </c>
      <c r="D232" s="37" t="s">
        <v>1152</v>
      </c>
      <c r="E232" s="37" t="s">
        <v>1153</v>
      </c>
      <c r="F232" s="37" t="s">
        <v>804</v>
      </c>
      <c r="G232" s="37" t="s">
        <v>1155</v>
      </c>
      <c r="H232" s="37" t="s">
        <v>1154</v>
      </c>
      <c r="I232" s="37">
        <v>1</v>
      </c>
      <c r="J232" s="37">
        <v>750</v>
      </c>
      <c r="L232" s="37">
        <f>SUMIF(Wine1!A:A,Drank!A232,Wine1!I:I)</f>
        <v>0</v>
      </c>
      <c r="M232" s="37">
        <v>2019</v>
      </c>
      <c r="N232" s="37">
        <v>2032</v>
      </c>
      <c r="P232" s="37">
        <v>2030</v>
      </c>
      <c r="Q232" s="37">
        <v>93</v>
      </c>
      <c r="R232" s="37">
        <v>91</v>
      </c>
      <c r="S232" s="7">
        <f>AVERAGEIF(A:A,A232,R:R)</f>
        <v>91</v>
      </c>
      <c r="T232" s="1">
        <v>43847</v>
      </c>
      <c r="U232" s="13" t="str">
        <f>TEXT(T232,"mmmm")</f>
        <v>January</v>
      </c>
      <c r="V232" s="12">
        <f t="shared" si="97"/>
        <v>43847</v>
      </c>
      <c r="W232" s="2">
        <v>0</v>
      </c>
      <c r="X232" s="37">
        <v>0</v>
      </c>
      <c r="Y232" s="11">
        <f t="shared" ref="Y232:Y295" si="98">W232/J232*750</f>
        <v>0</v>
      </c>
      <c r="Z232" s="109"/>
      <c r="AA232" s="37">
        <f>IF(Y232&gt;=Expenses!$C$32,4,IF(Y232&gt;=Expenses!$C$31,3,IF(Y232&gt;=Expenses!$C$30,2,1)))</f>
        <v>1</v>
      </c>
      <c r="AB232" s="37">
        <f t="shared" ref="AB232:AB295" si="99">J232/750</f>
        <v>1</v>
      </c>
      <c r="AC232" s="37" t="str">
        <f t="shared" ref="AC232:AC295" si="100">TEXT(T232,"yyyy")</f>
        <v>2020</v>
      </c>
      <c r="AE232" s="1"/>
      <c r="AF232" s="13" t="str">
        <f t="shared" si="88"/>
        <v>January</v>
      </c>
      <c r="AG232" s="37" t="str">
        <f t="shared" si="89"/>
        <v>1900</v>
      </c>
    </row>
    <row r="233" spans="1:35" s="37" customFormat="1" ht="18.75" x14ac:dyDescent="0.3">
      <c r="A233" s="37" t="str">
        <f t="shared" si="91"/>
        <v>2014Los Frailes1771</v>
      </c>
      <c r="B233" s="37">
        <v>2014</v>
      </c>
      <c r="C233" s="37" t="s">
        <v>242</v>
      </c>
      <c r="D233" s="37">
        <v>1771</v>
      </c>
      <c r="E233" s="37" t="s">
        <v>1226</v>
      </c>
      <c r="F233" s="37" t="s">
        <v>729</v>
      </c>
      <c r="G233" s="37" t="s">
        <v>826</v>
      </c>
      <c r="I233" s="37">
        <v>1</v>
      </c>
      <c r="J233" s="37">
        <v>750</v>
      </c>
      <c r="K233" s="37" t="s">
        <v>102</v>
      </c>
      <c r="L233" s="37">
        <f>SUMIF(Wine1!A:A,Drank!A233,Wine1!I:I)</f>
        <v>9</v>
      </c>
      <c r="M233" s="37">
        <v>2018</v>
      </c>
      <c r="N233" s="37">
        <v>2023</v>
      </c>
      <c r="O233" s="37">
        <v>2020</v>
      </c>
      <c r="P233" s="37">
        <v>2023</v>
      </c>
      <c r="Q233" s="37">
        <v>93</v>
      </c>
      <c r="R233" s="37">
        <v>92</v>
      </c>
      <c r="S233" s="7">
        <f>AVERAGEIF(A:A,A233,R:R)</f>
        <v>92.4</v>
      </c>
      <c r="T233" s="1">
        <v>43842</v>
      </c>
      <c r="U233" s="13" t="str">
        <f t="shared" ref="U233:U248" si="101">TEXT(T233,"mmmm")</f>
        <v>January</v>
      </c>
      <c r="V233" s="12">
        <f t="shared" si="97"/>
        <v>43842</v>
      </c>
      <c r="W233" s="2">
        <v>19.5</v>
      </c>
      <c r="X233" s="37">
        <v>0</v>
      </c>
      <c r="Y233" s="11">
        <f t="shared" si="98"/>
        <v>19.5</v>
      </c>
      <c r="Z233" s="109"/>
      <c r="AA233" s="37">
        <f>IF(Y233&gt;=Expenses!$C$32,4,IF(Y233&gt;=Expenses!$C$31,3,IF(Y233&gt;=Expenses!$C$30,2,1)))</f>
        <v>2</v>
      </c>
      <c r="AB233" s="37">
        <f t="shared" si="99"/>
        <v>1</v>
      </c>
      <c r="AC233" s="37" t="str">
        <f t="shared" si="100"/>
        <v>2020</v>
      </c>
      <c r="AE233" s="1"/>
      <c r="AF233" s="13" t="str">
        <f t="shared" si="88"/>
        <v>January</v>
      </c>
      <c r="AG233" s="37" t="str">
        <f t="shared" si="89"/>
        <v>1900</v>
      </c>
    </row>
    <row r="234" spans="1:35" s="37" customFormat="1" ht="18.75" x14ac:dyDescent="0.3">
      <c r="A234" s="37" t="str">
        <f t="shared" si="91"/>
        <v>2016Castello RomitorioIl Toro</v>
      </c>
      <c r="B234" s="37">
        <v>2016</v>
      </c>
      <c r="C234" s="37" t="s">
        <v>689</v>
      </c>
      <c r="D234" s="37" t="s">
        <v>846</v>
      </c>
      <c r="E234" s="37" t="s">
        <v>850</v>
      </c>
      <c r="F234" s="37" t="s">
        <v>728</v>
      </c>
      <c r="G234" s="37" t="s">
        <v>790</v>
      </c>
      <c r="H234" s="37" t="s">
        <v>796</v>
      </c>
      <c r="I234" s="37">
        <v>1</v>
      </c>
      <c r="J234" s="37">
        <v>750</v>
      </c>
      <c r="K234" s="37" t="s">
        <v>839</v>
      </c>
      <c r="L234" s="37">
        <f>SUMIF(Wine1!A:A,Drank!A234,Wine1!I:I)</f>
        <v>3</v>
      </c>
      <c r="M234" s="37">
        <v>2019</v>
      </c>
      <c r="N234" s="37">
        <v>2028</v>
      </c>
      <c r="O234" s="37">
        <v>2024</v>
      </c>
      <c r="P234" s="37">
        <v>2030</v>
      </c>
      <c r="Q234" s="37">
        <v>95</v>
      </c>
      <c r="R234" s="37">
        <v>93</v>
      </c>
      <c r="S234" s="7">
        <f>AVERAGEIF(A:A,A234,R:R)</f>
        <v>93</v>
      </c>
      <c r="T234" s="1">
        <v>43842</v>
      </c>
      <c r="U234" s="13" t="str">
        <f t="shared" si="101"/>
        <v>January</v>
      </c>
      <c r="V234" s="12">
        <f t="shared" si="97"/>
        <v>43842</v>
      </c>
      <c r="W234" s="2">
        <v>24.99</v>
      </c>
      <c r="X234" s="37">
        <v>1</v>
      </c>
      <c r="Y234" s="11">
        <f t="shared" si="98"/>
        <v>24.989999999999995</v>
      </c>
      <c r="Z234" s="109"/>
      <c r="AA234" s="37">
        <f>IF(Y234&gt;=Expenses!$C$32,4,IF(Y234&gt;=Expenses!$C$31,3,IF(Y234&gt;=Expenses!$C$30,2,1)))</f>
        <v>2</v>
      </c>
      <c r="AB234" s="37">
        <f t="shared" si="99"/>
        <v>1</v>
      </c>
      <c r="AC234" s="37" t="str">
        <f t="shared" si="100"/>
        <v>2020</v>
      </c>
      <c r="AE234" s="1">
        <v>43814</v>
      </c>
      <c r="AF234" s="13" t="str">
        <f t="shared" si="88"/>
        <v>December</v>
      </c>
      <c r="AG234" s="37" t="str">
        <f t="shared" si="89"/>
        <v>2019</v>
      </c>
    </row>
    <row r="235" spans="1:35" s="37" customFormat="1" ht="18.75" x14ac:dyDescent="0.3">
      <c r="A235" s="37" t="str">
        <f t="shared" si="91"/>
        <v>2010Cosimo TaurinoSalice Salentino Riserva</v>
      </c>
      <c r="B235" s="37">
        <v>2010</v>
      </c>
      <c r="C235" s="37" t="s">
        <v>56</v>
      </c>
      <c r="D235" s="37" t="s">
        <v>57</v>
      </c>
      <c r="E235" s="37" t="s">
        <v>1204</v>
      </c>
      <c r="F235" s="37" t="s">
        <v>728</v>
      </c>
      <c r="G235" s="37" t="s">
        <v>785</v>
      </c>
      <c r="H235" s="37" t="s">
        <v>769</v>
      </c>
      <c r="I235" s="37">
        <v>1</v>
      </c>
      <c r="J235" s="37">
        <v>750</v>
      </c>
      <c r="K235" s="37" t="s">
        <v>652</v>
      </c>
      <c r="L235" s="37">
        <f>SUMIF(Wine1!A:A,Drank!A235,Wine1!I:I)</f>
        <v>19</v>
      </c>
      <c r="O235" s="37">
        <v>2020</v>
      </c>
      <c r="P235" s="37">
        <v>2022</v>
      </c>
      <c r="R235" s="37">
        <v>91</v>
      </c>
      <c r="S235" s="7">
        <f>AVERAGEIF(A:A,A235,R:R)</f>
        <v>89.46875</v>
      </c>
      <c r="T235" s="1">
        <v>43841</v>
      </c>
      <c r="U235" s="13" t="str">
        <f t="shared" si="101"/>
        <v>January</v>
      </c>
      <c r="V235" s="12">
        <f t="shared" si="97"/>
        <v>43841</v>
      </c>
      <c r="W235" s="2">
        <v>13.49</v>
      </c>
      <c r="X235" s="37">
        <v>0</v>
      </c>
      <c r="Y235" s="11">
        <f t="shared" si="98"/>
        <v>13.490000000000002</v>
      </c>
      <c r="Z235" s="109"/>
      <c r="AA235" s="37">
        <f>IF(Y235&gt;=Expenses!$C$32,4,IF(Y235&gt;=Expenses!$C$31,3,IF(Y235&gt;=Expenses!$C$30,2,1)))</f>
        <v>1</v>
      </c>
      <c r="AB235" s="37">
        <f t="shared" si="99"/>
        <v>1</v>
      </c>
      <c r="AC235" s="37" t="str">
        <f t="shared" si="100"/>
        <v>2020</v>
      </c>
      <c r="AE235" s="1"/>
      <c r="AF235" s="13" t="str">
        <f t="shared" si="88"/>
        <v>January</v>
      </c>
      <c r="AG235" s="37" t="str">
        <f t="shared" si="89"/>
        <v>1900</v>
      </c>
    </row>
    <row r="236" spans="1:35" s="37" customFormat="1" ht="18.75" x14ac:dyDescent="0.3">
      <c r="A236" s="37" t="str">
        <f t="shared" si="91"/>
        <v>2016FadoSpecial Selection</v>
      </c>
      <c r="B236" s="37">
        <v>2016</v>
      </c>
      <c r="C236" s="37" t="s">
        <v>1146</v>
      </c>
      <c r="D236" s="37" t="s">
        <v>1147</v>
      </c>
      <c r="E236" s="37" t="s">
        <v>1148</v>
      </c>
      <c r="F236" s="37" t="s">
        <v>804</v>
      </c>
      <c r="G236" s="37" t="s">
        <v>1149</v>
      </c>
      <c r="I236" s="37">
        <v>1</v>
      </c>
      <c r="J236" s="37">
        <v>750</v>
      </c>
      <c r="K236" s="37" t="s">
        <v>236</v>
      </c>
      <c r="L236" s="37">
        <f>SUMIF(Wine1!A:A,Drank!A236,Wine1!I:I)</f>
        <v>0</v>
      </c>
      <c r="O236" s="37">
        <v>2020</v>
      </c>
      <c r="P236" s="37">
        <v>2024</v>
      </c>
      <c r="R236" s="37">
        <v>88</v>
      </c>
      <c r="S236" s="7">
        <f>AVERAGEIF(A:A,A236,R:R)</f>
        <v>88</v>
      </c>
      <c r="T236" s="1">
        <v>43840</v>
      </c>
      <c r="U236" s="13" t="str">
        <f t="shared" si="101"/>
        <v>January</v>
      </c>
      <c r="V236" s="12">
        <f t="shared" si="97"/>
        <v>43840</v>
      </c>
      <c r="W236" s="2">
        <v>0</v>
      </c>
      <c r="X236" s="37">
        <v>1</v>
      </c>
      <c r="Y236" s="11">
        <f t="shared" si="98"/>
        <v>0</v>
      </c>
      <c r="Z236" s="109"/>
      <c r="AA236" s="37">
        <f>IF(Y236&gt;=Expenses!$C$32,4,IF(Y236&gt;=Expenses!$C$31,3,IF(Y236&gt;=Expenses!$C$30,2,1)))</f>
        <v>1</v>
      </c>
      <c r="AB236" s="37">
        <f t="shared" si="99"/>
        <v>1</v>
      </c>
      <c r="AC236" s="37" t="str">
        <f t="shared" si="100"/>
        <v>2020</v>
      </c>
      <c r="AE236" s="1"/>
      <c r="AF236" s="13" t="str">
        <f t="shared" si="88"/>
        <v>January</v>
      </c>
      <c r="AG236" s="37" t="str">
        <f t="shared" si="89"/>
        <v>1900</v>
      </c>
    </row>
    <row r="237" spans="1:35" s="37" customFormat="1" ht="18.75" x14ac:dyDescent="0.3">
      <c r="A237" s="37" t="str">
        <f t="shared" si="91"/>
        <v>2016Tenuta San GuidoLe Difese</v>
      </c>
      <c r="B237" s="37">
        <v>2016</v>
      </c>
      <c r="C237" s="37" t="s">
        <v>91</v>
      </c>
      <c r="D237" s="37" t="s">
        <v>396</v>
      </c>
      <c r="E237" s="37" t="s">
        <v>399</v>
      </c>
      <c r="F237" s="37" t="s">
        <v>728</v>
      </c>
      <c r="G237" s="37" t="s">
        <v>790</v>
      </c>
      <c r="H237" s="37" t="s">
        <v>796</v>
      </c>
      <c r="I237" s="37">
        <v>1</v>
      </c>
      <c r="J237" s="37">
        <v>750</v>
      </c>
      <c r="K237" s="37" t="s">
        <v>589</v>
      </c>
      <c r="L237" s="37">
        <f>SUMIF(Wine1!A:A,Drank!A237,Wine1!I:I)</f>
        <v>3</v>
      </c>
      <c r="M237" s="37">
        <v>2018</v>
      </c>
      <c r="N237" s="37">
        <v>2022</v>
      </c>
      <c r="O237" s="37">
        <v>2022</v>
      </c>
      <c r="P237" s="37">
        <v>2026</v>
      </c>
      <c r="Q237" s="37">
        <v>90</v>
      </c>
      <c r="R237" s="37">
        <v>91</v>
      </c>
      <c r="S237" s="7">
        <f>AVERAGEIF(A:A,A237,R:R)</f>
        <v>90.666666666666671</v>
      </c>
      <c r="T237" s="1">
        <v>43835</v>
      </c>
      <c r="U237" s="13" t="str">
        <f t="shared" si="101"/>
        <v>January</v>
      </c>
      <c r="V237" s="12">
        <f t="shared" ref="V237:V248" si="102">T237</f>
        <v>43835</v>
      </c>
      <c r="W237" s="2">
        <v>29</v>
      </c>
      <c r="X237" s="37">
        <v>2.2999999999999998</v>
      </c>
      <c r="Y237" s="11">
        <f t="shared" si="98"/>
        <v>29</v>
      </c>
      <c r="Z237" s="109"/>
      <c r="AA237" s="37">
        <f>IF(Y237&gt;=Expenses!$C$32,4,IF(Y237&gt;=Expenses!$C$31,3,IF(Y237&gt;=Expenses!$C$30,2,1)))</f>
        <v>2</v>
      </c>
      <c r="AB237" s="37">
        <f t="shared" si="99"/>
        <v>1</v>
      </c>
      <c r="AC237" s="37" t="str">
        <f t="shared" si="100"/>
        <v>2020</v>
      </c>
      <c r="AE237" s="1"/>
      <c r="AF237" s="13" t="str">
        <f t="shared" si="88"/>
        <v>January</v>
      </c>
      <c r="AG237" s="37" t="str">
        <f t="shared" si="89"/>
        <v>1900</v>
      </c>
    </row>
    <row r="238" spans="1:35" s="37" customFormat="1" ht="18.75" x14ac:dyDescent="0.3">
      <c r="A238" s="37" t="str">
        <f t="shared" si="91"/>
        <v>2016Domaine de la Combe DieuRasteau</v>
      </c>
      <c r="B238" s="37">
        <v>2016</v>
      </c>
      <c r="C238" s="37" t="s">
        <v>407</v>
      </c>
      <c r="D238" s="37" t="s">
        <v>408</v>
      </c>
      <c r="E238" s="37" t="s">
        <v>417</v>
      </c>
      <c r="F238" s="37" t="s">
        <v>742</v>
      </c>
      <c r="G238" s="37" t="s">
        <v>759</v>
      </c>
      <c r="H238" s="37" t="s">
        <v>765</v>
      </c>
      <c r="I238" s="37">
        <v>1</v>
      </c>
      <c r="J238" s="37">
        <v>750</v>
      </c>
      <c r="K238" s="37" t="s">
        <v>589</v>
      </c>
      <c r="L238" s="37">
        <f>SUMIF(Wine1!A:A,Drank!A238,Wine1!I:I)</f>
        <v>15</v>
      </c>
      <c r="M238" s="37">
        <v>2018</v>
      </c>
      <c r="N238" s="37">
        <v>2023</v>
      </c>
      <c r="O238" s="37">
        <v>2020</v>
      </c>
      <c r="P238" s="37">
        <v>2023</v>
      </c>
      <c r="Q238" s="37">
        <v>92</v>
      </c>
      <c r="R238" s="37">
        <v>92</v>
      </c>
      <c r="S238" s="7">
        <f>AVERAGEIF(A:A,A238,R:R)</f>
        <v>92.2</v>
      </c>
      <c r="T238" s="1">
        <v>43835</v>
      </c>
      <c r="U238" s="13" t="str">
        <f t="shared" si="101"/>
        <v>January</v>
      </c>
      <c r="V238" s="12">
        <f t="shared" si="102"/>
        <v>43835</v>
      </c>
      <c r="W238" s="2">
        <v>13.99</v>
      </c>
      <c r="X238" s="37">
        <v>2.2999999999999998</v>
      </c>
      <c r="Y238" s="11">
        <f t="shared" si="98"/>
        <v>13.99</v>
      </c>
      <c r="Z238" s="109"/>
      <c r="AA238" s="37">
        <f>IF(Y238&gt;=Expenses!$C$32,4,IF(Y238&gt;=Expenses!$C$31,3,IF(Y238&gt;=Expenses!$C$30,2,1)))</f>
        <v>1</v>
      </c>
      <c r="AB238" s="37">
        <f t="shared" si="99"/>
        <v>1</v>
      </c>
      <c r="AC238" s="37" t="str">
        <f t="shared" si="100"/>
        <v>2020</v>
      </c>
      <c r="AE238" s="1"/>
      <c r="AF238" s="13" t="str">
        <f t="shared" si="88"/>
        <v>January</v>
      </c>
      <c r="AG238" s="37" t="str">
        <f t="shared" si="89"/>
        <v>1900</v>
      </c>
    </row>
    <row r="239" spans="1:35" s="37" customFormat="1" ht="18.75" x14ac:dyDescent="0.3">
      <c r="A239" s="37" t="str">
        <f t="shared" si="91"/>
        <v>2017Richard RottiersMoulin-Ã -Vent Foudres</v>
      </c>
      <c r="B239" s="37">
        <v>2017</v>
      </c>
      <c r="C239" s="37" t="s">
        <v>445</v>
      </c>
      <c r="D239" s="37" t="s">
        <v>446</v>
      </c>
      <c r="E239" s="37" t="s">
        <v>336</v>
      </c>
      <c r="F239" s="37" t="s">
        <v>742</v>
      </c>
      <c r="G239" s="37" t="s">
        <v>745</v>
      </c>
      <c r="H239" s="37" t="s">
        <v>746</v>
      </c>
      <c r="I239" s="37">
        <v>1</v>
      </c>
      <c r="J239" s="37">
        <v>750</v>
      </c>
      <c r="K239" s="37" t="s">
        <v>58</v>
      </c>
      <c r="L239" s="37">
        <f>SUMIF(Wine1!A:A,Drank!A239,Wine1!I:I)</f>
        <v>10</v>
      </c>
      <c r="M239" s="37">
        <v>2019</v>
      </c>
      <c r="N239" s="37">
        <v>2029</v>
      </c>
      <c r="O239" s="37">
        <v>2021</v>
      </c>
      <c r="P239" s="37">
        <v>2029</v>
      </c>
      <c r="Q239" s="37">
        <v>92</v>
      </c>
      <c r="R239" s="37">
        <v>90</v>
      </c>
      <c r="S239" s="7">
        <f>AVERAGEIF(A:A,A239,R:R)</f>
        <v>90</v>
      </c>
      <c r="T239" s="1">
        <v>43835</v>
      </c>
      <c r="U239" s="13" t="str">
        <f t="shared" si="101"/>
        <v>January</v>
      </c>
      <c r="V239" s="12">
        <f t="shared" si="102"/>
        <v>43835</v>
      </c>
      <c r="W239" s="2">
        <v>14.99</v>
      </c>
      <c r="X239" s="37">
        <v>1</v>
      </c>
      <c r="Y239" s="11">
        <f t="shared" si="98"/>
        <v>14.99</v>
      </c>
      <c r="Z239" s="109"/>
      <c r="AA239" s="37">
        <f>IF(Y239&gt;=Expenses!$C$32,4,IF(Y239&gt;=Expenses!$C$31,3,IF(Y239&gt;=Expenses!$C$30,2,1)))</f>
        <v>1</v>
      </c>
      <c r="AB239" s="37">
        <f t="shared" si="99"/>
        <v>1</v>
      </c>
      <c r="AC239" s="37" t="str">
        <f t="shared" si="100"/>
        <v>2020</v>
      </c>
      <c r="AE239" s="1"/>
      <c r="AF239" s="13" t="str">
        <f t="shared" si="88"/>
        <v>January</v>
      </c>
      <c r="AG239" s="37" t="str">
        <f t="shared" si="89"/>
        <v>1900</v>
      </c>
    </row>
    <row r="240" spans="1:35" s="37" customFormat="1" ht="18.75" x14ac:dyDescent="0.3">
      <c r="A240" s="37" t="str">
        <f t="shared" ref="A240:A249" si="103">CONCATENATE(B240,C240,D240)</f>
        <v>2012San RusticoAmarone della Valpolicella Classico</v>
      </c>
      <c r="B240" s="37">
        <v>2012</v>
      </c>
      <c r="C240" s="37" t="s">
        <v>444</v>
      </c>
      <c r="D240" s="37" t="s">
        <v>26</v>
      </c>
      <c r="E240" s="37" t="s">
        <v>313</v>
      </c>
      <c r="F240" s="37" t="s">
        <v>728</v>
      </c>
      <c r="G240" s="37" t="s">
        <v>799</v>
      </c>
      <c r="H240" s="37" t="s">
        <v>800</v>
      </c>
      <c r="I240" s="37">
        <v>1</v>
      </c>
      <c r="J240" s="37">
        <v>750</v>
      </c>
      <c r="K240" s="37" t="s">
        <v>839</v>
      </c>
      <c r="L240" s="37">
        <f>SUMIF(Wine1!A:A,Drank!A240,Wine1!I:I)</f>
        <v>5</v>
      </c>
      <c r="M240" s="37">
        <v>2019</v>
      </c>
      <c r="N240" s="37">
        <v>2027</v>
      </c>
      <c r="O240" s="37">
        <v>2022</v>
      </c>
      <c r="P240" s="37">
        <v>2030</v>
      </c>
      <c r="Q240" s="37">
        <v>91</v>
      </c>
      <c r="R240" s="37">
        <v>91</v>
      </c>
      <c r="S240" s="7">
        <f>AVERAGEIF(A:A,A240,R:R)</f>
        <v>91</v>
      </c>
      <c r="T240" s="1">
        <v>43834</v>
      </c>
      <c r="U240" s="13" t="str">
        <f t="shared" si="101"/>
        <v>January</v>
      </c>
      <c r="V240" s="12">
        <f t="shared" si="102"/>
        <v>43834</v>
      </c>
      <c r="W240" s="2">
        <v>24.99</v>
      </c>
      <c r="X240" s="37" t="s">
        <v>1120</v>
      </c>
      <c r="Y240" s="11">
        <f t="shared" si="98"/>
        <v>24.989999999999995</v>
      </c>
      <c r="Z240" s="109"/>
      <c r="AA240" s="37">
        <f>IF(Y240&gt;=Expenses!$C$32,4,IF(Y240&gt;=Expenses!$C$31,3,IF(Y240&gt;=Expenses!$C$30,2,1)))</f>
        <v>2</v>
      </c>
      <c r="AB240" s="37">
        <f t="shared" si="99"/>
        <v>1</v>
      </c>
      <c r="AC240" s="37" t="str">
        <f t="shared" si="100"/>
        <v>2020</v>
      </c>
      <c r="AE240" s="1"/>
      <c r="AF240" s="13" t="str">
        <f t="shared" si="88"/>
        <v>January</v>
      </c>
      <c r="AG240" s="37" t="str">
        <f t="shared" si="89"/>
        <v>1900</v>
      </c>
    </row>
    <row r="241" spans="1:33" s="37" customFormat="1" ht="18.75" x14ac:dyDescent="0.3">
      <c r="A241" s="37" t="str">
        <f t="shared" si="103"/>
        <v>2016Domaine La Grangette Saint JosephGigondas la Grangette des Garrigues</v>
      </c>
      <c r="B241" s="37">
        <v>2016</v>
      </c>
      <c r="C241" s="37" t="s">
        <v>420</v>
      </c>
      <c r="D241" s="37" t="s">
        <v>421</v>
      </c>
      <c r="E241" s="37" t="s">
        <v>227</v>
      </c>
      <c r="F241" s="37" t="s">
        <v>742</v>
      </c>
      <c r="G241" s="37" t="s">
        <v>759</v>
      </c>
      <c r="H241" s="37" t="s">
        <v>764</v>
      </c>
      <c r="I241" s="37">
        <v>1</v>
      </c>
      <c r="J241" s="37">
        <v>750</v>
      </c>
      <c r="K241" s="37" t="s">
        <v>661</v>
      </c>
      <c r="L241" s="37">
        <f>SUMIF(Wine1!A:A,Drank!A241,Wine1!I:I)</f>
        <v>11</v>
      </c>
      <c r="M241" s="37">
        <v>2018</v>
      </c>
      <c r="N241" s="37">
        <v>2028</v>
      </c>
      <c r="O241" s="37">
        <v>2021</v>
      </c>
      <c r="P241" s="37">
        <v>2027</v>
      </c>
      <c r="Q241" s="37">
        <v>94</v>
      </c>
      <c r="R241" s="37">
        <v>92</v>
      </c>
      <c r="S241" s="7">
        <f>AVERAGEIF(A:A,A241,R:R)</f>
        <v>92</v>
      </c>
      <c r="T241" s="1">
        <v>43834</v>
      </c>
      <c r="U241" s="13" t="str">
        <f t="shared" si="101"/>
        <v>January</v>
      </c>
      <c r="V241" s="12">
        <f t="shared" si="102"/>
        <v>43834</v>
      </c>
      <c r="W241" s="2">
        <v>22</v>
      </c>
      <c r="X241" s="37" t="s">
        <v>1120</v>
      </c>
      <c r="Y241" s="11">
        <f t="shared" si="98"/>
        <v>22</v>
      </c>
      <c r="Z241" s="109"/>
      <c r="AA241" s="37">
        <f>IF(Y241&gt;=Expenses!$C$32,4,IF(Y241&gt;=Expenses!$C$31,3,IF(Y241&gt;=Expenses!$C$30,2,1)))</f>
        <v>2</v>
      </c>
      <c r="AB241" s="37">
        <f t="shared" si="99"/>
        <v>1</v>
      </c>
      <c r="AC241" s="37" t="str">
        <f t="shared" si="100"/>
        <v>2020</v>
      </c>
      <c r="AE241" s="1"/>
      <c r="AF241" s="13" t="str">
        <f t="shared" si="88"/>
        <v>January</v>
      </c>
      <c r="AG241" s="37" t="str">
        <f t="shared" si="89"/>
        <v>1900</v>
      </c>
    </row>
    <row r="242" spans="1:33" s="37" customFormat="1" ht="18.75" x14ac:dyDescent="0.3">
      <c r="A242" s="37" t="str">
        <f t="shared" si="103"/>
        <v>2017Domaine de l'AmandineCotes du Rhone Villages Seguret</v>
      </c>
      <c r="B242" s="37">
        <v>2017</v>
      </c>
      <c r="C242" s="37" t="s">
        <v>361</v>
      </c>
      <c r="D242" s="37" t="s">
        <v>362</v>
      </c>
      <c r="E242" s="37" t="s">
        <v>673</v>
      </c>
      <c r="F242" s="37" t="s">
        <v>742</v>
      </c>
      <c r="G242" s="37" t="s">
        <v>759</v>
      </c>
      <c r="H242" s="37" t="s">
        <v>760</v>
      </c>
      <c r="I242" s="37">
        <v>1</v>
      </c>
      <c r="J242" s="37">
        <v>750</v>
      </c>
      <c r="K242" s="37" t="s">
        <v>589</v>
      </c>
      <c r="L242" s="37">
        <f>SUMIF(Wine1!A:A,Drank!A242,Wine1!I:I)</f>
        <v>20</v>
      </c>
      <c r="M242" s="37">
        <v>2018</v>
      </c>
      <c r="N242" s="37">
        <v>2025</v>
      </c>
      <c r="O242" s="37">
        <v>2020</v>
      </c>
      <c r="P242" s="37">
        <v>2025</v>
      </c>
      <c r="Q242" s="37">
        <v>93</v>
      </c>
      <c r="R242" s="37">
        <v>94</v>
      </c>
      <c r="S242" s="7">
        <f>AVERAGEIF(A:A,A242,R:R)</f>
        <v>92.470588235294116</v>
      </c>
      <c r="T242" s="1">
        <v>43831</v>
      </c>
      <c r="U242" s="13" t="str">
        <f t="shared" si="101"/>
        <v>January</v>
      </c>
      <c r="V242" s="12">
        <f t="shared" si="102"/>
        <v>43831</v>
      </c>
      <c r="W242" s="2">
        <v>14.99</v>
      </c>
      <c r="X242" s="37">
        <v>1</v>
      </c>
      <c r="Y242" s="11">
        <f t="shared" si="98"/>
        <v>14.99</v>
      </c>
      <c r="Z242" s="109"/>
      <c r="AA242" s="37">
        <f>IF(Y242&gt;=Expenses!$C$32,4,IF(Y242&gt;=Expenses!$C$31,3,IF(Y242&gt;=Expenses!$C$30,2,1)))</f>
        <v>1</v>
      </c>
      <c r="AB242" s="37">
        <f t="shared" si="99"/>
        <v>1</v>
      </c>
      <c r="AC242" s="37" t="str">
        <f t="shared" si="100"/>
        <v>2020</v>
      </c>
      <c r="AE242" s="1">
        <v>43806</v>
      </c>
      <c r="AF242" s="13" t="str">
        <f t="shared" si="88"/>
        <v>December</v>
      </c>
      <c r="AG242" s="37" t="str">
        <f t="shared" si="89"/>
        <v>2019</v>
      </c>
    </row>
    <row r="243" spans="1:33" s="37" customFormat="1" ht="18.75" x14ac:dyDescent="0.3">
      <c r="A243" s="37" t="str">
        <f t="shared" si="103"/>
        <v>2008Piper-HeidsieckVintage Brut</v>
      </c>
      <c r="B243" s="37">
        <v>2008</v>
      </c>
      <c r="C243" s="37" t="s">
        <v>411</v>
      </c>
      <c r="D243" s="37" t="s">
        <v>412</v>
      </c>
      <c r="E243" s="37" t="s">
        <v>416</v>
      </c>
      <c r="F243" s="37" t="s">
        <v>742</v>
      </c>
      <c r="G243" s="37" t="s">
        <v>416</v>
      </c>
      <c r="I243" s="37">
        <v>1</v>
      </c>
      <c r="J243" s="37">
        <v>750</v>
      </c>
      <c r="K243" s="37" t="s">
        <v>253</v>
      </c>
      <c r="L243" s="37">
        <f>SUMIF(Wine1!A:A,Drank!A243,Wine1!I:I)</f>
        <v>1</v>
      </c>
      <c r="M243" s="37">
        <v>2018</v>
      </c>
      <c r="N243" s="37">
        <v>2030</v>
      </c>
      <c r="Q243" s="37">
        <v>94</v>
      </c>
      <c r="R243" s="37">
        <v>94</v>
      </c>
      <c r="S243" s="7">
        <f>AVERAGEIF(A:A,A243,R:R)</f>
        <v>94</v>
      </c>
      <c r="T243" s="1">
        <v>43831</v>
      </c>
      <c r="U243" s="13" t="str">
        <f t="shared" si="101"/>
        <v>January</v>
      </c>
      <c r="V243" s="12">
        <f t="shared" si="102"/>
        <v>43831</v>
      </c>
      <c r="W243" s="2">
        <v>60</v>
      </c>
      <c r="X243" s="37">
        <v>0</v>
      </c>
      <c r="Y243" s="11">
        <f t="shared" si="98"/>
        <v>60</v>
      </c>
      <c r="Z243" s="109"/>
      <c r="AA243" s="37">
        <f>IF(Y243&gt;=Expenses!$C$32,4,IF(Y243&gt;=Expenses!$C$31,3,IF(Y243&gt;=Expenses!$C$30,2,1)))</f>
        <v>3</v>
      </c>
      <c r="AB243" s="37">
        <f t="shared" si="99"/>
        <v>1</v>
      </c>
      <c r="AC243" s="37" t="str">
        <f t="shared" si="100"/>
        <v>2020</v>
      </c>
      <c r="AE243" s="1"/>
      <c r="AF243" s="13" t="str">
        <f t="shared" si="88"/>
        <v>January</v>
      </c>
      <c r="AG243" s="37" t="str">
        <f t="shared" si="89"/>
        <v>1900</v>
      </c>
    </row>
    <row r="244" spans="1:33" s="37" customFormat="1" ht="18.75" x14ac:dyDescent="0.3">
      <c r="A244" s="37" t="str">
        <f t="shared" si="103"/>
        <v>NVMionettoProsecco Brut</v>
      </c>
      <c r="B244" s="37" t="s">
        <v>167</v>
      </c>
      <c r="C244" s="37" t="s">
        <v>635</v>
      </c>
      <c r="D244" s="37" t="s">
        <v>636</v>
      </c>
      <c r="E244" s="37" t="s">
        <v>639</v>
      </c>
      <c r="F244" s="37" t="s">
        <v>728</v>
      </c>
      <c r="G244" s="37" t="s">
        <v>799</v>
      </c>
      <c r="I244" s="37">
        <v>1</v>
      </c>
      <c r="J244" s="37">
        <v>750</v>
      </c>
      <c r="K244" s="37" t="s">
        <v>236</v>
      </c>
      <c r="L244" s="37">
        <f>SUMIF(Wine1!A:A,Drank!A244,Wine1!I:I)</f>
        <v>0</v>
      </c>
      <c r="Q244" s="37">
        <v>86</v>
      </c>
      <c r="R244" s="37">
        <v>86</v>
      </c>
      <c r="S244" s="7">
        <f>AVERAGEIF(A:A,A244,R:R)</f>
        <v>86</v>
      </c>
      <c r="T244" s="1">
        <v>43830</v>
      </c>
      <c r="U244" s="13" t="str">
        <f t="shared" si="101"/>
        <v>December</v>
      </c>
      <c r="V244" s="12">
        <f t="shared" si="102"/>
        <v>43830</v>
      </c>
      <c r="W244" s="2">
        <v>9.9700000000000006</v>
      </c>
      <c r="X244" s="37">
        <v>0</v>
      </c>
      <c r="Y244" s="11">
        <f t="shared" si="98"/>
        <v>9.9700000000000006</v>
      </c>
      <c r="Z244" s="109"/>
      <c r="AA244" s="37">
        <f>IF(Y244&gt;=Expenses!$C$32,4,IF(Y244&gt;=Expenses!$C$31,3,IF(Y244&gt;=Expenses!$C$30,2,1)))</f>
        <v>1</v>
      </c>
      <c r="AB244" s="37">
        <f t="shared" si="99"/>
        <v>1</v>
      </c>
      <c r="AC244" s="37" t="str">
        <f t="shared" si="100"/>
        <v>2019</v>
      </c>
      <c r="AE244" s="1"/>
      <c r="AF244" s="13" t="str">
        <f t="shared" si="88"/>
        <v>January</v>
      </c>
      <c r="AG244" s="37" t="str">
        <f t="shared" si="89"/>
        <v>1900</v>
      </c>
    </row>
    <row r="245" spans="1:33" s="37" customFormat="1" ht="18.75" x14ac:dyDescent="0.3">
      <c r="A245" s="37" t="str">
        <f t="shared" si="103"/>
        <v>2018Prisoner Wine CoProprietary Red The Prisoner</v>
      </c>
      <c r="B245" s="37">
        <v>2018</v>
      </c>
      <c r="C245" s="37" t="s">
        <v>68</v>
      </c>
      <c r="D245" s="37" t="s">
        <v>69</v>
      </c>
      <c r="E245" s="37" t="s">
        <v>274</v>
      </c>
      <c r="F245" s="37" t="s">
        <v>727</v>
      </c>
      <c r="G245" s="37" t="s">
        <v>806</v>
      </c>
      <c r="H245" s="37" t="s">
        <v>832</v>
      </c>
      <c r="I245" s="37">
        <v>1</v>
      </c>
      <c r="J245" s="37">
        <v>750</v>
      </c>
      <c r="K245" s="37" t="s">
        <v>58</v>
      </c>
      <c r="L245" s="37">
        <f>SUMIF(Wine1!A:A,Drank!A245,Wine1!I:I)</f>
        <v>0</v>
      </c>
      <c r="P245" s="37">
        <v>2024</v>
      </c>
      <c r="R245" s="37">
        <v>91</v>
      </c>
      <c r="S245" s="7">
        <f>AVERAGEIF(A:A,A245,R:R)</f>
        <v>91</v>
      </c>
      <c r="T245" s="1">
        <v>43830</v>
      </c>
      <c r="U245" s="13" t="str">
        <f t="shared" si="101"/>
        <v>December</v>
      </c>
      <c r="V245" s="12">
        <f t="shared" si="102"/>
        <v>43830</v>
      </c>
      <c r="W245" s="2">
        <v>37.97</v>
      </c>
      <c r="X245" s="37">
        <v>2</v>
      </c>
      <c r="Y245" s="11">
        <f t="shared" si="98"/>
        <v>37.97</v>
      </c>
      <c r="Z245" s="109"/>
      <c r="AA245" s="37">
        <f>IF(Y245&gt;=Expenses!$C$32,4,IF(Y245&gt;=Expenses!$C$31,3,IF(Y245&gt;=Expenses!$C$30,2,1)))</f>
        <v>3</v>
      </c>
      <c r="AB245" s="37">
        <f t="shared" si="99"/>
        <v>1</v>
      </c>
      <c r="AC245" s="37" t="str">
        <f t="shared" si="100"/>
        <v>2019</v>
      </c>
      <c r="AE245" s="1"/>
      <c r="AF245" s="13" t="str">
        <f t="shared" si="88"/>
        <v>January</v>
      </c>
      <c r="AG245" s="37" t="str">
        <f t="shared" si="89"/>
        <v>1900</v>
      </c>
    </row>
    <row r="246" spans="1:33" s="37" customFormat="1" ht="18.75" x14ac:dyDescent="0.3">
      <c r="A246" s="37" t="str">
        <f t="shared" si="103"/>
        <v>2018Masseria Li VeliPrimitivo Orion</v>
      </c>
      <c r="B246" s="37">
        <v>2018</v>
      </c>
      <c r="C246" s="37" t="s">
        <v>630</v>
      </c>
      <c r="D246" s="37" t="s">
        <v>631</v>
      </c>
      <c r="E246" s="37" t="s">
        <v>588</v>
      </c>
      <c r="F246" s="37" t="s">
        <v>728</v>
      </c>
      <c r="G246" s="37" t="s">
        <v>785</v>
      </c>
      <c r="H246" s="37" t="s">
        <v>786</v>
      </c>
      <c r="I246" s="37">
        <v>1</v>
      </c>
      <c r="J246" s="37">
        <v>750</v>
      </c>
      <c r="K246" s="37" t="s">
        <v>58</v>
      </c>
      <c r="L246" s="37">
        <f>SUMIF(Wine1!A:A,Drank!A246,Wine1!I:I)</f>
        <v>3</v>
      </c>
      <c r="P246" s="37">
        <v>2026</v>
      </c>
      <c r="R246" s="37">
        <v>89</v>
      </c>
      <c r="S246" s="7">
        <f>AVERAGEIF(A:A,A246,R:R)</f>
        <v>88.555555555555557</v>
      </c>
      <c r="T246" s="1">
        <v>43830</v>
      </c>
      <c r="U246" s="13" t="str">
        <f t="shared" si="101"/>
        <v>December</v>
      </c>
      <c r="V246" s="12">
        <f t="shared" si="102"/>
        <v>43830</v>
      </c>
      <c r="W246" s="2">
        <v>13.49</v>
      </c>
      <c r="X246" s="37">
        <v>1</v>
      </c>
      <c r="Y246" s="11">
        <f t="shared" si="98"/>
        <v>13.490000000000002</v>
      </c>
      <c r="Z246" s="109"/>
      <c r="AA246" s="37">
        <f>IF(Y246&gt;=Expenses!$C$32,4,IF(Y246&gt;=Expenses!$C$31,3,IF(Y246&gt;=Expenses!$C$30,2,1)))</f>
        <v>1</v>
      </c>
      <c r="AB246" s="37">
        <f t="shared" si="99"/>
        <v>1</v>
      </c>
      <c r="AC246" s="37" t="str">
        <f t="shared" si="100"/>
        <v>2019</v>
      </c>
      <c r="AE246" s="1"/>
      <c r="AF246" s="13" t="str">
        <f t="shared" si="88"/>
        <v>January</v>
      </c>
      <c r="AG246" s="37" t="str">
        <f t="shared" si="89"/>
        <v>1900</v>
      </c>
    </row>
    <row r="247" spans="1:33" s="37" customFormat="1" ht="18.75" x14ac:dyDescent="0.3">
      <c r="A247" s="37" t="str">
        <f t="shared" si="103"/>
        <v>2016Clos du RoyClos du Roy</v>
      </c>
      <c r="B247" s="37">
        <v>2016</v>
      </c>
      <c r="C247" s="37" t="s">
        <v>854</v>
      </c>
      <c r="D247" s="37" t="s">
        <v>854</v>
      </c>
      <c r="E247" s="37" t="s">
        <v>274</v>
      </c>
      <c r="F247" s="37" t="s">
        <v>742</v>
      </c>
      <c r="G247" s="37" t="s">
        <v>748</v>
      </c>
      <c r="H247" s="37" t="s">
        <v>856</v>
      </c>
      <c r="I247" s="37">
        <v>1</v>
      </c>
      <c r="J247" s="37">
        <v>750</v>
      </c>
      <c r="K247" s="37" t="s">
        <v>839</v>
      </c>
      <c r="L247" s="37">
        <f>SUMIF(Wine1!A:A,Drank!A247,Wine1!I:I)</f>
        <v>15</v>
      </c>
      <c r="M247" s="37">
        <v>2021</v>
      </c>
      <c r="N247" s="37">
        <v>2038</v>
      </c>
      <c r="P247" s="37">
        <v>2045</v>
      </c>
      <c r="Q247" s="37" t="s">
        <v>855</v>
      </c>
      <c r="R247" s="37">
        <v>91</v>
      </c>
      <c r="S247" s="7">
        <f>AVERAGEIF(A:A,A247,R:R)</f>
        <v>91</v>
      </c>
      <c r="T247" s="1">
        <v>43830</v>
      </c>
      <c r="U247" s="13" t="str">
        <f t="shared" si="101"/>
        <v>December</v>
      </c>
      <c r="V247" s="12">
        <f t="shared" si="102"/>
        <v>43830</v>
      </c>
      <c r="W247" s="2">
        <v>16.989999999999998</v>
      </c>
      <c r="X247" s="37" t="s">
        <v>1120</v>
      </c>
      <c r="Y247" s="11">
        <f t="shared" si="98"/>
        <v>16.989999999999998</v>
      </c>
      <c r="Z247" s="109"/>
      <c r="AA247" s="37">
        <f>IF(Y247&gt;=Expenses!$C$32,4,IF(Y247&gt;=Expenses!$C$31,3,IF(Y247&gt;=Expenses!$C$30,2,1)))</f>
        <v>2</v>
      </c>
      <c r="AB247" s="37">
        <f t="shared" si="99"/>
        <v>1</v>
      </c>
      <c r="AC247" s="37" t="str">
        <f t="shared" si="100"/>
        <v>2019</v>
      </c>
      <c r="AE247" s="1"/>
      <c r="AF247" s="13" t="str">
        <f t="shared" si="88"/>
        <v>January</v>
      </c>
      <c r="AG247" s="37" t="str">
        <f t="shared" si="89"/>
        <v>1900</v>
      </c>
    </row>
    <row r="248" spans="1:33" s="37" customFormat="1" ht="18.75" x14ac:dyDescent="0.3">
      <c r="A248" s="37" t="str">
        <f t="shared" si="103"/>
        <v>2014Prunus DaoPrivate Selection</v>
      </c>
      <c r="B248" s="37">
        <v>2014</v>
      </c>
      <c r="C248" s="37" t="s">
        <v>610</v>
      </c>
      <c r="D248" s="37" t="s">
        <v>611</v>
      </c>
      <c r="E248" s="37" t="s">
        <v>612</v>
      </c>
      <c r="F248" s="37" t="s">
        <v>804</v>
      </c>
      <c r="G248" s="37" t="s">
        <v>837</v>
      </c>
      <c r="I248" s="37">
        <v>1</v>
      </c>
      <c r="J248" s="37">
        <v>750</v>
      </c>
      <c r="K248" s="37" t="s">
        <v>929</v>
      </c>
      <c r="L248" s="37">
        <f>SUMIF(Wine1!A:A,Drank!A248,Wine1!I:I)</f>
        <v>1</v>
      </c>
      <c r="O248" s="37" t="s">
        <v>238</v>
      </c>
      <c r="P248" s="37">
        <v>2023</v>
      </c>
      <c r="R248" s="37">
        <v>90</v>
      </c>
      <c r="S248" s="7">
        <f>AVERAGEIF(A:A,A248,R:R)</f>
        <v>88</v>
      </c>
      <c r="T248" s="1">
        <v>43829</v>
      </c>
      <c r="U248" s="13" t="str">
        <f t="shared" si="101"/>
        <v>December</v>
      </c>
      <c r="V248" s="12">
        <f t="shared" si="102"/>
        <v>43829</v>
      </c>
      <c r="W248" s="2">
        <v>9.99</v>
      </c>
      <c r="X248" s="37">
        <v>2</v>
      </c>
      <c r="Y248" s="11">
        <f t="shared" si="98"/>
        <v>9.99</v>
      </c>
      <c r="Z248" s="109"/>
      <c r="AA248" s="37">
        <f>IF(Y248&gt;=Expenses!$C$32,4,IF(Y248&gt;=Expenses!$C$31,3,IF(Y248&gt;=Expenses!$C$30,2,1)))</f>
        <v>1</v>
      </c>
      <c r="AB248" s="37">
        <f t="shared" si="99"/>
        <v>1</v>
      </c>
      <c r="AC248" s="37" t="str">
        <f t="shared" si="100"/>
        <v>2019</v>
      </c>
      <c r="AE248" s="1">
        <v>43803</v>
      </c>
      <c r="AF248" s="13" t="str">
        <f t="shared" si="88"/>
        <v>December</v>
      </c>
      <c r="AG248" s="37" t="str">
        <f t="shared" si="89"/>
        <v>2019</v>
      </c>
    </row>
    <row r="249" spans="1:33" s="37" customFormat="1" ht="18.75" x14ac:dyDescent="0.3">
      <c r="A249" s="37" t="str">
        <f t="shared" si="103"/>
        <v>2018Chateau d'EsclansWhispering Angel</v>
      </c>
      <c r="B249" s="37">
        <v>2018</v>
      </c>
      <c r="C249" s="37" t="s">
        <v>633</v>
      </c>
      <c r="D249" s="37" t="s">
        <v>634</v>
      </c>
      <c r="E249" s="37" t="s">
        <v>637</v>
      </c>
      <c r="F249" s="37" t="s">
        <v>742</v>
      </c>
      <c r="G249" s="37" t="s">
        <v>758</v>
      </c>
      <c r="I249" s="37">
        <v>1</v>
      </c>
      <c r="J249" s="37">
        <v>750</v>
      </c>
      <c r="K249" s="37" t="s">
        <v>236</v>
      </c>
      <c r="L249" s="37">
        <f>SUMIF(Wine1!A:A,Drank!A249,Wine1!I:I)</f>
        <v>0</v>
      </c>
      <c r="O249" s="37" t="s">
        <v>238</v>
      </c>
      <c r="P249" s="37" t="s">
        <v>238</v>
      </c>
      <c r="R249" s="37">
        <v>86</v>
      </c>
      <c r="S249" s="7">
        <f>AVERAGEIF(A:A,A249,R:R)</f>
        <v>86</v>
      </c>
      <c r="T249" s="1">
        <v>43829</v>
      </c>
      <c r="U249" s="13" t="str">
        <f t="shared" ref="U249:U312" si="104">TEXT(T249,"mmmm")</f>
        <v>December</v>
      </c>
      <c r="V249" s="12">
        <f t="shared" ref="V249:V312" si="105">T249</f>
        <v>43829</v>
      </c>
      <c r="W249" s="2">
        <v>15.97</v>
      </c>
      <c r="X249" s="37">
        <v>0</v>
      </c>
      <c r="Y249" s="11">
        <f t="shared" si="98"/>
        <v>15.97</v>
      </c>
      <c r="Z249" s="109"/>
      <c r="AA249" s="37">
        <f>IF(Y249&gt;=Expenses!$C$32,4,IF(Y249&gt;=Expenses!$C$31,3,IF(Y249&gt;=Expenses!$C$30,2,1)))</f>
        <v>1</v>
      </c>
      <c r="AB249" s="37">
        <f t="shared" si="99"/>
        <v>1</v>
      </c>
      <c r="AC249" s="37" t="str">
        <f t="shared" si="100"/>
        <v>2019</v>
      </c>
      <c r="AE249" s="1"/>
      <c r="AF249" s="13" t="str">
        <f t="shared" si="88"/>
        <v>January</v>
      </c>
      <c r="AG249" s="37" t="str">
        <f t="shared" si="89"/>
        <v>1900</v>
      </c>
    </row>
    <row r="250" spans="1:33" s="37" customFormat="1" ht="18.75" x14ac:dyDescent="0.3">
      <c r="A250" s="37" t="str">
        <f t="shared" ref="A250:A261" si="106">CONCATENATE(B250,C250,D250)</f>
        <v>2017SichelSichel</v>
      </c>
      <c r="B250" s="37">
        <v>2017</v>
      </c>
      <c r="C250" s="37" t="s">
        <v>409</v>
      </c>
      <c r="D250" s="37" t="s">
        <v>409</v>
      </c>
      <c r="E250" s="37" t="s">
        <v>260</v>
      </c>
      <c r="F250" s="37" t="s">
        <v>742</v>
      </c>
      <c r="G250" s="37" t="s">
        <v>748</v>
      </c>
      <c r="H250" s="37" t="s">
        <v>260</v>
      </c>
      <c r="I250" s="37">
        <v>1</v>
      </c>
      <c r="J250" s="37">
        <v>375</v>
      </c>
      <c r="K250" s="37" t="s">
        <v>658</v>
      </c>
      <c r="L250" s="37">
        <f>SUMIF(Wine1!A:A,Drank!A250,Wine1!I:I)</f>
        <v>20</v>
      </c>
      <c r="O250" s="37">
        <v>2021</v>
      </c>
      <c r="P250" s="37">
        <v>2035</v>
      </c>
      <c r="R250" s="37">
        <v>90</v>
      </c>
      <c r="S250" s="7">
        <f>AVERAGEIF(A:A,A250,R:R)</f>
        <v>89.7</v>
      </c>
      <c r="T250" s="1">
        <v>43828</v>
      </c>
      <c r="U250" s="13" t="str">
        <f t="shared" si="104"/>
        <v>December</v>
      </c>
      <c r="V250" s="12">
        <f t="shared" si="105"/>
        <v>43828</v>
      </c>
      <c r="W250" s="2">
        <v>12</v>
      </c>
      <c r="X250" s="37">
        <v>0</v>
      </c>
      <c r="Y250" s="11">
        <f t="shared" si="98"/>
        <v>24</v>
      </c>
      <c r="Z250" s="109"/>
      <c r="AA250" s="37">
        <f>IF(Y250&gt;=Expenses!$C$32,4,IF(Y250&gt;=Expenses!$C$31,3,IF(Y250&gt;=Expenses!$C$30,2,1)))</f>
        <v>2</v>
      </c>
      <c r="AB250" s="37">
        <f t="shared" si="99"/>
        <v>0.5</v>
      </c>
      <c r="AC250" s="37" t="str">
        <f t="shared" si="100"/>
        <v>2019</v>
      </c>
      <c r="AE250" s="1"/>
      <c r="AF250" s="13" t="str">
        <f t="shared" si="88"/>
        <v>January</v>
      </c>
      <c r="AG250" s="37" t="str">
        <f t="shared" si="89"/>
        <v>1900</v>
      </c>
    </row>
    <row r="251" spans="1:33" s="37" customFormat="1" ht="18.75" x14ac:dyDescent="0.3">
      <c r="A251" s="37" t="str">
        <f t="shared" si="106"/>
        <v>2013FontanafreddaBarolo Serralunga</v>
      </c>
      <c r="B251" s="37">
        <v>2013</v>
      </c>
      <c r="C251" s="37" t="s">
        <v>428</v>
      </c>
      <c r="D251" s="37" t="s">
        <v>429</v>
      </c>
      <c r="E251" s="37" t="s">
        <v>268</v>
      </c>
      <c r="F251" s="37" t="s">
        <v>728</v>
      </c>
      <c r="G251" s="37" t="s">
        <v>778</v>
      </c>
      <c r="H251" s="37" t="s">
        <v>783</v>
      </c>
      <c r="I251" s="37">
        <v>1</v>
      </c>
      <c r="J251" s="37">
        <v>1000</v>
      </c>
      <c r="K251" s="37" t="s">
        <v>236</v>
      </c>
      <c r="L251" s="37">
        <f>SUMIF(Wine1!A:A,Drank!A251,Wine1!I:I)</f>
        <v>7</v>
      </c>
      <c r="M251" s="37">
        <v>2018</v>
      </c>
      <c r="N251" s="37">
        <v>2030</v>
      </c>
      <c r="O251" s="37" t="s">
        <v>238</v>
      </c>
      <c r="P251" s="37">
        <v>2035</v>
      </c>
      <c r="Q251" s="37">
        <v>92</v>
      </c>
      <c r="R251" s="37">
        <v>92</v>
      </c>
      <c r="S251" s="7">
        <f>AVERAGEIF(A:A,A251,R:R)</f>
        <v>91.5</v>
      </c>
      <c r="T251" s="1">
        <v>43828</v>
      </c>
      <c r="U251" s="13" t="str">
        <f t="shared" si="104"/>
        <v>December</v>
      </c>
      <c r="V251" s="12">
        <f t="shared" si="105"/>
        <v>43828</v>
      </c>
      <c r="W251" s="2">
        <v>32.99</v>
      </c>
      <c r="X251" s="37">
        <v>1</v>
      </c>
      <c r="Y251" s="11">
        <f t="shared" si="98"/>
        <v>24.742500000000003</v>
      </c>
      <c r="Z251" s="109"/>
      <c r="AA251" s="37">
        <f>IF(Y251&gt;=Expenses!$C$32,4,IF(Y251&gt;=Expenses!$C$31,3,IF(Y251&gt;=Expenses!$C$30,2,1)))</f>
        <v>2</v>
      </c>
      <c r="AB251" s="37">
        <f t="shared" si="99"/>
        <v>1.3333333333333333</v>
      </c>
      <c r="AC251" s="37" t="str">
        <f t="shared" si="100"/>
        <v>2019</v>
      </c>
      <c r="AE251" s="1">
        <v>43806</v>
      </c>
      <c r="AF251" s="13" t="str">
        <f t="shared" si="88"/>
        <v>December</v>
      </c>
      <c r="AG251" s="37" t="str">
        <f t="shared" si="89"/>
        <v>2019</v>
      </c>
    </row>
    <row r="252" spans="1:33" s="37" customFormat="1" ht="18.75" x14ac:dyDescent="0.3">
      <c r="A252" s="37" t="str">
        <f t="shared" si="106"/>
        <v>2015Brewer-CliftonChardonnay</v>
      </c>
      <c r="B252" s="37">
        <v>2015</v>
      </c>
      <c r="C252" s="37" t="s">
        <v>131</v>
      </c>
      <c r="D252" s="37" t="s">
        <v>132</v>
      </c>
      <c r="E252" s="37" t="s">
        <v>259</v>
      </c>
      <c r="F252" s="37" t="s">
        <v>727</v>
      </c>
      <c r="G252" s="37" t="s">
        <v>806</v>
      </c>
      <c r="H252" s="37" t="s">
        <v>830</v>
      </c>
      <c r="I252" s="37">
        <v>1</v>
      </c>
      <c r="J252" s="37">
        <v>750</v>
      </c>
      <c r="K252" s="37" t="s">
        <v>97</v>
      </c>
      <c r="L252" s="37">
        <f>SUMIF(Wine1!A:A,Drank!A252,Wine1!I:I)</f>
        <v>0</v>
      </c>
      <c r="M252" s="37">
        <v>2017</v>
      </c>
      <c r="N252" s="37">
        <v>2022</v>
      </c>
      <c r="O252" s="37" t="s">
        <v>238</v>
      </c>
      <c r="Q252" s="37">
        <v>92</v>
      </c>
      <c r="R252" s="37">
        <v>91</v>
      </c>
      <c r="S252" s="7">
        <f>AVERAGEIF(A:A,A252,R:R)</f>
        <v>91</v>
      </c>
      <c r="T252" s="1">
        <v>43828</v>
      </c>
      <c r="U252" s="13" t="str">
        <f t="shared" si="104"/>
        <v>December</v>
      </c>
      <c r="V252" s="12">
        <f t="shared" si="105"/>
        <v>43828</v>
      </c>
      <c r="W252" s="2">
        <v>34</v>
      </c>
      <c r="X252" s="37">
        <v>0</v>
      </c>
      <c r="Y252" s="11">
        <f t="shared" si="98"/>
        <v>34</v>
      </c>
      <c r="Z252" s="109"/>
      <c r="AA252" s="37">
        <f>IF(Y252&gt;=Expenses!$C$32,4,IF(Y252&gt;=Expenses!$C$31,3,IF(Y252&gt;=Expenses!$C$30,2,1)))</f>
        <v>3</v>
      </c>
      <c r="AB252" s="37">
        <f t="shared" si="99"/>
        <v>1</v>
      </c>
      <c r="AC252" s="37" t="str">
        <f t="shared" si="100"/>
        <v>2019</v>
      </c>
      <c r="AE252" s="1"/>
      <c r="AF252" s="13" t="str">
        <f t="shared" si="88"/>
        <v>January</v>
      </c>
      <c r="AG252" s="37" t="str">
        <f t="shared" si="89"/>
        <v>1900</v>
      </c>
    </row>
    <row r="253" spans="1:33" s="37" customFormat="1" ht="18.75" x14ac:dyDescent="0.3">
      <c r="A253" s="37" t="str">
        <f t="shared" si="106"/>
        <v>2016Teruzzi &amp; PuthodTerre di Tufi</v>
      </c>
      <c r="B253" s="37">
        <v>2016</v>
      </c>
      <c r="C253" s="37" t="s">
        <v>378</v>
      </c>
      <c r="D253" s="37" t="s">
        <v>379</v>
      </c>
      <c r="E253" s="37" t="s">
        <v>382</v>
      </c>
      <c r="F253" s="37" t="s">
        <v>728</v>
      </c>
      <c r="G253" s="37" t="s">
        <v>790</v>
      </c>
      <c r="H253" s="37" t="s">
        <v>808</v>
      </c>
      <c r="I253" s="37">
        <v>1</v>
      </c>
      <c r="J253" s="37">
        <v>750</v>
      </c>
      <c r="K253" s="37" t="s">
        <v>236</v>
      </c>
      <c r="L253" s="37">
        <f>SUMIF(Wine1!A:A,Drank!A253,Wine1!I:I)</f>
        <v>0</v>
      </c>
      <c r="O253" s="37">
        <v>2019</v>
      </c>
      <c r="P253" s="37">
        <v>2021</v>
      </c>
      <c r="R253" s="37">
        <v>90</v>
      </c>
      <c r="S253" s="7">
        <f>AVERAGEIF(A:A,A253,R:R)</f>
        <v>90.375</v>
      </c>
      <c r="T253" s="1">
        <v>43828</v>
      </c>
      <c r="U253" s="13" t="str">
        <f t="shared" si="104"/>
        <v>December</v>
      </c>
      <c r="V253" s="12">
        <f t="shared" si="105"/>
        <v>43828</v>
      </c>
      <c r="W253" s="2">
        <v>11.69</v>
      </c>
      <c r="X253" s="37">
        <v>0</v>
      </c>
      <c r="Y253" s="11">
        <f t="shared" si="98"/>
        <v>11.69</v>
      </c>
      <c r="Z253" s="109"/>
      <c r="AA253" s="37">
        <f>IF(Y253&gt;=Expenses!$C$32,4,IF(Y253&gt;=Expenses!$C$31,3,IF(Y253&gt;=Expenses!$C$30,2,1)))</f>
        <v>1</v>
      </c>
      <c r="AB253" s="37">
        <f t="shared" si="99"/>
        <v>1</v>
      </c>
      <c r="AC253" s="37" t="str">
        <f t="shared" si="100"/>
        <v>2019</v>
      </c>
      <c r="AE253" s="1"/>
      <c r="AF253" s="13" t="str">
        <f t="shared" si="88"/>
        <v>January</v>
      </c>
      <c r="AG253" s="37" t="str">
        <f t="shared" si="89"/>
        <v>1900</v>
      </c>
    </row>
    <row r="254" spans="1:33" s="37" customFormat="1" ht="18.75" x14ac:dyDescent="0.3">
      <c r="A254" s="37" t="str">
        <f t="shared" si="106"/>
        <v>2015Mosen CletoCrianza</v>
      </c>
      <c r="B254" s="37">
        <v>2015</v>
      </c>
      <c r="C254" s="37" t="s">
        <v>623</v>
      </c>
      <c r="D254" s="37" t="s">
        <v>108</v>
      </c>
      <c r="E254" s="37" t="s">
        <v>624</v>
      </c>
      <c r="F254" s="37" t="s">
        <v>729</v>
      </c>
      <c r="G254" s="37" t="s">
        <v>811</v>
      </c>
      <c r="H254" s="37" t="s">
        <v>838</v>
      </c>
      <c r="I254" s="37">
        <v>1</v>
      </c>
      <c r="J254" s="37">
        <v>750</v>
      </c>
      <c r="K254" s="37" t="s">
        <v>58</v>
      </c>
      <c r="L254" s="37">
        <f>SUMIF(Wine1!A:A,Drank!A254,Wine1!I:I)</f>
        <v>0</v>
      </c>
      <c r="O254" s="37">
        <v>2020</v>
      </c>
      <c r="P254" s="37">
        <v>2021</v>
      </c>
      <c r="R254" s="37">
        <v>89</v>
      </c>
      <c r="S254" s="7">
        <f>AVERAGEIF(A:A,A254,R:R)</f>
        <v>88.125</v>
      </c>
      <c r="T254" s="1">
        <v>43828</v>
      </c>
      <c r="U254" s="13" t="str">
        <f t="shared" si="104"/>
        <v>December</v>
      </c>
      <c r="V254" s="12">
        <f t="shared" si="105"/>
        <v>43828</v>
      </c>
      <c r="W254" s="2">
        <v>11.69</v>
      </c>
      <c r="X254" s="37">
        <v>0</v>
      </c>
      <c r="Y254" s="11">
        <f t="shared" si="98"/>
        <v>11.69</v>
      </c>
      <c r="Z254" s="109"/>
      <c r="AA254" s="37">
        <f>IF(Y254&gt;=Expenses!$C$32,4,IF(Y254&gt;=Expenses!$C$31,3,IF(Y254&gt;=Expenses!$C$30,2,1)))</f>
        <v>1</v>
      </c>
      <c r="AB254" s="37">
        <f t="shared" si="99"/>
        <v>1</v>
      </c>
      <c r="AC254" s="37" t="str">
        <f t="shared" si="100"/>
        <v>2019</v>
      </c>
      <c r="AF254" s="13" t="str">
        <f>TEXT(AE256,"mmmm")</f>
        <v>January</v>
      </c>
      <c r="AG254" s="37" t="str">
        <f>TEXT(AE256,"yyyy")</f>
        <v>1900</v>
      </c>
    </row>
    <row r="255" spans="1:33" s="37" customFormat="1" ht="18.75" x14ac:dyDescent="0.3">
      <c r="A255" s="37" t="str">
        <f t="shared" si="106"/>
        <v>2015MontresorRe Teodorico Recioto Della Valpolicella</v>
      </c>
      <c r="B255" s="37">
        <v>2015</v>
      </c>
      <c r="C255" s="37" t="s">
        <v>721</v>
      </c>
      <c r="D255" s="37" t="s">
        <v>722</v>
      </c>
      <c r="E255" s="37" t="s">
        <v>723</v>
      </c>
      <c r="F255" s="37" t="s">
        <v>728</v>
      </c>
      <c r="G255" s="37" t="s">
        <v>799</v>
      </c>
      <c r="H255" s="37" t="s">
        <v>803</v>
      </c>
      <c r="I255" s="37">
        <v>1</v>
      </c>
      <c r="J255" s="37">
        <v>500</v>
      </c>
      <c r="K255" s="37" t="s">
        <v>236</v>
      </c>
      <c r="L255" s="37">
        <f>SUMIF(Wine1!A:A,Drank!A255,Wine1!I:I)</f>
        <v>0</v>
      </c>
      <c r="P255" s="37">
        <v>2040</v>
      </c>
      <c r="R255" s="37">
        <v>91</v>
      </c>
      <c r="S255" s="7">
        <f>AVERAGEIF(A:A,A255,R:R)</f>
        <v>91</v>
      </c>
      <c r="T255" s="1">
        <v>43828</v>
      </c>
      <c r="U255" s="13" t="str">
        <f t="shared" si="104"/>
        <v>December</v>
      </c>
      <c r="V255" s="12">
        <f t="shared" si="105"/>
        <v>43828</v>
      </c>
      <c r="W255" s="2">
        <v>48</v>
      </c>
      <c r="X255" s="37">
        <v>1</v>
      </c>
      <c r="Y255" s="11">
        <f t="shared" si="98"/>
        <v>72</v>
      </c>
      <c r="Z255" s="109"/>
      <c r="AA255" s="37">
        <f>IF(Y255&gt;=Expenses!$C$32,4,IF(Y255&gt;=Expenses!$C$31,3,IF(Y255&gt;=Expenses!$C$30,2,1)))</f>
        <v>4</v>
      </c>
      <c r="AB255" s="37">
        <f t="shared" si="99"/>
        <v>0.66666666666666663</v>
      </c>
      <c r="AC255" s="37" t="str">
        <f t="shared" si="100"/>
        <v>2019</v>
      </c>
      <c r="AE255" s="1">
        <v>43819</v>
      </c>
      <c r="AF255" s="13" t="str">
        <f t="shared" si="88"/>
        <v>December</v>
      </c>
      <c r="AG255" s="37" t="str">
        <f t="shared" si="89"/>
        <v>2019</v>
      </c>
    </row>
    <row r="256" spans="1:33" s="37" customFormat="1" ht="18.75" x14ac:dyDescent="0.3">
      <c r="A256" s="37" t="str">
        <f t="shared" si="106"/>
        <v>2013MasiAmarone della Valpolicella Classico Costasera</v>
      </c>
      <c r="B256" s="37">
        <v>2013</v>
      </c>
      <c r="C256" s="37" t="s">
        <v>37</v>
      </c>
      <c r="D256" s="37" t="s">
        <v>53</v>
      </c>
      <c r="E256" s="37" t="s">
        <v>313</v>
      </c>
      <c r="F256" s="37" t="s">
        <v>728</v>
      </c>
      <c r="G256" s="37" t="s">
        <v>799</v>
      </c>
      <c r="H256" s="37" t="s">
        <v>800</v>
      </c>
      <c r="I256" s="37">
        <v>1</v>
      </c>
      <c r="J256" s="37">
        <v>750</v>
      </c>
      <c r="K256" s="37" t="s">
        <v>661</v>
      </c>
      <c r="L256" s="37">
        <f>SUMIF(Wine1!A:A,Drank!A256,Wine1!I:I)</f>
        <v>2</v>
      </c>
      <c r="M256" s="37">
        <v>2019</v>
      </c>
      <c r="N256" s="37">
        <v>2030</v>
      </c>
      <c r="O256" s="37">
        <v>2028</v>
      </c>
      <c r="P256" s="37">
        <v>2032</v>
      </c>
      <c r="R256" s="37">
        <v>92</v>
      </c>
      <c r="S256" s="7">
        <f>AVERAGEIF(A:A,A256,R:R)</f>
        <v>92</v>
      </c>
      <c r="T256" s="1">
        <v>43824</v>
      </c>
      <c r="U256" s="13" t="str">
        <f t="shared" si="104"/>
        <v>December</v>
      </c>
      <c r="V256" s="12">
        <f t="shared" si="105"/>
        <v>43824</v>
      </c>
      <c r="W256" s="2">
        <v>47.99</v>
      </c>
      <c r="X256" s="37">
        <v>1</v>
      </c>
      <c r="Y256" s="11">
        <f t="shared" si="98"/>
        <v>47.989999999999995</v>
      </c>
      <c r="Z256" s="109"/>
      <c r="AA256" s="37">
        <f>IF(Y256&gt;=Expenses!$C$32,4,IF(Y256&gt;=Expenses!$C$31,3,IF(Y256&gt;=Expenses!$C$30,2,1)))</f>
        <v>3</v>
      </c>
      <c r="AB256" s="37">
        <f t="shared" si="99"/>
        <v>1</v>
      </c>
      <c r="AC256" s="37" t="str">
        <f t="shared" si="100"/>
        <v>2019</v>
      </c>
      <c r="AE256" s="1"/>
      <c r="AF256" s="13" t="str">
        <f>TEXT(AE256,"mmmm")</f>
        <v>January</v>
      </c>
      <c r="AG256" s="37" t="str">
        <f>TEXT(AE256,"yyyy")</f>
        <v>1900</v>
      </c>
    </row>
    <row r="257" spans="1:33" s="37" customFormat="1" ht="18.75" x14ac:dyDescent="0.3">
      <c r="A257" s="37" t="str">
        <f t="shared" si="106"/>
        <v>2015Mosen CletoCrianza</v>
      </c>
      <c r="B257" s="37">
        <v>2015</v>
      </c>
      <c r="C257" s="37" t="s">
        <v>623</v>
      </c>
      <c r="D257" s="37" t="s">
        <v>108</v>
      </c>
      <c r="E257" s="37" t="s">
        <v>624</v>
      </c>
      <c r="F257" s="37" t="s">
        <v>729</v>
      </c>
      <c r="G257" s="37" t="s">
        <v>811</v>
      </c>
      <c r="H257" s="37" t="s">
        <v>838</v>
      </c>
      <c r="I257" s="37">
        <v>1</v>
      </c>
      <c r="J257" s="37">
        <v>750</v>
      </c>
      <c r="K257" s="37" t="s">
        <v>839</v>
      </c>
      <c r="L257" s="37">
        <f>SUMIF(Wine1!A:A,Drank!A257,Wine1!I:I)</f>
        <v>0</v>
      </c>
      <c r="O257" s="37">
        <v>2020</v>
      </c>
      <c r="P257" s="37">
        <v>2021</v>
      </c>
      <c r="R257" s="37">
        <v>88</v>
      </c>
      <c r="S257" s="7">
        <f>AVERAGEIF(A:A,A257,R:R)</f>
        <v>88.125</v>
      </c>
      <c r="T257" s="1">
        <v>43823</v>
      </c>
      <c r="U257" s="13" t="str">
        <f t="shared" si="104"/>
        <v>December</v>
      </c>
      <c r="V257" s="12">
        <f t="shared" si="105"/>
        <v>43823</v>
      </c>
      <c r="W257" s="2">
        <v>11.69</v>
      </c>
      <c r="X257" s="37">
        <v>0</v>
      </c>
      <c r="Y257" s="11">
        <f t="shared" si="98"/>
        <v>11.69</v>
      </c>
      <c r="Z257" s="109"/>
      <c r="AA257" s="37">
        <f>IF(Y257&gt;=Expenses!$C$32,4,IF(Y257&gt;=Expenses!$C$31,3,IF(Y257&gt;=Expenses!$C$30,2,1)))</f>
        <v>1</v>
      </c>
      <c r="AB257" s="37">
        <f t="shared" si="99"/>
        <v>1</v>
      </c>
      <c r="AC257" s="37" t="str">
        <f t="shared" si="100"/>
        <v>2019</v>
      </c>
      <c r="AE257" s="1"/>
      <c r="AF257" s="13" t="str">
        <f t="shared" si="88"/>
        <v>January</v>
      </c>
      <c r="AG257" s="37" t="str">
        <f t="shared" si="89"/>
        <v>1900</v>
      </c>
    </row>
    <row r="258" spans="1:33" s="37" customFormat="1" ht="18.75" x14ac:dyDescent="0.3">
      <c r="A258" s="37" t="str">
        <f t="shared" si="106"/>
        <v>2010Cosimo TaurinoSalice Salentino Riserva</v>
      </c>
      <c r="B258" s="37">
        <v>2010</v>
      </c>
      <c r="C258" s="37" t="s">
        <v>56</v>
      </c>
      <c r="D258" s="37" t="s">
        <v>57</v>
      </c>
      <c r="E258" s="37" t="s">
        <v>1204</v>
      </c>
      <c r="F258" s="37" t="s">
        <v>728</v>
      </c>
      <c r="G258" s="37" t="s">
        <v>785</v>
      </c>
      <c r="H258" s="37" t="s">
        <v>769</v>
      </c>
      <c r="I258" s="37">
        <v>1</v>
      </c>
      <c r="J258" s="37">
        <v>750</v>
      </c>
      <c r="K258" s="37" t="s">
        <v>102</v>
      </c>
      <c r="L258" s="37">
        <f>SUMIF(Wine1!A:A,Drank!A258,Wine1!I:I)</f>
        <v>19</v>
      </c>
      <c r="O258" s="37">
        <v>2020</v>
      </c>
      <c r="P258" s="37">
        <v>2022</v>
      </c>
      <c r="R258" s="37">
        <v>89</v>
      </c>
      <c r="S258" s="7">
        <f>AVERAGEIF(A:A,A258,R:R)</f>
        <v>89.46875</v>
      </c>
      <c r="T258" s="1">
        <v>43823</v>
      </c>
      <c r="U258" s="13" t="str">
        <f t="shared" si="104"/>
        <v>December</v>
      </c>
      <c r="V258" s="12">
        <f t="shared" si="105"/>
        <v>43823</v>
      </c>
      <c r="W258" s="2">
        <v>11.69</v>
      </c>
      <c r="X258" s="37">
        <v>0</v>
      </c>
      <c r="Y258" s="11">
        <f t="shared" si="98"/>
        <v>11.69</v>
      </c>
      <c r="Z258" s="109"/>
      <c r="AA258" s="37">
        <f>IF(Y258&gt;=Expenses!$C$32,4,IF(Y258&gt;=Expenses!$C$31,3,IF(Y258&gt;=Expenses!$C$30,2,1)))</f>
        <v>1</v>
      </c>
      <c r="AB258" s="37">
        <f t="shared" si="99"/>
        <v>1</v>
      </c>
      <c r="AC258" s="37" t="str">
        <f t="shared" si="100"/>
        <v>2019</v>
      </c>
      <c r="AE258" s="1"/>
      <c r="AF258" s="13" t="str">
        <f t="shared" si="88"/>
        <v>January</v>
      </c>
      <c r="AG258" s="37" t="str">
        <f t="shared" si="89"/>
        <v>1900</v>
      </c>
    </row>
    <row r="259" spans="1:33" s="37" customFormat="1" ht="18.75" x14ac:dyDescent="0.3">
      <c r="A259" s="37" t="str">
        <f t="shared" si="106"/>
        <v>2018Masseria Li VeliPrimitivo Orion</v>
      </c>
      <c r="B259" s="37">
        <v>2018</v>
      </c>
      <c r="C259" s="37" t="s">
        <v>630</v>
      </c>
      <c r="D259" s="37" t="s">
        <v>631</v>
      </c>
      <c r="E259" s="37" t="s">
        <v>588</v>
      </c>
      <c r="F259" s="37" t="s">
        <v>728</v>
      </c>
      <c r="G259" s="37" t="s">
        <v>785</v>
      </c>
      <c r="H259" s="37" t="s">
        <v>786</v>
      </c>
      <c r="I259" s="37">
        <v>1</v>
      </c>
      <c r="J259" s="37">
        <v>750</v>
      </c>
      <c r="K259" s="37" t="s">
        <v>839</v>
      </c>
      <c r="L259" s="37">
        <f>SUMIF(Wine1!A:A,Drank!A259,Wine1!I:I)</f>
        <v>3</v>
      </c>
      <c r="O259" s="37">
        <v>2019</v>
      </c>
      <c r="P259" s="37">
        <v>2023</v>
      </c>
      <c r="R259" s="37">
        <v>89</v>
      </c>
      <c r="S259" s="7">
        <f>AVERAGEIF(A:A,A259,R:R)</f>
        <v>88.555555555555557</v>
      </c>
      <c r="T259" s="1">
        <v>43823</v>
      </c>
      <c r="U259" s="13" t="str">
        <f t="shared" si="104"/>
        <v>December</v>
      </c>
      <c r="V259" s="12">
        <f t="shared" si="105"/>
        <v>43823</v>
      </c>
      <c r="W259" s="2">
        <v>13.49</v>
      </c>
      <c r="X259" s="37">
        <v>0</v>
      </c>
      <c r="Y259" s="11">
        <f t="shared" si="98"/>
        <v>13.490000000000002</v>
      </c>
      <c r="Z259" s="109"/>
      <c r="AA259" s="37">
        <f>IF(Y259&gt;=Expenses!$C$32,4,IF(Y259&gt;=Expenses!$C$31,3,IF(Y259&gt;=Expenses!$C$30,2,1)))</f>
        <v>1</v>
      </c>
      <c r="AB259" s="37">
        <f t="shared" si="99"/>
        <v>1</v>
      </c>
      <c r="AC259" s="37" t="str">
        <f t="shared" si="100"/>
        <v>2019</v>
      </c>
      <c r="AE259" s="1"/>
      <c r="AF259" s="13" t="str">
        <f t="shared" si="88"/>
        <v>January</v>
      </c>
      <c r="AG259" s="37" t="str">
        <f t="shared" si="89"/>
        <v>1900</v>
      </c>
    </row>
    <row r="260" spans="1:33" s="37" customFormat="1" ht="18.75" x14ac:dyDescent="0.3">
      <c r="A260" s="37" t="str">
        <f t="shared" si="106"/>
        <v>2015Royal TokajiRoyal Tokaji</v>
      </c>
      <c r="B260" s="37">
        <v>2015</v>
      </c>
      <c r="C260" s="37" t="s">
        <v>863</v>
      </c>
      <c r="D260" s="37" t="s">
        <v>863</v>
      </c>
      <c r="E260" s="37" t="s">
        <v>864</v>
      </c>
      <c r="F260" s="37" t="s">
        <v>865</v>
      </c>
      <c r="I260" s="37">
        <v>1</v>
      </c>
      <c r="J260" s="37">
        <v>500</v>
      </c>
      <c r="K260" s="37" t="s">
        <v>236</v>
      </c>
      <c r="L260" s="37">
        <f>SUMIF(Wine1!A:A,Drank!A260,Wine1!I:I)</f>
        <v>0</v>
      </c>
      <c r="P260" s="37">
        <v>2035</v>
      </c>
      <c r="R260" s="37">
        <v>89</v>
      </c>
      <c r="S260" s="7">
        <f>AVERAGEIF(A:A,A260,R:R)</f>
        <v>89</v>
      </c>
      <c r="T260" s="1">
        <v>43823</v>
      </c>
      <c r="U260" s="13" t="str">
        <f t="shared" si="104"/>
        <v>December</v>
      </c>
      <c r="V260" s="12">
        <f t="shared" si="105"/>
        <v>43823</v>
      </c>
      <c r="W260" s="2">
        <v>19.989999999999998</v>
      </c>
      <c r="X260" s="37">
        <v>0</v>
      </c>
      <c r="Y260" s="11">
        <f t="shared" si="98"/>
        <v>29.984999999999996</v>
      </c>
      <c r="Z260" s="109"/>
      <c r="AA260" s="37">
        <f>IF(Y260&gt;=Expenses!$C$32,4,IF(Y260&gt;=Expenses!$C$31,3,IF(Y260&gt;=Expenses!$C$30,2,1)))</f>
        <v>2</v>
      </c>
      <c r="AB260" s="37">
        <f t="shared" si="99"/>
        <v>0.66666666666666663</v>
      </c>
      <c r="AC260" s="37" t="str">
        <f t="shared" si="100"/>
        <v>2019</v>
      </c>
      <c r="AE260" s="1">
        <v>43819</v>
      </c>
      <c r="AF260" s="13" t="str">
        <f t="shared" si="88"/>
        <v>December</v>
      </c>
      <c r="AG260" s="37" t="str">
        <f t="shared" si="89"/>
        <v>2019</v>
      </c>
    </row>
    <row r="261" spans="1:33" s="37" customFormat="1" ht="18.75" x14ac:dyDescent="0.3">
      <c r="A261" s="37" t="str">
        <f t="shared" si="106"/>
        <v>2016Altos Las HormigasMalbec Terroir Valle de Uco</v>
      </c>
      <c r="B261" s="37">
        <v>2016</v>
      </c>
      <c r="C261" s="37" t="s">
        <v>232</v>
      </c>
      <c r="D261" s="37" t="s">
        <v>840</v>
      </c>
      <c r="E261" s="37" t="s">
        <v>281</v>
      </c>
      <c r="F261" s="37" t="s">
        <v>731</v>
      </c>
      <c r="G261" s="37" t="s">
        <v>732</v>
      </c>
      <c r="H261" s="37" t="s">
        <v>734</v>
      </c>
      <c r="I261" s="37">
        <v>1</v>
      </c>
      <c r="J261" s="37">
        <v>750</v>
      </c>
      <c r="K261" s="37" t="s">
        <v>236</v>
      </c>
      <c r="L261" s="37">
        <f>SUMIF(Wine1!A:A,Drank!A261,Wine1!I:I)</f>
        <v>0</v>
      </c>
      <c r="M261" s="37">
        <v>2018</v>
      </c>
      <c r="N261" s="37">
        <v>2021</v>
      </c>
      <c r="P261" s="37">
        <v>2021</v>
      </c>
      <c r="Q261" s="37">
        <v>92</v>
      </c>
      <c r="R261" s="37">
        <v>89</v>
      </c>
      <c r="S261" s="7">
        <f>AVERAGEIF(A:A,A261,R:R)</f>
        <v>89</v>
      </c>
      <c r="T261" s="1">
        <v>43823</v>
      </c>
      <c r="U261" s="13" t="str">
        <f t="shared" si="104"/>
        <v>December</v>
      </c>
      <c r="V261" s="12">
        <f t="shared" si="105"/>
        <v>43823</v>
      </c>
      <c r="W261" s="2">
        <v>16.190000000000001</v>
      </c>
      <c r="X261" s="37">
        <v>1</v>
      </c>
      <c r="Y261" s="11">
        <f t="shared" si="98"/>
        <v>16.190000000000001</v>
      </c>
      <c r="Z261" s="109"/>
      <c r="AA261" s="37">
        <f>IF(Y261&gt;=Expenses!$C$32,4,IF(Y261&gt;=Expenses!$C$31,3,IF(Y261&gt;=Expenses!$C$30,2,1)))</f>
        <v>1</v>
      </c>
      <c r="AB261" s="37">
        <f t="shared" si="99"/>
        <v>1</v>
      </c>
      <c r="AC261" s="37" t="str">
        <f t="shared" si="100"/>
        <v>2019</v>
      </c>
      <c r="AE261" s="1">
        <v>43809</v>
      </c>
      <c r="AF261" s="13" t="str">
        <f t="shared" si="88"/>
        <v>December</v>
      </c>
      <c r="AG261" s="37" t="str">
        <f t="shared" si="89"/>
        <v>2019</v>
      </c>
    </row>
    <row r="262" spans="1:33" s="37" customFormat="1" ht="18.75" x14ac:dyDescent="0.3">
      <c r="A262" s="37" t="str">
        <f>CONCATENATE(B262,C262,D262)</f>
        <v>2016Diez-CaballeroCrianza</v>
      </c>
      <c r="B262" s="37">
        <v>2016</v>
      </c>
      <c r="C262" s="37" t="s">
        <v>1216</v>
      </c>
      <c r="D262" s="37" t="s">
        <v>108</v>
      </c>
      <c r="E262" s="37" t="s">
        <v>276</v>
      </c>
      <c r="F262" s="37" t="s">
        <v>729</v>
      </c>
      <c r="G262" s="37" t="s">
        <v>823</v>
      </c>
      <c r="I262" s="37">
        <v>1</v>
      </c>
      <c r="J262" s="37">
        <v>750</v>
      </c>
      <c r="K262" s="37" t="s">
        <v>58</v>
      </c>
      <c r="L262" s="37">
        <f>SUMIF(Wine1!A:A,Drank!A262,Wine1!I:I)</f>
        <v>3</v>
      </c>
      <c r="O262" s="37">
        <v>2020</v>
      </c>
      <c r="P262" s="37">
        <v>2022</v>
      </c>
      <c r="R262" s="37">
        <v>90</v>
      </c>
      <c r="S262" s="7">
        <f>AVERAGEIF(A:A,A262,R:R)</f>
        <v>90</v>
      </c>
      <c r="T262" s="1">
        <v>43823</v>
      </c>
      <c r="U262" s="13" t="str">
        <f t="shared" si="104"/>
        <v>December</v>
      </c>
      <c r="V262" s="12">
        <f t="shared" si="105"/>
        <v>43823</v>
      </c>
      <c r="W262" s="2">
        <v>13.99</v>
      </c>
      <c r="X262" s="37">
        <v>1</v>
      </c>
      <c r="Y262" s="11">
        <f t="shared" si="98"/>
        <v>13.99</v>
      </c>
      <c r="Z262" s="109"/>
      <c r="AA262" s="37">
        <f>IF(Y262&gt;=Expenses!$C$32,4,IF(Y262&gt;=Expenses!$C$31,3,IF(Y262&gt;=Expenses!$C$30,2,1)))</f>
        <v>1</v>
      </c>
      <c r="AB262" s="37">
        <f t="shared" si="99"/>
        <v>1</v>
      </c>
      <c r="AC262" s="37" t="str">
        <f t="shared" si="100"/>
        <v>2019</v>
      </c>
      <c r="AE262" s="1">
        <v>43816</v>
      </c>
      <c r="AF262" s="13" t="str">
        <f t="shared" si="88"/>
        <v>December</v>
      </c>
      <c r="AG262" s="37" t="str">
        <f t="shared" si="89"/>
        <v>2019</v>
      </c>
    </row>
    <row r="263" spans="1:33" s="37" customFormat="1" ht="18.75" x14ac:dyDescent="0.3">
      <c r="A263" s="37" t="str">
        <f>CONCATENATE(B263,C263,D263)</f>
        <v>2018Masseria Li VeliPrimitivo Orion</v>
      </c>
      <c r="B263" s="37">
        <v>2018</v>
      </c>
      <c r="C263" s="37" t="s">
        <v>630</v>
      </c>
      <c r="D263" s="37" t="s">
        <v>631</v>
      </c>
      <c r="E263" s="37" t="s">
        <v>588</v>
      </c>
      <c r="F263" s="37" t="s">
        <v>728</v>
      </c>
      <c r="G263" s="37" t="s">
        <v>785</v>
      </c>
      <c r="H263" s="37" t="s">
        <v>786</v>
      </c>
      <c r="I263" s="37">
        <v>1</v>
      </c>
      <c r="J263" s="37">
        <v>750</v>
      </c>
      <c r="K263" s="37" t="s">
        <v>839</v>
      </c>
      <c r="L263" s="37">
        <f>SUMIF(Wine1!A:A,Drank!A263,Wine1!I:I)</f>
        <v>3</v>
      </c>
      <c r="O263" s="37">
        <v>2019</v>
      </c>
      <c r="P263" s="37">
        <v>2023</v>
      </c>
      <c r="R263" s="37">
        <v>89</v>
      </c>
      <c r="S263" s="7">
        <f>AVERAGEIF(A:A,A263,R:R)</f>
        <v>88.555555555555557</v>
      </c>
      <c r="T263" s="1">
        <v>43823</v>
      </c>
      <c r="U263" s="13" t="str">
        <f t="shared" si="104"/>
        <v>December</v>
      </c>
      <c r="V263" s="12">
        <f t="shared" si="105"/>
        <v>43823</v>
      </c>
      <c r="W263" s="2">
        <v>13.49</v>
      </c>
      <c r="X263" s="37">
        <v>0</v>
      </c>
      <c r="Y263" s="11">
        <f t="shared" si="98"/>
        <v>13.490000000000002</v>
      </c>
      <c r="Z263" s="109"/>
      <c r="AA263" s="37">
        <f>IF(Y263&gt;=Expenses!$C$32,4,IF(Y263&gt;=Expenses!$C$31,3,IF(Y263&gt;=Expenses!$C$30,2,1)))</f>
        <v>1</v>
      </c>
      <c r="AB263" s="37">
        <f t="shared" si="99"/>
        <v>1</v>
      </c>
      <c r="AC263" s="37" t="str">
        <f t="shared" si="100"/>
        <v>2019</v>
      </c>
      <c r="AE263" s="1"/>
      <c r="AF263" s="13" t="str">
        <f t="shared" si="88"/>
        <v>January</v>
      </c>
      <c r="AG263" s="37" t="str">
        <f t="shared" si="89"/>
        <v>1900</v>
      </c>
    </row>
    <row r="264" spans="1:33" s="37" customFormat="1" ht="18.75" x14ac:dyDescent="0.3">
      <c r="A264" s="37" t="str">
        <f>CONCATENATE(B264,C264,D264)</f>
        <v>2017Smith and HookCabernet Sauvignon</v>
      </c>
      <c r="B264" s="37">
        <v>2017</v>
      </c>
      <c r="C264" s="37" t="s">
        <v>632</v>
      </c>
      <c r="D264" s="37" t="s">
        <v>32</v>
      </c>
      <c r="E264" s="37" t="s">
        <v>32</v>
      </c>
      <c r="F264" s="37" t="s">
        <v>727</v>
      </c>
      <c r="G264" s="37" t="s">
        <v>806</v>
      </c>
      <c r="H264" s="37" t="s">
        <v>829</v>
      </c>
      <c r="I264" s="37">
        <v>1</v>
      </c>
      <c r="J264" s="37">
        <v>750</v>
      </c>
      <c r="K264" s="37" t="s">
        <v>640</v>
      </c>
      <c r="L264" s="37">
        <f>SUMIF(Wine1!A:A,Drank!A264,Wine1!I:I)</f>
        <v>0</v>
      </c>
      <c r="P264" s="37">
        <v>2026</v>
      </c>
      <c r="R264" s="37">
        <v>90</v>
      </c>
      <c r="S264" s="7">
        <f>AVERAGEIF(A:A,A264,R:R)</f>
        <v>90</v>
      </c>
      <c r="T264" s="1">
        <v>43822</v>
      </c>
      <c r="U264" s="13" t="str">
        <f t="shared" si="104"/>
        <v>December</v>
      </c>
      <c r="V264" s="12">
        <f t="shared" si="105"/>
        <v>43822</v>
      </c>
      <c r="W264" s="2">
        <v>19.989999999999998</v>
      </c>
      <c r="X264" s="37">
        <v>1</v>
      </c>
      <c r="Y264" s="11">
        <f t="shared" si="98"/>
        <v>19.989999999999998</v>
      </c>
      <c r="Z264" s="109"/>
      <c r="AA264" s="37">
        <f>IF(Y264&gt;=Expenses!$C$32,4,IF(Y264&gt;=Expenses!$C$31,3,IF(Y264&gt;=Expenses!$C$30,2,1)))</f>
        <v>2</v>
      </c>
      <c r="AB264" s="37">
        <f t="shared" si="99"/>
        <v>1</v>
      </c>
      <c r="AC264" s="37" t="str">
        <f t="shared" si="100"/>
        <v>2019</v>
      </c>
      <c r="AE264" s="1"/>
      <c r="AF264" s="13" t="str">
        <f t="shared" si="88"/>
        <v>January</v>
      </c>
      <c r="AG264" s="37" t="str">
        <f t="shared" si="89"/>
        <v>1900</v>
      </c>
    </row>
    <row r="265" spans="1:33" s="37" customFormat="1" ht="18.75" x14ac:dyDescent="0.3">
      <c r="A265" s="37" t="str">
        <f t="shared" ref="A265:A272" si="107">CONCATENATE(B265,C265,D265)</f>
        <v>2017SichelSichel</v>
      </c>
      <c r="B265" s="37">
        <v>2017</v>
      </c>
      <c r="C265" s="37" t="s">
        <v>409</v>
      </c>
      <c r="D265" s="37" t="s">
        <v>409</v>
      </c>
      <c r="E265" s="37" t="s">
        <v>260</v>
      </c>
      <c r="F265" s="37" t="s">
        <v>742</v>
      </c>
      <c r="G265" s="37" t="s">
        <v>748</v>
      </c>
      <c r="H265" s="37" t="s">
        <v>260</v>
      </c>
      <c r="I265" s="37">
        <v>1</v>
      </c>
      <c r="J265" s="37">
        <v>375</v>
      </c>
      <c r="K265" s="37" t="s">
        <v>658</v>
      </c>
      <c r="L265" s="37">
        <f>SUMIF(Wine1!A:A,Drank!A265,Wine1!I:I)</f>
        <v>20</v>
      </c>
      <c r="O265" s="37">
        <v>2020</v>
      </c>
      <c r="P265" s="37">
        <v>2035</v>
      </c>
      <c r="R265" s="37">
        <v>89</v>
      </c>
      <c r="S265" s="7">
        <f>AVERAGEIF(A:A,A265,R:R)</f>
        <v>89.7</v>
      </c>
      <c r="T265" s="1">
        <v>43821</v>
      </c>
      <c r="U265" s="13" t="str">
        <f t="shared" si="104"/>
        <v>December</v>
      </c>
      <c r="V265" s="12">
        <f t="shared" si="105"/>
        <v>43821</v>
      </c>
      <c r="W265" s="2">
        <v>12</v>
      </c>
      <c r="X265" s="37">
        <v>0</v>
      </c>
      <c r="Y265" s="11">
        <f t="shared" si="98"/>
        <v>24</v>
      </c>
      <c r="Z265" s="109"/>
      <c r="AA265" s="37">
        <f>IF(Y265&gt;=Expenses!$C$32,4,IF(Y265&gt;=Expenses!$C$31,3,IF(Y265&gt;=Expenses!$C$30,2,1)))</f>
        <v>2</v>
      </c>
      <c r="AB265" s="37">
        <f t="shared" si="99"/>
        <v>0.5</v>
      </c>
      <c r="AC265" s="37" t="str">
        <f t="shared" si="100"/>
        <v>2019</v>
      </c>
      <c r="AE265" s="1"/>
      <c r="AF265" s="13" t="str">
        <f t="shared" si="88"/>
        <v>January</v>
      </c>
      <c r="AG265" s="37" t="str">
        <f t="shared" si="89"/>
        <v>1900</v>
      </c>
    </row>
    <row r="266" spans="1:33" s="37" customFormat="1" ht="18.75" x14ac:dyDescent="0.3">
      <c r="A266" s="37" t="str">
        <f t="shared" si="107"/>
        <v>2015Ghost PinesCabernet Sauvignon</v>
      </c>
      <c r="B266" s="37">
        <v>2015</v>
      </c>
      <c r="C266" s="37" t="s">
        <v>858</v>
      </c>
      <c r="D266" s="37" t="s">
        <v>32</v>
      </c>
      <c r="E266" s="37" t="s">
        <v>32</v>
      </c>
      <c r="F266" s="37" t="s">
        <v>727</v>
      </c>
      <c r="G266" s="37" t="s">
        <v>806</v>
      </c>
      <c r="I266" s="37">
        <v>1</v>
      </c>
      <c r="J266" s="37">
        <v>750</v>
      </c>
      <c r="K266" s="37" t="s">
        <v>236</v>
      </c>
      <c r="L266" s="37">
        <f>SUMIF(Wine1!A:A,Drank!A266,Wine1!I:I)</f>
        <v>0</v>
      </c>
      <c r="P266" s="37">
        <v>2023</v>
      </c>
      <c r="R266" s="37">
        <v>89</v>
      </c>
      <c r="S266" s="7">
        <f>AVERAGEIF(A:A,A266,R:R)</f>
        <v>89</v>
      </c>
      <c r="T266" s="1">
        <v>43821</v>
      </c>
      <c r="U266" s="13" t="str">
        <f t="shared" si="104"/>
        <v>December</v>
      </c>
      <c r="V266" s="12">
        <f t="shared" si="105"/>
        <v>43821</v>
      </c>
      <c r="W266" s="2">
        <v>19.989999999999998</v>
      </c>
      <c r="X266" s="37">
        <v>0</v>
      </c>
      <c r="Y266" s="11">
        <f t="shared" si="98"/>
        <v>19.989999999999998</v>
      </c>
      <c r="Z266" s="109"/>
      <c r="AA266" s="37">
        <f>IF(Y266&gt;=Expenses!$C$32,4,IF(Y266&gt;=Expenses!$C$31,3,IF(Y266&gt;=Expenses!$C$30,2,1)))</f>
        <v>2</v>
      </c>
      <c r="AB266" s="37">
        <f t="shared" si="99"/>
        <v>1</v>
      </c>
      <c r="AC266" s="37" t="str">
        <f t="shared" si="100"/>
        <v>2019</v>
      </c>
      <c r="AE266" s="1">
        <v>43809</v>
      </c>
      <c r="AF266" s="13" t="str">
        <f t="shared" si="88"/>
        <v>December</v>
      </c>
      <c r="AG266" s="37" t="str">
        <f t="shared" si="89"/>
        <v>2019</v>
      </c>
    </row>
    <row r="267" spans="1:33" s="37" customFormat="1" ht="18.75" x14ac:dyDescent="0.3">
      <c r="A267" s="37" t="str">
        <f t="shared" si="107"/>
        <v>2015Mosen CletoCrianza</v>
      </c>
      <c r="B267" s="37">
        <v>2015</v>
      </c>
      <c r="C267" s="37" t="s">
        <v>623</v>
      </c>
      <c r="D267" s="37" t="s">
        <v>108</v>
      </c>
      <c r="E267" s="37" t="s">
        <v>624</v>
      </c>
      <c r="F267" s="37" t="s">
        <v>729</v>
      </c>
      <c r="G267" s="37" t="s">
        <v>811</v>
      </c>
      <c r="H267" s="37" t="s">
        <v>838</v>
      </c>
      <c r="I267" s="37">
        <v>1</v>
      </c>
      <c r="J267" s="37">
        <v>750</v>
      </c>
      <c r="K267" s="37" t="s">
        <v>839</v>
      </c>
      <c r="L267" s="37">
        <f>SUMIF(Wine1!A:A,Drank!A267,Wine1!I:I)</f>
        <v>0</v>
      </c>
      <c r="O267" s="37">
        <v>2019</v>
      </c>
      <c r="P267" s="37">
        <v>2021</v>
      </c>
      <c r="R267" s="37">
        <v>89</v>
      </c>
      <c r="S267" s="7">
        <f>AVERAGEIF(A:A,A267,R:R)</f>
        <v>88.125</v>
      </c>
      <c r="T267" s="1">
        <v>43821</v>
      </c>
      <c r="U267" s="13" t="str">
        <f t="shared" si="104"/>
        <v>December</v>
      </c>
      <c r="V267" s="12">
        <f t="shared" si="105"/>
        <v>43821</v>
      </c>
      <c r="W267" s="2">
        <v>11.69</v>
      </c>
      <c r="X267" s="37">
        <v>0</v>
      </c>
      <c r="Y267" s="11">
        <f t="shared" si="98"/>
        <v>11.69</v>
      </c>
      <c r="Z267" s="109"/>
      <c r="AA267" s="37">
        <f>IF(Y267&gt;=Expenses!$C$32,4,IF(Y267&gt;=Expenses!$C$31,3,IF(Y267&gt;=Expenses!$C$30,2,1)))</f>
        <v>1</v>
      </c>
      <c r="AB267" s="37">
        <f t="shared" si="99"/>
        <v>1</v>
      </c>
      <c r="AC267" s="37" t="str">
        <f t="shared" si="100"/>
        <v>2019</v>
      </c>
      <c r="AE267" s="1"/>
      <c r="AF267" s="13" t="str">
        <f t="shared" ref="AF267:AF276" si="108">TEXT(AE267,"mmmm")</f>
        <v>January</v>
      </c>
      <c r="AG267" s="37" t="str">
        <f t="shared" ref="AG267:AG276" si="109">TEXT(AE267,"yyyy")</f>
        <v>1900</v>
      </c>
    </row>
    <row r="268" spans="1:33" s="37" customFormat="1" ht="18.75" x14ac:dyDescent="0.3">
      <c r="A268" s="37" t="str">
        <f t="shared" si="107"/>
        <v>NVSandemanFounder's Reserve Ruby Porto</v>
      </c>
      <c r="B268" s="37" t="s">
        <v>167</v>
      </c>
      <c r="C268" s="37" t="s">
        <v>185</v>
      </c>
      <c r="D268" s="37" t="s">
        <v>186</v>
      </c>
      <c r="E268" s="37" t="s">
        <v>257</v>
      </c>
      <c r="F268" s="37" t="s">
        <v>804</v>
      </c>
      <c r="G268" s="37" t="s">
        <v>805</v>
      </c>
      <c r="I268" s="37">
        <v>1</v>
      </c>
      <c r="J268" s="37">
        <v>750</v>
      </c>
      <c r="K268" s="37" t="s">
        <v>236</v>
      </c>
      <c r="L268" s="37">
        <f>SUMIF(Wine1!A:A,Drank!A268,Wine1!I:I)</f>
        <v>0</v>
      </c>
      <c r="M268" s="37">
        <v>2019</v>
      </c>
      <c r="N268" s="37">
        <v>2025</v>
      </c>
      <c r="Q268" s="37">
        <v>86</v>
      </c>
      <c r="R268" s="37">
        <v>86</v>
      </c>
      <c r="S268" s="7">
        <f>AVERAGEIF(A:A,A268,R:R)</f>
        <v>86</v>
      </c>
      <c r="T268" s="1">
        <v>43821</v>
      </c>
      <c r="U268" s="13" t="str">
        <f t="shared" si="104"/>
        <v>December</v>
      </c>
      <c r="V268" s="12">
        <f t="shared" si="105"/>
        <v>43821</v>
      </c>
      <c r="W268" s="2">
        <v>18</v>
      </c>
      <c r="X268" s="37">
        <v>0</v>
      </c>
      <c r="Y268" s="11">
        <f t="shared" si="98"/>
        <v>18</v>
      </c>
      <c r="Z268" s="109"/>
      <c r="AA268" s="37">
        <f>IF(Y268&gt;=Expenses!$C$32,4,IF(Y268&gt;=Expenses!$C$31,3,IF(Y268&gt;=Expenses!$C$30,2,1)))</f>
        <v>2</v>
      </c>
      <c r="AB268" s="37">
        <f t="shared" si="99"/>
        <v>1</v>
      </c>
      <c r="AC268" s="37" t="str">
        <f t="shared" si="100"/>
        <v>2019</v>
      </c>
      <c r="AE268" s="1"/>
      <c r="AF268" s="13" t="str">
        <f t="shared" si="108"/>
        <v>January</v>
      </c>
      <c r="AG268" s="37" t="str">
        <f t="shared" si="109"/>
        <v>1900</v>
      </c>
    </row>
    <row r="269" spans="1:33" s="37" customFormat="1" ht="18.75" x14ac:dyDescent="0.3">
      <c r="A269" s="37" t="str">
        <f t="shared" si="107"/>
        <v>2016García FigueroTinto Figuero 12 Tempranillo</v>
      </c>
      <c r="B269" s="37">
        <v>2016</v>
      </c>
      <c r="C269" s="37" t="s">
        <v>1268</v>
      </c>
      <c r="D269" s="37" t="s">
        <v>604</v>
      </c>
      <c r="E269" s="37" t="s">
        <v>276</v>
      </c>
      <c r="F269" s="37" t="s">
        <v>729</v>
      </c>
      <c r="G269" s="37" t="s">
        <v>814</v>
      </c>
      <c r="H269" s="37" t="s">
        <v>818</v>
      </c>
      <c r="I269" s="37">
        <v>1</v>
      </c>
      <c r="J269" s="37">
        <v>750</v>
      </c>
      <c r="K269" s="37" t="s">
        <v>627</v>
      </c>
      <c r="L269" s="37">
        <f>SUMIF(Wine1!A:A,Drank!A269,Wine1!I:I)</f>
        <v>2</v>
      </c>
      <c r="M269" s="37">
        <v>2018</v>
      </c>
      <c r="N269" s="37">
        <v>2021</v>
      </c>
      <c r="O269" s="37">
        <v>2021</v>
      </c>
      <c r="P269" s="37">
        <v>2023</v>
      </c>
      <c r="Q269" s="37">
        <v>90</v>
      </c>
      <c r="R269" s="37">
        <v>90</v>
      </c>
      <c r="S269" s="7">
        <f>AVERAGEIF(A:A,A269,R:R)</f>
        <v>90</v>
      </c>
      <c r="T269" s="1">
        <v>43819</v>
      </c>
      <c r="U269" s="13" t="str">
        <f t="shared" si="104"/>
        <v>December</v>
      </c>
      <c r="V269" s="12">
        <f t="shared" si="105"/>
        <v>43819</v>
      </c>
      <c r="W269" s="2">
        <v>17.989999999999998</v>
      </c>
      <c r="X269" s="37">
        <v>2</v>
      </c>
      <c r="Y269" s="11">
        <f t="shared" si="98"/>
        <v>17.989999999999998</v>
      </c>
      <c r="Z269" s="109"/>
      <c r="AA269" s="37">
        <f>IF(Y269&gt;=Expenses!$C$32,4,IF(Y269&gt;=Expenses!$C$31,3,IF(Y269&gt;=Expenses!$C$30,2,1)))</f>
        <v>2</v>
      </c>
      <c r="AB269" s="37">
        <f t="shared" si="99"/>
        <v>1</v>
      </c>
      <c r="AC269" s="37" t="str">
        <f t="shared" si="100"/>
        <v>2019</v>
      </c>
      <c r="AE269" s="1"/>
      <c r="AF269" s="13" t="str">
        <f t="shared" si="108"/>
        <v>January</v>
      </c>
      <c r="AG269" s="37" t="str">
        <f t="shared" si="109"/>
        <v>1900</v>
      </c>
    </row>
    <row r="270" spans="1:33" s="37" customFormat="1" ht="18.75" x14ac:dyDescent="0.3">
      <c r="A270" s="37" t="str">
        <f t="shared" si="107"/>
        <v>2010Cosimo TaurinoSalice Salentino Riserva</v>
      </c>
      <c r="B270" s="37">
        <v>2010</v>
      </c>
      <c r="C270" s="37" t="s">
        <v>56</v>
      </c>
      <c r="D270" s="37" t="s">
        <v>57</v>
      </c>
      <c r="E270" s="37" t="s">
        <v>1204</v>
      </c>
      <c r="F270" s="37" t="s">
        <v>728</v>
      </c>
      <c r="G270" s="37" t="s">
        <v>769</v>
      </c>
      <c r="I270" s="37">
        <v>1</v>
      </c>
      <c r="J270" s="37">
        <v>750</v>
      </c>
      <c r="K270" s="37" t="s">
        <v>58</v>
      </c>
      <c r="L270" s="37">
        <f>SUMIF(Wine1!A:A,Drank!A270,Wine1!I:I)</f>
        <v>19</v>
      </c>
      <c r="N270" s="7"/>
      <c r="O270" s="37">
        <v>2020</v>
      </c>
      <c r="P270" s="37">
        <v>2023</v>
      </c>
      <c r="R270" s="37">
        <v>90</v>
      </c>
      <c r="S270" s="7">
        <f>AVERAGEIF(A:A,A270,R:R)</f>
        <v>89.46875</v>
      </c>
      <c r="T270" s="1">
        <v>43819</v>
      </c>
      <c r="U270" s="13" t="str">
        <f t="shared" si="104"/>
        <v>December</v>
      </c>
      <c r="V270" s="12">
        <f t="shared" si="105"/>
        <v>43819</v>
      </c>
      <c r="W270" s="2">
        <v>11.69</v>
      </c>
      <c r="X270" s="37">
        <v>0</v>
      </c>
      <c r="Y270" s="11">
        <f t="shared" si="98"/>
        <v>11.69</v>
      </c>
      <c r="Z270" s="109"/>
      <c r="AA270" s="37">
        <f>IF(Y270&gt;=Expenses!$C$32,4,IF(Y270&gt;=Expenses!$C$31,3,IF(Y270&gt;=Expenses!$C$30,2,1)))</f>
        <v>1</v>
      </c>
      <c r="AB270" s="37">
        <f t="shared" si="99"/>
        <v>1</v>
      </c>
      <c r="AC270" s="37" t="str">
        <f t="shared" si="100"/>
        <v>2019</v>
      </c>
      <c r="AE270" s="1"/>
      <c r="AF270" s="13" t="str">
        <f t="shared" si="108"/>
        <v>January</v>
      </c>
      <c r="AG270" s="37" t="str">
        <f t="shared" si="109"/>
        <v>1900</v>
      </c>
    </row>
    <row r="271" spans="1:33" s="37" customFormat="1" ht="18.75" x14ac:dyDescent="0.3">
      <c r="A271" s="37" t="str">
        <f t="shared" si="107"/>
        <v>2015Domaine LafageBastide Miraflors Vieilles Vignes</v>
      </c>
      <c r="B271" s="37">
        <v>2015</v>
      </c>
      <c r="C271" s="37" t="s">
        <v>671</v>
      </c>
      <c r="D271" s="37" t="s">
        <v>672</v>
      </c>
      <c r="E271" s="37" t="s">
        <v>673</v>
      </c>
      <c r="F271" s="37" t="s">
        <v>742</v>
      </c>
      <c r="G271" s="37" t="s">
        <v>766</v>
      </c>
      <c r="H271" s="37" t="s">
        <v>767</v>
      </c>
      <c r="I271" s="37">
        <v>1</v>
      </c>
      <c r="J271" s="37">
        <v>750</v>
      </c>
      <c r="K271" s="37" t="s">
        <v>236</v>
      </c>
      <c r="L271" s="37">
        <f>SUMIF(Wine1!A:A,Drank!A271,Wine1!I:I)</f>
        <v>8</v>
      </c>
      <c r="M271" s="37">
        <v>2017</v>
      </c>
      <c r="N271" s="37">
        <v>2021</v>
      </c>
      <c r="O271" s="37">
        <v>2020</v>
      </c>
      <c r="P271" s="37">
        <v>2024</v>
      </c>
      <c r="Q271" s="37">
        <v>94</v>
      </c>
      <c r="R271" s="37">
        <v>90</v>
      </c>
      <c r="S271" s="7">
        <f>AVERAGEIF(A:A,A271,R:R)</f>
        <v>91.333333333333329</v>
      </c>
      <c r="T271" s="1">
        <v>43818</v>
      </c>
      <c r="U271" s="13" t="str">
        <f t="shared" si="104"/>
        <v>December</v>
      </c>
      <c r="V271" s="12">
        <f t="shared" si="105"/>
        <v>43818</v>
      </c>
      <c r="W271" s="2">
        <v>14.99</v>
      </c>
      <c r="X271" s="37">
        <v>2</v>
      </c>
      <c r="Y271" s="11">
        <f t="shared" si="98"/>
        <v>14.99</v>
      </c>
      <c r="Z271" s="109"/>
      <c r="AA271" s="37">
        <f>IF(Y271&gt;=Expenses!$C$32,4,IF(Y271&gt;=Expenses!$C$31,3,IF(Y271&gt;=Expenses!$C$30,2,1)))</f>
        <v>1</v>
      </c>
      <c r="AB271" s="37">
        <f t="shared" si="99"/>
        <v>1</v>
      </c>
      <c r="AC271" s="37" t="str">
        <f t="shared" si="100"/>
        <v>2019</v>
      </c>
      <c r="AE271" s="1"/>
      <c r="AF271" s="13" t="str">
        <f t="shared" si="108"/>
        <v>January</v>
      </c>
      <c r="AG271" s="37" t="str">
        <f t="shared" si="109"/>
        <v>1900</v>
      </c>
    </row>
    <row r="272" spans="1:33" s="37" customFormat="1" ht="18.75" x14ac:dyDescent="0.3">
      <c r="A272" s="37" t="str">
        <f t="shared" si="107"/>
        <v>2013Grateful PalatePrecious</v>
      </c>
      <c r="B272" s="37">
        <v>2013</v>
      </c>
      <c r="C272" s="37" t="s">
        <v>89</v>
      </c>
      <c r="D272" s="37" t="s">
        <v>90</v>
      </c>
      <c r="E272" s="37" t="s">
        <v>261</v>
      </c>
      <c r="F272" s="37" t="s">
        <v>729</v>
      </c>
      <c r="G272" s="37" t="s">
        <v>821</v>
      </c>
      <c r="H272" s="37" t="s">
        <v>822</v>
      </c>
      <c r="I272" s="37">
        <v>1</v>
      </c>
      <c r="J272" s="37">
        <v>750</v>
      </c>
      <c r="K272" s="37" t="s">
        <v>25</v>
      </c>
      <c r="L272" s="37">
        <f>SUMIF(Wine1!A:A,Drank!A272,Wine1!I:I)</f>
        <v>0</v>
      </c>
      <c r="P272" s="37">
        <v>2022</v>
      </c>
      <c r="R272" s="37">
        <v>91</v>
      </c>
      <c r="S272" s="7">
        <f>AVERAGEIF(A:A,A272,R:R)</f>
        <v>90.5</v>
      </c>
      <c r="T272" s="1">
        <v>43814</v>
      </c>
      <c r="U272" s="13" t="str">
        <f t="shared" si="104"/>
        <v>December</v>
      </c>
      <c r="V272" s="12">
        <f t="shared" si="105"/>
        <v>43814</v>
      </c>
      <c r="W272" s="2">
        <v>39</v>
      </c>
      <c r="X272" s="37">
        <v>0</v>
      </c>
      <c r="Y272" s="11">
        <f t="shared" si="98"/>
        <v>39</v>
      </c>
      <c r="Z272" s="109"/>
      <c r="AA272" s="37">
        <f>IF(Y272&gt;=Expenses!$C$32,4,IF(Y272&gt;=Expenses!$C$31,3,IF(Y272&gt;=Expenses!$C$30,2,1)))</f>
        <v>3</v>
      </c>
      <c r="AB272" s="37">
        <f t="shared" si="99"/>
        <v>1</v>
      </c>
      <c r="AC272" s="37" t="str">
        <f t="shared" si="100"/>
        <v>2019</v>
      </c>
      <c r="AE272" s="1"/>
      <c r="AF272" s="13" t="str">
        <f t="shared" si="108"/>
        <v>January</v>
      </c>
      <c r="AG272" s="37" t="str">
        <f t="shared" si="109"/>
        <v>1900</v>
      </c>
    </row>
    <row r="273" spans="1:33" s="37" customFormat="1" ht="18.75" x14ac:dyDescent="0.3">
      <c r="A273" s="37" t="str">
        <f t="shared" ref="A273:A331" si="110">CONCATENATE(B273,C273,D273)</f>
        <v>2016Chateau de GrangeneuveSainte-Foy</v>
      </c>
      <c r="B273" s="37">
        <v>2016</v>
      </c>
      <c r="C273" s="37" t="s">
        <v>659</v>
      </c>
      <c r="D273" s="37" t="s">
        <v>660</v>
      </c>
      <c r="E273" s="37" t="s">
        <v>279</v>
      </c>
      <c r="F273" s="37" t="s">
        <v>742</v>
      </c>
      <c r="G273" s="37" t="s">
        <v>748</v>
      </c>
      <c r="I273" s="37">
        <v>1</v>
      </c>
      <c r="J273" s="37">
        <v>750</v>
      </c>
      <c r="K273" s="37" t="s">
        <v>661</v>
      </c>
      <c r="L273" s="37">
        <f>SUMIF(Wine1!A:A,Drank!A273,Wine1!I:I)</f>
        <v>3</v>
      </c>
      <c r="P273" s="37">
        <v>2024</v>
      </c>
      <c r="R273" s="37">
        <v>88</v>
      </c>
      <c r="S273" s="7">
        <f>AVERAGEIF(A:A,A273,R:R)</f>
        <v>88</v>
      </c>
      <c r="T273" s="1">
        <v>43813</v>
      </c>
      <c r="U273" s="13" t="str">
        <f t="shared" si="104"/>
        <v>December</v>
      </c>
      <c r="V273" s="12">
        <f t="shared" si="105"/>
        <v>43813</v>
      </c>
      <c r="W273" s="2">
        <v>12.99</v>
      </c>
      <c r="X273" s="37">
        <v>1</v>
      </c>
      <c r="Y273" s="11">
        <f t="shared" si="98"/>
        <v>12.989999999999998</v>
      </c>
      <c r="Z273" s="109"/>
      <c r="AA273" s="37">
        <f>IF(Y273&gt;=Expenses!$C$32,4,IF(Y273&gt;=Expenses!$C$31,3,IF(Y273&gt;=Expenses!$C$30,2,1)))</f>
        <v>1</v>
      </c>
      <c r="AB273" s="37">
        <f t="shared" si="99"/>
        <v>1</v>
      </c>
      <c r="AC273" s="37" t="str">
        <f t="shared" si="100"/>
        <v>2019</v>
      </c>
      <c r="AE273" s="1">
        <v>43809</v>
      </c>
      <c r="AF273" s="13" t="str">
        <f t="shared" si="108"/>
        <v>December</v>
      </c>
      <c r="AG273" s="37" t="str">
        <f t="shared" si="109"/>
        <v>2019</v>
      </c>
    </row>
    <row r="274" spans="1:33" s="37" customFormat="1" ht="18.75" x14ac:dyDescent="0.3">
      <c r="A274" s="37" t="str">
        <f t="shared" si="110"/>
        <v>2017Domaine de l'AmandineCotes du Rhone Villages Seguret</v>
      </c>
      <c r="B274" s="37">
        <v>2017</v>
      </c>
      <c r="C274" s="37" t="s">
        <v>361</v>
      </c>
      <c r="D274" s="37" t="s">
        <v>362</v>
      </c>
      <c r="E274" s="37" t="s">
        <v>286</v>
      </c>
      <c r="F274" s="37" t="s">
        <v>742</v>
      </c>
      <c r="G274" s="37" t="s">
        <v>759</v>
      </c>
      <c r="H274" s="37" t="s">
        <v>760</v>
      </c>
      <c r="I274" s="37">
        <v>1</v>
      </c>
      <c r="J274" s="37">
        <v>750</v>
      </c>
      <c r="K274" s="37" t="s">
        <v>627</v>
      </c>
      <c r="L274" s="37">
        <f>SUMIF(Wine1!A:A,Drank!A274,Wine1!I:I)</f>
        <v>20</v>
      </c>
      <c r="M274" s="37">
        <v>2018</v>
      </c>
      <c r="N274" s="37">
        <v>2025</v>
      </c>
      <c r="O274" s="37">
        <v>2020</v>
      </c>
      <c r="P274" s="37">
        <v>2025</v>
      </c>
      <c r="Q274" s="37">
        <v>93</v>
      </c>
      <c r="R274" s="37">
        <v>93</v>
      </c>
      <c r="S274" s="7">
        <f>AVERAGEIF(A:A,A274,R:R)</f>
        <v>92.470588235294116</v>
      </c>
      <c r="T274" s="1">
        <v>43813</v>
      </c>
      <c r="U274" s="13" t="str">
        <f t="shared" si="104"/>
        <v>December</v>
      </c>
      <c r="V274" s="12">
        <f t="shared" si="105"/>
        <v>43813</v>
      </c>
      <c r="W274" s="2">
        <v>14.99</v>
      </c>
      <c r="X274" s="37">
        <v>2.2999999999999998</v>
      </c>
      <c r="Y274" s="11">
        <f t="shared" si="98"/>
        <v>14.99</v>
      </c>
      <c r="Z274" s="109"/>
      <c r="AA274" s="37">
        <f>IF(Y274&gt;=Expenses!$C$32,4,IF(Y274&gt;=Expenses!$C$31,3,IF(Y274&gt;=Expenses!$C$30,2,1)))</f>
        <v>1</v>
      </c>
      <c r="AB274" s="37">
        <f t="shared" si="99"/>
        <v>1</v>
      </c>
      <c r="AC274" s="37" t="str">
        <f t="shared" si="100"/>
        <v>2019</v>
      </c>
      <c r="AE274" s="1"/>
      <c r="AF274" s="13" t="str">
        <f t="shared" si="108"/>
        <v>January</v>
      </c>
      <c r="AG274" s="37" t="str">
        <f t="shared" si="109"/>
        <v>1900</v>
      </c>
    </row>
    <row r="275" spans="1:33" s="37" customFormat="1" ht="18.75" x14ac:dyDescent="0.3">
      <c r="A275" s="37" t="str">
        <f t="shared" si="110"/>
        <v>2017Tenuta Due MariLa Chiusa</v>
      </c>
      <c r="B275" s="37">
        <v>2017</v>
      </c>
      <c r="C275" s="37" t="s">
        <v>608</v>
      </c>
      <c r="D275" s="37" t="s">
        <v>609</v>
      </c>
      <c r="E275" s="37" t="s">
        <v>607</v>
      </c>
      <c r="F275" s="37" t="s">
        <v>728</v>
      </c>
      <c r="G275" s="37" t="s">
        <v>785</v>
      </c>
      <c r="H275" s="37" t="s">
        <v>786</v>
      </c>
      <c r="I275" s="37">
        <v>1</v>
      </c>
      <c r="J275" s="37">
        <v>750</v>
      </c>
      <c r="K275" s="37" t="s">
        <v>627</v>
      </c>
      <c r="L275" s="37">
        <f>SUMIF(Wine1!A:A,Drank!A275,Wine1!I:I)</f>
        <v>1</v>
      </c>
      <c r="P275" s="37">
        <v>2024</v>
      </c>
      <c r="R275" s="37">
        <v>87</v>
      </c>
      <c r="S275" s="7">
        <f>AVERAGEIF(A:A,A275,R:R)</f>
        <v>88.333333333333329</v>
      </c>
      <c r="T275" s="1">
        <v>43812</v>
      </c>
      <c r="U275" s="13" t="str">
        <f t="shared" si="104"/>
        <v>December</v>
      </c>
      <c r="V275" s="12">
        <f t="shared" si="105"/>
        <v>43812</v>
      </c>
      <c r="W275" s="2">
        <v>9.99</v>
      </c>
      <c r="X275" s="37">
        <v>0</v>
      </c>
      <c r="Y275" s="11">
        <f t="shared" si="98"/>
        <v>9.99</v>
      </c>
      <c r="Z275" s="109"/>
      <c r="AA275" s="37">
        <f>IF(Y275&gt;=Expenses!$C$32,4,IF(Y275&gt;=Expenses!$C$31,3,IF(Y275&gt;=Expenses!$C$30,2,1)))</f>
        <v>1</v>
      </c>
      <c r="AB275" s="37">
        <f t="shared" si="99"/>
        <v>1</v>
      </c>
      <c r="AC275" s="37" t="str">
        <f t="shared" si="100"/>
        <v>2019</v>
      </c>
      <c r="AE275" s="1">
        <v>43803</v>
      </c>
      <c r="AF275" s="13" t="str">
        <f t="shared" si="108"/>
        <v>December</v>
      </c>
      <c r="AG275" s="37" t="str">
        <f t="shared" si="109"/>
        <v>2019</v>
      </c>
    </row>
    <row r="276" spans="1:33" s="37" customFormat="1" ht="18.75" x14ac:dyDescent="0.3">
      <c r="A276" s="37" t="str">
        <f t="shared" si="110"/>
        <v>2018Masseria Li VeliPrimitivo Orion</v>
      </c>
      <c r="B276" s="8">
        <v>2018</v>
      </c>
      <c r="C276" s="8" t="s">
        <v>630</v>
      </c>
      <c r="D276" s="8" t="s">
        <v>631</v>
      </c>
      <c r="E276" s="37" t="s">
        <v>588</v>
      </c>
      <c r="F276" s="37" t="s">
        <v>728</v>
      </c>
      <c r="G276" s="37" t="s">
        <v>785</v>
      </c>
      <c r="H276" s="37" t="s">
        <v>786</v>
      </c>
      <c r="I276" s="37">
        <v>1</v>
      </c>
      <c r="J276" s="37">
        <v>750</v>
      </c>
      <c r="K276" s="37" t="s">
        <v>236</v>
      </c>
      <c r="L276" s="37">
        <f>SUMIF(Wine1!A:A,Drank!A276,Wine1!I:I)</f>
        <v>3</v>
      </c>
      <c r="O276" s="37">
        <v>2019</v>
      </c>
      <c r="P276" s="37">
        <v>2023</v>
      </c>
      <c r="R276" s="37">
        <v>89</v>
      </c>
      <c r="S276" s="7">
        <f>AVERAGEIF(A:A,A276,R:R)</f>
        <v>88.555555555555557</v>
      </c>
      <c r="T276" s="1">
        <v>43810</v>
      </c>
      <c r="U276" s="13" t="str">
        <f t="shared" si="104"/>
        <v>December</v>
      </c>
      <c r="V276" s="12">
        <f t="shared" si="105"/>
        <v>43810</v>
      </c>
      <c r="W276" s="2">
        <v>14.99</v>
      </c>
      <c r="X276" s="37">
        <v>0</v>
      </c>
      <c r="Y276" s="11">
        <f t="shared" si="98"/>
        <v>14.99</v>
      </c>
      <c r="Z276" s="109"/>
      <c r="AA276" s="37">
        <f>IF(Y276&gt;=Expenses!$C$32,4,IF(Y276&gt;=Expenses!$C$31,3,IF(Y276&gt;=Expenses!$C$30,2,1)))</f>
        <v>1</v>
      </c>
      <c r="AB276" s="37">
        <f t="shared" si="99"/>
        <v>1</v>
      </c>
      <c r="AC276" s="37" t="str">
        <f t="shared" si="100"/>
        <v>2019</v>
      </c>
      <c r="AE276" s="1"/>
      <c r="AF276" s="13" t="str">
        <f t="shared" si="108"/>
        <v>January</v>
      </c>
      <c r="AG276" s="37" t="str">
        <f t="shared" si="109"/>
        <v>1900</v>
      </c>
    </row>
    <row r="277" spans="1:33" s="37" customFormat="1" ht="18.75" x14ac:dyDescent="0.3">
      <c r="A277" s="37" t="str">
        <f t="shared" si="110"/>
        <v>2015Mosen CletoCrianza</v>
      </c>
      <c r="B277" s="8">
        <v>2015</v>
      </c>
      <c r="C277" s="8" t="s">
        <v>623</v>
      </c>
      <c r="D277" s="8" t="s">
        <v>108</v>
      </c>
      <c r="E277" s="37" t="s">
        <v>624</v>
      </c>
      <c r="F277" s="37" t="s">
        <v>729</v>
      </c>
      <c r="G277" s="37" t="s">
        <v>811</v>
      </c>
      <c r="H277" s="37" t="s">
        <v>838</v>
      </c>
      <c r="I277" s="37">
        <v>1</v>
      </c>
      <c r="J277" s="37">
        <v>750</v>
      </c>
      <c r="K277" s="37" t="s">
        <v>236</v>
      </c>
      <c r="L277" s="37">
        <f>SUMIF(Wine1!A:A,Drank!A277,Wine1!I:I)</f>
        <v>0</v>
      </c>
      <c r="O277" s="37">
        <v>2019</v>
      </c>
      <c r="P277" s="37">
        <v>2021</v>
      </c>
      <c r="R277" s="37">
        <v>90</v>
      </c>
      <c r="S277" s="7">
        <f>AVERAGEIF(A:A,A277,R:R)</f>
        <v>88.125</v>
      </c>
      <c r="T277" s="1">
        <v>43809</v>
      </c>
      <c r="U277" s="13" t="str">
        <f t="shared" si="104"/>
        <v>December</v>
      </c>
      <c r="V277" s="12">
        <f t="shared" si="105"/>
        <v>43809</v>
      </c>
      <c r="W277" s="2">
        <v>12.99</v>
      </c>
      <c r="X277" s="37">
        <v>2</v>
      </c>
      <c r="Y277" s="11">
        <f t="shared" si="98"/>
        <v>12.989999999999998</v>
      </c>
      <c r="Z277" s="109"/>
      <c r="AA277" s="37">
        <f>IF(Y277&gt;=Expenses!$C$32,4,IF(Y277&gt;=Expenses!$C$31,3,IF(Y277&gt;=Expenses!$C$30,2,1)))</f>
        <v>1</v>
      </c>
      <c r="AB277" s="37">
        <f t="shared" si="99"/>
        <v>1</v>
      </c>
      <c r="AC277" s="37" t="str">
        <f t="shared" si="100"/>
        <v>2019</v>
      </c>
      <c r="AE277" s="1"/>
    </row>
    <row r="278" spans="1:33" s="37" customFormat="1" ht="18.75" x14ac:dyDescent="0.3">
      <c r="A278" s="37" t="str">
        <f t="shared" si="110"/>
        <v>2010Cosimo TaurinoSalice Salentino Riserva</v>
      </c>
      <c r="B278" s="37">
        <v>2010</v>
      </c>
      <c r="C278" s="37" t="s">
        <v>56</v>
      </c>
      <c r="D278" s="37" t="s">
        <v>57</v>
      </c>
      <c r="E278" s="37" t="s">
        <v>1204</v>
      </c>
      <c r="F278" s="37" t="s">
        <v>728</v>
      </c>
      <c r="G278" s="37" t="s">
        <v>785</v>
      </c>
      <c r="H278" s="37" t="s">
        <v>769</v>
      </c>
      <c r="I278" s="37">
        <v>1</v>
      </c>
      <c r="J278" s="37">
        <v>750</v>
      </c>
      <c r="K278" s="37" t="s">
        <v>102</v>
      </c>
      <c r="L278" s="37">
        <f>SUMIF(Wine1!A:A,Drank!A278,Wine1!I:I)</f>
        <v>19</v>
      </c>
      <c r="O278" s="37">
        <v>2019</v>
      </c>
      <c r="P278" s="37">
        <v>2024</v>
      </c>
      <c r="R278" s="37">
        <v>90</v>
      </c>
      <c r="S278" s="7">
        <f>AVERAGEIF(A:A,A278,R:R)</f>
        <v>89.46875</v>
      </c>
      <c r="T278" s="1">
        <v>43807</v>
      </c>
      <c r="U278" s="13" t="str">
        <f t="shared" si="104"/>
        <v>December</v>
      </c>
      <c r="V278" s="12">
        <f t="shared" si="105"/>
        <v>43807</v>
      </c>
      <c r="W278" s="2">
        <v>13.49</v>
      </c>
      <c r="X278" s="37">
        <v>0</v>
      </c>
      <c r="Y278" s="11">
        <f t="shared" si="98"/>
        <v>13.490000000000002</v>
      </c>
      <c r="Z278" s="109"/>
      <c r="AA278" s="37">
        <f>IF(Y278&gt;=Expenses!$C$32,4,IF(Y278&gt;=Expenses!$C$31,3,IF(Y278&gt;=Expenses!$C$30,2,1)))</f>
        <v>1</v>
      </c>
      <c r="AB278" s="37">
        <f t="shared" si="99"/>
        <v>1</v>
      </c>
      <c r="AC278" s="37" t="str">
        <f t="shared" si="100"/>
        <v>2019</v>
      </c>
      <c r="AE278" s="1"/>
    </row>
    <row r="279" spans="1:33" ht="18.75" x14ac:dyDescent="0.3">
      <c r="A279" s="37" t="str">
        <f t="shared" si="110"/>
        <v>2015TorreventoPrimitivo Since 1913</v>
      </c>
      <c r="B279">
        <v>2015</v>
      </c>
      <c r="C279" t="s">
        <v>585</v>
      </c>
      <c r="D279" t="s">
        <v>586</v>
      </c>
      <c r="E279" t="s">
        <v>588</v>
      </c>
      <c r="F279" s="37" t="s">
        <v>728</v>
      </c>
      <c r="G279" s="37" t="s">
        <v>785</v>
      </c>
      <c r="I279">
        <v>1</v>
      </c>
      <c r="J279">
        <v>750</v>
      </c>
      <c r="K279" t="s">
        <v>642</v>
      </c>
      <c r="L279" s="37">
        <f>SUMIF(Wine1!A:A,Drank!A279,Wine1!I:I)</f>
        <v>1</v>
      </c>
      <c r="O279">
        <v>2022</v>
      </c>
      <c r="P279">
        <v>2025</v>
      </c>
      <c r="R279">
        <v>90</v>
      </c>
      <c r="S279" s="7">
        <f>AVERAGEIF(A:A,A279,R:R)</f>
        <v>90</v>
      </c>
      <c r="T279" s="1">
        <v>43806</v>
      </c>
      <c r="U279" s="13" t="str">
        <f t="shared" si="104"/>
        <v>December</v>
      </c>
      <c r="V279" s="12">
        <f t="shared" si="105"/>
        <v>43806</v>
      </c>
      <c r="W279" s="2">
        <v>28.59</v>
      </c>
      <c r="X279">
        <v>2</v>
      </c>
      <c r="Y279" s="11">
        <f t="shared" si="98"/>
        <v>28.59</v>
      </c>
      <c r="Z279" s="109"/>
      <c r="AA279" s="37">
        <f>IF(Y279&gt;=Expenses!$C$32,4,IF(Y279&gt;=Expenses!$C$31,3,IF(Y279&gt;=Expenses!$C$30,2,1)))</f>
        <v>2</v>
      </c>
      <c r="AB279" s="37">
        <f t="shared" si="99"/>
        <v>1</v>
      </c>
      <c r="AC279" s="37" t="str">
        <f t="shared" si="100"/>
        <v>2019</v>
      </c>
    </row>
    <row r="280" spans="1:33" ht="18.75" x14ac:dyDescent="0.3">
      <c r="A280" s="37" t="str">
        <f t="shared" si="110"/>
        <v>2017Domaine Georges &amp; Pierre GlantenayBourgogne Rouge Bugundy</v>
      </c>
      <c r="B280">
        <v>2017</v>
      </c>
      <c r="C280" t="s">
        <v>418</v>
      </c>
      <c r="D280" t="s">
        <v>419</v>
      </c>
      <c r="E280" t="s">
        <v>263</v>
      </c>
      <c r="F280" s="37" t="s">
        <v>742</v>
      </c>
      <c r="G280" s="37" t="s">
        <v>754</v>
      </c>
      <c r="H280" s="37" t="s">
        <v>955</v>
      </c>
      <c r="I280">
        <v>1</v>
      </c>
      <c r="J280">
        <v>750</v>
      </c>
      <c r="K280" t="s">
        <v>236</v>
      </c>
      <c r="L280" s="37">
        <f>SUMIF(Wine1!A:A,Drank!A280,Wine1!I:I)</f>
        <v>0</v>
      </c>
      <c r="P280">
        <v>2027</v>
      </c>
      <c r="R280">
        <v>91</v>
      </c>
      <c r="S280" s="7">
        <f>AVERAGEIF(A:A,A280,R:R)</f>
        <v>91</v>
      </c>
      <c r="T280" s="1">
        <v>43798</v>
      </c>
      <c r="U280" s="13" t="str">
        <f t="shared" si="104"/>
        <v>November</v>
      </c>
      <c r="V280" s="12">
        <f t="shared" si="105"/>
        <v>43798</v>
      </c>
      <c r="W280" s="2">
        <v>22</v>
      </c>
      <c r="X280">
        <v>2</v>
      </c>
      <c r="Y280" s="11">
        <f t="shared" si="98"/>
        <v>22</v>
      </c>
      <c r="Z280" s="109"/>
      <c r="AA280" s="37">
        <f>IF(Y280&gt;=Expenses!$C$32,4,IF(Y280&gt;=Expenses!$C$31,3,IF(Y280&gt;=Expenses!$C$30,2,1)))</f>
        <v>2</v>
      </c>
      <c r="AB280" s="37">
        <f t="shared" si="99"/>
        <v>1</v>
      </c>
      <c r="AC280" s="37" t="str">
        <f t="shared" si="100"/>
        <v>2019</v>
      </c>
    </row>
    <row r="281" spans="1:33" ht="18.75" x14ac:dyDescent="0.3">
      <c r="A281" s="37" t="str">
        <f t="shared" si="110"/>
        <v>2010Cosimo TaurinoSalice Salentino Riserva</v>
      </c>
      <c r="B281">
        <v>2010</v>
      </c>
      <c r="C281" t="s">
        <v>56</v>
      </c>
      <c r="D281" t="s">
        <v>57</v>
      </c>
      <c r="E281" s="37" t="s">
        <v>1204</v>
      </c>
      <c r="F281" s="37" t="s">
        <v>728</v>
      </c>
      <c r="G281" s="37" t="s">
        <v>785</v>
      </c>
      <c r="H281" s="37" t="s">
        <v>769</v>
      </c>
      <c r="I281">
        <v>1</v>
      </c>
      <c r="J281">
        <v>750</v>
      </c>
      <c r="K281" t="s">
        <v>102</v>
      </c>
      <c r="L281" s="37">
        <f>SUMIF(Wine1!A:A,Drank!A281,Wine1!I:I)</f>
        <v>19</v>
      </c>
      <c r="O281">
        <v>2019</v>
      </c>
      <c r="P281">
        <v>2023</v>
      </c>
      <c r="R281">
        <v>90</v>
      </c>
      <c r="S281" s="7">
        <f>AVERAGEIF(A:A,A281,R:R)</f>
        <v>89.46875</v>
      </c>
      <c r="T281" s="1">
        <v>43797</v>
      </c>
      <c r="U281" s="13" t="str">
        <f t="shared" si="104"/>
        <v>November</v>
      </c>
      <c r="V281" s="12">
        <f t="shared" si="105"/>
        <v>43797</v>
      </c>
      <c r="W281" s="2">
        <v>11.69</v>
      </c>
      <c r="X281">
        <v>0</v>
      </c>
      <c r="Y281" s="11">
        <f t="shared" si="98"/>
        <v>11.69</v>
      </c>
      <c r="Z281" s="109"/>
      <c r="AA281" s="37">
        <f>IF(Y281&gt;=Expenses!$C$32,4,IF(Y281&gt;=Expenses!$C$31,3,IF(Y281&gt;=Expenses!$C$30,2,1)))</f>
        <v>1</v>
      </c>
      <c r="AB281" s="37">
        <f t="shared" si="99"/>
        <v>1</v>
      </c>
      <c r="AC281" s="37" t="str">
        <f t="shared" si="100"/>
        <v>2019</v>
      </c>
    </row>
    <row r="282" spans="1:33" ht="18.75" x14ac:dyDescent="0.3">
      <c r="A282" s="37" t="str">
        <f t="shared" si="110"/>
        <v>2016Teruzzi &amp; PuthodTerre di Tufi</v>
      </c>
      <c r="B282">
        <v>2016</v>
      </c>
      <c r="C282" t="s">
        <v>378</v>
      </c>
      <c r="D282" t="s">
        <v>379</v>
      </c>
      <c r="E282" t="s">
        <v>382</v>
      </c>
      <c r="F282" s="37" t="s">
        <v>728</v>
      </c>
      <c r="G282" s="37" t="s">
        <v>790</v>
      </c>
      <c r="H282" s="37" t="s">
        <v>808</v>
      </c>
      <c r="I282">
        <v>1</v>
      </c>
      <c r="J282">
        <v>750</v>
      </c>
      <c r="K282" t="s">
        <v>102</v>
      </c>
      <c r="L282" s="37">
        <f>SUMIF(Wine1!A:A,Drank!A282,Wine1!I:I)</f>
        <v>0</v>
      </c>
      <c r="O282">
        <v>2019</v>
      </c>
      <c r="P282">
        <v>2021</v>
      </c>
      <c r="R282">
        <v>91</v>
      </c>
      <c r="S282" s="7">
        <f>AVERAGEIF(A:A,A282,R:R)</f>
        <v>90.375</v>
      </c>
      <c r="T282" s="1">
        <v>43797</v>
      </c>
      <c r="U282" s="13" t="str">
        <f t="shared" si="104"/>
        <v>November</v>
      </c>
      <c r="V282" s="12">
        <f t="shared" si="105"/>
        <v>43797</v>
      </c>
      <c r="W282" s="2">
        <v>10.72</v>
      </c>
      <c r="X282">
        <v>0</v>
      </c>
      <c r="Y282" s="11">
        <f t="shared" si="98"/>
        <v>10.72</v>
      </c>
      <c r="Z282" s="109"/>
      <c r="AA282" s="37">
        <f>IF(Y282&gt;=Expenses!$C$32,4,IF(Y282&gt;=Expenses!$C$31,3,IF(Y282&gt;=Expenses!$C$30,2,1)))</f>
        <v>1</v>
      </c>
      <c r="AB282" s="37">
        <f t="shared" si="99"/>
        <v>1</v>
      </c>
      <c r="AC282" s="37" t="str">
        <f t="shared" si="100"/>
        <v>2019</v>
      </c>
    </row>
    <row r="283" spans="1:33" ht="18.75" x14ac:dyDescent="0.3">
      <c r="A283" s="37" t="str">
        <f t="shared" si="110"/>
        <v>2007TalentiBrunello di Montalcino</v>
      </c>
      <c r="B283">
        <v>2007</v>
      </c>
      <c r="C283" t="s">
        <v>410</v>
      </c>
      <c r="D283" t="s">
        <v>19</v>
      </c>
      <c r="E283" t="s">
        <v>266</v>
      </c>
      <c r="F283" s="37" t="s">
        <v>728</v>
      </c>
      <c r="G283" s="37" t="s">
        <v>790</v>
      </c>
      <c r="H283" s="37" t="s">
        <v>19</v>
      </c>
      <c r="I283">
        <v>1</v>
      </c>
      <c r="J283">
        <v>750</v>
      </c>
      <c r="K283" t="s">
        <v>236</v>
      </c>
      <c r="L283" s="37">
        <f>SUMIF(Wine1!A:A,Drank!A283,Wine1!I:I)</f>
        <v>2</v>
      </c>
      <c r="M283">
        <v>2015</v>
      </c>
      <c r="N283">
        <v>2027</v>
      </c>
      <c r="O283">
        <v>2024</v>
      </c>
      <c r="P283">
        <v>2027</v>
      </c>
      <c r="Q283">
        <v>94</v>
      </c>
      <c r="R283">
        <v>92</v>
      </c>
      <c r="S283" s="7">
        <f>AVERAGEIF(A:A,A283,R:R)</f>
        <v>92</v>
      </c>
      <c r="T283" s="1">
        <v>43793</v>
      </c>
      <c r="U283" s="13" t="str">
        <f t="shared" si="104"/>
        <v>November</v>
      </c>
      <c r="V283" s="12">
        <f t="shared" si="105"/>
        <v>43793</v>
      </c>
      <c r="W283" s="2">
        <v>50</v>
      </c>
      <c r="X283">
        <v>1</v>
      </c>
      <c r="Y283" s="11">
        <f t="shared" si="98"/>
        <v>50</v>
      </c>
      <c r="Z283" s="109"/>
      <c r="AA283" s="37">
        <f>IF(Y283&gt;=Expenses!$C$32,4,IF(Y283&gt;=Expenses!$C$31,3,IF(Y283&gt;=Expenses!$C$30,2,1)))</f>
        <v>3</v>
      </c>
      <c r="AB283" s="37">
        <f t="shared" si="99"/>
        <v>1</v>
      </c>
      <c r="AC283" s="37" t="str">
        <f t="shared" si="100"/>
        <v>2019</v>
      </c>
    </row>
    <row r="284" spans="1:33" ht="18.75" x14ac:dyDescent="0.3">
      <c r="A284" s="37" t="str">
        <f t="shared" si="110"/>
        <v>2016San AlejandroLas Rocas</v>
      </c>
      <c r="B284">
        <v>2016</v>
      </c>
      <c r="C284" t="s">
        <v>152</v>
      </c>
      <c r="D284" t="s">
        <v>153</v>
      </c>
      <c r="E284" t="s">
        <v>284</v>
      </c>
      <c r="F284" s="37" t="s">
        <v>729</v>
      </c>
      <c r="G284" s="37" t="s">
        <v>811</v>
      </c>
      <c r="H284" s="37" t="s">
        <v>812</v>
      </c>
      <c r="I284">
        <v>1</v>
      </c>
      <c r="J284">
        <v>750</v>
      </c>
      <c r="K284" t="s">
        <v>102</v>
      </c>
      <c r="L284" s="37">
        <f>SUMIF(Wine1!A:A,Drank!A284,Wine1!I:I)</f>
        <v>4</v>
      </c>
      <c r="M284">
        <v>2019</v>
      </c>
      <c r="N284">
        <v>2021</v>
      </c>
      <c r="O284">
        <v>2019</v>
      </c>
      <c r="P284">
        <v>2023</v>
      </c>
      <c r="Q284">
        <v>89</v>
      </c>
      <c r="R284">
        <v>90</v>
      </c>
      <c r="S284" s="7">
        <f>AVERAGEIF(A:A,A284,R:R)</f>
        <v>88.944444444444443</v>
      </c>
      <c r="T284" s="1">
        <v>43792</v>
      </c>
      <c r="U284" s="13" t="str">
        <f t="shared" si="104"/>
        <v>November</v>
      </c>
      <c r="V284" s="12">
        <f t="shared" si="105"/>
        <v>43792</v>
      </c>
      <c r="W284" s="2">
        <v>8.99</v>
      </c>
      <c r="X284">
        <v>1</v>
      </c>
      <c r="Y284" s="11">
        <f t="shared" si="98"/>
        <v>8.99</v>
      </c>
      <c r="Z284" s="109"/>
      <c r="AA284" s="37">
        <f>IF(Y284&gt;=Expenses!$C$32,4,IF(Y284&gt;=Expenses!$C$31,3,IF(Y284&gt;=Expenses!$C$30,2,1)))</f>
        <v>1</v>
      </c>
      <c r="AB284" s="37">
        <f t="shared" si="99"/>
        <v>1</v>
      </c>
      <c r="AC284" s="37" t="str">
        <f t="shared" si="100"/>
        <v>2019</v>
      </c>
    </row>
    <row r="285" spans="1:33" ht="18.75" x14ac:dyDescent="0.3">
      <c r="A285" s="37" t="str">
        <f t="shared" si="110"/>
        <v>2016San AlejandroLas Rocas</v>
      </c>
      <c r="B285">
        <v>2016</v>
      </c>
      <c r="C285" t="s">
        <v>152</v>
      </c>
      <c r="D285" t="s">
        <v>153</v>
      </c>
      <c r="E285" t="s">
        <v>284</v>
      </c>
      <c r="F285" s="37" t="s">
        <v>729</v>
      </c>
      <c r="G285" s="37" t="s">
        <v>811</v>
      </c>
      <c r="H285" s="37" t="s">
        <v>812</v>
      </c>
      <c r="I285">
        <v>1</v>
      </c>
      <c r="J285">
        <v>750</v>
      </c>
      <c r="K285" t="s">
        <v>102</v>
      </c>
      <c r="L285" s="37">
        <f>SUMIF(Wine1!A:A,Drank!A285,Wine1!I:I)</f>
        <v>4</v>
      </c>
      <c r="M285">
        <v>2019</v>
      </c>
      <c r="N285">
        <v>2021</v>
      </c>
      <c r="O285">
        <v>2019</v>
      </c>
      <c r="P285">
        <v>2023</v>
      </c>
      <c r="Q285">
        <v>89</v>
      </c>
      <c r="R285">
        <v>90</v>
      </c>
      <c r="S285" s="7">
        <f>AVERAGEIF(A:A,A285,R:R)</f>
        <v>88.944444444444443</v>
      </c>
      <c r="T285" s="1">
        <v>43786</v>
      </c>
      <c r="U285" s="13" t="str">
        <f t="shared" si="104"/>
        <v>November</v>
      </c>
      <c r="V285" s="12">
        <f t="shared" si="105"/>
        <v>43786</v>
      </c>
      <c r="W285" s="2">
        <v>8.99</v>
      </c>
      <c r="X285">
        <v>1</v>
      </c>
      <c r="Y285" s="11">
        <f t="shared" si="98"/>
        <v>8.99</v>
      </c>
      <c r="Z285" s="109"/>
      <c r="AA285" s="37">
        <f>IF(Y285&gt;=Expenses!$C$32,4,IF(Y285&gt;=Expenses!$C$31,3,IF(Y285&gt;=Expenses!$C$30,2,1)))</f>
        <v>1</v>
      </c>
      <c r="AB285" s="37">
        <f t="shared" si="99"/>
        <v>1</v>
      </c>
      <c r="AC285" s="37" t="str">
        <f t="shared" si="100"/>
        <v>2019</v>
      </c>
    </row>
    <row r="286" spans="1:33" ht="18.75" x14ac:dyDescent="0.3">
      <c r="A286" s="37" t="str">
        <f t="shared" si="110"/>
        <v>2010Cosimo TaurinoSalice Salentino Riserva</v>
      </c>
      <c r="B286">
        <v>2010</v>
      </c>
      <c r="C286" t="s">
        <v>56</v>
      </c>
      <c r="D286" t="s">
        <v>57</v>
      </c>
      <c r="E286" s="37" t="s">
        <v>1204</v>
      </c>
      <c r="F286" s="37" t="s">
        <v>728</v>
      </c>
      <c r="G286" s="37" t="s">
        <v>785</v>
      </c>
      <c r="H286" s="37" t="s">
        <v>769</v>
      </c>
      <c r="I286">
        <v>1</v>
      </c>
      <c r="J286">
        <v>750</v>
      </c>
      <c r="K286" t="s">
        <v>102</v>
      </c>
      <c r="L286" s="37">
        <f>SUMIF(Wine1!A:A,Drank!A286,Wine1!I:I)</f>
        <v>19</v>
      </c>
      <c r="O286">
        <v>2019</v>
      </c>
      <c r="P286">
        <v>2023</v>
      </c>
      <c r="R286">
        <v>90</v>
      </c>
      <c r="S286" s="7">
        <f>AVERAGEIF(A:A,A286,R:R)</f>
        <v>89.46875</v>
      </c>
      <c r="T286" s="1">
        <v>43785</v>
      </c>
      <c r="U286" s="13" t="str">
        <f t="shared" si="104"/>
        <v>November</v>
      </c>
      <c r="V286" s="12">
        <f t="shared" si="105"/>
        <v>43785</v>
      </c>
      <c r="W286" s="2">
        <v>11.69</v>
      </c>
      <c r="X286">
        <v>0</v>
      </c>
      <c r="Y286" s="11">
        <f t="shared" si="98"/>
        <v>11.69</v>
      </c>
      <c r="Z286" s="109"/>
      <c r="AA286" s="37">
        <f>IF(Y286&gt;=Expenses!$C$32,4,IF(Y286&gt;=Expenses!$C$31,3,IF(Y286&gt;=Expenses!$C$30,2,1)))</f>
        <v>1</v>
      </c>
      <c r="AB286" s="37">
        <f t="shared" si="99"/>
        <v>1</v>
      </c>
      <c r="AC286" s="37" t="str">
        <f t="shared" si="100"/>
        <v>2019</v>
      </c>
    </row>
    <row r="287" spans="1:33" ht="18.75" x14ac:dyDescent="0.3">
      <c r="A287" s="37" t="str">
        <f t="shared" si="110"/>
        <v>2017Richard RottiersMoulin-Ã -Vent Foudres</v>
      </c>
      <c r="B287">
        <v>2017</v>
      </c>
      <c r="C287" t="s">
        <v>445</v>
      </c>
      <c r="D287" t="s">
        <v>446</v>
      </c>
      <c r="E287" t="s">
        <v>336</v>
      </c>
      <c r="F287" s="37" t="s">
        <v>742</v>
      </c>
      <c r="G287" s="37" t="s">
        <v>745</v>
      </c>
      <c r="H287" s="37" t="s">
        <v>746</v>
      </c>
      <c r="I287">
        <v>1</v>
      </c>
      <c r="J287">
        <v>750</v>
      </c>
      <c r="K287" t="s">
        <v>236</v>
      </c>
      <c r="L287" s="37">
        <f>SUMIF(Wine1!A:A,Drank!A287,Wine1!I:I)</f>
        <v>10</v>
      </c>
      <c r="M287">
        <v>2019</v>
      </c>
      <c r="N287">
        <v>2029</v>
      </c>
      <c r="O287">
        <v>2020</v>
      </c>
      <c r="P287">
        <v>2028</v>
      </c>
      <c r="Q287">
        <v>92</v>
      </c>
      <c r="R287">
        <v>90</v>
      </c>
      <c r="S287" s="7">
        <f>AVERAGEIF(A:A,A287,R:R)</f>
        <v>90</v>
      </c>
      <c r="T287" s="1">
        <v>43784</v>
      </c>
      <c r="U287" s="13" t="str">
        <f t="shared" si="104"/>
        <v>November</v>
      </c>
      <c r="V287" s="12">
        <f t="shared" si="105"/>
        <v>43784</v>
      </c>
      <c r="W287" s="2">
        <v>14.99</v>
      </c>
      <c r="X287">
        <v>0</v>
      </c>
      <c r="Y287" s="11">
        <f t="shared" si="98"/>
        <v>14.99</v>
      </c>
      <c r="Z287" s="109"/>
      <c r="AA287" s="37">
        <f>IF(Y287&gt;=Expenses!$C$32,4,IF(Y287&gt;=Expenses!$C$31,3,IF(Y287&gt;=Expenses!$C$30,2,1)))</f>
        <v>1</v>
      </c>
      <c r="AB287" s="37">
        <f t="shared" si="99"/>
        <v>1</v>
      </c>
      <c r="AC287" s="37" t="str">
        <f t="shared" si="100"/>
        <v>2019</v>
      </c>
    </row>
    <row r="288" spans="1:33" ht="18.75" x14ac:dyDescent="0.3">
      <c r="A288" s="37" t="str">
        <f t="shared" si="110"/>
        <v>2016Domaine de la Combe DieuRasteau</v>
      </c>
      <c r="B288">
        <v>2016</v>
      </c>
      <c r="C288" t="s">
        <v>407</v>
      </c>
      <c r="D288" t="s">
        <v>408</v>
      </c>
      <c r="E288" t="s">
        <v>417</v>
      </c>
      <c r="F288" s="37" t="s">
        <v>742</v>
      </c>
      <c r="G288" s="37" t="s">
        <v>759</v>
      </c>
      <c r="H288" s="37" t="s">
        <v>765</v>
      </c>
      <c r="I288">
        <v>1</v>
      </c>
      <c r="J288">
        <v>750</v>
      </c>
      <c r="K288" t="s">
        <v>102</v>
      </c>
      <c r="L288" s="37">
        <f>SUMIF(Wine1!A:A,Drank!A288,Wine1!I:I)</f>
        <v>15</v>
      </c>
      <c r="M288">
        <v>2018</v>
      </c>
      <c r="N288">
        <v>2023</v>
      </c>
      <c r="O288">
        <v>2019</v>
      </c>
      <c r="P288">
        <v>2025</v>
      </c>
      <c r="Q288">
        <v>92</v>
      </c>
      <c r="R288">
        <v>92</v>
      </c>
      <c r="S288" s="7">
        <f>AVERAGEIF(A:A,A288,R:R)</f>
        <v>92.2</v>
      </c>
      <c r="T288" s="1">
        <v>43783</v>
      </c>
      <c r="U288" s="13" t="str">
        <f t="shared" si="104"/>
        <v>November</v>
      </c>
      <c r="V288" s="12">
        <f t="shared" si="105"/>
        <v>43783</v>
      </c>
      <c r="W288" s="2">
        <v>13.99</v>
      </c>
      <c r="X288">
        <v>1</v>
      </c>
      <c r="Y288" s="11">
        <f t="shared" si="98"/>
        <v>13.99</v>
      </c>
      <c r="Z288" s="109"/>
      <c r="AA288" s="37">
        <f>IF(Y288&gt;=Expenses!$C$32,4,IF(Y288&gt;=Expenses!$C$31,3,IF(Y288&gt;=Expenses!$C$30,2,1)))</f>
        <v>1</v>
      </c>
      <c r="AB288" s="37">
        <f t="shared" si="99"/>
        <v>1</v>
      </c>
      <c r="AC288" s="37" t="str">
        <f t="shared" si="100"/>
        <v>2019</v>
      </c>
    </row>
    <row r="289" spans="1:29" ht="18.75" x14ac:dyDescent="0.3">
      <c r="A289" s="37" t="str">
        <f t="shared" si="110"/>
        <v>2010Cosimo TaurinoSalice Salentino Riserva</v>
      </c>
      <c r="B289">
        <v>2010</v>
      </c>
      <c r="C289" t="s">
        <v>56</v>
      </c>
      <c r="D289" t="s">
        <v>57</v>
      </c>
      <c r="E289" s="37" t="s">
        <v>1204</v>
      </c>
      <c r="F289" s="37" t="s">
        <v>728</v>
      </c>
      <c r="G289" s="37" t="s">
        <v>785</v>
      </c>
      <c r="H289" s="37" t="s">
        <v>769</v>
      </c>
      <c r="I289">
        <v>1</v>
      </c>
      <c r="J289">
        <v>750</v>
      </c>
      <c r="K289" t="s">
        <v>58</v>
      </c>
      <c r="L289" s="37">
        <f>SUMIF(Wine1!A:A,Drank!A289,Wine1!I:I)</f>
        <v>19</v>
      </c>
      <c r="O289">
        <v>2019</v>
      </c>
      <c r="P289">
        <v>2023</v>
      </c>
      <c r="R289">
        <v>90</v>
      </c>
      <c r="S289" s="7">
        <f>AVERAGEIF(A:A,A289,R:R)</f>
        <v>89.46875</v>
      </c>
      <c r="T289" s="1">
        <v>43779</v>
      </c>
      <c r="U289" s="13" t="str">
        <f t="shared" si="104"/>
        <v>November</v>
      </c>
      <c r="V289" s="12">
        <f t="shared" si="105"/>
        <v>43779</v>
      </c>
      <c r="W289" s="2">
        <v>11.69</v>
      </c>
      <c r="X289">
        <v>0</v>
      </c>
      <c r="Y289" s="11">
        <f t="shared" si="98"/>
        <v>11.69</v>
      </c>
      <c r="Z289" s="109"/>
      <c r="AA289" s="37">
        <f>IF(Y289&gt;=Expenses!$C$32,4,IF(Y289&gt;=Expenses!$C$31,3,IF(Y289&gt;=Expenses!$C$30,2,1)))</f>
        <v>1</v>
      </c>
      <c r="AB289" s="37">
        <f t="shared" si="99"/>
        <v>1</v>
      </c>
      <c r="AC289" s="37" t="str">
        <f t="shared" si="100"/>
        <v>2019</v>
      </c>
    </row>
    <row r="290" spans="1:29" ht="18.75" x14ac:dyDescent="0.3">
      <c r="A290" s="37" t="str">
        <f t="shared" si="110"/>
        <v>2016Quinta do ValladoTouriga Nacional</v>
      </c>
      <c r="B290">
        <v>2016</v>
      </c>
      <c r="C290" t="s">
        <v>210</v>
      </c>
      <c r="D290" t="s">
        <v>211</v>
      </c>
      <c r="E290" t="s">
        <v>211</v>
      </c>
      <c r="F290" s="37" t="s">
        <v>804</v>
      </c>
      <c r="G290" s="37" t="s">
        <v>805</v>
      </c>
      <c r="I290">
        <v>1</v>
      </c>
      <c r="J290">
        <v>750</v>
      </c>
      <c r="K290" t="s">
        <v>8</v>
      </c>
      <c r="L290" s="37">
        <f>SUMIF(Wine1!A:A,Drank!A290,Wine1!I:I)</f>
        <v>7</v>
      </c>
      <c r="M290">
        <v>2020</v>
      </c>
      <c r="N290">
        <v>2032</v>
      </c>
      <c r="O290">
        <v>2020</v>
      </c>
      <c r="P290">
        <v>2025</v>
      </c>
      <c r="Q290">
        <v>93</v>
      </c>
      <c r="R290">
        <v>92</v>
      </c>
      <c r="S290" s="7">
        <f>AVERAGEIF(A:A,A290,R:R)</f>
        <v>92</v>
      </c>
      <c r="T290" s="1">
        <v>43779</v>
      </c>
      <c r="U290" s="13" t="str">
        <f t="shared" si="104"/>
        <v>November</v>
      </c>
      <c r="V290" s="12">
        <f t="shared" si="105"/>
        <v>43779</v>
      </c>
      <c r="W290" s="2">
        <v>24.99</v>
      </c>
      <c r="X290">
        <v>0</v>
      </c>
      <c r="Y290" s="11">
        <f t="shared" si="98"/>
        <v>24.989999999999995</v>
      </c>
      <c r="Z290" s="109"/>
      <c r="AA290" s="37">
        <f>IF(Y290&gt;=Expenses!$C$32,4,IF(Y290&gt;=Expenses!$C$31,3,IF(Y290&gt;=Expenses!$C$30,2,1)))</f>
        <v>2</v>
      </c>
      <c r="AB290" s="37">
        <f t="shared" si="99"/>
        <v>1</v>
      </c>
      <c r="AC290" s="37" t="str">
        <f t="shared" si="100"/>
        <v>2019</v>
      </c>
    </row>
    <row r="291" spans="1:29" ht="18.75" x14ac:dyDescent="0.3">
      <c r="A291" s="37" t="str">
        <f t="shared" si="110"/>
        <v>2015Tenuta di NozzoleChianti Classico Riserva Nozzole</v>
      </c>
      <c r="B291">
        <v>2015</v>
      </c>
      <c r="C291" t="s">
        <v>100</v>
      </c>
      <c r="D291" t="s">
        <v>101</v>
      </c>
      <c r="E291" t="s">
        <v>310</v>
      </c>
      <c r="F291" s="37" t="s">
        <v>728</v>
      </c>
      <c r="G291" s="37" t="s">
        <v>790</v>
      </c>
      <c r="H291" s="37" t="s">
        <v>792</v>
      </c>
      <c r="I291">
        <v>1</v>
      </c>
      <c r="J291">
        <v>750</v>
      </c>
      <c r="K291" t="s">
        <v>644</v>
      </c>
      <c r="L291" s="37">
        <f>SUMIF(Wine1!A:A,Drank!A291,Wine1!I:I)</f>
        <v>4</v>
      </c>
      <c r="M291">
        <v>2018</v>
      </c>
      <c r="N291">
        <v>2028</v>
      </c>
      <c r="O291">
        <v>2020</v>
      </c>
      <c r="P291">
        <v>2030</v>
      </c>
      <c r="Q291">
        <v>92</v>
      </c>
      <c r="R291">
        <v>92</v>
      </c>
      <c r="S291" s="7">
        <f>AVERAGEIF(A:A,A291,R:R)</f>
        <v>91</v>
      </c>
      <c r="T291" s="1">
        <v>43779</v>
      </c>
      <c r="U291" s="13" t="str">
        <f t="shared" si="104"/>
        <v>November</v>
      </c>
      <c r="V291" s="12">
        <f t="shared" si="105"/>
        <v>43779</v>
      </c>
      <c r="W291" s="2">
        <v>19.79</v>
      </c>
      <c r="X291">
        <v>1</v>
      </c>
      <c r="Y291" s="11">
        <f t="shared" si="98"/>
        <v>19.79</v>
      </c>
      <c r="Z291" s="109"/>
      <c r="AA291" s="37">
        <f>IF(Y291&gt;=Expenses!$C$32,4,IF(Y291&gt;=Expenses!$C$31,3,IF(Y291&gt;=Expenses!$C$30,2,1)))</f>
        <v>2</v>
      </c>
      <c r="AB291" s="37">
        <f t="shared" si="99"/>
        <v>1</v>
      </c>
      <c r="AC291" s="37" t="str">
        <f t="shared" si="100"/>
        <v>2019</v>
      </c>
    </row>
    <row r="292" spans="1:29" ht="18.75" x14ac:dyDescent="0.3">
      <c r="A292" s="37" t="str">
        <f t="shared" si="110"/>
        <v>1998Raymond-LafonRaymond-Lafon</v>
      </c>
      <c r="B292">
        <v>1998</v>
      </c>
      <c r="C292" t="s">
        <v>197</v>
      </c>
      <c r="D292" t="s">
        <v>197</v>
      </c>
      <c r="E292" t="s">
        <v>260</v>
      </c>
      <c r="F292" s="37" t="s">
        <v>742</v>
      </c>
      <c r="G292" s="37" t="s">
        <v>748</v>
      </c>
      <c r="H292" s="37" t="s">
        <v>260</v>
      </c>
      <c r="I292">
        <v>1</v>
      </c>
      <c r="J292">
        <v>375</v>
      </c>
      <c r="K292" t="s">
        <v>236</v>
      </c>
      <c r="L292" s="37">
        <f>SUMIF(Wine1!A:A,Drank!A292,Wine1!I:I)</f>
        <v>7</v>
      </c>
      <c r="M292">
        <v>2018</v>
      </c>
      <c r="N292">
        <v>2025</v>
      </c>
      <c r="O292">
        <v>2020</v>
      </c>
      <c r="P292">
        <v>2026</v>
      </c>
      <c r="Q292">
        <v>93</v>
      </c>
      <c r="R292">
        <v>94</v>
      </c>
      <c r="S292" s="7">
        <f>AVERAGEIF(A:A,A292,R:R)</f>
        <v>92.666666666666671</v>
      </c>
      <c r="T292" s="1">
        <v>43778</v>
      </c>
      <c r="U292" s="13" t="str">
        <f t="shared" si="104"/>
        <v>November</v>
      </c>
      <c r="V292" s="12">
        <f t="shared" si="105"/>
        <v>43778</v>
      </c>
      <c r="W292" s="2">
        <v>16.989999999999998</v>
      </c>
      <c r="X292">
        <v>0</v>
      </c>
      <c r="Y292" s="11">
        <f t="shared" si="98"/>
        <v>33.979999999999997</v>
      </c>
      <c r="Z292" s="109"/>
      <c r="AA292" s="37">
        <f>IF(Y292&gt;=Expenses!$C$32,4,IF(Y292&gt;=Expenses!$C$31,3,IF(Y292&gt;=Expenses!$C$30,2,1)))</f>
        <v>3</v>
      </c>
      <c r="AB292" s="37">
        <f t="shared" si="99"/>
        <v>0.5</v>
      </c>
      <c r="AC292" s="37" t="str">
        <f t="shared" si="100"/>
        <v>2019</v>
      </c>
    </row>
    <row r="293" spans="1:29" ht="18.75" x14ac:dyDescent="0.3">
      <c r="A293" s="37" t="str">
        <f t="shared" si="110"/>
        <v>2015AllegriniPalazzo della Torre</v>
      </c>
      <c r="B293">
        <v>2015</v>
      </c>
      <c r="C293" t="s">
        <v>111</v>
      </c>
      <c r="D293" t="s">
        <v>112</v>
      </c>
      <c r="E293" t="s">
        <v>262</v>
      </c>
      <c r="F293" s="37" t="s">
        <v>728</v>
      </c>
      <c r="G293" s="37" t="s">
        <v>799</v>
      </c>
      <c r="H293" s="37" t="s">
        <v>800</v>
      </c>
      <c r="I293">
        <v>1</v>
      </c>
      <c r="J293">
        <v>750</v>
      </c>
      <c r="K293" t="s">
        <v>648</v>
      </c>
      <c r="L293" s="37">
        <f>SUMIF(Wine1!A:A,Drank!A293,Wine1!I:I)</f>
        <v>6</v>
      </c>
      <c r="O293">
        <v>2020</v>
      </c>
      <c r="P293">
        <v>2028</v>
      </c>
      <c r="R293">
        <v>90</v>
      </c>
      <c r="S293" s="7">
        <f>AVERAGEIF(A:A,A293,R:R)</f>
        <v>90.909090909090907</v>
      </c>
      <c r="T293" s="1">
        <v>43778</v>
      </c>
      <c r="U293" s="13" t="str">
        <f t="shared" si="104"/>
        <v>November</v>
      </c>
      <c r="V293" s="12">
        <f t="shared" si="105"/>
        <v>43778</v>
      </c>
      <c r="W293" s="2">
        <v>17.989999999999998</v>
      </c>
      <c r="X293">
        <v>1</v>
      </c>
      <c r="Y293" s="11">
        <f t="shared" si="98"/>
        <v>17.989999999999998</v>
      </c>
      <c r="Z293" s="109"/>
      <c r="AA293" s="37">
        <f>IF(Y293&gt;=Expenses!$C$32,4,IF(Y293&gt;=Expenses!$C$31,3,IF(Y293&gt;=Expenses!$C$30,2,1)))</f>
        <v>2</v>
      </c>
      <c r="AB293" s="37">
        <f t="shared" si="99"/>
        <v>1</v>
      </c>
      <c r="AC293" s="37" t="str">
        <f t="shared" si="100"/>
        <v>2019</v>
      </c>
    </row>
    <row r="294" spans="1:29" ht="18.75" x14ac:dyDescent="0.3">
      <c r="A294" s="37" t="str">
        <f t="shared" si="110"/>
        <v>2015Buty WineryRediviva of The Stones</v>
      </c>
      <c r="B294">
        <v>2015</v>
      </c>
      <c r="C294" t="s">
        <v>388</v>
      </c>
      <c r="D294" t="s">
        <v>389</v>
      </c>
      <c r="E294" t="s">
        <v>278</v>
      </c>
      <c r="F294" s="37" t="s">
        <v>727</v>
      </c>
      <c r="G294" s="37" t="s">
        <v>833</v>
      </c>
      <c r="H294" s="37" t="s">
        <v>835</v>
      </c>
      <c r="I294">
        <v>1</v>
      </c>
      <c r="J294">
        <v>750</v>
      </c>
      <c r="K294" t="s">
        <v>236</v>
      </c>
      <c r="L294" s="37">
        <f>SUMIF(Wine1!A:A,Drank!A294,Wine1!I:I)</f>
        <v>3</v>
      </c>
      <c r="M294">
        <v>2018</v>
      </c>
      <c r="N294">
        <v>2026</v>
      </c>
      <c r="O294">
        <v>2021</v>
      </c>
      <c r="P294">
        <v>2025</v>
      </c>
      <c r="Q294">
        <v>93</v>
      </c>
      <c r="R294">
        <v>92</v>
      </c>
      <c r="S294" s="7">
        <f>AVERAGEIF(A:A,A294,R:R)</f>
        <v>92</v>
      </c>
      <c r="T294" s="1">
        <v>43777</v>
      </c>
      <c r="U294" s="13" t="str">
        <f t="shared" si="104"/>
        <v>November</v>
      </c>
      <c r="V294" s="12">
        <f t="shared" si="105"/>
        <v>43777</v>
      </c>
      <c r="W294" s="2">
        <v>22.99</v>
      </c>
      <c r="X294">
        <v>0</v>
      </c>
      <c r="Y294" s="11">
        <f t="shared" si="98"/>
        <v>22.99</v>
      </c>
      <c r="Z294" s="109"/>
      <c r="AA294" s="37">
        <f>IF(Y294&gt;=Expenses!$C$32,4,IF(Y294&gt;=Expenses!$C$31,3,IF(Y294&gt;=Expenses!$C$30,2,1)))</f>
        <v>2</v>
      </c>
      <c r="AB294" s="37">
        <f t="shared" si="99"/>
        <v>1</v>
      </c>
      <c r="AC294" s="37" t="str">
        <f t="shared" si="100"/>
        <v>2019</v>
      </c>
    </row>
    <row r="295" spans="1:29" ht="18.75" x14ac:dyDescent="0.3">
      <c r="A295" s="37" t="str">
        <f t="shared" si="110"/>
        <v>2010Cosimo TaurinoSalice Salentino Riserva</v>
      </c>
      <c r="B295">
        <v>2010</v>
      </c>
      <c r="C295" t="s">
        <v>56</v>
      </c>
      <c r="D295" t="s">
        <v>57</v>
      </c>
      <c r="E295" s="37" t="s">
        <v>1204</v>
      </c>
      <c r="F295" s="37" t="s">
        <v>728</v>
      </c>
      <c r="G295" s="37" t="s">
        <v>785</v>
      </c>
      <c r="H295" s="37" t="s">
        <v>769</v>
      </c>
      <c r="I295">
        <v>1</v>
      </c>
      <c r="J295">
        <v>750</v>
      </c>
      <c r="K295" t="s">
        <v>58</v>
      </c>
      <c r="L295" s="37">
        <f>SUMIF(Wine1!A:A,Drank!A295,Wine1!I:I)</f>
        <v>19</v>
      </c>
      <c r="O295">
        <v>2019</v>
      </c>
      <c r="P295">
        <v>2023</v>
      </c>
      <c r="R295">
        <v>90</v>
      </c>
      <c r="S295" s="7">
        <f>AVERAGEIF(A:A,A295,R:R)</f>
        <v>89.46875</v>
      </c>
      <c r="T295" s="1">
        <v>43776</v>
      </c>
      <c r="U295" s="13" t="str">
        <f t="shared" si="104"/>
        <v>November</v>
      </c>
      <c r="V295" s="12">
        <f t="shared" si="105"/>
        <v>43776</v>
      </c>
      <c r="W295" s="2">
        <v>11.69</v>
      </c>
      <c r="X295">
        <v>0</v>
      </c>
      <c r="Y295" s="11">
        <f t="shared" si="98"/>
        <v>11.69</v>
      </c>
      <c r="Z295" s="109"/>
      <c r="AA295" s="37">
        <f>IF(Y295&gt;=Expenses!$C$32,4,IF(Y295&gt;=Expenses!$C$31,3,IF(Y295&gt;=Expenses!$C$30,2,1)))</f>
        <v>1</v>
      </c>
      <c r="AB295" s="37">
        <f t="shared" si="99"/>
        <v>1</v>
      </c>
      <c r="AC295" s="37" t="str">
        <f t="shared" si="100"/>
        <v>2019</v>
      </c>
    </row>
    <row r="296" spans="1:29" ht="18.75" x14ac:dyDescent="0.3">
      <c r="A296" s="37" t="str">
        <f t="shared" si="110"/>
        <v>2017Domaine de l'AmandineCotes du Rhone Villages Seguret</v>
      </c>
      <c r="B296">
        <v>2017</v>
      </c>
      <c r="C296" t="s">
        <v>361</v>
      </c>
      <c r="D296" t="s">
        <v>362</v>
      </c>
      <c r="E296" t="s">
        <v>286</v>
      </c>
      <c r="F296" s="37" t="s">
        <v>742</v>
      </c>
      <c r="G296" s="37" t="s">
        <v>759</v>
      </c>
      <c r="H296" s="37" t="s">
        <v>760</v>
      </c>
      <c r="I296">
        <v>1</v>
      </c>
      <c r="J296">
        <v>750</v>
      </c>
      <c r="K296" t="s">
        <v>253</v>
      </c>
      <c r="L296" s="37">
        <f>SUMIF(Wine1!A:A,Drank!A296,Wine1!I:I)</f>
        <v>20</v>
      </c>
      <c r="M296">
        <v>2018</v>
      </c>
      <c r="N296">
        <v>2025</v>
      </c>
      <c r="O296">
        <v>2019</v>
      </c>
      <c r="P296">
        <v>2024</v>
      </c>
      <c r="Q296">
        <v>93</v>
      </c>
      <c r="R296">
        <v>92</v>
      </c>
      <c r="S296" s="7">
        <f>AVERAGEIF(A:A,A296,R:R)</f>
        <v>92.470588235294116</v>
      </c>
      <c r="T296" s="1">
        <v>43772</v>
      </c>
      <c r="U296" s="13" t="str">
        <f t="shared" si="104"/>
        <v>November</v>
      </c>
      <c r="V296" s="12">
        <f t="shared" si="105"/>
        <v>43772</v>
      </c>
      <c r="W296" s="2">
        <v>14.99</v>
      </c>
      <c r="X296">
        <v>1</v>
      </c>
      <c r="Y296" s="11">
        <f t="shared" ref="Y296:Y359" si="111">W296/J296*750</f>
        <v>14.99</v>
      </c>
      <c r="Z296" s="109"/>
      <c r="AA296" s="37">
        <f>IF(Y296&gt;=Expenses!$C$32,4,IF(Y296&gt;=Expenses!$C$31,3,IF(Y296&gt;=Expenses!$C$30,2,1)))</f>
        <v>1</v>
      </c>
      <c r="AB296" s="37">
        <f t="shared" ref="AB296:AB359" si="112">J296/750</f>
        <v>1</v>
      </c>
      <c r="AC296" s="37" t="str">
        <f t="shared" ref="AC296:AC359" si="113">TEXT(T296,"yyyy")</f>
        <v>2019</v>
      </c>
    </row>
    <row r="297" spans="1:29" ht="18.75" x14ac:dyDescent="0.3">
      <c r="A297" s="37" t="str">
        <f t="shared" si="110"/>
        <v>2016Teruzzi &amp; PuthodTerre di Tufi</v>
      </c>
      <c r="B297">
        <v>2016</v>
      </c>
      <c r="C297" t="s">
        <v>378</v>
      </c>
      <c r="D297" t="s">
        <v>379</v>
      </c>
      <c r="E297" t="s">
        <v>382</v>
      </c>
      <c r="F297" s="37" t="s">
        <v>728</v>
      </c>
      <c r="G297" s="37" t="s">
        <v>790</v>
      </c>
      <c r="H297" s="37" t="s">
        <v>808</v>
      </c>
      <c r="I297">
        <v>1</v>
      </c>
      <c r="J297">
        <v>750</v>
      </c>
      <c r="K297" t="s">
        <v>102</v>
      </c>
      <c r="L297" s="37">
        <f>SUMIF(Wine1!A:A,Drank!A297,Wine1!I:I)</f>
        <v>0</v>
      </c>
      <c r="O297">
        <v>2019</v>
      </c>
      <c r="P297">
        <v>2021</v>
      </c>
      <c r="R297">
        <v>91</v>
      </c>
      <c r="S297" s="7">
        <f>AVERAGEIF(A:A,A297,R:R)</f>
        <v>90.375</v>
      </c>
      <c r="T297" s="1">
        <v>43770</v>
      </c>
      <c r="U297" s="13" t="str">
        <f t="shared" si="104"/>
        <v>November</v>
      </c>
      <c r="V297" s="12">
        <f t="shared" si="105"/>
        <v>43770</v>
      </c>
      <c r="W297" s="2">
        <v>10.72</v>
      </c>
      <c r="X297">
        <v>0</v>
      </c>
      <c r="Y297" s="11">
        <f t="shared" si="111"/>
        <v>10.72</v>
      </c>
      <c r="Z297" s="109"/>
      <c r="AA297" s="37">
        <f>IF(Y297&gt;=Expenses!$C$32,4,IF(Y297&gt;=Expenses!$C$31,3,IF(Y297&gt;=Expenses!$C$30,2,1)))</f>
        <v>1</v>
      </c>
      <c r="AB297" s="37">
        <f t="shared" si="112"/>
        <v>1</v>
      </c>
      <c r="AC297" s="37" t="str">
        <f t="shared" si="113"/>
        <v>2019</v>
      </c>
    </row>
    <row r="298" spans="1:29" ht="18.75" x14ac:dyDescent="0.3">
      <c r="A298" s="37" t="str">
        <f t="shared" si="110"/>
        <v>2016San AlejandroLas Rocas</v>
      </c>
      <c r="B298">
        <v>2016</v>
      </c>
      <c r="C298" t="s">
        <v>152</v>
      </c>
      <c r="D298" t="s">
        <v>153</v>
      </c>
      <c r="E298" t="s">
        <v>284</v>
      </c>
      <c r="F298" s="37" t="s">
        <v>729</v>
      </c>
      <c r="G298" s="37" t="s">
        <v>811</v>
      </c>
      <c r="H298" s="37" t="s">
        <v>812</v>
      </c>
      <c r="I298">
        <v>1</v>
      </c>
      <c r="J298">
        <v>750</v>
      </c>
      <c r="K298" t="s">
        <v>102</v>
      </c>
      <c r="L298" s="37">
        <f>SUMIF(Wine1!A:A,Drank!A298,Wine1!I:I)</f>
        <v>4</v>
      </c>
      <c r="M298">
        <v>2019</v>
      </c>
      <c r="N298">
        <v>2021</v>
      </c>
      <c r="O298">
        <v>2019</v>
      </c>
      <c r="P298">
        <v>2020</v>
      </c>
      <c r="Q298">
        <v>89</v>
      </c>
      <c r="R298">
        <v>90</v>
      </c>
      <c r="S298" s="7">
        <f>AVERAGEIF(A:A,A298,R:R)</f>
        <v>88.944444444444443</v>
      </c>
      <c r="T298" s="1">
        <v>43769</v>
      </c>
      <c r="U298" s="13" t="str">
        <f t="shared" si="104"/>
        <v>October</v>
      </c>
      <c r="V298" s="12">
        <f t="shared" si="105"/>
        <v>43769</v>
      </c>
      <c r="W298" s="2">
        <v>8.99</v>
      </c>
      <c r="X298">
        <v>0</v>
      </c>
      <c r="Y298" s="11">
        <f t="shared" si="111"/>
        <v>8.99</v>
      </c>
      <c r="Z298" s="109"/>
      <c r="AA298" s="37">
        <f>IF(Y298&gt;=Expenses!$C$32,4,IF(Y298&gt;=Expenses!$C$31,3,IF(Y298&gt;=Expenses!$C$30,2,1)))</f>
        <v>1</v>
      </c>
      <c r="AB298" s="37">
        <f t="shared" si="112"/>
        <v>1</v>
      </c>
      <c r="AC298" s="37" t="str">
        <f t="shared" si="113"/>
        <v>2019</v>
      </c>
    </row>
    <row r="299" spans="1:29" ht="18.75" x14ac:dyDescent="0.3">
      <c r="A299" s="37" t="str">
        <f t="shared" si="110"/>
        <v>2010Cosimo TaurinoSalice Salentino Riserva</v>
      </c>
      <c r="B299">
        <v>2010</v>
      </c>
      <c r="C299" t="s">
        <v>56</v>
      </c>
      <c r="D299" t="s">
        <v>57</v>
      </c>
      <c r="E299" s="37" t="s">
        <v>1204</v>
      </c>
      <c r="F299" s="37" t="s">
        <v>728</v>
      </c>
      <c r="G299" s="37" t="s">
        <v>785</v>
      </c>
      <c r="H299" s="37" t="s">
        <v>769</v>
      </c>
      <c r="I299">
        <v>1</v>
      </c>
      <c r="J299">
        <v>750</v>
      </c>
      <c r="K299" t="s">
        <v>102</v>
      </c>
      <c r="L299" s="37">
        <f>SUMIF(Wine1!A:A,Drank!A299,Wine1!I:I)</f>
        <v>19</v>
      </c>
      <c r="O299">
        <v>2019</v>
      </c>
      <c r="P299">
        <v>2022</v>
      </c>
      <c r="R299"/>
      <c r="S299" s="7">
        <f>AVERAGEIF(A:A,A299,R:R)</f>
        <v>89.46875</v>
      </c>
      <c r="T299" s="1">
        <v>43765</v>
      </c>
      <c r="U299" s="13" t="str">
        <f t="shared" si="104"/>
        <v>October</v>
      </c>
      <c r="V299" s="12">
        <f t="shared" si="105"/>
        <v>43765</v>
      </c>
      <c r="W299" s="2">
        <v>11.69</v>
      </c>
      <c r="X299">
        <v>0</v>
      </c>
      <c r="Y299" s="11">
        <f t="shared" si="111"/>
        <v>11.69</v>
      </c>
      <c r="Z299" s="109"/>
      <c r="AA299" s="37">
        <f>IF(Y299&gt;=Expenses!$C$32,4,IF(Y299&gt;=Expenses!$C$31,3,IF(Y299&gt;=Expenses!$C$30,2,1)))</f>
        <v>1</v>
      </c>
      <c r="AB299" s="37">
        <f t="shared" si="112"/>
        <v>1</v>
      </c>
      <c r="AC299" s="37" t="str">
        <f t="shared" si="113"/>
        <v>2019</v>
      </c>
    </row>
    <row r="300" spans="1:29" ht="18.75" x14ac:dyDescent="0.3">
      <c r="A300" s="37" t="str">
        <f t="shared" si="110"/>
        <v>2016Domaine de la Combe DieuRasteau</v>
      </c>
      <c r="B300">
        <v>2016</v>
      </c>
      <c r="C300" t="s">
        <v>407</v>
      </c>
      <c r="D300" t="s">
        <v>408</v>
      </c>
      <c r="E300" t="s">
        <v>417</v>
      </c>
      <c r="F300" s="37" t="s">
        <v>742</v>
      </c>
      <c r="G300" s="37" t="s">
        <v>759</v>
      </c>
      <c r="H300" s="37" t="s">
        <v>765</v>
      </c>
      <c r="I300">
        <v>1</v>
      </c>
      <c r="J300">
        <v>750</v>
      </c>
      <c r="K300" t="s">
        <v>236</v>
      </c>
      <c r="L300" s="37">
        <f>SUMIF(Wine1!A:A,Drank!A300,Wine1!I:I)</f>
        <v>15</v>
      </c>
      <c r="M300">
        <v>2018</v>
      </c>
      <c r="N300">
        <v>2023</v>
      </c>
      <c r="O300">
        <v>2019</v>
      </c>
      <c r="P300">
        <v>2025</v>
      </c>
      <c r="Q300">
        <v>92</v>
      </c>
      <c r="R300">
        <v>92</v>
      </c>
      <c r="S300" s="7">
        <f>AVERAGEIF(A:A,A300,R:R)</f>
        <v>92.2</v>
      </c>
      <c r="T300" s="1">
        <v>43764</v>
      </c>
      <c r="U300" s="13" t="str">
        <f t="shared" si="104"/>
        <v>October</v>
      </c>
      <c r="V300" s="12">
        <f t="shared" si="105"/>
        <v>43764</v>
      </c>
      <c r="W300" s="2">
        <v>13.99</v>
      </c>
      <c r="X300">
        <v>1</v>
      </c>
      <c r="Y300" s="11">
        <f t="shared" si="111"/>
        <v>13.99</v>
      </c>
      <c r="Z300" s="109"/>
      <c r="AA300" s="37">
        <f>IF(Y300&gt;=Expenses!$C$32,4,IF(Y300&gt;=Expenses!$C$31,3,IF(Y300&gt;=Expenses!$C$30,2,1)))</f>
        <v>1</v>
      </c>
      <c r="AB300" s="37">
        <f t="shared" si="112"/>
        <v>1</v>
      </c>
      <c r="AC300" s="37" t="str">
        <f t="shared" si="113"/>
        <v>2019</v>
      </c>
    </row>
    <row r="301" spans="1:29" ht="18.75" x14ac:dyDescent="0.3">
      <c r="A301" s="37" t="str">
        <f t="shared" si="110"/>
        <v>2015Diez-CaballeroCrianza</v>
      </c>
      <c r="B301">
        <v>2015</v>
      </c>
      <c r="C301" t="s">
        <v>1216</v>
      </c>
      <c r="D301" t="s">
        <v>108</v>
      </c>
      <c r="E301" t="s">
        <v>276</v>
      </c>
      <c r="F301" s="37" t="s">
        <v>729</v>
      </c>
      <c r="G301" s="37" t="s">
        <v>823</v>
      </c>
      <c r="I301">
        <v>1</v>
      </c>
      <c r="J301">
        <v>750</v>
      </c>
      <c r="K301" t="s">
        <v>213</v>
      </c>
      <c r="L301" s="37">
        <f>SUMIF(Wine1!A:A,Drank!A301,Wine1!I:I)</f>
        <v>4</v>
      </c>
      <c r="M301">
        <v>2018</v>
      </c>
      <c r="N301">
        <v>2022</v>
      </c>
      <c r="O301">
        <v>2019</v>
      </c>
      <c r="P301">
        <v>2023</v>
      </c>
      <c r="Q301">
        <v>92</v>
      </c>
      <c r="R301">
        <v>92</v>
      </c>
      <c r="S301" s="7">
        <f>AVERAGEIF(A:A,A301,R:R)</f>
        <v>91.235294117647058</v>
      </c>
      <c r="T301" s="1">
        <v>43764</v>
      </c>
      <c r="U301" s="13" t="str">
        <f t="shared" si="104"/>
        <v>October</v>
      </c>
      <c r="V301" s="12">
        <f t="shared" si="105"/>
        <v>43764</v>
      </c>
      <c r="W301" s="2">
        <v>14</v>
      </c>
      <c r="X301">
        <v>0</v>
      </c>
      <c r="Y301" s="11">
        <f t="shared" si="111"/>
        <v>14.000000000000002</v>
      </c>
      <c r="Z301" s="109"/>
      <c r="AA301" s="37">
        <f>IF(Y301&gt;=Expenses!$C$32,4,IF(Y301&gt;=Expenses!$C$31,3,IF(Y301&gt;=Expenses!$C$30,2,1)))</f>
        <v>1</v>
      </c>
      <c r="AB301" s="37">
        <f t="shared" si="112"/>
        <v>1</v>
      </c>
      <c r="AC301" s="37" t="str">
        <f t="shared" si="113"/>
        <v>2019</v>
      </c>
    </row>
    <row r="302" spans="1:29" ht="18.75" x14ac:dyDescent="0.3">
      <c r="A302" s="37" t="str">
        <f t="shared" si="110"/>
        <v>2010Cosimo TaurinoSalice Salentino Riserva</v>
      </c>
      <c r="B302">
        <v>2010</v>
      </c>
      <c r="C302" t="s">
        <v>56</v>
      </c>
      <c r="D302" t="s">
        <v>57</v>
      </c>
      <c r="E302" s="37" t="s">
        <v>1204</v>
      </c>
      <c r="F302" s="37" t="s">
        <v>728</v>
      </c>
      <c r="G302" s="37" t="s">
        <v>785</v>
      </c>
      <c r="H302" s="37" t="s">
        <v>769</v>
      </c>
      <c r="I302">
        <v>1</v>
      </c>
      <c r="J302">
        <v>750</v>
      </c>
      <c r="K302" t="s">
        <v>58</v>
      </c>
      <c r="L302" s="37">
        <f>SUMIF(Wine1!A:A,Drank!A302,Wine1!I:I)</f>
        <v>19</v>
      </c>
      <c r="O302">
        <v>2019</v>
      </c>
      <c r="P302">
        <v>2022</v>
      </c>
      <c r="R302">
        <v>88</v>
      </c>
      <c r="S302" s="7">
        <f>AVERAGEIF(A:A,A302,R:R)</f>
        <v>89.46875</v>
      </c>
      <c r="T302" s="1">
        <v>43763</v>
      </c>
      <c r="U302" s="13" t="str">
        <f t="shared" si="104"/>
        <v>October</v>
      </c>
      <c r="V302" s="12">
        <f t="shared" si="105"/>
        <v>43763</v>
      </c>
      <c r="W302" s="2">
        <v>11.69</v>
      </c>
      <c r="X302">
        <v>0</v>
      </c>
      <c r="Y302" s="11">
        <f t="shared" si="111"/>
        <v>11.69</v>
      </c>
      <c r="Z302" s="109"/>
      <c r="AA302" s="37">
        <f>IF(Y302&gt;=Expenses!$C$32,4,IF(Y302&gt;=Expenses!$C$31,3,IF(Y302&gt;=Expenses!$C$30,2,1)))</f>
        <v>1</v>
      </c>
      <c r="AB302" s="37">
        <f t="shared" si="112"/>
        <v>1</v>
      </c>
      <c r="AC302" s="37" t="str">
        <f t="shared" si="113"/>
        <v>2019</v>
      </c>
    </row>
    <row r="303" spans="1:29" ht="18.75" x14ac:dyDescent="0.3">
      <c r="A303" s="37" t="str">
        <f t="shared" si="110"/>
        <v>2017Robert MondaviPrivate Selection Bourbon Barrels</v>
      </c>
      <c r="B303">
        <v>2017</v>
      </c>
      <c r="C303" t="s">
        <v>154</v>
      </c>
      <c r="D303" t="s">
        <v>155</v>
      </c>
      <c r="E303" t="s">
        <v>32</v>
      </c>
      <c r="F303" s="37" t="s">
        <v>727</v>
      </c>
      <c r="G303" s="37" t="s">
        <v>806</v>
      </c>
      <c r="H303" s="37" t="s">
        <v>829</v>
      </c>
      <c r="I303">
        <v>1</v>
      </c>
      <c r="J303">
        <v>750</v>
      </c>
      <c r="K303" t="s">
        <v>25</v>
      </c>
      <c r="L303" s="37">
        <f>SUMIF(Wine1!A:A,Drank!A303,Wine1!I:I)</f>
        <v>0</v>
      </c>
      <c r="O303" t="s">
        <v>238</v>
      </c>
      <c r="P303" t="s">
        <v>238</v>
      </c>
      <c r="R303">
        <v>86</v>
      </c>
      <c r="S303" s="7">
        <f>AVERAGEIF(A:A,A303,R:R)</f>
        <v>86</v>
      </c>
      <c r="T303" s="1">
        <v>43763</v>
      </c>
      <c r="U303" s="13" t="str">
        <f t="shared" si="104"/>
        <v>October</v>
      </c>
      <c r="V303" s="12">
        <f t="shared" si="105"/>
        <v>43763</v>
      </c>
      <c r="W303" s="2">
        <v>14</v>
      </c>
      <c r="X303">
        <v>0</v>
      </c>
      <c r="Y303" s="11">
        <f t="shared" si="111"/>
        <v>14.000000000000002</v>
      </c>
      <c r="Z303" s="109"/>
      <c r="AA303" s="37">
        <f>IF(Y303&gt;=Expenses!$C$32,4,IF(Y303&gt;=Expenses!$C$31,3,IF(Y303&gt;=Expenses!$C$30,2,1)))</f>
        <v>1</v>
      </c>
      <c r="AB303" s="37">
        <f t="shared" si="112"/>
        <v>1</v>
      </c>
      <c r="AC303" s="37" t="str">
        <f t="shared" si="113"/>
        <v>2019</v>
      </c>
    </row>
    <row r="304" spans="1:29" ht="18.75" x14ac:dyDescent="0.3">
      <c r="A304" s="37" t="str">
        <f t="shared" si="110"/>
        <v>2015Produttori del BarbarescoBarbaresco</v>
      </c>
      <c r="B304">
        <v>2015</v>
      </c>
      <c r="C304" t="s">
        <v>248</v>
      </c>
      <c r="D304" t="s">
        <v>249</v>
      </c>
      <c r="E304" t="s">
        <v>249</v>
      </c>
      <c r="F304" s="37" t="s">
        <v>728</v>
      </c>
      <c r="G304" s="37" t="s">
        <v>778</v>
      </c>
      <c r="H304" s="37" t="s">
        <v>249</v>
      </c>
      <c r="I304">
        <v>1</v>
      </c>
      <c r="J304">
        <v>750</v>
      </c>
      <c r="K304" s="37" t="s">
        <v>648</v>
      </c>
      <c r="L304" s="37">
        <f>SUMIF(Wine1!A:A,Drank!A304,Wine1!I:I)</f>
        <v>5</v>
      </c>
      <c r="M304">
        <v>2020</v>
      </c>
      <c r="N304">
        <v>2038</v>
      </c>
      <c r="O304">
        <v>2024</v>
      </c>
      <c r="P304">
        <v>2032</v>
      </c>
      <c r="Q304">
        <v>93</v>
      </c>
      <c r="R304">
        <v>94</v>
      </c>
      <c r="S304" s="7">
        <f>AVERAGEIF(A:A,A304,R:R)</f>
        <v>93.5</v>
      </c>
      <c r="T304" s="1">
        <v>43757</v>
      </c>
      <c r="U304" s="13" t="str">
        <f t="shared" si="104"/>
        <v>October</v>
      </c>
      <c r="V304" s="12">
        <f t="shared" si="105"/>
        <v>43757</v>
      </c>
      <c r="W304" s="2">
        <v>35.99</v>
      </c>
      <c r="X304">
        <v>1</v>
      </c>
      <c r="Y304" s="11">
        <f t="shared" si="111"/>
        <v>35.99</v>
      </c>
      <c r="Z304" s="109"/>
      <c r="AA304" s="37">
        <f>IF(Y304&gt;=Expenses!$C$32,4,IF(Y304&gt;=Expenses!$C$31,3,IF(Y304&gt;=Expenses!$C$30,2,1)))</f>
        <v>3</v>
      </c>
      <c r="AB304" s="37">
        <f t="shared" si="112"/>
        <v>1</v>
      </c>
      <c r="AC304" s="37" t="str">
        <f t="shared" si="113"/>
        <v>2019</v>
      </c>
    </row>
    <row r="305" spans="1:29" ht="18.75" x14ac:dyDescent="0.3">
      <c r="A305" s="37" t="str">
        <f t="shared" si="110"/>
        <v>2015Susana BalboSusana Balbo Signature Cabernet Sauvignon</v>
      </c>
      <c r="B305">
        <v>2015</v>
      </c>
      <c r="C305" t="s">
        <v>228</v>
      </c>
      <c r="D305" t="s">
        <v>229</v>
      </c>
      <c r="E305" t="s">
        <v>32</v>
      </c>
      <c r="F305" s="37" t="s">
        <v>731</v>
      </c>
      <c r="G305" s="37" t="s">
        <v>732</v>
      </c>
      <c r="H305" s="37" t="s">
        <v>733</v>
      </c>
      <c r="I305">
        <v>1</v>
      </c>
      <c r="J305">
        <v>750</v>
      </c>
      <c r="K305" t="s">
        <v>656</v>
      </c>
      <c r="L305" s="37">
        <f>SUMIF(Wine1!A:A,Drank!A305,Wine1!I:I)</f>
        <v>0</v>
      </c>
      <c r="M305">
        <v>2017</v>
      </c>
      <c r="N305">
        <v>2021</v>
      </c>
      <c r="P305">
        <v>2022</v>
      </c>
      <c r="Q305">
        <v>92</v>
      </c>
      <c r="R305">
        <v>91</v>
      </c>
      <c r="S305" s="7">
        <f>AVERAGEIF(A:A,A305,R:R)</f>
        <v>91</v>
      </c>
      <c r="T305" s="1">
        <v>43757</v>
      </c>
      <c r="U305" s="13" t="str">
        <f t="shared" si="104"/>
        <v>October</v>
      </c>
      <c r="V305" s="12">
        <f t="shared" si="105"/>
        <v>43757</v>
      </c>
      <c r="W305" s="2">
        <v>26.99</v>
      </c>
      <c r="X305">
        <v>1</v>
      </c>
      <c r="Y305" s="11">
        <f t="shared" si="111"/>
        <v>26.99</v>
      </c>
      <c r="Z305" s="109"/>
      <c r="AA305" s="37">
        <f>IF(Y305&gt;=Expenses!$C$32,4,IF(Y305&gt;=Expenses!$C$31,3,IF(Y305&gt;=Expenses!$C$30,2,1)))</f>
        <v>2</v>
      </c>
      <c r="AB305" s="37">
        <f t="shared" si="112"/>
        <v>1</v>
      </c>
      <c r="AC305" s="37" t="str">
        <f t="shared" si="113"/>
        <v>2019</v>
      </c>
    </row>
    <row r="306" spans="1:29" ht="18.75" x14ac:dyDescent="0.3">
      <c r="A306" s="37" t="str">
        <f t="shared" si="110"/>
        <v>2015Tenuta di NozzoleChianti Classico Riserva Nozzole</v>
      </c>
      <c r="B306">
        <v>2015</v>
      </c>
      <c r="C306" t="s">
        <v>100</v>
      </c>
      <c r="D306" t="s">
        <v>101</v>
      </c>
      <c r="E306" t="s">
        <v>310</v>
      </c>
      <c r="F306" s="37" t="s">
        <v>728</v>
      </c>
      <c r="G306" s="37" t="s">
        <v>790</v>
      </c>
      <c r="H306" s="37" t="s">
        <v>792</v>
      </c>
      <c r="I306">
        <v>1</v>
      </c>
      <c r="J306">
        <v>750</v>
      </c>
      <c r="K306" s="37" t="s">
        <v>648</v>
      </c>
      <c r="L306" s="37">
        <f>SUMIF(Wine1!A:A,Drank!A306,Wine1!I:I)</f>
        <v>4</v>
      </c>
      <c r="M306">
        <v>2018</v>
      </c>
      <c r="N306">
        <v>2028</v>
      </c>
      <c r="P306">
        <v>2030</v>
      </c>
      <c r="Q306">
        <v>92</v>
      </c>
      <c r="R306">
        <v>91</v>
      </c>
      <c r="S306" s="7">
        <f>AVERAGEIF(A:A,A306,R:R)</f>
        <v>91</v>
      </c>
      <c r="T306" s="1">
        <v>43757</v>
      </c>
      <c r="U306" s="13" t="str">
        <f t="shared" si="104"/>
        <v>October</v>
      </c>
      <c r="V306" s="12">
        <f t="shared" si="105"/>
        <v>43757</v>
      </c>
      <c r="W306" s="2">
        <v>17.59</v>
      </c>
      <c r="X306">
        <v>1</v>
      </c>
      <c r="Y306" s="11">
        <f t="shared" si="111"/>
        <v>17.59</v>
      </c>
      <c r="Z306" s="109"/>
      <c r="AA306" s="37">
        <f>IF(Y306&gt;=Expenses!$C$32,4,IF(Y306&gt;=Expenses!$C$31,3,IF(Y306&gt;=Expenses!$C$30,2,1)))</f>
        <v>2</v>
      </c>
      <c r="AB306" s="37">
        <f t="shared" si="112"/>
        <v>1</v>
      </c>
      <c r="AC306" s="37" t="str">
        <f t="shared" si="113"/>
        <v>2019</v>
      </c>
    </row>
    <row r="307" spans="1:29" ht="18.75" x14ac:dyDescent="0.3">
      <c r="A307" s="37" t="str">
        <f t="shared" si="110"/>
        <v>1998Raymond-LafonRaymond-Lafon</v>
      </c>
      <c r="B307">
        <v>1998</v>
      </c>
      <c r="C307" t="s">
        <v>197</v>
      </c>
      <c r="D307" t="s">
        <v>197</v>
      </c>
      <c r="E307" t="s">
        <v>260</v>
      </c>
      <c r="F307" s="37" t="s">
        <v>742</v>
      </c>
      <c r="G307" s="37" t="s">
        <v>748</v>
      </c>
      <c r="H307" s="37" t="s">
        <v>260</v>
      </c>
      <c r="I307">
        <v>1</v>
      </c>
      <c r="J307">
        <v>375</v>
      </c>
      <c r="K307" t="s">
        <v>236</v>
      </c>
      <c r="L307" s="37">
        <f>SUMIF(Wine1!A:A,Drank!A307,Wine1!I:I)</f>
        <v>7</v>
      </c>
      <c r="M307">
        <v>2018</v>
      </c>
      <c r="N307">
        <v>2025</v>
      </c>
      <c r="O307">
        <v>2020</v>
      </c>
      <c r="P307">
        <v>2026</v>
      </c>
      <c r="Q307">
        <v>93</v>
      </c>
      <c r="R307">
        <v>92</v>
      </c>
      <c r="S307" s="7">
        <f>AVERAGEIF(A:A,A307,R:R)</f>
        <v>92.666666666666671</v>
      </c>
      <c r="T307" s="1">
        <v>43757</v>
      </c>
      <c r="U307" s="13" t="str">
        <f t="shared" si="104"/>
        <v>October</v>
      </c>
      <c r="V307" s="12">
        <f t="shared" si="105"/>
        <v>43757</v>
      </c>
      <c r="W307" s="2">
        <v>16.989999999999998</v>
      </c>
      <c r="X307">
        <v>0</v>
      </c>
      <c r="Y307" s="11">
        <f t="shared" si="111"/>
        <v>33.979999999999997</v>
      </c>
      <c r="Z307" s="109"/>
      <c r="AA307" s="37">
        <f>IF(Y307&gt;=Expenses!$C$32,4,IF(Y307&gt;=Expenses!$C$31,3,IF(Y307&gt;=Expenses!$C$30,2,1)))</f>
        <v>3</v>
      </c>
      <c r="AB307" s="37">
        <f t="shared" si="112"/>
        <v>0.5</v>
      </c>
      <c r="AC307" s="37" t="str">
        <f t="shared" si="113"/>
        <v>2019</v>
      </c>
    </row>
    <row r="308" spans="1:29" ht="18.75" x14ac:dyDescent="0.3">
      <c r="A308" s="37" t="str">
        <f t="shared" si="110"/>
        <v>2017SichelSichel</v>
      </c>
      <c r="B308">
        <v>2017</v>
      </c>
      <c r="C308" t="s">
        <v>409</v>
      </c>
      <c r="D308" t="s">
        <v>409</v>
      </c>
      <c r="E308" t="s">
        <v>260</v>
      </c>
      <c r="F308" s="37" t="s">
        <v>742</v>
      </c>
      <c r="G308" s="37" t="s">
        <v>748</v>
      </c>
      <c r="H308" s="37" t="s">
        <v>260</v>
      </c>
      <c r="I308">
        <v>1</v>
      </c>
      <c r="J308">
        <v>375</v>
      </c>
      <c r="K308" t="s">
        <v>236</v>
      </c>
      <c r="L308" s="37">
        <f>SUMIF(Wine1!A:A,Drank!A308,Wine1!I:I)</f>
        <v>20</v>
      </c>
      <c r="O308">
        <v>2019</v>
      </c>
      <c r="P308">
        <v>2035</v>
      </c>
      <c r="R308">
        <v>89</v>
      </c>
      <c r="S308" s="7">
        <f>AVERAGEIF(A:A,A308,R:R)</f>
        <v>89.7</v>
      </c>
      <c r="T308" s="1">
        <v>43757</v>
      </c>
      <c r="U308" s="13" t="str">
        <f t="shared" si="104"/>
        <v>October</v>
      </c>
      <c r="V308" s="12">
        <f t="shared" si="105"/>
        <v>43757</v>
      </c>
      <c r="W308" s="2">
        <v>12</v>
      </c>
      <c r="X308">
        <v>0</v>
      </c>
      <c r="Y308" s="11">
        <f t="shared" si="111"/>
        <v>24</v>
      </c>
      <c r="Z308" s="109"/>
      <c r="AA308" s="37">
        <f>IF(Y308&gt;=Expenses!$C$32,4,IF(Y308&gt;=Expenses!$C$31,3,IF(Y308&gt;=Expenses!$C$30,2,1)))</f>
        <v>2</v>
      </c>
      <c r="AB308" s="37">
        <f t="shared" si="112"/>
        <v>0.5</v>
      </c>
      <c r="AC308" s="37" t="str">
        <f t="shared" si="113"/>
        <v>2019</v>
      </c>
    </row>
    <row r="309" spans="1:29" ht="18.75" x14ac:dyDescent="0.3">
      <c r="A309" s="37" t="str">
        <f t="shared" si="110"/>
        <v>2015AllegriniPalazzo della Torre</v>
      </c>
      <c r="B309">
        <v>2015</v>
      </c>
      <c r="C309" t="s">
        <v>111</v>
      </c>
      <c r="D309" t="s">
        <v>112</v>
      </c>
      <c r="E309" t="s">
        <v>262</v>
      </c>
      <c r="F309" s="37" t="s">
        <v>728</v>
      </c>
      <c r="G309" s="37" t="s">
        <v>799</v>
      </c>
      <c r="H309" s="37" t="s">
        <v>800</v>
      </c>
      <c r="I309">
        <v>1</v>
      </c>
      <c r="J309">
        <v>750</v>
      </c>
      <c r="K309" t="s">
        <v>648</v>
      </c>
      <c r="L309" s="37">
        <f>SUMIF(Wine1!A:A,Drank!A309,Wine1!I:I)</f>
        <v>6</v>
      </c>
      <c r="O309">
        <v>2019</v>
      </c>
      <c r="P309">
        <v>2028</v>
      </c>
      <c r="R309">
        <v>92</v>
      </c>
      <c r="S309" s="7">
        <f>AVERAGEIF(A:A,A309,R:R)</f>
        <v>90.909090909090907</v>
      </c>
      <c r="T309" s="1">
        <v>43756</v>
      </c>
      <c r="U309" s="13" t="str">
        <f t="shared" si="104"/>
        <v>October</v>
      </c>
      <c r="V309" s="12">
        <f t="shared" si="105"/>
        <v>43756</v>
      </c>
      <c r="W309" s="2">
        <v>15.99</v>
      </c>
      <c r="X309">
        <v>1</v>
      </c>
      <c r="Y309" s="11">
        <f t="shared" si="111"/>
        <v>15.989999999999998</v>
      </c>
      <c r="Z309" s="109"/>
      <c r="AA309" s="37">
        <f>IF(Y309&gt;=Expenses!$C$32,4,IF(Y309&gt;=Expenses!$C$31,3,IF(Y309&gt;=Expenses!$C$30,2,1)))</f>
        <v>1</v>
      </c>
      <c r="AB309" s="37">
        <f t="shared" si="112"/>
        <v>1</v>
      </c>
      <c r="AC309" s="37" t="str">
        <f t="shared" si="113"/>
        <v>2019</v>
      </c>
    </row>
    <row r="310" spans="1:29" ht="18.75" x14ac:dyDescent="0.3">
      <c r="A310" s="37" t="str">
        <f t="shared" si="110"/>
        <v>2015Diez-CaballeroCrianza</v>
      </c>
      <c r="B310">
        <v>2015</v>
      </c>
      <c r="C310" t="s">
        <v>1216</v>
      </c>
      <c r="D310" t="s">
        <v>108</v>
      </c>
      <c r="E310" t="s">
        <v>276</v>
      </c>
      <c r="F310" s="37" t="s">
        <v>729</v>
      </c>
      <c r="G310" s="37" t="s">
        <v>823</v>
      </c>
      <c r="I310">
        <v>1</v>
      </c>
      <c r="J310">
        <v>750</v>
      </c>
      <c r="K310" t="s">
        <v>213</v>
      </c>
      <c r="L310" s="37">
        <f>SUMIF(Wine1!A:A,Drank!A310,Wine1!I:I)</f>
        <v>4</v>
      </c>
      <c r="M310">
        <v>2018</v>
      </c>
      <c r="N310">
        <v>2022</v>
      </c>
      <c r="P310">
        <v>2024</v>
      </c>
      <c r="Q310">
        <v>92</v>
      </c>
      <c r="R310">
        <v>91</v>
      </c>
      <c r="S310" s="7">
        <f>AVERAGEIF(A:A,A310,R:R)</f>
        <v>91.235294117647058</v>
      </c>
      <c r="T310" s="1">
        <v>43756</v>
      </c>
      <c r="U310" s="13" t="str">
        <f t="shared" si="104"/>
        <v>October</v>
      </c>
      <c r="V310" s="12">
        <f t="shared" si="105"/>
        <v>43756</v>
      </c>
      <c r="W310" s="2">
        <v>14</v>
      </c>
      <c r="X310">
        <v>0</v>
      </c>
      <c r="Y310" s="11">
        <f t="shared" si="111"/>
        <v>14.000000000000002</v>
      </c>
      <c r="Z310" s="109"/>
      <c r="AA310" s="37">
        <f>IF(Y310&gt;=Expenses!$C$32,4,IF(Y310&gt;=Expenses!$C$31,3,IF(Y310&gt;=Expenses!$C$30,2,1)))</f>
        <v>1</v>
      </c>
      <c r="AB310" s="37">
        <f t="shared" si="112"/>
        <v>1</v>
      </c>
      <c r="AC310" s="37" t="str">
        <f t="shared" si="113"/>
        <v>2019</v>
      </c>
    </row>
    <row r="311" spans="1:29" ht="18.75" x14ac:dyDescent="0.3">
      <c r="A311" s="37" t="str">
        <f t="shared" si="110"/>
        <v>2017Domaine de l'AmandineCotes du Rhone Villages Seguret</v>
      </c>
      <c r="B311">
        <v>2017</v>
      </c>
      <c r="C311" t="s">
        <v>361</v>
      </c>
      <c r="D311" t="s">
        <v>362</v>
      </c>
      <c r="E311" t="s">
        <v>286</v>
      </c>
      <c r="F311" s="37" t="s">
        <v>742</v>
      </c>
      <c r="G311" s="37" t="s">
        <v>759</v>
      </c>
      <c r="H311" s="37" t="s">
        <v>760</v>
      </c>
      <c r="I311">
        <v>1</v>
      </c>
      <c r="J311">
        <v>750</v>
      </c>
      <c r="K311" t="s">
        <v>236</v>
      </c>
      <c r="L311" s="37">
        <f>SUMIF(Wine1!A:A,Drank!A311,Wine1!I:I)</f>
        <v>20</v>
      </c>
      <c r="M311">
        <v>2018</v>
      </c>
      <c r="N311">
        <v>2025</v>
      </c>
      <c r="O311">
        <v>2019</v>
      </c>
      <c r="P311">
        <v>2026</v>
      </c>
      <c r="Q311">
        <v>93</v>
      </c>
      <c r="R311">
        <v>93</v>
      </c>
      <c r="S311" s="7">
        <f>AVERAGEIF(A:A,A311,R:R)</f>
        <v>92.470588235294116</v>
      </c>
      <c r="T311" s="1">
        <v>43755</v>
      </c>
      <c r="U311" s="13" t="str">
        <f t="shared" si="104"/>
        <v>October</v>
      </c>
      <c r="V311" s="12">
        <f t="shared" si="105"/>
        <v>43755</v>
      </c>
      <c r="W311" s="2">
        <v>14.99</v>
      </c>
      <c r="X311">
        <v>0</v>
      </c>
      <c r="Y311" s="11">
        <f t="shared" si="111"/>
        <v>14.99</v>
      </c>
      <c r="Z311" s="109"/>
      <c r="AA311" s="37">
        <f>IF(Y311&gt;=Expenses!$C$32,4,IF(Y311&gt;=Expenses!$C$31,3,IF(Y311&gt;=Expenses!$C$30,2,1)))</f>
        <v>1</v>
      </c>
      <c r="AB311" s="37">
        <f t="shared" si="112"/>
        <v>1</v>
      </c>
      <c r="AC311" s="37" t="str">
        <f t="shared" si="113"/>
        <v>2019</v>
      </c>
    </row>
    <row r="312" spans="1:29" ht="18.75" x14ac:dyDescent="0.3">
      <c r="A312" s="37" t="str">
        <f t="shared" si="110"/>
        <v>2016San AlejandroLas Rocas</v>
      </c>
      <c r="B312">
        <v>2016</v>
      </c>
      <c r="C312" t="s">
        <v>152</v>
      </c>
      <c r="D312" t="s">
        <v>153</v>
      </c>
      <c r="E312" t="s">
        <v>284</v>
      </c>
      <c r="F312" s="37" t="s">
        <v>729</v>
      </c>
      <c r="G312" s="37" t="s">
        <v>811</v>
      </c>
      <c r="H312" s="37" t="s">
        <v>812</v>
      </c>
      <c r="I312">
        <v>1</v>
      </c>
      <c r="J312">
        <v>750</v>
      </c>
      <c r="K312" t="s">
        <v>58</v>
      </c>
      <c r="L312" s="37">
        <f>SUMIF(Wine1!A:A,Drank!A312,Wine1!I:I)</f>
        <v>4</v>
      </c>
      <c r="M312">
        <v>2019</v>
      </c>
      <c r="N312">
        <v>2021</v>
      </c>
      <c r="O312">
        <v>2019</v>
      </c>
      <c r="P312">
        <v>2023</v>
      </c>
      <c r="Q312">
        <v>89</v>
      </c>
      <c r="R312">
        <v>90</v>
      </c>
      <c r="S312" s="7">
        <f>AVERAGEIF(A:A,A312,R:R)</f>
        <v>88.944444444444443</v>
      </c>
      <c r="T312" s="1">
        <v>43755</v>
      </c>
      <c r="U312" s="13" t="str">
        <f t="shared" si="104"/>
        <v>October</v>
      </c>
      <c r="V312" s="12">
        <f t="shared" si="105"/>
        <v>43755</v>
      </c>
      <c r="W312" s="2">
        <v>8.99</v>
      </c>
      <c r="X312">
        <v>0</v>
      </c>
      <c r="Y312" s="11">
        <f t="shared" si="111"/>
        <v>8.99</v>
      </c>
      <c r="Z312" s="109"/>
      <c r="AA312" s="37">
        <f>IF(Y312&gt;=Expenses!$C$32,4,IF(Y312&gt;=Expenses!$C$31,3,IF(Y312&gt;=Expenses!$C$30,2,1)))</f>
        <v>1</v>
      </c>
      <c r="AB312" s="37">
        <f t="shared" si="112"/>
        <v>1</v>
      </c>
      <c r="AC312" s="37" t="str">
        <f t="shared" si="113"/>
        <v>2019</v>
      </c>
    </row>
    <row r="313" spans="1:29" ht="18.75" x14ac:dyDescent="0.3">
      <c r="A313" s="37" t="str">
        <f t="shared" si="110"/>
        <v>2015AllegriniPalazzo della Torre</v>
      </c>
      <c r="B313">
        <v>2015</v>
      </c>
      <c r="C313" t="s">
        <v>111</v>
      </c>
      <c r="D313" t="s">
        <v>112</v>
      </c>
      <c r="E313" t="s">
        <v>262</v>
      </c>
      <c r="F313" s="37" t="s">
        <v>728</v>
      </c>
      <c r="G313" s="37" t="s">
        <v>799</v>
      </c>
      <c r="H313" s="37" t="s">
        <v>800</v>
      </c>
      <c r="I313">
        <v>1</v>
      </c>
      <c r="J313">
        <v>750</v>
      </c>
      <c r="K313" s="37" t="s">
        <v>648</v>
      </c>
      <c r="L313" s="37">
        <f>SUMIF(Wine1!A:A,Drank!A313,Wine1!I:I)</f>
        <v>6</v>
      </c>
      <c r="O313">
        <v>2019</v>
      </c>
      <c r="P313">
        <v>2028</v>
      </c>
      <c r="R313">
        <v>91</v>
      </c>
      <c r="S313" s="7">
        <f>AVERAGEIF(A:A,A313,R:R)</f>
        <v>90.909090909090907</v>
      </c>
      <c r="T313" s="1">
        <v>43754</v>
      </c>
      <c r="U313" s="13" t="str">
        <f t="shared" ref="U313:U376" si="114">TEXT(T313,"mmmm")</f>
        <v>October</v>
      </c>
      <c r="V313" s="12">
        <f t="shared" ref="V313:V376" si="115">T313</f>
        <v>43754</v>
      </c>
      <c r="W313" s="2">
        <v>15.99</v>
      </c>
      <c r="X313">
        <v>1</v>
      </c>
      <c r="Y313" s="11">
        <f t="shared" si="111"/>
        <v>15.989999999999998</v>
      </c>
      <c r="Z313" s="109"/>
      <c r="AA313" s="37">
        <f>IF(Y313&gt;=Expenses!$C$32,4,IF(Y313&gt;=Expenses!$C$31,3,IF(Y313&gt;=Expenses!$C$30,2,1)))</f>
        <v>1</v>
      </c>
      <c r="AB313" s="37">
        <f t="shared" si="112"/>
        <v>1</v>
      </c>
      <c r="AC313" s="37" t="str">
        <f t="shared" si="113"/>
        <v>2019</v>
      </c>
    </row>
    <row r="314" spans="1:29" ht="18.75" x14ac:dyDescent="0.3">
      <c r="A314" s="37" t="str">
        <f t="shared" si="110"/>
        <v>2010Cosimo TaurinoSalice Salentino Riserva</v>
      </c>
      <c r="B314">
        <v>2010</v>
      </c>
      <c r="C314" t="s">
        <v>56</v>
      </c>
      <c r="D314" t="s">
        <v>57</v>
      </c>
      <c r="E314" s="37" t="s">
        <v>1204</v>
      </c>
      <c r="F314" s="37" t="s">
        <v>728</v>
      </c>
      <c r="G314" s="37" t="s">
        <v>785</v>
      </c>
      <c r="H314" s="37" t="s">
        <v>769</v>
      </c>
      <c r="I314">
        <v>1</v>
      </c>
      <c r="J314">
        <v>750</v>
      </c>
      <c r="K314" t="s">
        <v>58</v>
      </c>
      <c r="L314" s="37">
        <f>SUMIF(Wine1!A:A,Drank!A314,Wine1!I:I)</f>
        <v>19</v>
      </c>
      <c r="O314">
        <v>2019</v>
      </c>
      <c r="P314">
        <v>2022</v>
      </c>
      <c r="R314">
        <v>89</v>
      </c>
      <c r="S314" s="7">
        <f>AVERAGEIF(A:A,A314,R:R)</f>
        <v>89.46875</v>
      </c>
      <c r="T314" s="1">
        <v>43754</v>
      </c>
      <c r="U314" s="13" t="str">
        <f t="shared" si="114"/>
        <v>October</v>
      </c>
      <c r="V314" s="12">
        <f t="shared" si="115"/>
        <v>43754</v>
      </c>
      <c r="W314" s="2">
        <v>11.69</v>
      </c>
      <c r="X314">
        <v>0</v>
      </c>
      <c r="Y314" s="11">
        <f t="shared" si="111"/>
        <v>11.69</v>
      </c>
      <c r="Z314" s="109"/>
      <c r="AA314" s="37">
        <f>IF(Y314&gt;=Expenses!$C$32,4,IF(Y314&gt;=Expenses!$C$31,3,IF(Y314&gt;=Expenses!$C$30,2,1)))</f>
        <v>1</v>
      </c>
      <c r="AB314" s="37">
        <f t="shared" si="112"/>
        <v>1</v>
      </c>
      <c r="AC314" s="37" t="str">
        <f t="shared" si="113"/>
        <v>2019</v>
      </c>
    </row>
    <row r="315" spans="1:29" ht="18.75" x14ac:dyDescent="0.3">
      <c r="A315" s="37" t="str">
        <f t="shared" si="110"/>
        <v>2015Xavier VignonCotes du Rhone Villages Arcane XIX Le Soleil</v>
      </c>
      <c r="B315">
        <v>2015</v>
      </c>
      <c r="C315" t="s">
        <v>405</v>
      </c>
      <c r="D315" t="s">
        <v>1856</v>
      </c>
      <c r="E315" t="s">
        <v>417</v>
      </c>
      <c r="F315" s="37" t="s">
        <v>742</v>
      </c>
      <c r="G315" s="37" t="s">
        <v>759</v>
      </c>
      <c r="H315" s="37" t="s">
        <v>760</v>
      </c>
      <c r="I315">
        <v>1</v>
      </c>
      <c r="J315">
        <v>750</v>
      </c>
      <c r="K315" t="s">
        <v>647</v>
      </c>
      <c r="L315" s="37">
        <f>SUMIF(Wine1!A:A,Drank!A315,Wine1!I:I)</f>
        <v>6</v>
      </c>
      <c r="M315">
        <v>2017</v>
      </c>
      <c r="N315">
        <v>2027</v>
      </c>
      <c r="O315" t="s">
        <v>238</v>
      </c>
      <c r="P315">
        <v>2030</v>
      </c>
      <c r="Q315">
        <v>94</v>
      </c>
      <c r="R315">
        <v>93</v>
      </c>
      <c r="S315" s="7">
        <f>AVERAGEIF(A:A,A315,R:R)</f>
        <v>93</v>
      </c>
      <c r="T315" s="1">
        <v>43751</v>
      </c>
      <c r="U315" s="13" t="str">
        <f t="shared" si="114"/>
        <v>October</v>
      </c>
      <c r="V315" s="12">
        <f t="shared" si="115"/>
        <v>43751</v>
      </c>
      <c r="W315" s="2">
        <v>20</v>
      </c>
      <c r="X315">
        <v>1</v>
      </c>
      <c r="Y315" s="11">
        <f t="shared" si="111"/>
        <v>20</v>
      </c>
      <c r="Z315" s="109"/>
      <c r="AA315" s="37">
        <f>IF(Y315&gt;=Expenses!$C$32,4,IF(Y315&gt;=Expenses!$C$31,3,IF(Y315&gt;=Expenses!$C$30,2,1)))</f>
        <v>2</v>
      </c>
      <c r="AB315" s="37">
        <f t="shared" si="112"/>
        <v>1</v>
      </c>
      <c r="AC315" s="37" t="str">
        <f t="shared" si="113"/>
        <v>2019</v>
      </c>
    </row>
    <row r="316" spans="1:29" ht="18.75" x14ac:dyDescent="0.3">
      <c r="A316" s="37" t="str">
        <f t="shared" si="110"/>
        <v>2017SichelSichel</v>
      </c>
      <c r="B316">
        <v>2017</v>
      </c>
      <c r="C316" t="s">
        <v>409</v>
      </c>
      <c r="D316" t="s">
        <v>409</v>
      </c>
      <c r="E316" t="s">
        <v>260</v>
      </c>
      <c r="F316" s="37" t="s">
        <v>742</v>
      </c>
      <c r="G316" s="37" t="s">
        <v>748</v>
      </c>
      <c r="H316" s="37" t="s">
        <v>260</v>
      </c>
      <c r="I316">
        <v>1</v>
      </c>
      <c r="J316">
        <v>375</v>
      </c>
      <c r="K316" t="s">
        <v>236</v>
      </c>
      <c r="L316" s="37">
        <f>SUMIF(Wine1!A:A,Drank!A316,Wine1!I:I)</f>
        <v>20</v>
      </c>
      <c r="O316" t="s">
        <v>238</v>
      </c>
      <c r="P316">
        <v>2038</v>
      </c>
      <c r="R316">
        <v>89</v>
      </c>
      <c r="S316" s="7">
        <f>AVERAGEIF(A:A,A316,R:R)</f>
        <v>89.7</v>
      </c>
      <c r="T316" s="1">
        <v>43750</v>
      </c>
      <c r="U316" s="13" t="str">
        <f t="shared" si="114"/>
        <v>October</v>
      </c>
      <c r="V316" s="12">
        <f t="shared" si="115"/>
        <v>43750</v>
      </c>
      <c r="W316" s="2">
        <v>12</v>
      </c>
      <c r="X316">
        <v>0</v>
      </c>
      <c r="Y316" s="11">
        <f t="shared" si="111"/>
        <v>24</v>
      </c>
      <c r="Z316" s="109"/>
      <c r="AA316" s="37">
        <f>IF(Y316&gt;=Expenses!$C$32,4,IF(Y316&gt;=Expenses!$C$31,3,IF(Y316&gt;=Expenses!$C$30,2,1)))</f>
        <v>2</v>
      </c>
      <c r="AB316" s="37">
        <f t="shared" si="112"/>
        <v>0.5</v>
      </c>
      <c r="AC316" s="37" t="str">
        <f t="shared" si="113"/>
        <v>2019</v>
      </c>
    </row>
    <row r="317" spans="1:29" ht="18.75" x14ac:dyDescent="0.3">
      <c r="A317" s="37" t="str">
        <f t="shared" si="110"/>
        <v>2015BertaniValpolicella Ripasso</v>
      </c>
      <c r="B317">
        <v>2015</v>
      </c>
      <c r="C317" t="s">
        <v>9</v>
      </c>
      <c r="D317" t="s">
        <v>115</v>
      </c>
      <c r="E317" t="s">
        <v>262</v>
      </c>
      <c r="F317" s="37" t="s">
        <v>728</v>
      </c>
      <c r="G317" s="37" t="s">
        <v>799</v>
      </c>
      <c r="H317" s="37" t="s">
        <v>803</v>
      </c>
      <c r="I317">
        <v>1</v>
      </c>
      <c r="J317">
        <v>750</v>
      </c>
      <c r="K317" t="s">
        <v>656</v>
      </c>
      <c r="L317" s="37">
        <f>SUMIF(Wine1!A:A,Drank!A317,Wine1!I:I)</f>
        <v>1</v>
      </c>
      <c r="O317" t="s">
        <v>238</v>
      </c>
      <c r="P317">
        <v>2023</v>
      </c>
      <c r="R317">
        <v>91</v>
      </c>
      <c r="S317" s="7">
        <f>AVERAGEIF(A:A,A317,R:R)</f>
        <v>91</v>
      </c>
      <c r="T317" s="1">
        <v>43750</v>
      </c>
      <c r="U317" s="13" t="str">
        <f t="shared" si="114"/>
        <v>October</v>
      </c>
      <c r="V317" s="12">
        <f t="shared" si="115"/>
        <v>43750</v>
      </c>
      <c r="W317" s="2">
        <v>22</v>
      </c>
      <c r="X317">
        <v>2</v>
      </c>
      <c r="Y317" s="11">
        <f t="shared" si="111"/>
        <v>22</v>
      </c>
      <c r="Z317" s="109"/>
      <c r="AA317" s="37">
        <f>IF(Y317&gt;=Expenses!$C$32,4,IF(Y317&gt;=Expenses!$C$31,3,IF(Y317&gt;=Expenses!$C$30,2,1)))</f>
        <v>2</v>
      </c>
      <c r="AB317" s="37">
        <f t="shared" si="112"/>
        <v>1</v>
      </c>
      <c r="AC317" s="37" t="str">
        <f t="shared" si="113"/>
        <v>2019</v>
      </c>
    </row>
    <row r="318" spans="1:29" ht="18.75" x14ac:dyDescent="0.3">
      <c r="A318" s="37" t="str">
        <f t="shared" si="110"/>
        <v>2016San AlejandroLas Rocas</v>
      </c>
      <c r="B318">
        <v>2016</v>
      </c>
      <c r="C318" t="s">
        <v>152</v>
      </c>
      <c r="D318" t="s">
        <v>153</v>
      </c>
      <c r="E318" t="s">
        <v>284</v>
      </c>
      <c r="F318" s="37" t="s">
        <v>729</v>
      </c>
      <c r="G318" s="37" t="s">
        <v>811</v>
      </c>
      <c r="H318" s="37" t="s">
        <v>812</v>
      </c>
      <c r="I318">
        <v>1</v>
      </c>
      <c r="J318">
        <v>750</v>
      </c>
      <c r="K318" t="s">
        <v>58</v>
      </c>
      <c r="L318" s="37">
        <f>SUMIF(Wine1!A:A,Drank!A318,Wine1!I:I)</f>
        <v>4</v>
      </c>
      <c r="M318">
        <v>2019</v>
      </c>
      <c r="N318">
        <v>2021</v>
      </c>
      <c r="O318">
        <v>2019</v>
      </c>
      <c r="P318">
        <v>2022</v>
      </c>
      <c r="Q318">
        <v>89</v>
      </c>
      <c r="R318">
        <v>90</v>
      </c>
      <c r="S318" s="7">
        <f>AVERAGEIF(A:A,A318,R:R)</f>
        <v>88.944444444444443</v>
      </c>
      <c r="T318" s="1">
        <v>43749</v>
      </c>
      <c r="U318" s="13" t="str">
        <f t="shared" si="114"/>
        <v>October</v>
      </c>
      <c r="V318" s="12">
        <f t="shared" si="115"/>
        <v>43749</v>
      </c>
      <c r="W318" s="2">
        <v>8.99</v>
      </c>
      <c r="X318">
        <v>0</v>
      </c>
      <c r="Y318" s="11">
        <f t="shared" si="111"/>
        <v>8.99</v>
      </c>
      <c r="Z318" s="109"/>
      <c r="AA318" s="37">
        <f>IF(Y318&gt;=Expenses!$C$32,4,IF(Y318&gt;=Expenses!$C$31,3,IF(Y318&gt;=Expenses!$C$30,2,1)))</f>
        <v>1</v>
      </c>
      <c r="AB318" s="37">
        <f t="shared" si="112"/>
        <v>1</v>
      </c>
      <c r="AC318" s="37" t="str">
        <f t="shared" si="113"/>
        <v>2019</v>
      </c>
    </row>
    <row r="319" spans="1:29" ht="18.75" x14ac:dyDescent="0.3">
      <c r="A319" s="37" t="str">
        <f t="shared" si="110"/>
        <v>2016San AlejandroLas Rocas</v>
      </c>
      <c r="B319">
        <v>2016</v>
      </c>
      <c r="C319" t="s">
        <v>152</v>
      </c>
      <c r="D319" t="s">
        <v>153</v>
      </c>
      <c r="E319" t="s">
        <v>284</v>
      </c>
      <c r="F319" s="37" t="s">
        <v>729</v>
      </c>
      <c r="G319" s="37" t="s">
        <v>811</v>
      </c>
      <c r="H319" s="37" t="s">
        <v>812</v>
      </c>
      <c r="I319">
        <v>1</v>
      </c>
      <c r="J319">
        <v>750</v>
      </c>
      <c r="K319" t="s">
        <v>58</v>
      </c>
      <c r="L319" s="37">
        <f>SUMIF(Wine1!A:A,Drank!A319,Wine1!I:I)</f>
        <v>4</v>
      </c>
      <c r="M319">
        <v>2019</v>
      </c>
      <c r="N319">
        <v>2021</v>
      </c>
      <c r="O319">
        <v>2019</v>
      </c>
      <c r="P319" t="s">
        <v>238</v>
      </c>
      <c r="Q319">
        <v>89</v>
      </c>
      <c r="R319" t="s">
        <v>238</v>
      </c>
      <c r="S319" s="7">
        <f>AVERAGEIF(A:A,A319,R:R)</f>
        <v>88.944444444444443</v>
      </c>
      <c r="T319" s="1">
        <v>43743</v>
      </c>
      <c r="U319" s="13" t="str">
        <f t="shared" si="114"/>
        <v>October</v>
      </c>
      <c r="V319" s="12">
        <f t="shared" si="115"/>
        <v>43743</v>
      </c>
      <c r="W319" s="2">
        <v>8.99</v>
      </c>
      <c r="X319">
        <v>0</v>
      </c>
      <c r="Y319" s="11">
        <f t="shared" si="111"/>
        <v>8.99</v>
      </c>
      <c r="Z319" s="109"/>
      <c r="AA319" s="37">
        <f>IF(Y319&gt;=Expenses!$C$32,4,IF(Y319&gt;=Expenses!$C$31,3,IF(Y319&gt;=Expenses!$C$30,2,1)))</f>
        <v>1</v>
      </c>
      <c r="AB319" s="37">
        <f t="shared" si="112"/>
        <v>1</v>
      </c>
      <c r="AC319" s="37" t="str">
        <f t="shared" si="113"/>
        <v>2019</v>
      </c>
    </row>
    <row r="320" spans="1:29" ht="18.75" x14ac:dyDescent="0.3">
      <c r="A320" s="37" t="str">
        <f t="shared" si="110"/>
        <v>2016La MisionReserva Especial</v>
      </c>
      <c r="B320">
        <v>2016</v>
      </c>
      <c r="C320" t="s">
        <v>380</v>
      </c>
      <c r="D320" t="s">
        <v>381</v>
      </c>
      <c r="E320" t="s">
        <v>1202</v>
      </c>
      <c r="F320" s="37" t="s">
        <v>952</v>
      </c>
      <c r="G320" s="37" t="s">
        <v>953</v>
      </c>
      <c r="H320" s="37" t="s">
        <v>954</v>
      </c>
      <c r="I320">
        <v>1</v>
      </c>
      <c r="J320">
        <v>750</v>
      </c>
      <c r="K320" t="s">
        <v>58</v>
      </c>
      <c r="L320" s="37">
        <f>SUMIF(Wine1!A:A,Drank!A320,Wine1!I:I)</f>
        <v>0</v>
      </c>
      <c r="R320">
        <v>86</v>
      </c>
      <c r="S320" s="7">
        <f>AVERAGEIF(A:A,A320,R:R)</f>
        <v>86.5</v>
      </c>
      <c r="T320" s="1">
        <v>43737</v>
      </c>
      <c r="U320" s="13" t="str">
        <f t="shared" si="114"/>
        <v>September</v>
      </c>
      <c r="V320" s="12">
        <f t="shared" si="115"/>
        <v>43737</v>
      </c>
      <c r="W320" s="2">
        <v>13.49</v>
      </c>
      <c r="X320">
        <v>0</v>
      </c>
      <c r="Y320" s="11">
        <f t="shared" si="111"/>
        <v>13.490000000000002</v>
      </c>
      <c r="Z320" s="109"/>
      <c r="AA320" s="37">
        <f>IF(Y320&gt;=Expenses!$C$32,4,IF(Y320&gt;=Expenses!$C$31,3,IF(Y320&gt;=Expenses!$C$30,2,1)))</f>
        <v>1</v>
      </c>
      <c r="AB320" s="37">
        <f t="shared" si="112"/>
        <v>1</v>
      </c>
      <c r="AC320" s="37" t="str">
        <f t="shared" si="113"/>
        <v>2019</v>
      </c>
    </row>
    <row r="321" spans="1:29" ht="18.75" x14ac:dyDescent="0.3">
      <c r="A321" s="37" t="str">
        <f t="shared" si="110"/>
        <v>2016San AlejandroLas Rocas</v>
      </c>
      <c r="B321">
        <v>2016</v>
      </c>
      <c r="C321" t="s">
        <v>152</v>
      </c>
      <c r="D321" t="s">
        <v>153</v>
      </c>
      <c r="E321" t="s">
        <v>284</v>
      </c>
      <c r="F321" s="37" t="s">
        <v>729</v>
      </c>
      <c r="G321" s="37" t="s">
        <v>811</v>
      </c>
      <c r="H321" s="37" t="s">
        <v>812</v>
      </c>
      <c r="I321">
        <v>1</v>
      </c>
      <c r="J321">
        <v>750</v>
      </c>
      <c r="K321" t="s">
        <v>58</v>
      </c>
      <c r="L321" s="37">
        <f>SUMIF(Wine1!A:A,Drank!A321,Wine1!I:I)</f>
        <v>4</v>
      </c>
      <c r="M321">
        <v>2019</v>
      </c>
      <c r="N321">
        <v>2021</v>
      </c>
      <c r="O321">
        <v>2019</v>
      </c>
      <c r="Q321">
        <v>89</v>
      </c>
      <c r="R321"/>
      <c r="S321" s="7">
        <f>AVERAGEIF(A:A,A321,R:R)</f>
        <v>88.944444444444443</v>
      </c>
      <c r="T321" s="1">
        <v>43737</v>
      </c>
      <c r="U321" s="13" t="str">
        <f t="shared" si="114"/>
        <v>September</v>
      </c>
      <c r="V321" s="12">
        <f t="shared" si="115"/>
        <v>43737</v>
      </c>
      <c r="W321" s="2">
        <v>8.99</v>
      </c>
      <c r="X321">
        <v>0</v>
      </c>
      <c r="Y321" s="11">
        <f t="shared" si="111"/>
        <v>8.99</v>
      </c>
      <c r="Z321" s="109"/>
      <c r="AA321" s="37">
        <f>IF(Y321&gt;=Expenses!$C$32,4,IF(Y321&gt;=Expenses!$C$31,3,IF(Y321&gt;=Expenses!$C$30,2,1)))</f>
        <v>1</v>
      </c>
      <c r="AB321" s="37">
        <f t="shared" si="112"/>
        <v>1</v>
      </c>
      <c r="AC321" s="37" t="str">
        <f t="shared" si="113"/>
        <v>2019</v>
      </c>
    </row>
    <row r="322" spans="1:29" ht="18.75" x14ac:dyDescent="0.3">
      <c r="A322" s="37" t="str">
        <f t="shared" si="110"/>
        <v>2016San AlejandroLas Rocas</v>
      </c>
      <c r="B322">
        <v>2016</v>
      </c>
      <c r="C322" t="s">
        <v>152</v>
      </c>
      <c r="D322" t="s">
        <v>153</v>
      </c>
      <c r="E322" t="s">
        <v>284</v>
      </c>
      <c r="F322" s="37" t="s">
        <v>729</v>
      </c>
      <c r="G322" s="37" t="s">
        <v>811</v>
      </c>
      <c r="H322" s="37" t="s">
        <v>812</v>
      </c>
      <c r="I322">
        <v>1</v>
      </c>
      <c r="J322">
        <v>750</v>
      </c>
      <c r="K322" t="s">
        <v>58</v>
      </c>
      <c r="L322" s="37">
        <f>SUMIF(Wine1!A:A,Drank!A322,Wine1!I:I)</f>
        <v>4</v>
      </c>
      <c r="M322">
        <v>2019</v>
      </c>
      <c r="N322">
        <v>2021</v>
      </c>
      <c r="O322">
        <v>2019</v>
      </c>
      <c r="Q322">
        <v>89</v>
      </c>
      <c r="R322"/>
      <c r="S322" s="7">
        <f>AVERAGEIF(A:A,A322,R:R)</f>
        <v>88.944444444444443</v>
      </c>
      <c r="T322" s="1">
        <v>43733</v>
      </c>
      <c r="U322" s="13" t="str">
        <f t="shared" si="114"/>
        <v>September</v>
      </c>
      <c r="V322" s="12">
        <f t="shared" si="115"/>
        <v>43733</v>
      </c>
      <c r="W322" s="2">
        <v>8.99</v>
      </c>
      <c r="X322">
        <v>0</v>
      </c>
      <c r="Y322" s="11">
        <f t="shared" si="111"/>
        <v>8.99</v>
      </c>
      <c r="Z322" s="109"/>
      <c r="AA322" s="37">
        <f>IF(Y322&gt;=Expenses!$C$32,4,IF(Y322&gt;=Expenses!$C$31,3,IF(Y322&gt;=Expenses!$C$30,2,1)))</f>
        <v>1</v>
      </c>
      <c r="AB322" s="37">
        <f t="shared" si="112"/>
        <v>1</v>
      </c>
      <c r="AC322" s="37" t="str">
        <f t="shared" si="113"/>
        <v>2019</v>
      </c>
    </row>
    <row r="323" spans="1:29" ht="18.75" x14ac:dyDescent="0.3">
      <c r="A323" s="37" t="str">
        <f t="shared" si="110"/>
        <v>2010Cosimo TaurinoSalice Salentino Riserva</v>
      </c>
      <c r="B323">
        <v>2010</v>
      </c>
      <c r="C323" t="s">
        <v>56</v>
      </c>
      <c r="D323" t="s">
        <v>57</v>
      </c>
      <c r="E323" s="37" t="s">
        <v>1204</v>
      </c>
      <c r="F323" s="37" t="s">
        <v>728</v>
      </c>
      <c r="G323" s="37" t="s">
        <v>785</v>
      </c>
      <c r="H323" s="37" t="s">
        <v>769</v>
      </c>
      <c r="I323">
        <v>1</v>
      </c>
      <c r="J323">
        <v>750</v>
      </c>
      <c r="K323" t="s">
        <v>102</v>
      </c>
      <c r="L323" s="37">
        <f>SUMIF(Wine1!A:A,Drank!A323,Wine1!I:I)</f>
        <v>19</v>
      </c>
      <c r="O323">
        <v>2019</v>
      </c>
      <c r="P323">
        <v>2021</v>
      </c>
      <c r="R323">
        <v>89</v>
      </c>
      <c r="S323" s="7">
        <f>AVERAGEIF(A:A,A323,R:R)</f>
        <v>89.46875</v>
      </c>
      <c r="T323" s="1">
        <v>43731</v>
      </c>
      <c r="U323" s="13" t="str">
        <f t="shared" si="114"/>
        <v>September</v>
      </c>
      <c r="V323" s="12">
        <f t="shared" si="115"/>
        <v>43731</v>
      </c>
      <c r="W323" s="2">
        <v>11.69</v>
      </c>
      <c r="X323">
        <v>3</v>
      </c>
      <c r="Y323" s="11">
        <f t="shared" si="111"/>
        <v>11.69</v>
      </c>
      <c r="Z323" s="109"/>
      <c r="AA323" s="37">
        <f>IF(Y323&gt;=Expenses!$C$32,4,IF(Y323&gt;=Expenses!$C$31,3,IF(Y323&gt;=Expenses!$C$30,2,1)))</f>
        <v>1</v>
      </c>
      <c r="AB323" s="37">
        <f t="shared" si="112"/>
        <v>1</v>
      </c>
      <c r="AC323" s="37" t="str">
        <f t="shared" si="113"/>
        <v>2019</v>
      </c>
    </row>
    <row r="324" spans="1:29" ht="18.75" x14ac:dyDescent="0.3">
      <c r="A324" s="37" t="str">
        <f t="shared" si="110"/>
        <v>2013RainoldiSfursat di Valtellina Fruttaio Ca' Rizzieri</v>
      </c>
      <c r="B324">
        <v>2013</v>
      </c>
      <c r="C324" t="s">
        <v>79</v>
      </c>
      <c r="D324" t="s">
        <v>80</v>
      </c>
      <c r="E324" t="s">
        <v>288</v>
      </c>
      <c r="F324" s="37" t="s">
        <v>728</v>
      </c>
      <c r="G324" s="37" t="s">
        <v>776</v>
      </c>
      <c r="H324" s="37" t="s">
        <v>777</v>
      </c>
      <c r="I324">
        <v>1</v>
      </c>
      <c r="J324">
        <v>750</v>
      </c>
      <c r="K324" t="s">
        <v>653</v>
      </c>
      <c r="L324" s="37">
        <f>SUMIF(Wine1!A:A,Drank!A324,Wine1!I:I)</f>
        <v>0</v>
      </c>
      <c r="R324">
        <v>92</v>
      </c>
      <c r="S324" s="7">
        <f>AVERAGEIF(A:A,A324,R:R)</f>
        <v>92</v>
      </c>
      <c r="T324" s="1">
        <v>43730</v>
      </c>
      <c r="U324" s="13" t="str">
        <f t="shared" si="114"/>
        <v>September</v>
      </c>
      <c r="V324" s="12">
        <f t="shared" si="115"/>
        <v>43730</v>
      </c>
      <c r="W324" s="2">
        <v>40</v>
      </c>
      <c r="X324">
        <v>1</v>
      </c>
      <c r="Y324" s="11">
        <f t="shared" si="111"/>
        <v>40</v>
      </c>
      <c r="Z324" s="109"/>
      <c r="AA324" s="37">
        <f>IF(Y324&gt;=Expenses!$C$32,4,IF(Y324&gt;=Expenses!$C$31,3,IF(Y324&gt;=Expenses!$C$30,2,1)))</f>
        <v>3</v>
      </c>
      <c r="AB324" s="37">
        <f t="shared" si="112"/>
        <v>1</v>
      </c>
      <c r="AC324" s="37" t="str">
        <f t="shared" si="113"/>
        <v>2019</v>
      </c>
    </row>
    <row r="325" spans="1:29" ht="18.75" x14ac:dyDescent="0.3">
      <c r="A325" s="37" t="str">
        <f t="shared" si="110"/>
        <v>2016San AlejandroLas Rocas</v>
      </c>
      <c r="B325">
        <v>2016</v>
      </c>
      <c r="C325" t="s">
        <v>152</v>
      </c>
      <c r="D325" t="s">
        <v>153</v>
      </c>
      <c r="E325" t="s">
        <v>284</v>
      </c>
      <c r="F325" s="37" t="s">
        <v>729</v>
      </c>
      <c r="G325" s="37" t="s">
        <v>811</v>
      </c>
      <c r="H325" s="37" t="s">
        <v>812</v>
      </c>
      <c r="I325">
        <v>1</v>
      </c>
      <c r="J325">
        <v>750</v>
      </c>
      <c r="K325" t="s">
        <v>58</v>
      </c>
      <c r="L325" s="37">
        <f>SUMIF(Wine1!A:A,Drank!A325,Wine1!I:I)</f>
        <v>4</v>
      </c>
      <c r="M325">
        <v>2019</v>
      </c>
      <c r="N325">
        <v>2021</v>
      </c>
      <c r="O325">
        <v>2019</v>
      </c>
      <c r="Q325">
        <v>89</v>
      </c>
      <c r="R325">
        <v>89</v>
      </c>
      <c r="S325" s="7">
        <f>AVERAGEIF(A:A,A325,R:R)</f>
        <v>88.944444444444443</v>
      </c>
      <c r="T325" s="1">
        <v>43728</v>
      </c>
      <c r="U325" s="13" t="str">
        <f t="shared" si="114"/>
        <v>September</v>
      </c>
      <c r="V325" s="12">
        <f t="shared" si="115"/>
        <v>43728</v>
      </c>
      <c r="W325" s="2">
        <v>8.99</v>
      </c>
      <c r="X325">
        <v>0</v>
      </c>
      <c r="Y325" s="11">
        <f t="shared" si="111"/>
        <v>8.99</v>
      </c>
      <c r="Z325" s="109"/>
      <c r="AA325" s="37">
        <f>IF(Y325&gt;=Expenses!$C$32,4,IF(Y325&gt;=Expenses!$C$31,3,IF(Y325&gt;=Expenses!$C$30,2,1)))</f>
        <v>1</v>
      </c>
      <c r="AB325" s="37">
        <f t="shared" si="112"/>
        <v>1</v>
      </c>
      <c r="AC325" s="37" t="str">
        <f t="shared" si="113"/>
        <v>2019</v>
      </c>
    </row>
    <row r="326" spans="1:29" ht="18.75" x14ac:dyDescent="0.3">
      <c r="A326" s="37" t="str">
        <f t="shared" si="110"/>
        <v>1977MiguelsColheita Porto</v>
      </c>
      <c r="B326">
        <v>1977</v>
      </c>
      <c r="C326" t="s">
        <v>239</v>
      </c>
      <c r="D326" t="s">
        <v>240</v>
      </c>
      <c r="E326" t="s">
        <v>257</v>
      </c>
      <c r="F326" s="37" t="s">
        <v>804</v>
      </c>
      <c r="G326" s="37" t="s">
        <v>805</v>
      </c>
      <c r="I326">
        <v>1</v>
      </c>
      <c r="J326">
        <v>375</v>
      </c>
      <c r="K326" t="s">
        <v>236</v>
      </c>
      <c r="L326" s="37">
        <f>SUMIF(Wine1!A:A,Drank!A326,Wine1!I:I)</f>
        <v>0</v>
      </c>
      <c r="R326">
        <v>90</v>
      </c>
      <c r="S326" s="7">
        <f>AVERAGEIF(A:A,A326,R:R)</f>
        <v>90</v>
      </c>
      <c r="T326" s="1">
        <v>43723</v>
      </c>
      <c r="U326" s="13" t="str">
        <f t="shared" si="114"/>
        <v>September</v>
      </c>
      <c r="V326" s="12">
        <f t="shared" si="115"/>
        <v>43723</v>
      </c>
      <c r="W326" s="2">
        <v>70</v>
      </c>
      <c r="X326">
        <v>1</v>
      </c>
      <c r="Y326" s="11">
        <f t="shared" si="111"/>
        <v>140</v>
      </c>
      <c r="Z326" s="109"/>
      <c r="AA326" s="37">
        <f>IF(Y326&gt;=Expenses!$C$32,4,IF(Y326&gt;=Expenses!$C$31,3,IF(Y326&gt;=Expenses!$C$30,2,1)))</f>
        <v>4</v>
      </c>
      <c r="AB326" s="37">
        <f t="shared" si="112"/>
        <v>0.5</v>
      </c>
      <c r="AC326" s="37" t="str">
        <f t="shared" si="113"/>
        <v>2019</v>
      </c>
    </row>
    <row r="327" spans="1:29" ht="18.75" x14ac:dyDescent="0.3">
      <c r="A327" s="37" t="str">
        <f t="shared" si="110"/>
        <v>2015Tenuta di NozzoleChianti Classico Riserva Nozzole</v>
      </c>
      <c r="B327">
        <v>2015</v>
      </c>
      <c r="C327" t="s">
        <v>100</v>
      </c>
      <c r="D327" t="s">
        <v>101</v>
      </c>
      <c r="E327" t="s">
        <v>310</v>
      </c>
      <c r="F327" s="37" t="s">
        <v>728</v>
      </c>
      <c r="G327" s="37" t="s">
        <v>790</v>
      </c>
      <c r="H327" s="37" t="s">
        <v>792</v>
      </c>
      <c r="I327">
        <v>1</v>
      </c>
      <c r="J327">
        <v>750</v>
      </c>
      <c r="K327" t="s">
        <v>649</v>
      </c>
      <c r="L327" s="37">
        <f>SUMIF(Wine1!A:A,Drank!A327,Wine1!I:I)</f>
        <v>4</v>
      </c>
      <c r="M327">
        <v>2018</v>
      </c>
      <c r="N327">
        <v>2028</v>
      </c>
      <c r="O327">
        <v>2020</v>
      </c>
      <c r="P327">
        <v>2026</v>
      </c>
      <c r="Q327">
        <v>92</v>
      </c>
      <c r="R327">
        <v>90</v>
      </c>
      <c r="S327" s="7">
        <f>AVERAGEIF(A:A,A327,R:R)</f>
        <v>91</v>
      </c>
      <c r="T327" s="1">
        <v>43722</v>
      </c>
      <c r="U327" s="13" t="str">
        <f t="shared" si="114"/>
        <v>September</v>
      </c>
      <c r="V327" s="12">
        <f t="shared" si="115"/>
        <v>43722</v>
      </c>
      <c r="W327" s="2">
        <v>17.59</v>
      </c>
      <c r="X327">
        <v>1</v>
      </c>
      <c r="Y327" s="11">
        <f t="shared" si="111"/>
        <v>17.59</v>
      </c>
      <c r="Z327" s="109"/>
      <c r="AA327" s="37">
        <f>IF(Y327&gt;=Expenses!$C$32,4,IF(Y327&gt;=Expenses!$C$31,3,IF(Y327&gt;=Expenses!$C$30,2,1)))</f>
        <v>2</v>
      </c>
      <c r="AB327" s="37">
        <f t="shared" si="112"/>
        <v>1</v>
      </c>
      <c r="AC327" s="37" t="str">
        <f t="shared" si="113"/>
        <v>2019</v>
      </c>
    </row>
    <row r="328" spans="1:29" ht="18.75" x14ac:dyDescent="0.3">
      <c r="A328" s="37" t="str">
        <f t="shared" si="110"/>
        <v>2015GabardaSelecciÃ³n</v>
      </c>
      <c r="B328">
        <v>2015</v>
      </c>
      <c r="C328" t="s">
        <v>390</v>
      </c>
      <c r="D328" t="s">
        <v>391</v>
      </c>
      <c r="E328" t="s">
        <v>401</v>
      </c>
      <c r="F328" s="37" t="s">
        <v>729</v>
      </c>
      <c r="G328" s="37" t="s">
        <v>811</v>
      </c>
      <c r="H328" s="37" t="s">
        <v>813</v>
      </c>
      <c r="I328">
        <v>1</v>
      </c>
      <c r="J328">
        <v>750</v>
      </c>
      <c r="K328" t="s">
        <v>58</v>
      </c>
      <c r="L328" s="37">
        <f>SUMIF(Wine1!A:A,Drank!A328,Wine1!I:I)</f>
        <v>0</v>
      </c>
      <c r="M328">
        <v>2017</v>
      </c>
      <c r="N328">
        <v>2019</v>
      </c>
      <c r="P328">
        <v>2021</v>
      </c>
      <c r="Q328">
        <v>90</v>
      </c>
      <c r="R328">
        <v>90</v>
      </c>
      <c r="S328" s="7">
        <f>AVERAGEIF(A:A,A328,R:R)</f>
        <v>90</v>
      </c>
      <c r="T328" s="1">
        <v>43721</v>
      </c>
      <c r="U328" s="13" t="str">
        <f t="shared" si="114"/>
        <v>September</v>
      </c>
      <c r="V328" s="12">
        <f t="shared" si="115"/>
        <v>43721</v>
      </c>
      <c r="W328" s="2">
        <v>17</v>
      </c>
      <c r="X328">
        <v>0</v>
      </c>
      <c r="Y328" s="11">
        <f t="shared" si="111"/>
        <v>17</v>
      </c>
      <c r="Z328" s="109"/>
      <c r="AA328" s="37">
        <f>IF(Y328&gt;=Expenses!$C$32,4,IF(Y328&gt;=Expenses!$C$31,3,IF(Y328&gt;=Expenses!$C$30,2,1)))</f>
        <v>2</v>
      </c>
      <c r="AB328" s="37">
        <f t="shared" si="112"/>
        <v>1</v>
      </c>
      <c r="AC328" s="37" t="str">
        <f t="shared" si="113"/>
        <v>2019</v>
      </c>
    </row>
    <row r="329" spans="1:29" ht="18.75" x14ac:dyDescent="0.3">
      <c r="A329" s="37" t="str">
        <f t="shared" si="110"/>
        <v>2016Tenuta San GuidoLe Difese</v>
      </c>
      <c r="B329">
        <v>2016</v>
      </c>
      <c r="C329" t="s">
        <v>91</v>
      </c>
      <c r="D329" t="s">
        <v>396</v>
      </c>
      <c r="E329" t="s">
        <v>399</v>
      </c>
      <c r="F329" s="37" t="s">
        <v>728</v>
      </c>
      <c r="G329" s="37" t="s">
        <v>790</v>
      </c>
      <c r="H329" s="37" t="s">
        <v>796</v>
      </c>
      <c r="I329">
        <v>1</v>
      </c>
      <c r="J329">
        <v>750</v>
      </c>
      <c r="K329" t="s">
        <v>236</v>
      </c>
      <c r="L329" s="37">
        <f>SUMIF(Wine1!A:A,Drank!A329,Wine1!I:I)</f>
        <v>3</v>
      </c>
      <c r="M329">
        <v>2018</v>
      </c>
      <c r="N329">
        <v>2022</v>
      </c>
      <c r="O329">
        <v>2020</v>
      </c>
      <c r="P329">
        <v>2024</v>
      </c>
      <c r="Q329">
        <v>90</v>
      </c>
      <c r="R329">
        <v>91</v>
      </c>
      <c r="S329" s="7">
        <f>AVERAGEIF(A:A,A329,R:R)</f>
        <v>90.666666666666671</v>
      </c>
      <c r="T329" s="1">
        <v>43710</v>
      </c>
      <c r="U329" s="13" t="str">
        <f t="shared" si="114"/>
        <v>September</v>
      </c>
      <c r="V329" s="12">
        <f t="shared" si="115"/>
        <v>43710</v>
      </c>
      <c r="W329" s="2">
        <v>29</v>
      </c>
      <c r="X329">
        <v>1</v>
      </c>
      <c r="Y329" s="11">
        <f t="shared" si="111"/>
        <v>29</v>
      </c>
      <c r="Z329" s="109"/>
      <c r="AA329" s="37">
        <f>IF(Y329&gt;=Expenses!$C$32,4,IF(Y329&gt;=Expenses!$C$31,3,IF(Y329&gt;=Expenses!$C$30,2,1)))</f>
        <v>2</v>
      </c>
      <c r="AB329" s="37">
        <f t="shared" si="112"/>
        <v>1</v>
      </c>
      <c r="AC329" s="37" t="str">
        <f t="shared" si="113"/>
        <v>2019</v>
      </c>
    </row>
    <row r="330" spans="1:29" ht="18.75" x14ac:dyDescent="0.3">
      <c r="A330" s="37" t="str">
        <f t="shared" si="110"/>
        <v>2012Bowler WineJohnson Family</v>
      </c>
      <c r="B330">
        <v>2012</v>
      </c>
      <c r="C330" t="s">
        <v>66</v>
      </c>
      <c r="D330" t="s">
        <v>67</v>
      </c>
      <c r="E330" t="s">
        <v>275</v>
      </c>
      <c r="F330" s="37" t="s">
        <v>727</v>
      </c>
      <c r="G330" s="37" t="s">
        <v>806</v>
      </c>
      <c r="H330" s="37" t="s">
        <v>832</v>
      </c>
      <c r="I330">
        <v>1</v>
      </c>
      <c r="J330">
        <v>750</v>
      </c>
      <c r="K330" t="s">
        <v>25</v>
      </c>
      <c r="L330" s="37">
        <f>SUMIF(Wine1!A:A,Drank!A330,Wine1!I:I)</f>
        <v>0</v>
      </c>
      <c r="P330">
        <v>2020</v>
      </c>
      <c r="R330">
        <v>91</v>
      </c>
      <c r="S330" s="7">
        <f>AVERAGEIF(A:A,A330,R:R)</f>
        <v>91</v>
      </c>
      <c r="T330" s="1">
        <v>43710</v>
      </c>
      <c r="U330" s="13" t="str">
        <f t="shared" si="114"/>
        <v>September</v>
      </c>
      <c r="V330" s="12">
        <f t="shared" si="115"/>
        <v>43710</v>
      </c>
      <c r="W330" s="2">
        <v>21</v>
      </c>
      <c r="X330">
        <v>0</v>
      </c>
      <c r="Y330" s="11">
        <f t="shared" si="111"/>
        <v>21</v>
      </c>
      <c r="Z330" s="109"/>
      <c r="AA330" s="37">
        <f>IF(Y330&gt;=Expenses!$C$32,4,IF(Y330&gt;=Expenses!$C$31,3,IF(Y330&gt;=Expenses!$C$30,2,1)))</f>
        <v>2</v>
      </c>
      <c r="AB330" s="37">
        <f t="shared" si="112"/>
        <v>1</v>
      </c>
      <c r="AC330" s="37" t="str">
        <f t="shared" si="113"/>
        <v>2019</v>
      </c>
    </row>
    <row r="331" spans="1:29" ht="18.75" x14ac:dyDescent="0.3">
      <c r="A331" s="37" t="str">
        <f t="shared" si="110"/>
        <v>2010CondeNeo</v>
      </c>
      <c r="B331">
        <v>2010</v>
      </c>
      <c r="C331" t="s">
        <v>45</v>
      </c>
      <c r="D331" t="s">
        <v>46</v>
      </c>
      <c r="E331" t="s">
        <v>277</v>
      </c>
      <c r="F331" s="37" t="s">
        <v>729</v>
      </c>
      <c r="G331" s="37" t="s">
        <v>814</v>
      </c>
      <c r="H331" s="37" t="s">
        <v>818</v>
      </c>
      <c r="I331">
        <v>1</v>
      </c>
      <c r="J331">
        <v>750</v>
      </c>
      <c r="K331" t="s">
        <v>656</v>
      </c>
      <c r="L331" s="37">
        <f>SUMIF(Wine1!A:A,Drank!A331,Wine1!I:I)</f>
        <v>4</v>
      </c>
      <c r="M331">
        <v>2014</v>
      </c>
      <c r="N331">
        <v>2020</v>
      </c>
      <c r="O331">
        <v>2020</v>
      </c>
      <c r="P331">
        <v>2024</v>
      </c>
      <c r="Q331">
        <v>93</v>
      </c>
      <c r="R331">
        <v>93</v>
      </c>
      <c r="S331" s="7">
        <f>AVERAGEIF(A:A,A331,R:R)</f>
        <v>92.166666666666671</v>
      </c>
      <c r="T331" s="1">
        <v>43709</v>
      </c>
      <c r="U331" s="13" t="str">
        <f t="shared" si="114"/>
        <v>September</v>
      </c>
      <c r="V331" s="12">
        <f t="shared" si="115"/>
        <v>43709</v>
      </c>
      <c r="W331" s="2">
        <v>27</v>
      </c>
      <c r="X331">
        <v>2</v>
      </c>
      <c r="Y331" s="11">
        <f t="shared" si="111"/>
        <v>26.999999999999996</v>
      </c>
      <c r="Z331" s="109"/>
      <c r="AA331" s="37">
        <f>IF(Y331&gt;=Expenses!$C$32,4,IF(Y331&gt;=Expenses!$C$31,3,IF(Y331&gt;=Expenses!$C$30,2,1)))</f>
        <v>2</v>
      </c>
      <c r="AB331" s="37">
        <f t="shared" si="112"/>
        <v>1</v>
      </c>
      <c r="AC331" s="37" t="str">
        <f t="shared" si="113"/>
        <v>2019</v>
      </c>
    </row>
    <row r="332" spans="1:29" ht="18.75" x14ac:dyDescent="0.3">
      <c r="A332" s="37" t="str">
        <f t="shared" ref="A332:A395" si="116">CONCATENATE(B332,C332,D332)</f>
        <v>2016San AlejandroLas Rocas</v>
      </c>
      <c r="B332">
        <v>2016</v>
      </c>
      <c r="C332" t="s">
        <v>152</v>
      </c>
      <c r="D332" t="s">
        <v>153</v>
      </c>
      <c r="E332" t="s">
        <v>284</v>
      </c>
      <c r="F332" s="37" t="s">
        <v>729</v>
      </c>
      <c r="G332" s="37" t="s">
        <v>811</v>
      </c>
      <c r="H332" s="37" t="s">
        <v>812</v>
      </c>
      <c r="I332">
        <v>1</v>
      </c>
      <c r="J332">
        <v>750</v>
      </c>
      <c r="K332" t="s">
        <v>58</v>
      </c>
      <c r="L332" s="37">
        <f>SUMIF(Wine1!A:A,Drank!A332,Wine1!I:I)</f>
        <v>4</v>
      </c>
      <c r="M332">
        <v>2019</v>
      </c>
      <c r="N332">
        <v>2021</v>
      </c>
      <c r="O332">
        <v>2019</v>
      </c>
      <c r="P332">
        <v>2020</v>
      </c>
      <c r="Q332">
        <v>89</v>
      </c>
      <c r="R332">
        <v>89</v>
      </c>
      <c r="S332" s="7">
        <f>AVERAGEIF(A:A,A332,R:R)</f>
        <v>88.944444444444443</v>
      </c>
      <c r="T332" s="1">
        <v>43708</v>
      </c>
      <c r="U332" s="13" t="str">
        <f t="shared" si="114"/>
        <v>August</v>
      </c>
      <c r="V332" s="12">
        <f t="shared" si="115"/>
        <v>43708</v>
      </c>
      <c r="W332" s="2">
        <v>8.99</v>
      </c>
      <c r="X332">
        <v>0</v>
      </c>
      <c r="Y332" s="11">
        <f t="shared" si="111"/>
        <v>8.99</v>
      </c>
      <c r="Z332" s="109"/>
      <c r="AA332" s="37">
        <f>IF(Y332&gt;=Expenses!$C$32,4,IF(Y332&gt;=Expenses!$C$31,3,IF(Y332&gt;=Expenses!$C$30,2,1)))</f>
        <v>1</v>
      </c>
      <c r="AB332" s="37">
        <f t="shared" si="112"/>
        <v>1</v>
      </c>
      <c r="AC332" s="37" t="str">
        <f t="shared" si="113"/>
        <v>2019</v>
      </c>
    </row>
    <row r="333" spans="1:29" ht="18.75" x14ac:dyDescent="0.3">
      <c r="A333" s="37" t="str">
        <f t="shared" si="116"/>
        <v>2010Raymond-LafonRaymond-Lafon</v>
      </c>
      <c r="B333">
        <v>2010</v>
      </c>
      <c r="C333" t="s">
        <v>197</v>
      </c>
      <c r="D333" t="s">
        <v>197</v>
      </c>
      <c r="E333" t="s">
        <v>260</v>
      </c>
      <c r="F333" s="37" t="s">
        <v>742</v>
      </c>
      <c r="G333" s="37" t="s">
        <v>748</v>
      </c>
      <c r="H333" s="37" t="s">
        <v>260</v>
      </c>
      <c r="I333">
        <v>1</v>
      </c>
      <c r="J333">
        <v>375</v>
      </c>
      <c r="K333" t="s">
        <v>253</v>
      </c>
      <c r="L333" s="37">
        <f>SUMIF(Wine1!A:A,Drank!A333,Wine1!I:I)</f>
        <v>4</v>
      </c>
      <c r="O333">
        <v>2024</v>
      </c>
      <c r="P333">
        <v>2035</v>
      </c>
      <c r="Q333">
        <v>93</v>
      </c>
      <c r="R333">
        <v>93</v>
      </c>
      <c r="S333" s="7">
        <f>AVERAGEIF(A:A,A333,R:R)</f>
        <v>92.8</v>
      </c>
      <c r="T333" s="1">
        <v>43708</v>
      </c>
      <c r="U333" s="13" t="str">
        <f t="shared" si="114"/>
        <v>August</v>
      </c>
      <c r="V333" s="12">
        <f t="shared" si="115"/>
        <v>43708</v>
      </c>
      <c r="W333" s="2">
        <v>22.99</v>
      </c>
      <c r="X333">
        <v>0</v>
      </c>
      <c r="Y333" s="11">
        <f t="shared" si="111"/>
        <v>45.98</v>
      </c>
      <c r="Z333" s="109"/>
      <c r="AA333" s="37">
        <f>IF(Y333&gt;=Expenses!$C$32,4,IF(Y333&gt;=Expenses!$C$31,3,IF(Y333&gt;=Expenses!$C$30,2,1)))</f>
        <v>3</v>
      </c>
      <c r="AB333" s="37">
        <f t="shared" si="112"/>
        <v>0.5</v>
      </c>
      <c r="AC333" s="37" t="str">
        <f t="shared" si="113"/>
        <v>2019</v>
      </c>
    </row>
    <row r="334" spans="1:29" ht="18.75" x14ac:dyDescent="0.3">
      <c r="A334" s="37" t="str">
        <f t="shared" si="116"/>
        <v>2010Raymond-LafonRaymond-Lafon</v>
      </c>
      <c r="B334">
        <v>2010</v>
      </c>
      <c r="C334" t="s">
        <v>197</v>
      </c>
      <c r="D334" t="s">
        <v>197</v>
      </c>
      <c r="E334" t="s">
        <v>260</v>
      </c>
      <c r="F334" s="37" t="s">
        <v>742</v>
      </c>
      <c r="G334" s="37" t="s">
        <v>748</v>
      </c>
      <c r="H334" s="37" t="s">
        <v>260</v>
      </c>
      <c r="I334">
        <v>1</v>
      </c>
      <c r="J334">
        <v>375</v>
      </c>
      <c r="K334" t="s">
        <v>253</v>
      </c>
      <c r="L334" s="37">
        <f>SUMIF(Wine1!A:A,Drank!A334,Wine1!I:I)</f>
        <v>4</v>
      </c>
      <c r="O334">
        <v>2024</v>
      </c>
      <c r="P334">
        <v>2035</v>
      </c>
      <c r="Q334">
        <v>93</v>
      </c>
      <c r="R334">
        <v>93</v>
      </c>
      <c r="S334" s="7">
        <f>AVERAGEIF(A:A,A334,R:R)</f>
        <v>92.8</v>
      </c>
      <c r="T334" s="1">
        <v>43708</v>
      </c>
      <c r="U334" s="13" t="str">
        <f t="shared" si="114"/>
        <v>August</v>
      </c>
      <c r="V334" s="12">
        <f t="shared" si="115"/>
        <v>43708</v>
      </c>
      <c r="W334" s="2">
        <v>22.99</v>
      </c>
      <c r="X334">
        <v>0</v>
      </c>
      <c r="Y334" s="11">
        <f t="shared" si="111"/>
        <v>45.98</v>
      </c>
      <c r="Z334" s="109"/>
      <c r="AA334" s="37">
        <f>IF(Y334&gt;=Expenses!$C$32,4,IF(Y334&gt;=Expenses!$C$31,3,IF(Y334&gt;=Expenses!$C$30,2,1)))</f>
        <v>3</v>
      </c>
      <c r="AB334" s="37">
        <f t="shared" si="112"/>
        <v>0.5</v>
      </c>
      <c r="AC334" s="37" t="str">
        <f t="shared" si="113"/>
        <v>2019</v>
      </c>
    </row>
    <row r="335" spans="1:29" ht="18.75" x14ac:dyDescent="0.3">
      <c r="A335" s="37" t="str">
        <f t="shared" si="116"/>
        <v>2016Teruzzi &amp; PuthodTerre di Tufi</v>
      </c>
      <c r="B335">
        <v>2016</v>
      </c>
      <c r="C335" t="s">
        <v>378</v>
      </c>
      <c r="D335" t="s">
        <v>379</v>
      </c>
      <c r="E335" t="s">
        <v>382</v>
      </c>
      <c r="F335" s="37" t="s">
        <v>728</v>
      </c>
      <c r="G335" s="37" t="s">
        <v>790</v>
      </c>
      <c r="H335" s="37" t="s">
        <v>808</v>
      </c>
      <c r="I335">
        <v>1</v>
      </c>
      <c r="J335">
        <v>750</v>
      </c>
      <c r="K335" t="s">
        <v>58</v>
      </c>
      <c r="L335" s="37">
        <f>SUMIF(Wine1!A:A,Drank!A335,Wine1!I:I)</f>
        <v>0</v>
      </c>
      <c r="O335">
        <v>2019</v>
      </c>
      <c r="P335">
        <v>2022</v>
      </c>
      <c r="R335">
        <v>90</v>
      </c>
      <c r="S335" s="7">
        <f>AVERAGEIF(A:A,A335,R:R)</f>
        <v>90.375</v>
      </c>
      <c r="T335" s="1">
        <v>43708</v>
      </c>
      <c r="U335" s="13" t="str">
        <f t="shared" si="114"/>
        <v>August</v>
      </c>
      <c r="V335" s="12">
        <f t="shared" si="115"/>
        <v>43708</v>
      </c>
      <c r="W335" s="2">
        <v>10.72</v>
      </c>
      <c r="X335">
        <v>0</v>
      </c>
      <c r="Y335" s="11">
        <f t="shared" si="111"/>
        <v>10.72</v>
      </c>
      <c r="Z335" s="109"/>
      <c r="AA335" s="37">
        <f>IF(Y335&gt;=Expenses!$C$32,4,IF(Y335&gt;=Expenses!$C$31,3,IF(Y335&gt;=Expenses!$C$30,2,1)))</f>
        <v>1</v>
      </c>
      <c r="AB335" s="37">
        <f t="shared" si="112"/>
        <v>1</v>
      </c>
      <c r="AC335" s="37" t="str">
        <f t="shared" si="113"/>
        <v>2019</v>
      </c>
    </row>
    <row r="336" spans="1:29" ht="18.75" x14ac:dyDescent="0.3">
      <c r="A336" s="37" t="str">
        <f t="shared" si="116"/>
        <v>2016Tenuta San GuidoLe Difese</v>
      </c>
      <c r="B336">
        <v>2016</v>
      </c>
      <c r="C336" t="s">
        <v>91</v>
      </c>
      <c r="D336" t="s">
        <v>396</v>
      </c>
      <c r="E336" t="s">
        <v>399</v>
      </c>
      <c r="F336" s="37" t="s">
        <v>728</v>
      </c>
      <c r="G336" s="37" t="s">
        <v>790</v>
      </c>
      <c r="H336" s="37" t="s">
        <v>796</v>
      </c>
      <c r="I336">
        <v>1</v>
      </c>
      <c r="J336">
        <v>750</v>
      </c>
      <c r="K336" t="s">
        <v>236</v>
      </c>
      <c r="L336" s="37">
        <f>SUMIF(Wine1!A:A,Drank!A336,Wine1!I:I)</f>
        <v>3</v>
      </c>
      <c r="M336">
        <v>2018</v>
      </c>
      <c r="N336">
        <v>2022</v>
      </c>
      <c r="O336">
        <v>2020</v>
      </c>
      <c r="P336">
        <v>2024</v>
      </c>
      <c r="Q336">
        <v>90</v>
      </c>
      <c r="R336">
        <v>90</v>
      </c>
      <c r="S336" s="7">
        <f>AVERAGEIF(A:A,A336,R:R)</f>
        <v>90.666666666666671</v>
      </c>
      <c r="T336" s="1">
        <v>43707</v>
      </c>
      <c r="U336" s="13" t="str">
        <f t="shared" si="114"/>
        <v>August</v>
      </c>
      <c r="V336" s="12">
        <f t="shared" si="115"/>
        <v>43707</v>
      </c>
      <c r="W336" s="2">
        <v>29</v>
      </c>
      <c r="X336">
        <v>2</v>
      </c>
      <c r="Y336" s="11">
        <f t="shared" si="111"/>
        <v>29</v>
      </c>
      <c r="Z336" s="109"/>
      <c r="AA336" s="37">
        <f>IF(Y336&gt;=Expenses!$C$32,4,IF(Y336&gt;=Expenses!$C$31,3,IF(Y336&gt;=Expenses!$C$30,2,1)))</f>
        <v>2</v>
      </c>
      <c r="AB336" s="37">
        <f t="shared" si="112"/>
        <v>1</v>
      </c>
      <c r="AC336" s="37" t="str">
        <f t="shared" si="113"/>
        <v>2019</v>
      </c>
    </row>
    <row r="337" spans="1:29" ht="18.75" x14ac:dyDescent="0.3">
      <c r="A337" s="37" t="str">
        <f t="shared" si="116"/>
        <v>2016San AlejandroLas Rocas</v>
      </c>
      <c r="B337">
        <v>2016</v>
      </c>
      <c r="C337" t="s">
        <v>152</v>
      </c>
      <c r="D337" t="s">
        <v>153</v>
      </c>
      <c r="E337" t="s">
        <v>284</v>
      </c>
      <c r="F337" s="37" t="s">
        <v>729</v>
      </c>
      <c r="G337" s="37" t="s">
        <v>811</v>
      </c>
      <c r="H337" s="37" t="s">
        <v>812</v>
      </c>
      <c r="I337">
        <v>1</v>
      </c>
      <c r="J337">
        <v>750</v>
      </c>
      <c r="K337" t="s">
        <v>58</v>
      </c>
      <c r="L337" s="37">
        <f>SUMIF(Wine1!A:A,Drank!A337,Wine1!I:I)</f>
        <v>4</v>
      </c>
      <c r="M337">
        <v>2019</v>
      </c>
      <c r="N337">
        <v>2021</v>
      </c>
      <c r="O337">
        <v>2019</v>
      </c>
      <c r="P337">
        <v>2020</v>
      </c>
      <c r="Q337">
        <v>89</v>
      </c>
      <c r="R337">
        <v>88</v>
      </c>
      <c r="S337" s="7">
        <f>AVERAGEIF(A:A,A337,R:R)</f>
        <v>88.944444444444443</v>
      </c>
      <c r="T337" s="1">
        <v>43705</v>
      </c>
      <c r="U337" s="13" t="str">
        <f t="shared" si="114"/>
        <v>August</v>
      </c>
      <c r="V337" s="12">
        <f t="shared" si="115"/>
        <v>43705</v>
      </c>
      <c r="W337" s="2">
        <v>8.99</v>
      </c>
      <c r="X337">
        <v>1</v>
      </c>
      <c r="Y337" s="11">
        <f t="shared" si="111"/>
        <v>8.99</v>
      </c>
      <c r="Z337" s="109"/>
      <c r="AA337" s="37">
        <f>IF(Y337&gt;=Expenses!$C$32,4,IF(Y337&gt;=Expenses!$C$31,3,IF(Y337&gt;=Expenses!$C$30,2,1)))</f>
        <v>1</v>
      </c>
      <c r="AB337" s="37">
        <f t="shared" si="112"/>
        <v>1</v>
      </c>
      <c r="AC337" s="37" t="str">
        <f t="shared" si="113"/>
        <v>2019</v>
      </c>
    </row>
    <row r="338" spans="1:29" ht="18.75" x14ac:dyDescent="0.3">
      <c r="A338" s="37" t="str">
        <f t="shared" si="116"/>
        <v>2016Prisoner Wine CoProprietary Red The Prisoner</v>
      </c>
      <c r="B338">
        <v>2016</v>
      </c>
      <c r="C338" t="s">
        <v>68</v>
      </c>
      <c r="D338" t="s">
        <v>69</v>
      </c>
      <c r="E338" t="s">
        <v>273</v>
      </c>
      <c r="F338" s="37" t="s">
        <v>727</v>
      </c>
      <c r="G338" s="37" t="s">
        <v>806</v>
      </c>
      <c r="H338" s="37" t="s">
        <v>832</v>
      </c>
      <c r="I338">
        <v>1</v>
      </c>
      <c r="J338">
        <v>750</v>
      </c>
      <c r="K338" t="s">
        <v>102</v>
      </c>
      <c r="L338" s="37">
        <f>SUMIF(Wine1!A:A,Drank!A338,Wine1!I:I)</f>
        <v>0</v>
      </c>
      <c r="P338">
        <v>2022</v>
      </c>
      <c r="R338">
        <v>91</v>
      </c>
      <c r="S338" s="7">
        <f>AVERAGEIF(A:A,A338,R:R)</f>
        <v>91</v>
      </c>
      <c r="T338" s="1">
        <v>43704</v>
      </c>
      <c r="U338" s="13" t="str">
        <f t="shared" si="114"/>
        <v>August</v>
      </c>
      <c r="V338" s="12">
        <f t="shared" si="115"/>
        <v>43704</v>
      </c>
      <c r="W338" s="2">
        <v>48</v>
      </c>
      <c r="X338">
        <v>1</v>
      </c>
      <c r="Y338" s="11">
        <f t="shared" si="111"/>
        <v>48</v>
      </c>
      <c r="Z338" s="109"/>
      <c r="AA338" s="37">
        <f>IF(Y338&gt;=Expenses!$C$32,4,IF(Y338&gt;=Expenses!$C$31,3,IF(Y338&gt;=Expenses!$C$30,2,1)))</f>
        <v>3</v>
      </c>
      <c r="AB338" s="37">
        <f t="shared" si="112"/>
        <v>1</v>
      </c>
      <c r="AC338" s="37" t="str">
        <f t="shared" si="113"/>
        <v>2019</v>
      </c>
    </row>
    <row r="339" spans="1:29" ht="18.75" x14ac:dyDescent="0.3">
      <c r="A339" s="37" t="str">
        <f t="shared" si="116"/>
        <v>2016Quinta do ValladoTouriga Nacional</v>
      </c>
      <c r="B339">
        <v>2016</v>
      </c>
      <c r="C339" s="9" t="s">
        <v>210</v>
      </c>
      <c r="D339" s="9" t="s">
        <v>211</v>
      </c>
      <c r="E339" s="9" t="s">
        <v>211</v>
      </c>
      <c r="F339" s="37" t="s">
        <v>804</v>
      </c>
      <c r="G339" s="37" t="s">
        <v>805</v>
      </c>
      <c r="H339" s="9"/>
      <c r="I339">
        <v>1</v>
      </c>
      <c r="J339">
        <v>750</v>
      </c>
      <c r="K339" t="s">
        <v>656</v>
      </c>
      <c r="L339" s="37">
        <f>SUMIF(Wine1!A:A,Drank!A339,Wine1!I:I)</f>
        <v>7</v>
      </c>
      <c r="M339">
        <v>2020</v>
      </c>
      <c r="N339">
        <v>2032</v>
      </c>
      <c r="O339">
        <v>2020</v>
      </c>
      <c r="P339">
        <v>2027</v>
      </c>
      <c r="R339">
        <v>92</v>
      </c>
      <c r="S339" s="7">
        <f>AVERAGEIF(A:A,A339,R:R)</f>
        <v>92</v>
      </c>
      <c r="T339" s="1">
        <v>43702</v>
      </c>
      <c r="U339" s="13" t="str">
        <f t="shared" si="114"/>
        <v>August</v>
      </c>
      <c r="V339" s="12">
        <f t="shared" si="115"/>
        <v>43702</v>
      </c>
      <c r="W339" s="2">
        <v>24.99</v>
      </c>
      <c r="X339">
        <v>1</v>
      </c>
      <c r="Y339" s="11">
        <f t="shared" si="111"/>
        <v>24.989999999999995</v>
      </c>
      <c r="Z339" s="109"/>
      <c r="AA339" s="37">
        <f>IF(Y339&gt;=Expenses!$C$32,4,IF(Y339&gt;=Expenses!$C$31,3,IF(Y339&gt;=Expenses!$C$30,2,1)))</f>
        <v>2</v>
      </c>
      <c r="AB339" s="37">
        <f t="shared" si="112"/>
        <v>1</v>
      </c>
      <c r="AC339" s="37" t="str">
        <f t="shared" si="113"/>
        <v>2019</v>
      </c>
    </row>
    <row r="340" spans="1:29" ht="18.75" x14ac:dyDescent="0.3">
      <c r="A340" s="37" t="str">
        <f t="shared" si="116"/>
        <v>2010Cosimo TaurinoSalice Salentino Riserva</v>
      </c>
      <c r="B340">
        <v>2010</v>
      </c>
      <c r="C340" t="s">
        <v>56</v>
      </c>
      <c r="D340" t="s">
        <v>57</v>
      </c>
      <c r="E340" s="37" t="s">
        <v>1204</v>
      </c>
      <c r="F340" s="37" t="s">
        <v>728</v>
      </c>
      <c r="G340" s="37" t="s">
        <v>785</v>
      </c>
      <c r="H340" s="37" t="s">
        <v>769</v>
      </c>
      <c r="I340">
        <v>1</v>
      </c>
      <c r="J340">
        <v>750</v>
      </c>
      <c r="K340" t="s">
        <v>102</v>
      </c>
      <c r="L340" s="37">
        <f>SUMIF(Wine1!A:A,Drank!A340,Wine1!I:I)</f>
        <v>19</v>
      </c>
      <c r="O340">
        <v>2019</v>
      </c>
      <c r="P340">
        <v>2020</v>
      </c>
      <c r="R340">
        <v>89</v>
      </c>
      <c r="S340" s="7">
        <f>AVERAGEIF(A:A,A340,R:R)</f>
        <v>89.46875</v>
      </c>
      <c r="T340" s="1">
        <v>43702</v>
      </c>
      <c r="U340" s="13" t="str">
        <f t="shared" si="114"/>
        <v>August</v>
      </c>
      <c r="V340" s="12">
        <f t="shared" si="115"/>
        <v>43702</v>
      </c>
      <c r="W340" s="2">
        <v>11.69</v>
      </c>
      <c r="X340">
        <v>0</v>
      </c>
      <c r="Y340" s="11">
        <f t="shared" si="111"/>
        <v>11.69</v>
      </c>
      <c r="Z340" s="109"/>
      <c r="AA340" s="37">
        <f>IF(Y340&gt;=Expenses!$C$32,4,IF(Y340&gt;=Expenses!$C$31,3,IF(Y340&gt;=Expenses!$C$30,2,1)))</f>
        <v>1</v>
      </c>
      <c r="AB340" s="37">
        <f t="shared" si="112"/>
        <v>1</v>
      </c>
      <c r="AC340" s="37" t="str">
        <f t="shared" si="113"/>
        <v>2019</v>
      </c>
    </row>
    <row r="341" spans="1:29" ht="18.75" x14ac:dyDescent="0.3">
      <c r="A341" s="37" t="str">
        <f t="shared" si="116"/>
        <v>2015Mas des PatresLa Clape Mas Des Patres</v>
      </c>
      <c r="B341">
        <v>2015</v>
      </c>
      <c r="C341" t="s">
        <v>224</v>
      </c>
      <c r="D341" t="s">
        <v>225</v>
      </c>
      <c r="E341" t="s">
        <v>286</v>
      </c>
      <c r="F341" s="37" t="s">
        <v>742</v>
      </c>
      <c r="G341" s="37" t="s">
        <v>756</v>
      </c>
      <c r="H341" s="37" t="s">
        <v>757</v>
      </c>
      <c r="I341">
        <v>1</v>
      </c>
      <c r="J341">
        <v>750</v>
      </c>
      <c r="K341" t="s">
        <v>102</v>
      </c>
      <c r="L341" s="37">
        <f>SUMIF(Wine1!A:A,Drank!A341,Wine1!I:I)</f>
        <v>1</v>
      </c>
      <c r="M341">
        <v>2017</v>
      </c>
      <c r="N341">
        <v>2023</v>
      </c>
      <c r="O341">
        <v>2020</v>
      </c>
      <c r="P341">
        <v>2022</v>
      </c>
      <c r="Q341" t="s">
        <v>237</v>
      </c>
      <c r="R341">
        <v>92</v>
      </c>
      <c r="S341" s="7">
        <f>AVERAGEIF(A:A,A341,R:R)</f>
        <v>89.8</v>
      </c>
      <c r="T341" s="1">
        <v>43699</v>
      </c>
      <c r="U341" s="13" t="str">
        <f t="shared" si="114"/>
        <v>August</v>
      </c>
      <c r="V341" s="12">
        <f t="shared" si="115"/>
        <v>43699</v>
      </c>
      <c r="W341" s="2">
        <v>12.99</v>
      </c>
      <c r="X341">
        <v>0</v>
      </c>
      <c r="Y341" s="11">
        <f t="shared" si="111"/>
        <v>12.989999999999998</v>
      </c>
      <c r="Z341" s="109"/>
      <c r="AA341" s="37">
        <f>IF(Y341&gt;=Expenses!$C$32,4,IF(Y341&gt;=Expenses!$C$31,3,IF(Y341&gt;=Expenses!$C$30,2,1)))</f>
        <v>1</v>
      </c>
      <c r="AB341" s="37">
        <f t="shared" si="112"/>
        <v>1</v>
      </c>
      <c r="AC341" s="37" t="str">
        <f t="shared" si="113"/>
        <v>2019</v>
      </c>
    </row>
    <row r="342" spans="1:29" ht="18.75" x14ac:dyDescent="0.3">
      <c r="A342" s="37" t="str">
        <f t="shared" si="116"/>
        <v>2015AllegriniPalazzo della Torre</v>
      </c>
      <c r="B342">
        <v>2015</v>
      </c>
      <c r="C342" t="s">
        <v>111</v>
      </c>
      <c r="D342" t="s">
        <v>112</v>
      </c>
      <c r="E342" t="s">
        <v>262</v>
      </c>
      <c r="F342" s="37" t="s">
        <v>728</v>
      </c>
      <c r="G342" s="37" t="s">
        <v>799</v>
      </c>
      <c r="H342" s="37" t="s">
        <v>800</v>
      </c>
      <c r="I342">
        <v>1</v>
      </c>
      <c r="J342">
        <v>750</v>
      </c>
      <c r="K342" s="37" t="s">
        <v>648</v>
      </c>
      <c r="L342" s="37">
        <f>SUMIF(Wine1!A:A,Drank!A342,Wine1!I:I)</f>
        <v>6</v>
      </c>
      <c r="O342">
        <v>2019</v>
      </c>
      <c r="P342">
        <v>2024</v>
      </c>
      <c r="R342">
        <v>92</v>
      </c>
      <c r="S342" s="7">
        <f>AVERAGEIF(A:A,A342,R:R)</f>
        <v>90.909090909090907</v>
      </c>
      <c r="T342" s="1">
        <v>43699</v>
      </c>
      <c r="U342" s="13" t="str">
        <f t="shared" si="114"/>
        <v>August</v>
      </c>
      <c r="V342" s="12">
        <f t="shared" si="115"/>
        <v>43699</v>
      </c>
      <c r="W342" s="2">
        <v>17.989999999999998</v>
      </c>
      <c r="X342">
        <v>1</v>
      </c>
      <c r="Y342" s="11">
        <f t="shared" si="111"/>
        <v>17.989999999999998</v>
      </c>
      <c r="Z342" s="109"/>
      <c r="AA342" s="37">
        <f>IF(Y342&gt;=Expenses!$C$32,4,IF(Y342&gt;=Expenses!$C$31,3,IF(Y342&gt;=Expenses!$C$30,2,1)))</f>
        <v>2</v>
      </c>
      <c r="AB342" s="37">
        <f t="shared" si="112"/>
        <v>1</v>
      </c>
      <c r="AC342" s="37" t="str">
        <f t="shared" si="113"/>
        <v>2019</v>
      </c>
    </row>
    <row r="343" spans="1:29" ht="18.75" x14ac:dyDescent="0.3">
      <c r="A343" s="37" t="str">
        <f t="shared" si="116"/>
        <v>2010Cosimo TaurinoSalice Salentino Riserva</v>
      </c>
      <c r="B343">
        <v>2010</v>
      </c>
      <c r="C343" t="s">
        <v>56</v>
      </c>
      <c r="D343" t="s">
        <v>57</v>
      </c>
      <c r="E343" s="37" t="s">
        <v>1204</v>
      </c>
      <c r="F343" s="37" t="s">
        <v>728</v>
      </c>
      <c r="G343" s="37" t="s">
        <v>785</v>
      </c>
      <c r="H343" s="37" t="s">
        <v>769</v>
      </c>
      <c r="I343">
        <v>1</v>
      </c>
      <c r="J343">
        <v>750</v>
      </c>
      <c r="K343" t="s">
        <v>102</v>
      </c>
      <c r="L343" s="37">
        <f>SUMIF(Wine1!A:A,Drank!A343,Wine1!I:I)</f>
        <v>19</v>
      </c>
      <c r="O343">
        <v>2019</v>
      </c>
      <c r="P343">
        <v>2020</v>
      </c>
      <c r="R343">
        <v>89</v>
      </c>
      <c r="S343" s="7">
        <f>AVERAGEIF(A:A,A343,R:R)</f>
        <v>89.46875</v>
      </c>
      <c r="T343" s="1">
        <v>43697</v>
      </c>
      <c r="U343" s="13" t="str">
        <f t="shared" si="114"/>
        <v>August</v>
      </c>
      <c r="V343" s="12">
        <f t="shared" si="115"/>
        <v>43697</v>
      </c>
      <c r="W343" s="2">
        <v>11.69</v>
      </c>
      <c r="X343">
        <v>1</v>
      </c>
      <c r="Y343" s="11">
        <f t="shared" si="111"/>
        <v>11.69</v>
      </c>
      <c r="Z343" s="109"/>
      <c r="AA343" s="37">
        <f>IF(Y343&gt;=Expenses!$C$32,4,IF(Y343&gt;=Expenses!$C$31,3,IF(Y343&gt;=Expenses!$C$30,2,1)))</f>
        <v>1</v>
      </c>
      <c r="AB343" s="37">
        <f t="shared" si="112"/>
        <v>1</v>
      </c>
      <c r="AC343" s="37" t="str">
        <f t="shared" si="113"/>
        <v>2019</v>
      </c>
    </row>
    <row r="344" spans="1:29" ht="18.75" x14ac:dyDescent="0.3">
      <c r="A344" s="37" t="str">
        <f t="shared" si="116"/>
        <v>2015Produttori del BarbarescoBarbaresco</v>
      </c>
      <c r="B344">
        <v>2015</v>
      </c>
      <c r="C344" t="s">
        <v>248</v>
      </c>
      <c r="D344" t="s">
        <v>249</v>
      </c>
      <c r="E344" t="s">
        <v>249</v>
      </c>
      <c r="F344" s="37" t="s">
        <v>728</v>
      </c>
      <c r="G344" s="37" t="s">
        <v>778</v>
      </c>
      <c r="H344" s="37" t="s">
        <v>249</v>
      </c>
      <c r="I344">
        <v>1</v>
      </c>
      <c r="J344">
        <v>750</v>
      </c>
      <c r="K344" t="s">
        <v>649</v>
      </c>
      <c r="L344" s="37">
        <f>SUMIF(Wine1!A:A,Drank!A344,Wine1!I:I)</f>
        <v>5</v>
      </c>
      <c r="M344">
        <v>2020</v>
      </c>
      <c r="N344">
        <v>2038</v>
      </c>
      <c r="O344">
        <v>2023</v>
      </c>
      <c r="P344">
        <v>2034</v>
      </c>
      <c r="R344">
        <v>93</v>
      </c>
      <c r="S344" s="7">
        <f>AVERAGEIF(A:A,A344,R:R)</f>
        <v>93.5</v>
      </c>
      <c r="T344" s="1">
        <v>43695</v>
      </c>
      <c r="U344" s="13" t="str">
        <f t="shared" si="114"/>
        <v>August</v>
      </c>
      <c r="V344" s="12">
        <f t="shared" si="115"/>
        <v>43695</v>
      </c>
      <c r="W344" s="2">
        <v>35.99</v>
      </c>
      <c r="X344">
        <v>1</v>
      </c>
      <c r="Y344" s="11">
        <f t="shared" si="111"/>
        <v>35.99</v>
      </c>
      <c r="Z344" s="109"/>
      <c r="AA344" s="37">
        <f>IF(Y344&gt;=Expenses!$C$32,4,IF(Y344&gt;=Expenses!$C$31,3,IF(Y344&gt;=Expenses!$C$30,2,1)))</f>
        <v>3</v>
      </c>
      <c r="AB344" s="37">
        <f t="shared" si="112"/>
        <v>1</v>
      </c>
      <c r="AC344" s="37" t="str">
        <f t="shared" si="113"/>
        <v>2019</v>
      </c>
    </row>
    <row r="345" spans="1:29" ht="18.75" x14ac:dyDescent="0.3">
      <c r="A345" s="37" t="str">
        <f t="shared" si="116"/>
        <v>2017Domaine de l'AmandineCotes du Rhone Villages Seguret</v>
      </c>
      <c r="B345">
        <v>2017</v>
      </c>
      <c r="C345" t="s">
        <v>361</v>
      </c>
      <c r="D345" t="s">
        <v>362</v>
      </c>
      <c r="E345" t="s">
        <v>286</v>
      </c>
      <c r="F345" s="37" t="s">
        <v>742</v>
      </c>
      <c r="G345" s="37" t="s">
        <v>759</v>
      </c>
      <c r="H345" s="37" t="s">
        <v>760</v>
      </c>
      <c r="I345">
        <v>1</v>
      </c>
      <c r="J345">
        <v>750</v>
      </c>
      <c r="K345" t="s">
        <v>236</v>
      </c>
      <c r="L345" s="37">
        <f>SUMIF(Wine1!A:A,Drank!A345,Wine1!I:I)</f>
        <v>20</v>
      </c>
      <c r="M345">
        <v>2018</v>
      </c>
      <c r="N345">
        <v>2025</v>
      </c>
      <c r="O345">
        <v>2020</v>
      </c>
      <c r="P345">
        <v>2024</v>
      </c>
      <c r="Q345">
        <v>93</v>
      </c>
      <c r="R345">
        <v>93</v>
      </c>
      <c r="S345" s="7">
        <f>AVERAGEIF(A:A,A345,R:R)</f>
        <v>92.470588235294116</v>
      </c>
      <c r="T345" s="1">
        <v>43695</v>
      </c>
      <c r="U345" s="13" t="str">
        <f t="shared" si="114"/>
        <v>August</v>
      </c>
      <c r="V345" s="12">
        <f t="shared" si="115"/>
        <v>43695</v>
      </c>
      <c r="W345" s="2">
        <v>14.99</v>
      </c>
      <c r="X345">
        <v>1</v>
      </c>
      <c r="Y345" s="11">
        <f t="shared" si="111"/>
        <v>14.99</v>
      </c>
      <c r="Z345" s="109"/>
      <c r="AA345" s="37">
        <f>IF(Y345&gt;=Expenses!$C$32,4,IF(Y345&gt;=Expenses!$C$31,3,IF(Y345&gt;=Expenses!$C$30,2,1)))</f>
        <v>1</v>
      </c>
      <c r="AB345" s="37">
        <f t="shared" si="112"/>
        <v>1</v>
      </c>
      <c r="AC345" s="37" t="str">
        <f t="shared" si="113"/>
        <v>2019</v>
      </c>
    </row>
    <row r="346" spans="1:29" ht="18.75" x14ac:dyDescent="0.3">
      <c r="A346" s="37" t="str">
        <f t="shared" si="116"/>
        <v>2015Tenuta di NozzoleChianti Classico Riserva Nozzole</v>
      </c>
      <c r="B346">
        <v>2015</v>
      </c>
      <c r="C346" t="s">
        <v>100</v>
      </c>
      <c r="D346" t="s">
        <v>101</v>
      </c>
      <c r="E346" t="s">
        <v>310</v>
      </c>
      <c r="F346" s="37" t="s">
        <v>728</v>
      </c>
      <c r="G346" s="37" t="s">
        <v>790</v>
      </c>
      <c r="H346" s="37" t="s">
        <v>792</v>
      </c>
      <c r="I346">
        <v>1</v>
      </c>
      <c r="J346">
        <v>750</v>
      </c>
      <c r="K346" t="s">
        <v>649</v>
      </c>
      <c r="L346" s="37">
        <f>SUMIF(Wine1!A:A,Drank!A346,Wine1!I:I)</f>
        <v>4</v>
      </c>
      <c r="M346">
        <v>2018</v>
      </c>
      <c r="N346">
        <v>2028</v>
      </c>
      <c r="O346">
        <v>2019</v>
      </c>
      <c r="P346">
        <v>2028</v>
      </c>
      <c r="Q346">
        <v>92</v>
      </c>
      <c r="R346">
        <v>91</v>
      </c>
      <c r="S346" s="7">
        <f>AVERAGEIF(A:A,A346,R:R)</f>
        <v>91</v>
      </c>
      <c r="T346" s="1">
        <v>43693</v>
      </c>
      <c r="U346" s="13" t="str">
        <f t="shared" si="114"/>
        <v>August</v>
      </c>
      <c r="V346" s="12">
        <f t="shared" si="115"/>
        <v>43693</v>
      </c>
      <c r="W346" s="2">
        <v>17.59</v>
      </c>
      <c r="X346">
        <v>2</v>
      </c>
      <c r="Y346" s="11">
        <f t="shared" si="111"/>
        <v>17.59</v>
      </c>
      <c r="Z346" s="109"/>
      <c r="AA346" s="37">
        <f>IF(Y346&gt;=Expenses!$C$32,4,IF(Y346&gt;=Expenses!$C$31,3,IF(Y346&gt;=Expenses!$C$30,2,1)))</f>
        <v>2</v>
      </c>
      <c r="AB346" s="37">
        <f t="shared" si="112"/>
        <v>1</v>
      </c>
      <c r="AC346" s="37" t="str">
        <f t="shared" si="113"/>
        <v>2019</v>
      </c>
    </row>
    <row r="347" spans="1:29" ht="18.75" x14ac:dyDescent="0.3">
      <c r="A347" s="37" t="str">
        <f t="shared" si="116"/>
        <v>2016Teruzzi &amp; PuthodTerre di Tufi</v>
      </c>
      <c r="B347">
        <v>2016</v>
      </c>
      <c r="C347" t="s">
        <v>378</v>
      </c>
      <c r="D347" t="s">
        <v>379</v>
      </c>
      <c r="E347" t="s">
        <v>382</v>
      </c>
      <c r="F347" s="37" t="s">
        <v>728</v>
      </c>
      <c r="G347" s="37" t="s">
        <v>790</v>
      </c>
      <c r="H347" s="37" t="s">
        <v>808</v>
      </c>
      <c r="I347">
        <v>1</v>
      </c>
      <c r="J347">
        <v>750</v>
      </c>
      <c r="K347" t="s">
        <v>58</v>
      </c>
      <c r="L347" s="37">
        <f>SUMIF(Wine1!A:A,Drank!A347,Wine1!I:I)</f>
        <v>0</v>
      </c>
      <c r="O347">
        <v>2019</v>
      </c>
      <c r="P347">
        <v>2022</v>
      </c>
      <c r="R347">
        <v>91</v>
      </c>
      <c r="S347" s="7">
        <f>AVERAGEIF(A:A,A347,R:R)</f>
        <v>90.375</v>
      </c>
      <c r="T347" s="1">
        <v>43693</v>
      </c>
      <c r="U347" s="13" t="str">
        <f t="shared" si="114"/>
        <v>August</v>
      </c>
      <c r="V347" s="12">
        <f t="shared" si="115"/>
        <v>43693</v>
      </c>
      <c r="W347" s="2">
        <v>10.72</v>
      </c>
      <c r="X347">
        <v>0</v>
      </c>
      <c r="Y347" s="11">
        <f t="shared" si="111"/>
        <v>10.72</v>
      </c>
      <c r="Z347" s="109"/>
      <c r="AA347" s="37">
        <f>IF(Y347&gt;=Expenses!$C$32,4,IF(Y347&gt;=Expenses!$C$31,3,IF(Y347&gt;=Expenses!$C$30,2,1)))</f>
        <v>1</v>
      </c>
      <c r="AB347" s="37">
        <f t="shared" si="112"/>
        <v>1</v>
      </c>
      <c r="AC347" s="37" t="str">
        <f t="shared" si="113"/>
        <v>2019</v>
      </c>
    </row>
    <row r="348" spans="1:29" ht="18.75" x14ac:dyDescent="0.3">
      <c r="A348" s="37" t="str">
        <f t="shared" si="116"/>
        <v>2015Tenuta di NozzoleChianti Classico Riserva Nozzole</v>
      </c>
      <c r="B348">
        <v>2015</v>
      </c>
      <c r="C348" t="s">
        <v>100</v>
      </c>
      <c r="D348" t="s">
        <v>101</v>
      </c>
      <c r="E348" t="s">
        <v>310</v>
      </c>
      <c r="F348" s="37" t="s">
        <v>728</v>
      </c>
      <c r="G348" s="37" t="s">
        <v>790</v>
      </c>
      <c r="H348" s="37" t="s">
        <v>792</v>
      </c>
      <c r="I348">
        <v>1</v>
      </c>
      <c r="J348">
        <v>750</v>
      </c>
      <c r="K348" t="s">
        <v>649</v>
      </c>
      <c r="L348" s="37">
        <f>SUMIF(Wine1!A:A,Drank!A348,Wine1!I:I)</f>
        <v>4</v>
      </c>
      <c r="M348">
        <v>2018</v>
      </c>
      <c r="N348">
        <v>2028</v>
      </c>
      <c r="O348">
        <v>2019</v>
      </c>
      <c r="P348">
        <v>2028</v>
      </c>
      <c r="Q348">
        <v>92</v>
      </c>
      <c r="R348">
        <v>91</v>
      </c>
      <c r="S348" s="7">
        <f>AVERAGEIF(A:A,A348,R:R)</f>
        <v>91</v>
      </c>
      <c r="T348" s="1">
        <v>43693</v>
      </c>
      <c r="U348" s="13" t="str">
        <f t="shared" si="114"/>
        <v>August</v>
      </c>
      <c r="V348" s="12">
        <f t="shared" si="115"/>
        <v>43693</v>
      </c>
      <c r="W348" s="2">
        <v>17.59</v>
      </c>
      <c r="X348">
        <v>1</v>
      </c>
      <c r="Y348" s="11">
        <f t="shared" si="111"/>
        <v>17.59</v>
      </c>
      <c r="Z348" s="109"/>
      <c r="AA348" s="37">
        <f>IF(Y348&gt;=Expenses!$C$32,4,IF(Y348&gt;=Expenses!$C$31,3,IF(Y348&gt;=Expenses!$C$30,2,1)))</f>
        <v>2</v>
      </c>
      <c r="AB348" s="37">
        <f t="shared" si="112"/>
        <v>1</v>
      </c>
      <c r="AC348" s="37" t="str">
        <f t="shared" si="113"/>
        <v>2019</v>
      </c>
    </row>
    <row r="349" spans="1:29" ht="18.75" x14ac:dyDescent="0.3">
      <c r="A349" s="37" t="str">
        <f t="shared" si="116"/>
        <v>2016San AlejandroLas Rocas</v>
      </c>
      <c r="B349">
        <v>2016</v>
      </c>
      <c r="C349" t="s">
        <v>152</v>
      </c>
      <c r="D349" t="s">
        <v>153</v>
      </c>
      <c r="E349" t="s">
        <v>284</v>
      </c>
      <c r="F349" s="37" t="s">
        <v>729</v>
      </c>
      <c r="G349" s="37" t="s">
        <v>811</v>
      </c>
      <c r="H349" s="37" t="s">
        <v>812</v>
      </c>
      <c r="I349">
        <v>1</v>
      </c>
      <c r="J349">
        <v>750</v>
      </c>
      <c r="K349" t="s">
        <v>58</v>
      </c>
      <c r="L349" s="37">
        <f>SUMIF(Wine1!A:A,Drank!A349,Wine1!I:I)</f>
        <v>4</v>
      </c>
      <c r="M349">
        <v>2019</v>
      </c>
      <c r="N349">
        <v>2021</v>
      </c>
      <c r="O349">
        <v>2019</v>
      </c>
      <c r="P349">
        <v>2020</v>
      </c>
      <c r="Q349">
        <v>89</v>
      </c>
      <c r="R349">
        <v>89</v>
      </c>
      <c r="S349" s="7">
        <f>AVERAGEIF(A:A,A349,R:R)</f>
        <v>88.944444444444443</v>
      </c>
      <c r="T349" s="1">
        <v>43688</v>
      </c>
      <c r="U349" s="13" t="str">
        <f t="shared" si="114"/>
        <v>August</v>
      </c>
      <c r="V349" s="12">
        <f t="shared" si="115"/>
        <v>43688</v>
      </c>
      <c r="W349" s="2">
        <v>8.99</v>
      </c>
      <c r="X349">
        <v>0</v>
      </c>
      <c r="Y349" s="11">
        <f t="shared" si="111"/>
        <v>8.99</v>
      </c>
      <c r="Z349" s="109"/>
      <c r="AA349" s="37">
        <f>IF(Y349&gt;=Expenses!$C$32,4,IF(Y349&gt;=Expenses!$C$31,3,IF(Y349&gt;=Expenses!$C$30,2,1)))</f>
        <v>1</v>
      </c>
      <c r="AB349" s="37">
        <f t="shared" si="112"/>
        <v>1</v>
      </c>
      <c r="AC349" s="37" t="str">
        <f t="shared" si="113"/>
        <v>2019</v>
      </c>
    </row>
    <row r="350" spans="1:29" ht="18.75" x14ac:dyDescent="0.3">
      <c r="A350" s="37" t="str">
        <f t="shared" si="116"/>
        <v>2010Cosimo TaurinoSalice Salentino Riserva</v>
      </c>
      <c r="B350">
        <v>2010</v>
      </c>
      <c r="C350" t="s">
        <v>56</v>
      </c>
      <c r="D350" t="s">
        <v>57</v>
      </c>
      <c r="E350" s="37" t="s">
        <v>1204</v>
      </c>
      <c r="F350" s="37" t="s">
        <v>728</v>
      </c>
      <c r="G350" s="37" t="s">
        <v>785</v>
      </c>
      <c r="H350" s="37" t="s">
        <v>769</v>
      </c>
      <c r="I350">
        <v>1</v>
      </c>
      <c r="J350">
        <v>750</v>
      </c>
      <c r="K350" t="s">
        <v>58</v>
      </c>
      <c r="L350" s="37">
        <f>SUMIF(Wine1!A:A,Drank!A350,Wine1!I:I)</f>
        <v>19</v>
      </c>
      <c r="O350">
        <v>2019</v>
      </c>
      <c r="P350">
        <v>2020</v>
      </c>
      <c r="R350">
        <v>90</v>
      </c>
      <c r="S350" s="7">
        <f>AVERAGEIF(A:A,A350,R:R)</f>
        <v>89.46875</v>
      </c>
      <c r="T350" s="1">
        <v>43684</v>
      </c>
      <c r="U350" s="13" t="str">
        <f t="shared" si="114"/>
        <v>August</v>
      </c>
      <c r="V350" s="12">
        <f t="shared" si="115"/>
        <v>43684</v>
      </c>
      <c r="W350" s="2">
        <v>11.69</v>
      </c>
      <c r="X350">
        <v>0</v>
      </c>
      <c r="Y350" s="11">
        <f t="shared" si="111"/>
        <v>11.69</v>
      </c>
      <c r="Z350" s="109"/>
      <c r="AA350" s="37">
        <f>IF(Y350&gt;=Expenses!$C$32,4,IF(Y350&gt;=Expenses!$C$31,3,IF(Y350&gt;=Expenses!$C$30,2,1)))</f>
        <v>1</v>
      </c>
      <c r="AB350" s="37">
        <f t="shared" si="112"/>
        <v>1</v>
      </c>
      <c r="AC350" s="37" t="str">
        <f t="shared" si="113"/>
        <v>2019</v>
      </c>
    </row>
    <row r="351" spans="1:29" ht="18.75" x14ac:dyDescent="0.3">
      <c r="A351" s="37" t="str">
        <f t="shared" si="116"/>
        <v>2015Diez-CaballeroCrianza</v>
      </c>
      <c r="B351">
        <v>2015</v>
      </c>
      <c r="C351" t="s">
        <v>1216</v>
      </c>
      <c r="D351" t="s">
        <v>108</v>
      </c>
      <c r="E351" t="s">
        <v>276</v>
      </c>
      <c r="F351" s="37" t="s">
        <v>729</v>
      </c>
      <c r="G351" s="37" t="s">
        <v>823</v>
      </c>
      <c r="I351">
        <v>1</v>
      </c>
      <c r="J351">
        <v>750</v>
      </c>
      <c r="K351" t="s">
        <v>213</v>
      </c>
      <c r="L351" s="37">
        <f>SUMIF(Wine1!A:A,Drank!A351,Wine1!I:I)</f>
        <v>4</v>
      </c>
      <c r="M351">
        <v>2018</v>
      </c>
      <c r="N351">
        <v>2022</v>
      </c>
      <c r="O351">
        <v>2019</v>
      </c>
      <c r="P351">
        <v>2021</v>
      </c>
      <c r="Q351">
        <v>92</v>
      </c>
      <c r="R351">
        <v>90</v>
      </c>
      <c r="S351" s="7">
        <f>AVERAGEIF(A:A,A351,R:R)</f>
        <v>91.235294117647058</v>
      </c>
      <c r="T351" s="1">
        <v>43684</v>
      </c>
      <c r="U351" s="13" t="str">
        <f t="shared" si="114"/>
        <v>August</v>
      </c>
      <c r="V351" s="12">
        <f t="shared" si="115"/>
        <v>43684</v>
      </c>
      <c r="W351" s="2">
        <v>14</v>
      </c>
      <c r="X351">
        <v>0</v>
      </c>
      <c r="Y351" s="11">
        <f t="shared" si="111"/>
        <v>14.000000000000002</v>
      </c>
      <c r="Z351" s="109"/>
      <c r="AA351" s="37">
        <f>IF(Y351&gt;=Expenses!$C$32,4,IF(Y351&gt;=Expenses!$C$31,3,IF(Y351&gt;=Expenses!$C$30,2,1)))</f>
        <v>1</v>
      </c>
      <c r="AB351" s="37">
        <f t="shared" si="112"/>
        <v>1</v>
      </c>
      <c r="AC351" s="37" t="str">
        <f t="shared" si="113"/>
        <v>2019</v>
      </c>
    </row>
    <row r="352" spans="1:29" ht="18.75" x14ac:dyDescent="0.3">
      <c r="A352" s="37" t="str">
        <f t="shared" si="116"/>
        <v>2016San AlejandroLas Rocas</v>
      </c>
      <c r="B352">
        <v>2016</v>
      </c>
      <c r="C352" t="s">
        <v>152</v>
      </c>
      <c r="D352" t="s">
        <v>153</v>
      </c>
      <c r="E352" t="s">
        <v>284</v>
      </c>
      <c r="F352" s="37" t="s">
        <v>729</v>
      </c>
      <c r="G352" s="37" t="s">
        <v>811</v>
      </c>
      <c r="H352" s="37" t="s">
        <v>812</v>
      </c>
      <c r="I352">
        <v>1</v>
      </c>
      <c r="J352">
        <v>750</v>
      </c>
      <c r="K352" t="s">
        <v>58</v>
      </c>
      <c r="L352" s="37">
        <f>SUMIF(Wine1!A:A,Drank!A352,Wine1!I:I)</f>
        <v>4</v>
      </c>
      <c r="M352">
        <v>2019</v>
      </c>
      <c r="N352">
        <v>2021</v>
      </c>
      <c r="O352">
        <v>2019</v>
      </c>
      <c r="P352">
        <v>2020</v>
      </c>
      <c r="Q352">
        <v>89</v>
      </c>
      <c r="R352">
        <v>89</v>
      </c>
      <c r="S352" s="7">
        <f>AVERAGEIF(A:A,A352,R:R)</f>
        <v>88.944444444444443</v>
      </c>
      <c r="T352" s="1">
        <v>43683</v>
      </c>
      <c r="U352" s="13" t="str">
        <f t="shared" si="114"/>
        <v>August</v>
      </c>
      <c r="V352" s="12">
        <f t="shared" si="115"/>
        <v>43683</v>
      </c>
      <c r="W352" s="2">
        <v>8.99</v>
      </c>
      <c r="X352">
        <v>0</v>
      </c>
      <c r="Y352" s="11">
        <f t="shared" si="111"/>
        <v>8.99</v>
      </c>
      <c r="Z352" s="109"/>
      <c r="AA352" s="37">
        <f>IF(Y352&gt;=Expenses!$C$32,4,IF(Y352&gt;=Expenses!$C$31,3,IF(Y352&gt;=Expenses!$C$30,2,1)))</f>
        <v>1</v>
      </c>
      <c r="AB352" s="37">
        <f t="shared" si="112"/>
        <v>1</v>
      </c>
      <c r="AC352" s="37" t="str">
        <f t="shared" si="113"/>
        <v>2019</v>
      </c>
    </row>
    <row r="353" spans="1:29" ht="18.75" x14ac:dyDescent="0.3">
      <c r="A353" s="37" t="str">
        <f t="shared" si="116"/>
        <v>2014AllegriniAmarone della Valpolicella Classico</v>
      </c>
      <c r="B353">
        <v>2014</v>
      </c>
      <c r="C353" t="s">
        <v>111</v>
      </c>
      <c r="D353" t="s">
        <v>26</v>
      </c>
      <c r="E353" t="s">
        <v>313</v>
      </c>
      <c r="F353" s="37" t="s">
        <v>728</v>
      </c>
      <c r="G353" s="37" t="s">
        <v>799</v>
      </c>
      <c r="H353" s="37" t="s">
        <v>800</v>
      </c>
      <c r="I353">
        <v>1</v>
      </c>
      <c r="J353">
        <v>750</v>
      </c>
      <c r="K353" t="s">
        <v>649</v>
      </c>
      <c r="L353" s="37">
        <f>SUMIF(Wine1!A:A,Drank!A353,Wine1!I:I)</f>
        <v>2</v>
      </c>
      <c r="O353">
        <v>2025</v>
      </c>
      <c r="P353">
        <v>2032</v>
      </c>
      <c r="R353">
        <v>94</v>
      </c>
      <c r="S353" s="7">
        <f>AVERAGEIF(A:A,A353,R:R)</f>
        <v>94</v>
      </c>
      <c r="T353" s="1">
        <v>43681</v>
      </c>
      <c r="U353" s="13" t="str">
        <f t="shared" si="114"/>
        <v>August</v>
      </c>
      <c r="V353" s="12">
        <f t="shared" si="115"/>
        <v>43681</v>
      </c>
      <c r="W353" s="2">
        <v>59.99</v>
      </c>
      <c r="X353">
        <v>1</v>
      </c>
      <c r="Y353" s="11">
        <f t="shared" si="111"/>
        <v>59.989999999999995</v>
      </c>
      <c r="Z353" s="109"/>
      <c r="AA353" s="37">
        <f>IF(Y353&gt;=Expenses!$C$32,4,IF(Y353&gt;=Expenses!$C$31,3,IF(Y353&gt;=Expenses!$C$30,2,1)))</f>
        <v>3</v>
      </c>
      <c r="AB353" s="37">
        <f t="shared" si="112"/>
        <v>1</v>
      </c>
      <c r="AC353" s="37" t="str">
        <f t="shared" si="113"/>
        <v>2019</v>
      </c>
    </row>
    <row r="354" spans="1:29" ht="18.75" x14ac:dyDescent="0.3">
      <c r="A354" s="37" t="str">
        <f t="shared" si="116"/>
        <v>2015AllegriniPalazzo della Torre</v>
      </c>
      <c r="B354">
        <v>2015</v>
      </c>
      <c r="C354" t="s">
        <v>111</v>
      </c>
      <c r="D354" t="s">
        <v>112</v>
      </c>
      <c r="E354" t="s">
        <v>262</v>
      </c>
      <c r="F354" s="37" t="s">
        <v>728</v>
      </c>
      <c r="G354" s="37" t="s">
        <v>799</v>
      </c>
      <c r="H354" s="37" t="s">
        <v>800</v>
      </c>
      <c r="I354">
        <v>1</v>
      </c>
      <c r="J354">
        <v>750</v>
      </c>
      <c r="K354" t="s">
        <v>649</v>
      </c>
      <c r="L354" s="37">
        <f>SUMIF(Wine1!A:A,Drank!A354,Wine1!I:I)</f>
        <v>6</v>
      </c>
      <c r="O354">
        <v>2019</v>
      </c>
      <c r="P354">
        <v>2022</v>
      </c>
      <c r="R354">
        <v>91</v>
      </c>
      <c r="S354" s="7">
        <f>AVERAGEIF(A:A,A354,R:R)</f>
        <v>90.909090909090907</v>
      </c>
      <c r="T354" s="1">
        <v>43681</v>
      </c>
      <c r="U354" s="13" t="str">
        <f t="shared" si="114"/>
        <v>August</v>
      </c>
      <c r="V354" s="12">
        <f t="shared" si="115"/>
        <v>43681</v>
      </c>
      <c r="W354" s="2">
        <v>15.99</v>
      </c>
      <c r="X354">
        <v>1</v>
      </c>
      <c r="Y354" s="11">
        <f t="shared" si="111"/>
        <v>15.989999999999998</v>
      </c>
      <c r="Z354" s="109"/>
      <c r="AA354" s="37">
        <f>IF(Y354&gt;=Expenses!$C$32,4,IF(Y354&gt;=Expenses!$C$31,3,IF(Y354&gt;=Expenses!$C$30,2,1)))</f>
        <v>1</v>
      </c>
      <c r="AB354" s="37">
        <f t="shared" si="112"/>
        <v>1</v>
      </c>
      <c r="AC354" s="37" t="str">
        <f t="shared" si="113"/>
        <v>2019</v>
      </c>
    </row>
    <row r="355" spans="1:29" ht="18.75" x14ac:dyDescent="0.3">
      <c r="A355" s="37" t="str">
        <f t="shared" si="116"/>
        <v>2010Francis Ford Coppola WineryProprietary Red Eleanor</v>
      </c>
      <c r="B355">
        <v>2010</v>
      </c>
      <c r="C355" t="s">
        <v>49</v>
      </c>
      <c r="D355" t="s">
        <v>50</v>
      </c>
      <c r="E355" t="s">
        <v>278</v>
      </c>
      <c r="F355" s="37" t="s">
        <v>727</v>
      </c>
      <c r="G355" s="37" t="s">
        <v>806</v>
      </c>
      <c r="H355" s="37" t="s">
        <v>831</v>
      </c>
      <c r="I355">
        <v>1</v>
      </c>
      <c r="J355">
        <v>750</v>
      </c>
      <c r="K355" t="s">
        <v>102</v>
      </c>
      <c r="L355" s="37">
        <f>SUMIF(Wine1!A:A,Drank!A355,Wine1!I:I)</f>
        <v>0</v>
      </c>
      <c r="M355">
        <v>2013</v>
      </c>
      <c r="N355">
        <v>2023</v>
      </c>
      <c r="P355">
        <v>2021</v>
      </c>
      <c r="Q355">
        <v>89</v>
      </c>
      <c r="R355">
        <v>90</v>
      </c>
      <c r="S355" s="7">
        <f>AVERAGEIF(A:A,A355,R:R)</f>
        <v>90</v>
      </c>
      <c r="T355" s="1">
        <v>43679</v>
      </c>
      <c r="U355" s="13" t="str">
        <f t="shared" si="114"/>
        <v>August</v>
      </c>
      <c r="V355" s="12">
        <f t="shared" si="115"/>
        <v>43679</v>
      </c>
      <c r="W355" s="2">
        <v>50</v>
      </c>
      <c r="X355">
        <v>0</v>
      </c>
      <c r="Y355" s="11">
        <f t="shared" si="111"/>
        <v>50</v>
      </c>
      <c r="Z355" s="109"/>
      <c r="AA355" s="37">
        <f>IF(Y355&gt;=Expenses!$C$32,4,IF(Y355&gt;=Expenses!$C$31,3,IF(Y355&gt;=Expenses!$C$30,2,1)))</f>
        <v>3</v>
      </c>
      <c r="AB355" s="37">
        <f t="shared" si="112"/>
        <v>1</v>
      </c>
      <c r="AC355" s="37" t="str">
        <f t="shared" si="113"/>
        <v>2019</v>
      </c>
    </row>
    <row r="356" spans="1:29" ht="18.75" x14ac:dyDescent="0.3">
      <c r="A356" s="37" t="str">
        <f t="shared" si="116"/>
        <v>2009NicolisAmarone della Valpolicella Classico</v>
      </c>
      <c r="B356">
        <v>2009</v>
      </c>
      <c r="C356" t="s">
        <v>44</v>
      </c>
      <c r="D356" t="s">
        <v>26</v>
      </c>
      <c r="E356" t="s">
        <v>313</v>
      </c>
      <c r="F356" s="37" t="s">
        <v>728</v>
      </c>
      <c r="G356" s="37" t="s">
        <v>799</v>
      </c>
      <c r="H356" s="37" t="s">
        <v>800</v>
      </c>
      <c r="I356">
        <v>1</v>
      </c>
      <c r="J356">
        <v>750</v>
      </c>
      <c r="K356" t="s">
        <v>11</v>
      </c>
      <c r="L356" s="37">
        <f>SUMIF(Wine1!A:A,Drank!A356,Wine1!I:I)</f>
        <v>0</v>
      </c>
      <c r="P356">
        <v>2020</v>
      </c>
      <c r="R356">
        <v>89</v>
      </c>
      <c r="S356" s="7">
        <f>AVERAGEIF(A:A,A356,R:R)</f>
        <v>89.5</v>
      </c>
      <c r="T356" s="1">
        <v>43673</v>
      </c>
      <c r="U356" s="13" t="str">
        <f t="shared" si="114"/>
        <v>July</v>
      </c>
      <c r="V356" s="12">
        <f t="shared" si="115"/>
        <v>43673</v>
      </c>
      <c r="W356" s="2">
        <v>40</v>
      </c>
      <c r="X356">
        <v>3.2</v>
      </c>
      <c r="Y356" s="11">
        <f t="shared" si="111"/>
        <v>40</v>
      </c>
      <c r="Z356" s="109"/>
      <c r="AA356" s="37">
        <f>IF(Y356&gt;=Expenses!$C$32,4,IF(Y356&gt;=Expenses!$C$31,3,IF(Y356&gt;=Expenses!$C$30,2,1)))</f>
        <v>3</v>
      </c>
      <c r="AB356" s="37">
        <f t="shared" si="112"/>
        <v>1</v>
      </c>
      <c r="AC356" s="37" t="str">
        <f t="shared" si="113"/>
        <v>2019</v>
      </c>
    </row>
    <row r="357" spans="1:29" ht="18.75" x14ac:dyDescent="0.3">
      <c r="A357" s="37" t="str">
        <f t="shared" si="116"/>
        <v>2008La MannellaBrunello di Montalcino</v>
      </c>
      <c r="B357">
        <v>2008</v>
      </c>
      <c r="C357" t="s">
        <v>30</v>
      </c>
      <c r="D357" t="s">
        <v>19</v>
      </c>
      <c r="E357" t="s">
        <v>266</v>
      </c>
      <c r="F357" s="37" t="s">
        <v>728</v>
      </c>
      <c r="G357" s="37" t="s">
        <v>790</v>
      </c>
      <c r="H357" s="37" t="s">
        <v>19</v>
      </c>
      <c r="I357">
        <v>1</v>
      </c>
      <c r="J357">
        <v>750</v>
      </c>
      <c r="K357" t="s">
        <v>11</v>
      </c>
      <c r="L357" s="37">
        <f>SUMIF(Wine1!A:A,Drank!A357,Wine1!I:I)</f>
        <v>0</v>
      </c>
      <c r="M357">
        <v>2013</v>
      </c>
      <c r="N357">
        <v>2018</v>
      </c>
      <c r="O357" t="s">
        <v>238</v>
      </c>
      <c r="P357">
        <v>2021</v>
      </c>
      <c r="Q357">
        <v>88</v>
      </c>
      <c r="R357">
        <v>89</v>
      </c>
      <c r="S357" s="7">
        <f>AVERAGEIF(A:A,A357,R:R)</f>
        <v>89</v>
      </c>
      <c r="T357" s="1">
        <v>43672</v>
      </c>
      <c r="U357" s="13" t="str">
        <f t="shared" si="114"/>
        <v>July</v>
      </c>
      <c r="V357" s="12">
        <f t="shared" si="115"/>
        <v>43672</v>
      </c>
      <c r="W357" s="2">
        <v>75</v>
      </c>
      <c r="X357" t="s">
        <v>298</v>
      </c>
      <c r="Y357" s="11">
        <f t="shared" si="111"/>
        <v>75</v>
      </c>
      <c r="Z357" s="109"/>
      <c r="AA357" s="37">
        <f>IF(Y357&gt;=Expenses!$C$32,4,IF(Y357&gt;=Expenses!$C$31,3,IF(Y357&gt;=Expenses!$C$30,2,1)))</f>
        <v>4</v>
      </c>
      <c r="AB357" s="37">
        <f t="shared" si="112"/>
        <v>1</v>
      </c>
      <c r="AC357" s="37" t="str">
        <f t="shared" si="113"/>
        <v>2019</v>
      </c>
    </row>
    <row r="358" spans="1:29" ht="18.75" x14ac:dyDescent="0.3">
      <c r="A358" s="37" t="str">
        <f t="shared" si="116"/>
        <v>2016RombauerZinfandel</v>
      </c>
      <c r="B358">
        <v>2016</v>
      </c>
      <c r="C358" t="s">
        <v>150</v>
      </c>
      <c r="D358" t="s">
        <v>151</v>
      </c>
      <c r="E358" t="s">
        <v>151</v>
      </c>
      <c r="F358" s="37" t="s">
        <v>727</v>
      </c>
      <c r="G358" s="37" t="s">
        <v>806</v>
      </c>
      <c r="H358" s="37" t="s">
        <v>832</v>
      </c>
      <c r="I358">
        <v>1</v>
      </c>
      <c r="J358">
        <v>750</v>
      </c>
      <c r="K358" t="s">
        <v>25</v>
      </c>
      <c r="L358" s="37">
        <f>SUMIF(Wine1!A:A,Drank!A358,Wine1!I:I)</f>
        <v>0</v>
      </c>
      <c r="M358">
        <v>2019</v>
      </c>
      <c r="N358">
        <v>2025</v>
      </c>
      <c r="P358">
        <v>2027</v>
      </c>
      <c r="Q358">
        <v>90</v>
      </c>
      <c r="R358">
        <v>89</v>
      </c>
      <c r="S358" s="7">
        <f>AVERAGEIF(A:A,A358,R:R)</f>
        <v>89</v>
      </c>
      <c r="T358" s="1">
        <v>43667</v>
      </c>
      <c r="U358" s="13" t="str">
        <f t="shared" si="114"/>
        <v>July</v>
      </c>
      <c r="V358" s="12">
        <f t="shared" si="115"/>
        <v>43667</v>
      </c>
      <c r="W358" s="2">
        <v>35</v>
      </c>
      <c r="X358" t="s">
        <v>298</v>
      </c>
      <c r="Y358" s="11">
        <f t="shared" si="111"/>
        <v>35</v>
      </c>
      <c r="Z358" s="109"/>
      <c r="AA358" s="37">
        <f>IF(Y358&gt;=Expenses!$C$32,4,IF(Y358&gt;=Expenses!$C$31,3,IF(Y358&gt;=Expenses!$C$30,2,1)))</f>
        <v>3</v>
      </c>
      <c r="AB358" s="37">
        <f t="shared" si="112"/>
        <v>1</v>
      </c>
      <c r="AC358" s="37" t="str">
        <f t="shared" si="113"/>
        <v>2019</v>
      </c>
    </row>
    <row r="359" spans="1:29" ht="18.75" x14ac:dyDescent="0.3">
      <c r="A359" s="37" t="str">
        <f t="shared" si="116"/>
        <v>2017D'ArenbergThe Hermit Crab Viognier / Marsanne</v>
      </c>
      <c r="B359">
        <v>2017</v>
      </c>
      <c r="C359" t="s">
        <v>375</v>
      </c>
      <c r="D359" t="s">
        <v>376</v>
      </c>
      <c r="E359" t="s">
        <v>377</v>
      </c>
      <c r="F359" s="37" t="s">
        <v>736</v>
      </c>
      <c r="G359" s="37" t="s">
        <v>737</v>
      </c>
      <c r="H359" s="37" t="s">
        <v>739</v>
      </c>
      <c r="I359">
        <v>1</v>
      </c>
      <c r="J359">
        <v>750</v>
      </c>
      <c r="K359" t="s">
        <v>58</v>
      </c>
      <c r="L359" s="37">
        <f>SUMIF(Wine1!A:A,Drank!A359,Wine1!I:I)</f>
        <v>0</v>
      </c>
      <c r="M359">
        <v>2018</v>
      </c>
      <c r="N359">
        <v>2020</v>
      </c>
      <c r="O359">
        <v>2019</v>
      </c>
      <c r="Q359">
        <v>88</v>
      </c>
      <c r="R359">
        <v>88</v>
      </c>
      <c r="S359" s="7">
        <f>AVERAGEIF(A:A,A359,R:R)</f>
        <v>88</v>
      </c>
      <c r="T359" s="1">
        <v>43666</v>
      </c>
      <c r="U359" s="13" t="str">
        <f t="shared" si="114"/>
        <v>July</v>
      </c>
      <c r="V359" s="12">
        <f t="shared" si="115"/>
        <v>43666</v>
      </c>
      <c r="W359" s="2">
        <v>13.49</v>
      </c>
      <c r="X359">
        <v>0</v>
      </c>
      <c r="Y359" s="11">
        <f t="shared" si="111"/>
        <v>13.490000000000002</v>
      </c>
      <c r="Z359" s="109"/>
      <c r="AA359" s="37">
        <f>IF(Y359&gt;=Expenses!$C$32,4,IF(Y359&gt;=Expenses!$C$31,3,IF(Y359&gt;=Expenses!$C$30,2,1)))</f>
        <v>1</v>
      </c>
      <c r="AB359" s="37">
        <f t="shared" si="112"/>
        <v>1</v>
      </c>
      <c r="AC359" s="37" t="str">
        <f t="shared" si="113"/>
        <v>2019</v>
      </c>
    </row>
    <row r="360" spans="1:29" ht="18.75" x14ac:dyDescent="0.3">
      <c r="A360" s="37" t="str">
        <f t="shared" si="116"/>
        <v>2016Teruzzi &amp; PuthodTerre di Tufi</v>
      </c>
      <c r="B360">
        <v>2016</v>
      </c>
      <c r="C360" t="s">
        <v>378</v>
      </c>
      <c r="D360" t="s">
        <v>379</v>
      </c>
      <c r="E360" t="s">
        <v>382</v>
      </c>
      <c r="F360" s="37" t="s">
        <v>728</v>
      </c>
      <c r="G360" s="37" t="s">
        <v>790</v>
      </c>
      <c r="H360" s="37" t="s">
        <v>808</v>
      </c>
      <c r="I360">
        <v>1</v>
      </c>
      <c r="J360">
        <v>750</v>
      </c>
      <c r="K360" t="s">
        <v>58</v>
      </c>
      <c r="L360" s="37">
        <f>SUMIF(Wine1!A:A,Drank!A360,Wine1!I:I)</f>
        <v>0</v>
      </c>
      <c r="O360">
        <v>2019</v>
      </c>
      <c r="R360">
        <v>90</v>
      </c>
      <c r="S360" s="7">
        <f>AVERAGEIF(A:A,A360,R:R)</f>
        <v>90.375</v>
      </c>
      <c r="T360" s="1">
        <v>43666</v>
      </c>
      <c r="U360" s="13" t="str">
        <f t="shared" si="114"/>
        <v>July</v>
      </c>
      <c r="V360" s="12">
        <f t="shared" si="115"/>
        <v>43666</v>
      </c>
      <c r="W360" s="2">
        <v>11.69</v>
      </c>
      <c r="X360">
        <v>0</v>
      </c>
      <c r="Y360" s="11">
        <f t="shared" ref="Y360:Y423" si="117">W360/J360*750</f>
        <v>11.69</v>
      </c>
      <c r="Z360" s="109"/>
      <c r="AA360" s="37">
        <f>IF(Y360&gt;=Expenses!$C$32,4,IF(Y360&gt;=Expenses!$C$31,3,IF(Y360&gt;=Expenses!$C$30,2,1)))</f>
        <v>1</v>
      </c>
      <c r="AB360" s="37">
        <f t="shared" ref="AB360:AB423" si="118">J360/750</f>
        <v>1</v>
      </c>
      <c r="AC360" s="37" t="str">
        <f t="shared" ref="AC360:AC423" si="119">TEXT(T360,"yyyy")</f>
        <v>2019</v>
      </c>
    </row>
    <row r="361" spans="1:29" ht="18.75" x14ac:dyDescent="0.3">
      <c r="A361" s="37" t="str">
        <f t="shared" si="116"/>
        <v>2016La MisionReserva Especial</v>
      </c>
      <c r="B361">
        <v>2016</v>
      </c>
      <c r="C361" t="s">
        <v>380</v>
      </c>
      <c r="D361" t="s">
        <v>381</v>
      </c>
      <c r="E361" t="s">
        <v>1202</v>
      </c>
      <c r="F361" s="37" t="s">
        <v>952</v>
      </c>
      <c r="G361" s="37" t="s">
        <v>953</v>
      </c>
      <c r="H361" s="37" t="s">
        <v>954</v>
      </c>
      <c r="I361">
        <v>1</v>
      </c>
      <c r="J361">
        <v>750</v>
      </c>
      <c r="K361" t="s">
        <v>58</v>
      </c>
      <c r="L361" s="37">
        <f>SUMIF(Wine1!A:A,Drank!A361,Wine1!I:I)</f>
        <v>0</v>
      </c>
      <c r="O361">
        <v>2019</v>
      </c>
      <c r="R361">
        <v>87</v>
      </c>
      <c r="S361" s="7">
        <f>AVERAGEIF(A:A,A361,R:R)</f>
        <v>86.5</v>
      </c>
      <c r="T361" s="1">
        <v>43666</v>
      </c>
      <c r="U361" s="13" t="str">
        <f t="shared" si="114"/>
        <v>July</v>
      </c>
      <c r="V361" s="12">
        <f t="shared" si="115"/>
        <v>43666</v>
      </c>
      <c r="W361" s="2">
        <v>13.49</v>
      </c>
      <c r="X361">
        <v>0</v>
      </c>
      <c r="Y361" s="11">
        <f t="shared" si="117"/>
        <v>13.490000000000002</v>
      </c>
      <c r="Z361" s="109"/>
      <c r="AA361" s="37">
        <f>IF(Y361&gt;=Expenses!$C$32,4,IF(Y361&gt;=Expenses!$C$31,3,IF(Y361&gt;=Expenses!$C$30,2,1)))</f>
        <v>1</v>
      </c>
      <c r="AB361" s="37">
        <f t="shared" si="118"/>
        <v>1</v>
      </c>
      <c r="AC361" s="37" t="str">
        <f t="shared" si="119"/>
        <v>2019</v>
      </c>
    </row>
    <row r="362" spans="1:29" ht="18.75" x14ac:dyDescent="0.3">
      <c r="A362" s="37" t="str">
        <f t="shared" si="116"/>
        <v>2015Tenuta di NozzoleChianti Classico Riserva Nozzole</v>
      </c>
      <c r="B362">
        <v>2015</v>
      </c>
      <c r="C362" t="s">
        <v>100</v>
      </c>
      <c r="D362" t="s">
        <v>101</v>
      </c>
      <c r="E362" t="s">
        <v>310</v>
      </c>
      <c r="F362" s="37" t="s">
        <v>728</v>
      </c>
      <c r="G362" s="37" t="s">
        <v>790</v>
      </c>
      <c r="H362" s="37" t="s">
        <v>792</v>
      </c>
      <c r="I362">
        <v>1</v>
      </c>
      <c r="J362">
        <v>750</v>
      </c>
      <c r="K362" t="s">
        <v>236</v>
      </c>
      <c r="L362" s="37">
        <f>SUMIF(Wine1!A:A,Drank!A362,Wine1!I:I)</f>
        <v>4</v>
      </c>
      <c r="M362">
        <v>2018</v>
      </c>
      <c r="N362">
        <v>2028</v>
      </c>
      <c r="O362">
        <v>2019</v>
      </c>
      <c r="P362">
        <v>2028</v>
      </c>
      <c r="Q362">
        <v>92</v>
      </c>
      <c r="R362">
        <v>91</v>
      </c>
      <c r="S362" s="7">
        <f>AVERAGEIF(A:A,A362,R:R)</f>
        <v>91</v>
      </c>
      <c r="T362" s="1">
        <v>43665</v>
      </c>
      <c r="U362" s="13" t="str">
        <f t="shared" si="114"/>
        <v>July</v>
      </c>
      <c r="V362" s="12">
        <f t="shared" si="115"/>
        <v>43665</v>
      </c>
      <c r="W362" s="2">
        <v>19.79</v>
      </c>
      <c r="X362" t="s">
        <v>298</v>
      </c>
      <c r="Y362" s="11">
        <f t="shared" si="117"/>
        <v>19.79</v>
      </c>
      <c r="Z362" s="109"/>
      <c r="AA362" s="37">
        <f>IF(Y362&gt;=Expenses!$C$32,4,IF(Y362&gt;=Expenses!$C$31,3,IF(Y362&gt;=Expenses!$C$30,2,1)))</f>
        <v>2</v>
      </c>
      <c r="AB362" s="37">
        <f t="shared" si="118"/>
        <v>1</v>
      </c>
      <c r="AC362" s="37" t="str">
        <f t="shared" si="119"/>
        <v>2019</v>
      </c>
    </row>
    <row r="363" spans="1:29" ht="18.75" x14ac:dyDescent="0.3">
      <c r="A363" s="37" t="str">
        <f t="shared" si="116"/>
        <v>2015Castello di GabbianoChianti Classico Riserva</v>
      </c>
      <c r="B363">
        <v>2015</v>
      </c>
      <c r="C363" t="s">
        <v>374</v>
      </c>
      <c r="D363" t="s">
        <v>310</v>
      </c>
      <c r="E363" t="s">
        <v>310</v>
      </c>
      <c r="F363" s="37" t="s">
        <v>728</v>
      </c>
      <c r="G363" s="37" t="s">
        <v>790</v>
      </c>
      <c r="H363" s="37" t="s">
        <v>792</v>
      </c>
      <c r="I363">
        <v>1</v>
      </c>
      <c r="J363">
        <v>750</v>
      </c>
      <c r="K363" t="s">
        <v>236</v>
      </c>
      <c r="L363" s="37">
        <f>SUMIF(Wine1!A:A,Drank!A363,Wine1!I:I)</f>
        <v>0</v>
      </c>
      <c r="M363">
        <v>2018</v>
      </c>
      <c r="N363">
        <v>2024</v>
      </c>
      <c r="P363">
        <v>2024</v>
      </c>
      <c r="Q363">
        <v>88</v>
      </c>
      <c r="R363">
        <v>88</v>
      </c>
      <c r="S363" s="7">
        <f>AVERAGEIF(A:A,A363,R:R)</f>
        <v>88</v>
      </c>
      <c r="T363" s="1">
        <v>43665</v>
      </c>
      <c r="U363" s="13" t="str">
        <f t="shared" si="114"/>
        <v>July</v>
      </c>
      <c r="V363" s="12">
        <f t="shared" si="115"/>
        <v>43665</v>
      </c>
      <c r="W363" s="2">
        <v>13.47</v>
      </c>
      <c r="X363" t="s">
        <v>298</v>
      </c>
      <c r="Y363" s="11">
        <f t="shared" si="117"/>
        <v>13.47</v>
      </c>
      <c r="Z363" s="109"/>
      <c r="AA363" s="37">
        <f>IF(Y363&gt;=Expenses!$C$32,4,IF(Y363&gt;=Expenses!$C$31,3,IF(Y363&gt;=Expenses!$C$30,2,1)))</f>
        <v>1</v>
      </c>
      <c r="AB363" s="37">
        <f t="shared" si="118"/>
        <v>1</v>
      </c>
      <c r="AC363" s="37" t="str">
        <f t="shared" si="119"/>
        <v>2019</v>
      </c>
    </row>
    <row r="364" spans="1:29" ht="18.75" x14ac:dyDescent="0.3">
      <c r="A364" s="37" t="str">
        <f t="shared" si="116"/>
        <v>2010Cosimo TaurinoSalice Salentino Riserva</v>
      </c>
      <c r="B364">
        <v>2010</v>
      </c>
      <c r="C364" t="s">
        <v>56</v>
      </c>
      <c r="D364" t="s">
        <v>57</v>
      </c>
      <c r="E364" s="37" t="s">
        <v>1204</v>
      </c>
      <c r="F364" s="37" t="s">
        <v>728</v>
      </c>
      <c r="G364" s="37" t="s">
        <v>785</v>
      </c>
      <c r="H364" s="37" t="s">
        <v>769</v>
      </c>
      <c r="I364">
        <v>1</v>
      </c>
      <c r="J364">
        <v>750</v>
      </c>
      <c r="K364" t="s">
        <v>58</v>
      </c>
      <c r="L364" s="37">
        <f>SUMIF(Wine1!A:A,Drank!A364,Wine1!I:I)</f>
        <v>19</v>
      </c>
      <c r="O364">
        <v>2019</v>
      </c>
      <c r="P364">
        <v>2019</v>
      </c>
      <c r="R364">
        <v>90</v>
      </c>
      <c r="S364" s="7">
        <f>AVERAGEIF(A:A,A364,R:R)</f>
        <v>89.46875</v>
      </c>
      <c r="T364" s="1">
        <v>43661</v>
      </c>
      <c r="U364" s="13" t="str">
        <f t="shared" si="114"/>
        <v>July</v>
      </c>
      <c r="V364" s="12">
        <f t="shared" si="115"/>
        <v>43661</v>
      </c>
      <c r="W364" s="2">
        <v>11.69</v>
      </c>
      <c r="X364">
        <v>0</v>
      </c>
      <c r="Y364" s="11">
        <f t="shared" si="117"/>
        <v>11.69</v>
      </c>
      <c r="Z364" s="109"/>
      <c r="AA364" s="37">
        <f>IF(Y364&gt;=Expenses!$C$32,4,IF(Y364&gt;=Expenses!$C$31,3,IF(Y364&gt;=Expenses!$C$30,2,1)))</f>
        <v>1</v>
      </c>
      <c r="AB364" s="37">
        <f t="shared" si="118"/>
        <v>1</v>
      </c>
      <c r="AC364" s="37" t="str">
        <f t="shared" si="119"/>
        <v>2019</v>
      </c>
    </row>
    <row r="365" spans="1:29" ht="18.75" x14ac:dyDescent="0.3">
      <c r="A365" s="37" t="str">
        <f t="shared" si="116"/>
        <v>2015BrancaiaTre</v>
      </c>
      <c r="B365">
        <v>2015</v>
      </c>
      <c r="C365" t="s">
        <v>140</v>
      </c>
      <c r="D365" t="s">
        <v>141</v>
      </c>
      <c r="E365" t="s">
        <v>1844</v>
      </c>
      <c r="F365" s="37" t="s">
        <v>728</v>
      </c>
      <c r="G365" s="37" t="s">
        <v>790</v>
      </c>
      <c r="H365" s="37" t="s">
        <v>796</v>
      </c>
      <c r="I365">
        <v>1</v>
      </c>
      <c r="J365">
        <v>750</v>
      </c>
      <c r="K365" t="s">
        <v>656</v>
      </c>
      <c r="L365" s="37">
        <f>SUMIF(Wine1!A:A,Drank!A365,Wine1!I:I)</f>
        <v>0</v>
      </c>
      <c r="M365">
        <v>2017</v>
      </c>
      <c r="N365">
        <v>2022</v>
      </c>
      <c r="Q365">
        <v>89</v>
      </c>
      <c r="R365">
        <v>89</v>
      </c>
      <c r="S365" s="7">
        <f>AVERAGEIF(A:A,A365,R:R)</f>
        <v>89</v>
      </c>
      <c r="T365" s="1">
        <v>43660</v>
      </c>
      <c r="U365" s="13" t="str">
        <f t="shared" si="114"/>
        <v>July</v>
      </c>
      <c r="V365" s="12">
        <f t="shared" si="115"/>
        <v>43660</v>
      </c>
      <c r="W365" s="2">
        <v>17</v>
      </c>
      <c r="X365">
        <v>1</v>
      </c>
      <c r="Y365" s="11">
        <f t="shared" si="117"/>
        <v>17</v>
      </c>
      <c r="Z365" s="109"/>
      <c r="AA365" s="37">
        <f>IF(Y365&gt;=Expenses!$C$32,4,IF(Y365&gt;=Expenses!$C$31,3,IF(Y365&gt;=Expenses!$C$30,2,1)))</f>
        <v>2</v>
      </c>
      <c r="AB365" s="37">
        <f t="shared" si="118"/>
        <v>1</v>
      </c>
      <c r="AC365" s="37" t="str">
        <f t="shared" si="119"/>
        <v>2019</v>
      </c>
    </row>
    <row r="366" spans="1:29" ht="18.75" x14ac:dyDescent="0.3">
      <c r="A366" s="37" t="str">
        <f t="shared" si="116"/>
        <v>2014LutumPinot Noir Sanford &amp; Benedict Vineyard</v>
      </c>
      <c r="B366">
        <v>2014</v>
      </c>
      <c r="C366" t="s">
        <v>333</v>
      </c>
      <c r="D366" t="s">
        <v>373</v>
      </c>
      <c r="E366" t="s">
        <v>263</v>
      </c>
      <c r="F366" s="37" t="s">
        <v>727</v>
      </c>
      <c r="G366" s="37" t="s">
        <v>806</v>
      </c>
      <c r="H366" s="37" t="s">
        <v>830</v>
      </c>
      <c r="I366">
        <v>1</v>
      </c>
      <c r="J366">
        <v>750</v>
      </c>
      <c r="K366" t="s">
        <v>236</v>
      </c>
      <c r="L366" s="37">
        <f>SUMIF(Wine1!A:A,Drank!A366,Wine1!I:I)</f>
        <v>3</v>
      </c>
      <c r="M366">
        <v>2016</v>
      </c>
      <c r="N366">
        <v>2026</v>
      </c>
      <c r="O366">
        <v>2019</v>
      </c>
      <c r="P366">
        <v>2026</v>
      </c>
      <c r="Q366">
        <v>95</v>
      </c>
      <c r="R366">
        <v>93</v>
      </c>
      <c r="S366" s="7">
        <f>AVERAGEIF(A:A,A366,R:R)</f>
        <v>93</v>
      </c>
      <c r="T366" s="1">
        <v>43656</v>
      </c>
      <c r="U366" s="13" t="str">
        <f t="shared" si="114"/>
        <v>July</v>
      </c>
      <c r="V366" s="12">
        <f t="shared" si="115"/>
        <v>43656</v>
      </c>
      <c r="W366" s="2">
        <v>35</v>
      </c>
      <c r="X366">
        <v>1</v>
      </c>
      <c r="Y366" s="11">
        <f t="shared" si="117"/>
        <v>35</v>
      </c>
      <c r="Z366" s="109"/>
      <c r="AA366" s="37">
        <f>IF(Y366&gt;=Expenses!$C$32,4,IF(Y366&gt;=Expenses!$C$31,3,IF(Y366&gt;=Expenses!$C$30,2,1)))</f>
        <v>3</v>
      </c>
      <c r="AB366" s="37">
        <f t="shared" si="118"/>
        <v>1</v>
      </c>
      <c r="AC366" s="37" t="str">
        <f t="shared" si="119"/>
        <v>2019</v>
      </c>
    </row>
    <row r="367" spans="1:29" ht="18.75" x14ac:dyDescent="0.3">
      <c r="A367" s="37" t="str">
        <f t="shared" si="116"/>
        <v>2016San AlejandroLas Rocas</v>
      </c>
      <c r="B367">
        <v>2016</v>
      </c>
      <c r="C367" t="s">
        <v>152</v>
      </c>
      <c r="D367" t="s">
        <v>153</v>
      </c>
      <c r="E367" t="s">
        <v>284</v>
      </c>
      <c r="F367" s="37" t="s">
        <v>729</v>
      </c>
      <c r="G367" s="37" t="s">
        <v>811</v>
      </c>
      <c r="H367" s="37" t="s">
        <v>812</v>
      </c>
      <c r="I367">
        <v>1</v>
      </c>
      <c r="J367">
        <v>750</v>
      </c>
      <c r="K367" t="s">
        <v>58</v>
      </c>
      <c r="L367" s="37">
        <f>SUMIF(Wine1!A:A,Drank!A367,Wine1!I:I)</f>
        <v>4</v>
      </c>
      <c r="M367">
        <v>2019</v>
      </c>
      <c r="N367">
        <v>2021</v>
      </c>
      <c r="O367">
        <v>2019</v>
      </c>
      <c r="P367">
        <v>2020</v>
      </c>
      <c r="Q367">
        <v>89</v>
      </c>
      <c r="R367">
        <v>90</v>
      </c>
      <c r="S367" s="7">
        <f>AVERAGEIF(A:A,A367,R:R)</f>
        <v>88.944444444444443</v>
      </c>
      <c r="T367" s="1">
        <v>43655</v>
      </c>
      <c r="U367" s="13" t="str">
        <f t="shared" si="114"/>
        <v>July</v>
      </c>
      <c r="V367" s="12">
        <f t="shared" si="115"/>
        <v>43655</v>
      </c>
      <c r="W367" s="2">
        <v>8.99</v>
      </c>
      <c r="X367">
        <v>0</v>
      </c>
      <c r="Y367" s="11">
        <f t="shared" si="117"/>
        <v>8.99</v>
      </c>
      <c r="Z367" s="109"/>
      <c r="AA367" s="37">
        <f>IF(Y367&gt;=Expenses!$C$32,4,IF(Y367&gt;=Expenses!$C$31,3,IF(Y367&gt;=Expenses!$C$30,2,1)))</f>
        <v>1</v>
      </c>
      <c r="AB367" s="37">
        <f t="shared" si="118"/>
        <v>1</v>
      </c>
      <c r="AC367" s="37" t="str">
        <f t="shared" si="119"/>
        <v>2019</v>
      </c>
    </row>
    <row r="368" spans="1:29" ht="18.75" x14ac:dyDescent="0.3">
      <c r="A368" s="37" t="str">
        <f t="shared" si="116"/>
        <v>2015AllegriniPalazzo della Torre</v>
      </c>
      <c r="B368">
        <v>2015</v>
      </c>
      <c r="C368" t="s">
        <v>111</v>
      </c>
      <c r="D368" t="s">
        <v>112</v>
      </c>
      <c r="E368" t="s">
        <v>262</v>
      </c>
      <c r="F368" s="37" t="s">
        <v>728</v>
      </c>
      <c r="G368" s="37" t="s">
        <v>799</v>
      </c>
      <c r="H368" s="37" t="s">
        <v>800</v>
      </c>
      <c r="I368">
        <v>1</v>
      </c>
      <c r="J368">
        <v>750</v>
      </c>
      <c r="K368" t="s">
        <v>650</v>
      </c>
      <c r="L368" s="37">
        <f>SUMIF(Wine1!A:A,Drank!A368,Wine1!I:I)</f>
        <v>6</v>
      </c>
      <c r="O368">
        <v>2019</v>
      </c>
      <c r="P368">
        <v>2022</v>
      </c>
      <c r="R368">
        <v>91</v>
      </c>
      <c r="S368" s="7">
        <f>AVERAGEIF(A:A,A368,R:R)</f>
        <v>90.909090909090907</v>
      </c>
      <c r="T368" s="1">
        <v>43653</v>
      </c>
      <c r="U368" s="13" t="str">
        <f t="shared" si="114"/>
        <v>July</v>
      </c>
      <c r="V368" s="12">
        <f t="shared" si="115"/>
        <v>43653</v>
      </c>
      <c r="W368" s="2">
        <v>17.989999999999998</v>
      </c>
      <c r="X368">
        <v>1</v>
      </c>
      <c r="Y368" s="11">
        <f t="shared" si="117"/>
        <v>17.989999999999998</v>
      </c>
      <c r="Z368" s="109"/>
      <c r="AA368" s="37">
        <f>IF(Y368&gt;=Expenses!$C$32,4,IF(Y368&gt;=Expenses!$C$31,3,IF(Y368&gt;=Expenses!$C$30,2,1)))</f>
        <v>2</v>
      </c>
      <c r="AB368" s="37">
        <f t="shared" si="118"/>
        <v>1</v>
      </c>
      <c r="AC368" s="37" t="str">
        <f t="shared" si="119"/>
        <v>2019</v>
      </c>
    </row>
    <row r="369" spans="1:29" ht="18.75" x14ac:dyDescent="0.3">
      <c r="A369" s="37" t="str">
        <f t="shared" si="116"/>
        <v>2015Diez-CaballeroCrianza</v>
      </c>
      <c r="B369">
        <v>2015</v>
      </c>
      <c r="C369" t="s">
        <v>1216</v>
      </c>
      <c r="D369" t="s">
        <v>108</v>
      </c>
      <c r="E369" t="s">
        <v>276</v>
      </c>
      <c r="F369" s="37" t="s">
        <v>729</v>
      </c>
      <c r="G369" s="37" t="s">
        <v>823</v>
      </c>
      <c r="I369">
        <v>1</v>
      </c>
      <c r="J369">
        <v>750</v>
      </c>
      <c r="K369" t="s">
        <v>58</v>
      </c>
      <c r="L369" s="37">
        <f>SUMIF(Wine1!A:A,Drank!A369,Wine1!I:I)</f>
        <v>4</v>
      </c>
      <c r="M369">
        <v>2018</v>
      </c>
      <c r="N369">
        <v>2022</v>
      </c>
      <c r="O369">
        <v>2019</v>
      </c>
      <c r="P369">
        <v>2022</v>
      </c>
      <c r="Q369">
        <v>92</v>
      </c>
      <c r="R369">
        <v>91</v>
      </c>
      <c r="S369" s="7">
        <f>AVERAGEIF(A:A,A369,R:R)</f>
        <v>91.235294117647058</v>
      </c>
      <c r="T369" s="1">
        <v>43650</v>
      </c>
      <c r="U369" s="13" t="str">
        <f t="shared" si="114"/>
        <v>July</v>
      </c>
      <c r="V369" s="12">
        <f t="shared" si="115"/>
        <v>43650</v>
      </c>
      <c r="W369" s="2">
        <v>14</v>
      </c>
      <c r="X369">
        <v>0</v>
      </c>
      <c r="Y369" s="11">
        <f t="shared" si="117"/>
        <v>14.000000000000002</v>
      </c>
      <c r="Z369" s="109"/>
      <c r="AA369" s="37">
        <f>IF(Y369&gt;=Expenses!$C$32,4,IF(Y369&gt;=Expenses!$C$31,3,IF(Y369&gt;=Expenses!$C$30,2,1)))</f>
        <v>1</v>
      </c>
      <c r="AB369" s="37">
        <f t="shared" si="118"/>
        <v>1</v>
      </c>
      <c r="AC369" s="37" t="str">
        <f t="shared" si="119"/>
        <v>2019</v>
      </c>
    </row>
    <row r="370" spans="1:29" ht="18.75" x14ac:dyDescent="0.3">
      <c r="A370" s="37" t="str">
        <f t="shared" si="116"/>
        <v>2016Luna BeberidePaixar</v>
      </c>
      <c r="B370">
        <v>2016</v>
      </c>
      <c r="C370" t="s">
        <v>357</v>
      </c>
      <c r="D370" t="s">
        <v>358</v>
      </c>
      <c r="E370" t="s">
        <v>363</v>
      </c>
      <c r="F370" s="37" t="s">
        <v>729</v>
      </c>
      <c r="G370" s="37" t="s">
        <v>814</v>
      </c>
      <c r="H370" s="37" t="s">
        <v>815</v>
      </c>
      <c r="I370">
        <v>1</v>
      </c>
      <c r="J370">
        <v>750</v>
      </c>
      <c r="K370" t="s">
        <v>236</v>
      </c>
      <c r="L370" s="37">
        <f>SUMIF(Wine1!A:A,Drank!A370,Wine1!I:I)</f>
        <v>3</v>
      </c>
      <c r="M370">
        <v>2020</v>
      </c>
      <c r="N370">
        <v>2030</v>
      </c>
      <c r="O370">
        <v>2024</v>
      </c>
      <c r="P370">
        <v>2029</v>
      </c>
      <c r="Q370">
        <v>95</v>
      </c>
      <c r="R370">
        <v>94</v>
      </c>
      <c r="S370" s="7">
        <f>AVERAGEIF(A:A,A370,R:R)</f>
        <v>94</v>
      </c>
      <c r="T370" s="1">
        <v>43650</v>
      </c>
      <c r="U370" s="13" t="str">
        <f t="shared" si="114"/>
        <v>July</v>
      </c>
      <c r="V370" s="12">
        <f t="shared" si="115"/>
        <v>43650</v>
      </c>
      <c r="W370" s="2">
        <v>37.99</v>
      </c>
      <c r="X370">
        <v>2</v>
      </c>
      <c r="Y370" s="11">
        <f t="shared" si="117"/>
        <v>37.99</v>
      </c>
      <c r="Z370" s="109"/>
      <c r="AA370" s="37">
        <f>IF(Y370&gt;=Expenses!$C$32,4,IF(Y370&gt;=Expenses!$C$31,3,IF(Y370&gt;=Expenses!$C$30,2,1)))</f>
        <v>3</v>
      </c>
      <c r="AB370" s="37">
        <f t="shared" si="118"/>
        <v>1</v>
      </c>
      <c r="AC370" s="37" t="str">
        <f t="shared" si="119"/>
        <v>2019</v>
      </c>
    </row>
    <row r="371" spans="1:29" ht="18.75" x14ac:dyDescent="0.3">
      <c r="A371" s="37" t="str">
        <f t="shared" si="116"/>
        <v>2015Cantine do OraAmicone</v>
      </c>
      <c r="B371">
        <v>2015</v>
      </c>
      <c r="C371" t="s">
        <v>183</v>
      </c>
      <c r="D371" t="s">
        <v>184</v>
      </c>
      <c r="E371" t="s">
        <v>262</v>
      </c>
      <c r="F371" s="37" t="s">
        <v>728</v>
      </c>
      <c r="G371" s="37" t="s">
        <v>799</v>
      </c>
      <c r="H371" s="37" t="s">
        <v>801</v>
      </c>
      <c r="I371">
        <v>1</v>
      </c>
      <c r="J371">
        <v>750</v>
      </c>
      <c r="K371" t="s">
        <v>102</v>
      </c>
      <c r="L371" s="37">
        <f>SUMIF(Wine1!A:A,Drank!A371,Wine1!I:I)</f>
        <v>0</v>
      </c>
      <c r="O371">
        <v>2019</v>
      </c>
      <c r="P371">
        <v>2022</v>
      </c>
      <c r="R371">
        <v>88</v>
      </c>
      <c r="S371" s="7">
        <f>AVERAGEIF(A:A,A371,R:R)</f>
        <v>86.5</v>
      </c>
      <c r="T371" s="1">
        <v>43649</v>
      </c>
      <c r="U371" s="13" t="str">
        <f t="shared" si="114"/>
        <v>July</v>
      </c>
      <c r="V371" s="12">
        <f t="shared" si="115"/>
        <v>43649</v>
      </c>
      <c r="W371" s="2">
        <v>14.39</v>
      </c>
      <c r="X371" t="s">
        <v>298</v>
      </c>
      <c r="Y371" s="11">
        <f t="shared" si="117"/>
        <v>14.39</v>
      </c>
      <c r="Z371" s="109"/>
      <c r="AA371" s="37">
        <f>IF(Y371&gt;=Expenses!$C$32,4,IF(Y371&gt;=Expenses!$C$31,3,IF(Y371&gt;=Expenses!$C$30,2,1)))</f>
        <v>1</v>
      </c>
      <c r="AB371" s="37">
        <f t="shared" si="118"/>
        <v>1</v>
      </c>
      <c r="AC371" s="37" t="str">
        <f t="shared" si="119"/>
        <v>2019</v>
      </c>
    </row>
    <row r="372" spans="1:29" ht="18.75" x14ac:dyDescent="0.3">
      <c r="A372" s="37" t="str">
        <f t="shared" si="116"/>
        <v>2013Marchesi di BaroloBarbaresco</v>
      </c>
      <c r="B372">
        <v>2013</v>
      </c>
      <c r="C372" t="s">
        <v>364</v>
      </c>
      <c r="D372" t="s">
        <v>249</v>
      </c>
      <c r="E372" t="s">
        <v>249</v>
      </c>
      <c r="F372" s="37" t="s">
        <v>728</v>
      </c>
      <c r="G372" s="37" t="s">
        <v>778</v>
      </c>
      <c r="H372" s="37" t="s">
        <v>249</v>
      </c>
      <c r="I372">
        <v>1</v>
      </c>
      <c r="J372">
        <v>750</v>
      </c>
      <c r="K372" t="s">
        <v>236</v>
      </c>
      <c r="L372" s="37">
        <f>SUMIF(Wine1!A:A,Drank!A372,Wine1!I:I)</f>
        <v>1</v>
      </c>
      <c r="M372">
        <v>2017</v>
      </c>
      <c r="N372">
        <v>2026</v>
      </c>
      <c r="O372">
        <v>2026</v>
      </c>
      <c r="P372">
        <v>2030</v>
      </c>
      <c r="Q372">
        <v>90</v>
      </c>
      <c r="R372">
        <v>91</v>
      </c>
      <c r="S372" s="7">
        <f>AVERAGEIF(A:A,A372,R:R)</f>
        <v>91</v>
      </c>
      <c r="T372" s="1">
        <v>43647</v>
      </c>
      <c r="U372" s="13" t="str">
        <f t="shared" si="114"/>
        <v>July</v>
      </c>
      <c r="V372" s="12">
        <f t="shared" si="115"/>
        <v>43647</v>
      </c>
      <c r="W372" s="2">
        <v>40</v>
      </c>
      <c r="X372">
        <v>2</v>
      </c>
      <c r="Y372" s="11">
        <f t="shared" si="117"/>
        <v>40</v>
      </c>
      <c r="Z372" s="109"/>
      <c r="AA372" s="37">
        <f>IF(Y372&gt;=Expenses!$C$32,4,IF(Y372&gt;=Expenses!$C$31,3,IF(Y372&gt;=Expenses!$C$30,2,1)))</f>
        <v>3</v>
      </c>
      <c r="AB372" s="37">
        <f t="shared" si="118"/>
        <v>1</v>
      </c>
      <c r="AC372" s="37" t="str">
        <f t="shared" si="119"/>
        <v>2019</v>
      </c>
    </row>
    <row r="373" spans="1:29" ht="18.75" x14ac:dyDescent="0.3">
      <c r="A373" s="37" t="str">
        <f t="shared" si="116"/>
        <v>2015Diez-CaballeroCrianza</v>
      </c>
      <c r="B373">
        <v>2015</v>
      </c>
      <c r="C373" t="s">
        <v>1216</v>
      </c>
      <c r="D373" t="s">
        <v>108</v>
      </c>
      <c r="E373" t="s">
        <v>276</v>
      </c>
      <c r="F373" s="37" t="s">
        <v>729</v>
      </c>
      <c r="G373" s="37" t="s">
        <v>823</v>
      </c>
      <c r="I373">
        <v>1</v>
      </c>
      <c r="J373">
        <v>750</v>
      </c>
      <c r="K373" t="s">
        <v>58</v>
      </c>
      <c r="L373" s="37">
        <f>SUMIF(Wine1!A:A,Drank!A373,Wine1!I:I)</f>
        <v>4</v>
      </c>
      <c r="M373">
        <v>2018</v>
      </c>
      <c r="N373">
        <v>2022</v>
      </c>
      <c r="O373">
        <v>2019</v>
      </c>
      <c r="P373">
        <v>2022</v>
      </c>
      <c r="Q373">
        <v>92</v>
      </c>
      <c r="R373">
        <v>91</v>
      </c>
      <c r="S373" s="7">
        <f>AVERAGEIF(A:A,A373,R:R)</f>
        <v>91.235294117647058</v>
      </c>
      <c r="T373" s="1">
        <v>43647</v>
      </c>
      <c r="U373" s="13" t="str">
        <f t="shared" si="114"/>
        <v>July</v>
      </c>
      <c r="V373" s="12">
        <f t="shared" si="115"/>
        <v>43647</v>
      </c>
      <c r="W373" s="2">
        <v>14</v>
      </c>
      <c r="X373">
        <v>0</v>
      </c>
      <c r="Y373" s="11">
        <f t="shared" si="117"/>
        <v>14.000000000000002</v>
      </c>
      <c r="Z373" s="109"/>
      <c r="AA373" s="37">
        <f>IF(Y373&gt;=Expenses!$C$32,4,IF(Y373&gt;=Expenses!$C$31,3,IF(Y373&gt;=Expenses!$C$30,2,1)))</f>
        <v>1</v>
      </c>
      <c r="AB373" s="37">
        <f t="shared" si="118"/>
        <v>1</v>
      </c>
      <c r="AC373" s="37" t="str">
        <f t="shared" si="119"/>
        <v>2019</v>
      </c>
    </row>
    <row r="374" spans="1:29" ht="18.75" x14ac:dyDescent="0.3">
      <c r="A374" s="37" t="str">
        <f t="shared" si="116"/>
        <v>2009Chateau La Tour BlancheLa Tour Blanche</v>
      </c>
      <c r="B374">
        <v>2009</v>
      </c>
      <c r="C374" t="s">
        <v>1208</v>
      </c>
      <c r="D374" t="s">
        <v>216</v>
      </c>
      <c r="E374" t="s">
        <v>260</v>
      </c>
      <c r="F374" s="37" t="s">
        <v>742</v>
      </c>
      <c r="G374" s="37" t="s">
        <v>748</v>
      </c>
      <c r="H374" s="37" t="s">
        <v>260</v>
      </c>
      <c r="I374">
        <v>1</v>
      </c>
      <c r="J374">
        <v>375</v>
      </c>
      <c r="K374" t="s">
        <v>97</v>
      </c>
      <c r="L374" s="37">
        <f>SUMIF(Wine1!A:A,Drank!A374,Wine1!I:I)</f>
        <v>9</v>
      </c>
      <c r="M374">
        <v>2019</v>
      </c>
      <c r="N374">
        <v>2042</v>
      </c>
      <c r="O374">
        <v>2020</v>
      </c>
      <c r="P374">
        <v>2040</v>
      </c>
      <c r="Q374">
        <v>93</v>
      </c>
      <c r="R374">
        <v>92</v>
      </c>
      <c r="S374" s="7">
        <f>AVERAGEIF(A:A,A374,R:R)</f>
        <v>92.25</v>
      </c>
      <c r="T374" s="1">
        <v>43646</v>
      </c>
      <c r="U374" s="13" t="str">
        <f t="shared" si="114"/>
        <v>June</v>
      </c>
      <c r="V374" s="12">
        <f t="shared" si="115"/>
        <v>43646</v>
      </c>
      <c r="W374" s="2">
        <v>20.99</v>
      </c>
      <c r="X374">
        <v>0</v>
      </c>
      <c r="Y374" s="11">
        <f t="shared" si="117"/>
        <v>41.98</v>
      </c>
      <c r="Z374" s="109"/>
      <c r="AA374" s="37">
        <f>IF(Y374&gt;=Expenses!$C$32,4,IF(Y374&gt;=Expenses!$C$31,3,IF(Y374&gt;=Expenses!$C$30,2,1)))</f>
        <v>3</v>
      </c>
      <c r="AB374" s="37">
        <f t="shared" si="118"/>
        <v>0.5</v>
      </c>
      <c r="AC374" s="37" t="str">
        <f t="shared" si="119"/>
        <v>2019</v>
      </c>
    </row>
    <row r="375" spans="1:29" ht="18.75" x14ac:dyDescent="0.3">
      <c r="A375" s="37" t="str">
        <f t="shared" si="116"/>
        <v>2009SartoriAmarone della Valpolicella</v>
      </c>
      <c r="B375">
        <v>2009</v>
      </c>
      <c r="C375" t="s">
        <v>41</v>
      </c>
      <c r="D375" t="s">
        <v>10</v>
      </c>
      <c r="E375" t="s">
        <v>264</v>
      </c>
      <c r="F375" s="37" t="s">
        <v>728</v>
      </c>
      <c r="G375" s="37" t="s">
        <v>799</v>
      </c>
      <c r="H375" s="37" t="s">
        <v>800</v>
      </c>
      <c r="I375">
        <v>1</v>
      </c>
      <c r="J375">
        <v>750</v>
      </c>
      <c r="K375" t="s">
        <v>11</v>
      </c>
      <c r="L375" s="37">
        <f>SUMIF(Wine1!A:A,Drank!A375,Wine1!I:I)</f>
        <v>0</v>
      </c>
      <c r="P375">
        <v>2025</v>
      </c>
      <c r="R375">
        <v>93</v>
      </c>
      <c r="S375" s="7">
        <f>AVERAGEIF(A:A,A375,R:R)</f>
        <v>93</v>
      </c>
      <c r="T375" s="1">
        <v>43646</v>
      </c>
      <c r="U375" s="13" t="str">
        <f t="shared" si="114"/>
        <v>June</v>
      </c>
      <c r="V375" s="12">
        <f t="shared" si="115"/>
        <v>43646</v>
      </c>
      <c r="W375" s="2">
        <v>36</v>
      </c>
      <c r="X375">
        <v>1</v>
      </c>
      <c r="Y375" s="11">
        <f t="shared" si="117"/>
        <v>36</v>
      </c>
      <c r="Z375" s="109"/>
      <c r="AA375" s="37">
        <f>IF(Y375&gt;=Expenses!$C$32,4,IF(Y375&gt;=Expenses!$C$31,3,IF(Y375&gt;=Expenses!$C$30,2,1)))</f>
        <v>3</v>
      </c>
      <c r="AB375" s="37">
        <f t="shared" si="118"/>
        <v>1</v>
      </c>
      <c r="AC375" s="37" t="str">
        <f t="shared" si="119"/>
        <v>2019</v>
      </c>
    </row>
    <row r="376" spans="1:29" ht="18.75" x14ac:dyDescent="0.3">
      <c r="A376" s="37" t="str">
        <f t="shared" si="116"/>
        <v>2015Prisoner Wine CoProprietary Red The Prisoner</v>
      </c>
      <c r="B376">
        <v>2015</v>
      </c>
      <c r="C376" t="s">
        <v>68</v>
      </c>
      <c r="D376" t="s">
        <v>69</v>
      </c>
      <c r="E376" t="s">
        <v>273</v>
      </c>
      <c r="F376" s="37" t="s">
        <v>727</v>
      </c>
      <c r="G376" s="37" t="s">
        <v>806</v>
      </c>
      <c r="H376" s="37" t="s">
        <v>832</v>
      </c>
      <c r="I376">
        <v>1</v>
      </c>
      <c r="J376">
        <v>750</v>
      </c>
      <c r="K376" t="s">
        <v>8</v>
      </c>
      <c r="L376" s="37">
        <f>SUMIF(Wine1!A:A,Drank!A376,Wine1!I:I)</f>
        <v>0</v>
      </c>
      <c r="M376">
        <v>2015</v>
      </c>
      <c r="N376">
        <v>2019</v>
      </c>
      <c r="P376">
        <v>2023</v>
      </c>
      <c r="Q376">
        <v>89</v>
      </c>
      <c r="R376">
        <v>90</v>
      </c>
      <c r="S376" s="7">
        <f>AVERAGEIF(A:A,A376,R:R)</f>
        <v>90</v>
      </c>
      <c r="T376" s="1">
        <v>43645</v>
      </c>
      <c r="U376" s="13" t="str">
        <f t="shared" si="114"/>
        <v>June</v>
      </c>
      <c r="V376" s="12">
        <f t="shared" si="115"/>
        <v>43645</v>
      </c>
      <c r="W376" s="2">
        <v>46</v>
      </c>
      <c r="X376">
        <v>1</v>
      </c>
      <c r="Y376" s="11">
        <f t="shared" si="117"/>
        <v>46</v>
      </c>
      <c r="Z376" s="109"/>
      <c r="AA376" s="37">
        <f>IF(Y376&gt;=Expenses!$C$32,4,IF(Y376&gt;=Expenses!$C$31,3,IF(Y376&gt;=Expenses!$C$30,2,1)))</f>
        <v>3</v>
      </c>
      <c r="AB376" s="37">
        <f t="shared" si="118"/>
        <v>1</v>
      </c>
      <c r="AC376" s="37" t="str">
        <f t="shared" si="119"/>
        <v>2019</v>
      </c>
    </row>
    <row r="377" spans="1:29" ht="18.75" x14ac:dyDescent="0.3">
      <c r="A377" s="37" t="str">
        <f t="shared" si="116"/>
        <v>2015Villa MedoroMontepulciano d'Abruzzo Rosso del Duca</v>
      </c>
      <c r="B377">
        <v>2015</v>
      </c>
      <c r="C377" t="s">
        <v>136</v>
      </c>
      <c r="D377" t="s">
        <v>137</v>
      </c>
      <c r="E377" t="s">
        <v>270</v>
      </c>
      <c r="F377" s="37" t="s">
        <v>728</v>
      </c>
      <c r="G377" s="37" t="s">
        <v>768</v>
      </c>
      <c r="H377" s="37" t="s">
        <v>770</v>
      </c>
      <c r="I377">
        <v>1</v>
      </c>
      <c r="J377">
        <v>750</v>
      </c>
      <c r="K377" t="s">
        <v>653</v>
      </c>
      <c r="L377" s="37">
        <f>SUMIF(Wine1!A:A,Drank!A377,Wine1!I:I)</f>
        <v>0</v>
      </c>
      <c r="R377">
        <v>89</v>
      </c>
      <c r="S377" s="7">
        <f>AVERAGEIF(A:A,A377,R:R)</f>
        <v>89</v>
      </c>
      <c r="T377" s="1">
        <v>43645</v>
      </c>
      <c r="U377" s="13" t="str">
        <f t="shared" ref="U377:U440" si="120">TEXT(T377,"mmmm")</f>
        <v>June</v>
      </c>
      <c r="V377" s="12">
        <f t="shared" ref="V377:V440" si="121">T377</f>
        <v>43645</v>
      </c>
      <c r="W377" s="2">
        <v>14</v>
      </c>
      <c r="X377">
        <v>0</v>
      </c>
      <c r="Y377" s="11">
        <f t="shared" si="117"/>
        <v>14.000000000000002</v>
      </c>
      <c r="Z377" s="109"/>
      <c r="AA377" s="37">
        <f>IF(Y377&gt;=Expenses!$C$32,4,IF(Y377&gt;=Expenses!$C$31,3,IF(Y377&gt;=Expenses!$C$30,2,1)))</f>
        <v>1</v>
      </c>
      <c r="AB377" s="37">
        <f t="shared" si="118"/>
        <v>1</v>
      </c>
      <c r="AC377" s="37" t="str">
        <f t="shared" si="119"/>
        <v>2019</v>
      </c>
    </row>
    <row r="378" spans="1:29" ht="18.75" x14ac:dyDescent="0.3">
      <c r="A378" s="37" t="str">
        <f t="shared" si="116"/>
        <v>2017Prisoner Wine CoProprietary Red The Prisoner</v>
      </c>
      <c r="B378">
        <v>2017</v>
      </c>
      <c r="C378" t="s">
        <v>68</v>
      </c>
      <c r="D378" t="s">
        <v>69</v>
      </c>
      <c r="E378" t="s">
        <v>273</v>
      </c>
      <c r="F378" s="37" t="s">
        <v>727</v>
      </c>
      <c r="G378" s="37" t="s">
        <v>806</v>
      </c>
      <c r="H378" s="37" t="s">
        <v>832</v>
      </c>
      <c r="I378">
        <v>1</v>
      </c>
      <c r="J378">
        <v>750</v>
      </c>
      <c r="K378" t="s">
        <v>236</v>
      </c>
      <c r="L378" s="37">
        <f>SUMIF(Wine1!A:A,Drank!A378,Wine1!I:I)</f>
        <v>0</v>
      </c>
      <c r="P378">
        <v>2023</v>
      </c>
      <c r="R378">
        <v>89</v>
      </c>
      <c r="S378" s="7">
        <f>AVERAGEIF(A:A,A378,R:R)</f>
        <v>89</v>
      </c>
      <c r="T378" s="1">
        <v>43644</v>
      </c>
      <c r="U378" s="13" t="str">
        <f t="shared" si="120"/>
        <v>June</v>
      </c>
      <c r="V378" s="12">
        <f t="shared" si="121"/>
        <v>43644</v>
      </c>
      <c r="W378" s="2">
        <v>49.99</v>
      </c>
      <c r="X378">
        <v>1</v>
      </c>
      <c r="Y378" s="11">
        <f t="shared" si="117"/>
        <v>49.990000000000009</v>
      </c>
      <c r="Z378" s="109"/>
      <c r="AA378" s="37">
        <f>IF(Y378&gt;=Expenses!$C$32,4,IF(Y378&gt;=Expenses!$C$31,3,IF(Y378&gt;=Expenses!$C$30,2,1)))</f>
        <v>3</v>
      </c>
      <c r="AB378" s="37">
        <f t="shared" si="118"/>
        <v>1</v>
      </c>
      <c r="AC378" s="37" t="str">
        <f t="shared" si="119"/>
        <v>2019</v>
      </c>
    </row>
    <row r="379" spans="1:29" ht="18.75" x14ac:dyDescent="0.3">
      <c r="A379" s="37" t="str">
        <f t="shared" si="116"/>
        <v>2017Domaine de l'AmandineCotes du Rhone Villages Seguret</v>
      </c>
      <c r="B379">
        <v>2017</v>
      </c>
      <c r="C379" t="s">
        <v>361</v>
      </c>
      <c r="D379" t="s">
        <v>362</v>
      </c>
      <c r="E379" t="s">
        <v>286</v>
      </c>
      <c r="F379" s="37" t="s">
        <v>742</v>
      </c>
      <c r="G379" s="37" t="s">
        <v>759</v>
      </c>
      <c r="H379" s="37" t="s">
        <v>760</v>
      </c>
      <c r="I379">
        <v>1</v>
      </c>
      <c r="J379">
        <v>750</v>
      </c>
      <c r="K379" t="s">
        <v>236</v>
      </c>
      <c r="L379" s="37">
        <f>SUMIF(Wine1!A:A,Drank!A379,Wine1!I:I)</f>
        <v>20</v>
      </c>
      <c r="M379">
        <v>2018</v>
      </c>
      <c r="N379">
        <v>2025</v>
      </c>
      <c r="O379">
        <v>2019</v>
      </c>
      <c r="P379">
        <v>2024</v>
      </c>
      <c r="Q379">
        <v>93</v>
      </c>
      <c r="R379">
        <v>91</v>
      </c>
      <c r="S379" s="7">
        <f>AVERAGEIF(A:A,A379,R:R)</f>
        <v>92.470588235294116</v>
      </c>
      <c r="T379" s="1">
        <v>43643</v>
      </c>
      <c r="U379" s="13" t="str">
        <f t="shared" si="120"/>
        <v>June</v>
      </c>
      <c r="V379" s="12">
        <f t="shared" si="121"/>
        <v>43643</v>
      </c>
      <c r="W379" s="2">
        <v>14.99</v>
      </c>
      <c r="X379" t="s">
        <v>298</v>
      </c>
      <c r="Y379" s="11">
        <f t="shared" si="117"/>
        <v>14.99</v>
      </c>
      <c r="Z379" s="109"/>
      <c r="AA379" s="37">
        <f>IF(Y379&gt;=Expenses!$C$32,4,IF(Y379&gt;=Expenses!$C$31,3,IF(Y379&gt;=Expenses!$C$30,2,1)))</f>
        <v>1</v>
      </c>
      <c r="AB379" s="37">
        <f t="shared" si="118"/>
        <v>1</v>
      </c>
      <c r="AC379" s="37" t="str">
        <f t="shared" si="119"/>
        <v>2019</v>
      </c>
    </row>
    <row r="380" spans="1:29" ht="18.75" x14ac:dyDescent="0.3">
      <c r="A380" s="37" t="str">
        <f t="shared" si="116"/>
        <v>2010Cosimo TaurinoSalice Salentino Riserva</v>
      </c>
      <c r="B380">
        <v>2010</v>
      </c>
      <c r="C380" t="s">
        <v>56</v>
      </c>
      <c r="D380" t="s">
        <v>57</v>
      </c>
      <c r="E380" s="37" t="s">
        <v>1204</v>
      </c>
      <c r="F380" s="37" t="s">
        <v>728</v>
      </c>
      <c r="G380" s="37" t="s">
        <v>785</v>
      </c>
      <c r="H380" s="37" t="s">
        <v>769</v>
      </c>
      <c r="I380">
        <v>1</v>
      </c>
      <c r="J380">
        <v>750</v>
      </c>
      <c r="K380" t="s">
        <v>58</v>
      </c>
      <c r="L380" s="37">
        <f>SUMIF(Wine1!A:A,Drank!A380,Wine1!I:I)</f>
        <v>19</v>
      </c>
      <c r="O380">
        <v>2019</v>
      </c>
      <c r="P380">
        <v>2019</v>
      </c>
      <c r="R380">
        <v>90</v>
      </c>
      <c r="S380" s="7">
        <f>AVERAGEIF(A:A,A380,R:R)</f>
        <v>89.46875</v>
      </c>
      <c r="T380" s="1">
        <v>43641</v>
      </c>
      <c r="U380" s="13" t="str">
        <f t="shared" si="120"/>
        <v>June</v>
      </c>
      <c r="V380" s="12">
        <f t="shared" si="121"/>
        <v>43641</v>
      </c>
      <c r="W380" s="2">
        <v>11.69</v>
      </c>
      <c r="X380">
        <v>0</v>
      </c>
      <c r="Y380" s="11">
        <f t="shared" si="117"/>
        <v>11.69</v>
      </c>
      <c r="Z380" s="109"/>
      <c r="AA380" s="37">
        <f>IF(Y380&gt;=Expenses!$C$32,4,IF(Y380&gt;=Expenses!$C$31,3,IF(Y380&gt;=Expenses!$C$30,2,1)))</f>
        <v>1</v>
      </c>
      <c r="AB380" s="37">
        <f t="shared" si="118"/>
        <v>1</v>
      </c>
      <c r="AC380" s="37" t="str">
        <f t="shared" si="119"/>
        <v>2019</v>
      </c>
    </row>
    <row r="381" spans="1:29" ht="18.75" x14ac:dyDescent="0.3">
      <c r="A381" s="37" t="str">
        <f t="shared" si="116"/>
        <v>2010CondeNeo</v>
      </c>
      <c r="B381">
        <v>2010</v>
      </c>
      <c r="C381" t="s">
        <v>45</v>
      </c>
      <c r="D381" t="s">
        <v>46</v>
      </c>
      <c r="E381" t="s">
        <v>277</v>
      </c>
      <c r="F381" s="37" t="s">
        <v>729</v>
      </c>
      <c r="G381" s="37" t="s">
        <v>814</v>
      </c>
      <c r="H381" s="37" t="s">
        <v>818</v>
      </c>
      <c r="I381">
        <v>1</v>
      </c>
      <c r="J381">
        <v>750</v>
      </c>
      <c r="K381" t="s">
        <v>656</v>
      </c>
      <c r="L381" s="37">
        <f>SUMIF(Wine1!A:A,Drank!A381,Wine1!I:I)</f>
        <v>4</v>
      </c>
      <c r="M381">
        <v>2014</v>
      </c>
      <c r="N381">
        <v>2020</v>
      </c>
      <c r="O381">
        <v>2019</v>
      </c>
      <c r="P381">
        <v>2024</v>
      </c>
      <c r="Q381">
        <v>93</v>
      </c>
      <c r="R381">
        <v>91</v>
      </c>
      <c r="S381" s="7">
        <f>AVERAGEIF(A:A,A381,R:R)</f>
        <v>92.166666666666671</v>
      </c>
      <c r="T381" s="1">
        <v>43639</v>
      </c>
      <c r="U381" s="13" t="str">
        <f t="shared" si="120"/>
        <v>June</v>
      </c>
      <c r="V381" s="12">
        <f t="shared" si="121"/>
        <v>43639</v>
      </c>
      <c r="W381" s="2">
        <v>27</v>
      </c>
      <c r="X381">
        <v>1</v>
      </c>
      <c r="Y381" s="11">
        <f t="shared" si="117"/>
        <v>26.999999999999996</v>
      </c>
      <c r="Z381" s="109"/>
      <c r="AA381" s="37">
        <f>IF(Y381&gt;=Expenses!$C$32,4,IF(Y381&gt;=Expenses!$C$31,3,IF(Y381&gt;=Expenses!$C$30,2,1)))</f>
        <v>2</v>
      </c>
      <c r="AB381" s="37">
        <f t="shared" si="118"/>
        <v>1</v>
      </c>
      <c r="AC381" s="37" t="str">
        <f t="shared" si="119"/>
        <v>2019</v>
      </c>
    </row>
    <row r="382" spans="1:29" ht="18.75" x14ac:dyDescent="0.3">
      <c r="A382" s="37" t="str">
        <f t="shared" si="116"/>
        <v>2004ViÃ±edos y Bodegas PabloGran Viu Finca Santiaga</v>
      </c>
      <c r="B382">
        <v>2004</v>
      </c>
      <c r="C382" t="s">
        <v>322</v>
      </c>
      <c r="D382" t="s">
        <v>323</v>
      </c>
      <c r="E382" t="s">
        <v>283</v>
      </c>
      <c r="F382" s="37" t="s">
        <v>729</v>
      </c>
      <c r="G382" s="37" t="s">
        <v>811</v>
      </c>
      <c r="H382" s="37" t="s">
        <v>813</v>
      </c>
      <c r="I382">
        <v>1</v>
      </c>
      <c r="J382">
        <v>750</v>
      </c>
      <c r="K382" t="s">
        <v>324</v>
      </c>
      <c r="L382" s="37">
        <f>SUMIF(Wine1!A:A,Drank!A382,Wine1!I:I)</f>
        <v>2</v>
      </c>
      <c r="M382">
        <v>2012</v>
      </c>
      <c r="N382">
        <v>2035</v>
      </c>
      <c r="O382">
        <v>2020</v>
      </c>
      <c r="P382">
        <v>2028</v>
      </c>
      <c r="Q382">
        <v>94</v>
      </c>
      <c r="R382">
        <v>91</v>
      </c>
      <c r="S382" s="7">
        <f>AVERAGEIF(A:A,A382,R:R)</f>
        <v>91</v>
      </c>
      <c r="T382" s="1">
        <v>43639</v>
      </c>
      <c r="U382" s="13" t="str">
        <f t="shared" si="120"/>
        <v>June</v>
      </c>
      <c r="V382" s="12">
        <f t="shared" si="121"/>
        <v>43639</v>
      </c>
      <c r="W382" s="2">
        <v>29.98</v>
      </c>
      <c r="X382">
        <v>1</v>
      </c>
      <c r="Y382" s="11">
        <f t="shared" si="117"/>
        <v>29.98</v>
      </c>
      <c r="Z382" s="109"/>
      <c r="AA382" s="37">
        <f>IF(Y382&gt;=Expenses!$C$32,4,IF(Y382&gt;=Expenses!$C$31,3,IF(Y382&gt;=Expenses!$C$30,2,1)))</f>
        <v>2</v>
      </c>
      <c r="AB382" s="37">
        <f t="shared" si="118"/>
        <v>1</v>
      </c>
      <c r="AC382" s="37" t="str">
        <f t="shared" si="119"/>
        <v>2019</v>
      </c>
    </row>
    <row r="383" spans="1:29" ht="18.75" x14ac:dyDescent="0.3">
      <c r="A383" s="37" t="str">
        <f t="shared" si="116"/>
        <v>2015Diez-CaballeroCrianza</v>
      </c>
      <c r="B383">
        <v>2015</v>
      </c>
      <c r="C383" t="s">
        <v>1216</v>
      </c>
      <c r="D383" t="s">
        <v>108</v>
      </c>
      <c r="E383" t="s">
        <v>276</v>
      </c>
      <c r="F383" s="37" t="s">
        <v>729</v>
      </c>
      <c r="G383" s="37" t="s">
        <v>823</v>
      </c>
      <c r="I383">
        <v>1</v>
      </c>
      <c r="J383">
        <v>750</v>
      </c>
      <c r="K383" t="s">
        <v>102</v>
      </c>
      <c r="L383" s="37">
        <f>SUMIF(Wine1!A:A,Drank!A383,Wine1!I:I)</f>
        <v>4</v>
      </c>
      <c r="M383">
        <v>2018</v>
      </c>
      <c r="N383">
        <v>2022</v>
      </c>
      <c r="O383">
        <v>2019</v>
      </c>
      <c r="P383">
        <v>2022</v>
      </c>
      <c r="Q383">
        <v>92</v>
      </c>
      <c r="R383">
        <v>92</v>
      </c>
      <c r="S383" s="7">
        <f>AVERAGEIF(A:A,A383,R:R)</f>
        <v>91.235294117647058</v>
      </c>
      <c r="T383" s="1">
        <v>43632</v>
      </c>
      <c r="U383" s="13" t="str">
        <f t="shared" si="120"/>
        <v>June</v>
      </c>
      <c r="V383" s="12">
        <f t="shared" si="121"/>
        <v>43632</v>
      </c>
      <c r="W383" s="2">
        <v>14</v>
      </c>
      <c r="X383">
        <v>0</v>
      </c>
      <c r="Y383" s="11">
        <f t="shared" si="117"/>
        <v>14.000000000000002</v>
      </c>
      <c r="Z383" s="109"/>
      <c r="AA383" s="37">
        <f>IF(Y383&gt;=Expenses!$C$32,4,IF(Y383&gt;=Expenses!$C$31,3,IF(Y383&gt;=Expenses!$C$30,2,1)))</f>
        <v>1</v>
      </c>
      <c r="AB383" s="37">
        <f t="shared" si="118"/>
        <v>1</v>
      </c>
      <c r="AC383" s="37" t="str">
        <f t="shared" si="119"/>
        <v>2019</v>
      </c>
    </row>
    <row r="384" spans="1:29" ht="18.75" x14ac:dyDescent="0.3">
      <c r="A384" s="37" t="str">
        <f t="shared" si="116"/>
        <v>2014Produttori del BarbarescoBarbaresco</v>
      </c>
      <c r="B384">
        <v>2014</v>
      </c>
      <c r="C384" t="s">
        <v>248</v>
      </c>
      <c r="D384" t="s">
        <v>249</v>
      </c>
      <c r="E384" t="s">
        <v>249</v>
      </c>
      <c r="F384" s="37" t="s">
        <v>728</v>
      </c>
      <c r="G384" s="37" t="s">
        <v>778</v>
      </c>
      <c r="H384" s="37" t="s">
        <v>249</v>
      </c>
      <c r="I384">
        <v>1</v>
      </c>
      <c r="J384">
        <v>750</v>
      </c>
      <c r="K384" t="s">
        <v>253</v>
      </c>
      <c r="L384" s="37">
        <f>SUMIF(Wine1!A:A,Drank!A384,Wine1!I:I)</f>
        <v>2</v>
      </c>
      <c r="M384">
        <v>2018</v>
      </c>
      <c r="N384">
        <v>2030</v>
      </c>
      <c r="O384">
        <v>2019</v>
      </c>
      <c r="P384">
        <v>2028</v>
      </c>
      <c r="Q384">
        <v>94</v>
      </c>
      <c r="R384">
        <v>94</v>
      </c>
      <c r="S384" s="7">
        <f>AVERAGEIF(A:A,A384,R:R)</f>
        <v>93</v>
      </c>
      <c r="T384" s="1">
        <v>43632</v>
      </c>
      <c r="U384" s="13" t="str">
        <f t="shared" si="120"/>
        <v>June</v>
      </c>
      <c r="V384" s="12">
        <f t="shared" si="121"/>
        <v>43632</v>
      </c>
      <c r="W384" s="2">
        <v>39.99</v>
      </c>
      <c r="X384">
        <v>1</v>
      </c>
      <c r="Y384" s="11">
        <f t="shared" si="117"/>
        <v>39.99</v>
      </c>
      <c r="Z384" s="109"/>
      <c r="AA384" s="37">
        <f>IF(Y384&gt;=Expenses!$C$32,4,IF(Y384&gt;=Expenses!$C$31,3,IF(Y384&gt;=Expenses!$C$30,2,1)))</f>
        <v>3</v>
      </c>
      <c r="AB384" s="37">
        <f t="shared" si="118"/>
        <v>1</v>
      </c>
      <c r="AC384" s="37" t="str">
        <f t="shared" si="119"/>
        <v>2019</v>
      </c>
    </row>
    <row r="385" spans="1:29" ht="18.75" x14ac:dyDescent="0.3">
      <c r="A385" s="37" t="str">
        <f t="shared" si="116"/>
        <v>2015Rocca di FrassinelloMaremma Toscana Le Sughere di Frassinello</v>
      </c>
      <c r="B385">
        <v>2015</v>
      </c>
      <c r="C385" t="s">
        <v>142</v>
      </c>
      <c r="D385" t="s">
        <v>143</v>
      </c>
      <c r="E385" t="s">
        <v>274</v>
      </c>
      <c r="F385" s="37" t="s">
        <v>728</v>
      </c>
      <c r="G385" s="37" t="s">
        <v>790</v>
      </c>
      <c r="H385" s="37" t="s">
        <v>793</v>
      </c>
      <c r="I385">
        <v>1</v>
      </c>
      <c r="J385">
        <v>750</v>
      </c>
      <c r="K385" s="37" t="s">
        <v>656</v>
      </c>
      <c r="L385" s="37">
        <f>SUMIF(Wine1!A:A,Drank!A385,Wine1!I:I)</f>
        <v>0</v>
      </c>
      <c r="M385">
        <v>2017</v>
      </c>
      <c r="N385">
        <v>2024</v>
      </c>
      <c r="O385">
        <v>2021</v>
      </c>
      <c r="P385">
        <v>2026</v>
      </c>
      <c r="Q385">
        <v>91</v>
      </c>
      <c r="R385">
        <v>91</v>
      </c>
      <c r="S385" s="7">
        <f>AVERAGEIF(A:A,A385,R:R)</f>
        <v>91</v>
      </c>
      <c r="T385" s="1">
        <v>43632</v>
      </c>
      <c r="U385" s="13" t="str">
        <f t="shared" si="120"/>
        <v>June</v>
      </c>
      <c r="V385" s="12">
        <f t="shared" si="121"/>
        <v>43632</v>
      </c>
      <c r="W385" s="2">
        <v>22</v>
      </c>
      <c r="X385">
        <v>1</v>
      </c>
      <c r="Y385" s="11">
        <f t="shared" si="117"/>
        <v>22</v>
      </c>
      <c r="Z385" s="109"/>
      <c r="AA385" s="37">
        <f>IF(Y385&gt;=Expenses!$C$32,4,IF(Y385&gt;=Expenses!$C$31,3,IF(Y385&gt;=Expenses!$C$30,2,1)))</f>
        <v>2</v>
      </c>
      <c r="AB385" s="37">
        <f t="shared" si="118"/>
        <v>1</v>
      </c>
      <c r="AC385" s="37" t="str">
        <f t="shared" si="119"/>
        <v>2019</v>
      </c>
    </row>
    <row r="386" spans="1:29" ht="18.75" x14ac:dyDescent="0.3">
      <c r="A386" s="37" t="str">
        <f t="shared" si="116"/>
        <v>2015Diez-CaballeroVendimia Seleccionada</v>
      </c>
      <c r="B386">
        <v>2015</v>
      </c>
      <c r="C386" t="s">
        <v>1216</v>
      </c>
      <c r="D386" t="s">
        <v>303</v>
      </c>
      <c r="E386" t="s">
        <v>276</v>
      </c>
      <c r="F386" s="37" t="s">
        <v>729</v>
      </c>
      <c r="G386" s="37" t="s">
        <v>823</v>
      </c>
      <c r="I386">
        <v>1</v>
      </c>
      <c r="J386">
        <v>750</v>
      </c>
      <c r="K386" t="s">
        <v>650</v>
      </c>
      <c r="L386" s="37">
        <f>SUMIF(Wine1!A:A,Drank!A386,Wine1!I:I)</f>
        <v>1</v>
      </c>
      <c r="M386">
        <v>2018</v>
      </c>
      <c r="N386">
        <v>2022</v>
      </c>
      <c r="O386">
        <v>2019</v>
      </c>
      <c r="P386">
        <v>2021</v>
      </c>
      <c r="Q386" t="s">
        <v>196</v>
      </c>
      <c r="R386">
        <v>90</v>
      </c>
      <c r="S386" s="7">
        <f>AVERAGEIF(A:A,A386,R:R)</f>
        <v>91</v>
      </c>
      <c r="T386" s="1">
        <v>43631</v>
      </c>
      <c r="U386" s="13" t="str">
        <f t="shared" si="120"/>
        <v>June</v>
      </c>
      <c r="V386" s="12">
        <f t="shared" si="121"/>
        <v>43631</v>
      </c>
      <c r="W386" s="2">
        <v>16.989999999999998</v>
      </c>
      <c r="X386">
        <v>1</v>
      </c>
      <c r="Y386" s="11">
        <f t="shared" si="117"/>
        <v>16.989999999999998</v>
      </c>
      <c r="Z386" s="109"/>
      <c r="AA386" s="37">
        <f>IF(Y386&gt;=Expenses!$C$32,4,IF(Y386&gt;=Expenses!$C$31,3,IF(Y386&gt;=Expenses!$C$30,2,1)))</f>
        <v>2</v>
      </c>
      <c r="AB386" s="37">
        <f t="shared" si="118"/>
        <v>1</v>
      </c>
      <c r="AC386" s="37" t="str">
        <f t="shared" si="119"/>
        <v>2019</v>
      </c>
    </row>
    <row r="387" spans="1:29" ht="18.75" x14ac:dyDescent="0.3">
      <c r="A387" s="37" t="str">
        <f t="shared" si="116"/>
        <v>2013LutumPinot Noir Gap's Crown Vineyard</v>
      </c>
      <c r="B387">
        <v>2013</v>
      </c>
      <c r="C387" t="s">
        <v>333</v>
      </c>
      <c r="D387" t="s">
        <v>334</v>
      </c>
      <c r="E387" t="s">
        <v>263</v>
      </c>
      <c r="F387" s="37" t="s">
        <v>727</v>
      </c>
      <c r="G387" s="37" t="s">
        <v>806</v>
      </c>
      <c r="H387" s="37" t="s">
        <v>831</v>
      </c>
      <c r="I387">
        <v>1</v>
      </c>
      <c r="J387">
        <v>750</v>
      </c>
      <c r="K387" t="s">
        <v>651</v>
      </c>
      <c r="L387" s="37">
        <f>SUMIF(Wine1!A:A,Drank!A387,Wine1!I:I)</f>
        <v>1</v>
      </c>
      <c r="M387">
        <v>2016</v>
      </c>
      <c r="N387">
        <v>2023</v>
      </c>
      <c r="O387">
        <v>2022</v>
      </c>
      <c r="P387">
        <v>2024</v>
      </c>
      <c r="Q387">
        <v>94</v>
      </c>
      <c r="R387">
        <v>94</v>
      </c>
      <c r="S387" s="7">
        <f>AVERAGEIF(A:A,A387,R:R)</f>
        <v>94</v>
      </c>
      <c r="T387" s="1">
        <v>43631</v>
      </c>
      <c r="U387" s="13" t="str">
        <f t="shared" si="120"/>
        <v>June</v>
      </c>
      <c r="V387" s="12">
        <f t="shared" si="121"/>
        <v>43631</v>
      </c>
      <c r="W387" s="2">
        <v>35</v>
      </c>
      <c r="X387">
        <v>1</v>
      </c>
      <c r="Y387" s="11">
        <f t="shared" si="117"/>
        <v>35</v>
      </c>
      <c r="Z387" s="109"/>
      <c r="AA387" s="37">
        <f>IF(Y387&gt;=Expenses!$C$32,4,IF(Y387&gt;=Expenses!$C$31,3,IF(Y387&gt;=Expenses!$C$30,2,1)))</f>
        <v>3</v>
      </c>
      <c r="AB387" s="37">
        <f t="shared" si="118"/>
        <v>1</v>
      </c>
      <c r="AC387" s="37" t="str">
        <f t="shared" si="119"/>
        <v>2019</v>
      </c>
    </row>
    <row r="388" spans="1:29" ht="18.75" x14ac:dyDescent="0.3">
      <c r="A388" s="37" t="str">
        <f t="shared" si="116"/>
        <v>1965Toro AlbalÃ¡Don PX SelecciÃ³n</v>
      </c>
      <c r="B388">
        <v>1965</v>
      </c>
      <c r="C388" t="s">
        <v>347</v>
      </c>
      <c r="D388" t="s">
        <v>348</v>
      </c>
      <c r="E388" t="s">
        <v>351</v>
      </c>
      <c r="F388" s="37" t="s">
        <v>729</v>
      </c>
      <c r="G388" s="37" t="s">
        <v>809</v>
      </c>
      <c r="H388" s="37" t="s">
        <v>810</v>
      </c>
      <c r="I388">
        <v>1</v>
      </c>
      <c r="J388">
        <v>750</v>
      </c>
      <c r="K388" t="s">
        <v>236</v>
      </c>
      <c r="L388" s="37">
        <f>SUMIF(Wine1!A:A,Drank!A388,Wine1!I:I)</f>
        <v>1</v>
      </c>
      <c r="M388">
        <v>2014</v>
      </c>
      <c r="N388">
        <v>2020</v>
      </c>
      <c r="O388">
        <v>2020</v>
      </c>
      <c r="P388">
        <v>2020</v>
      </c>
      <c r="Q388">
        <v>97</v>
      </c>
      <c r="R388">
        <v>95</v>
      </c>
      <c r="S388" s="7">
        <f>AVERAGEIF(A:A,A388,R:R)</f>
        <v>95</v>
      </c>
      <c r="T388" s="1">
        <v>43631</v>
      </c>
      <c r="U388" s="13" t="str">
        <f t="shared" si="120"/>
        <v>June</v>
      </c>
      <c r="V388" s="12">
        <f t="shared" si="121"/>
        <v>43631</v>
      </c>
      <c r="W388" s="2">
        <v>150</v>
      </c>
      <c r="X388">
        <v>1</v>
      </c>
      <c r="Y388" s="11">
        <f t="shared" si="117"/>
        <v>150</v>
      </c>
      <c r="Z388" s="109"/>
      <c r="AA388" s="37">
        <f>IF(Y388&gt;=Expenses!$C$32,4,IF(Y388&gt;=Expenses!$C$31,3,IF(Y388&gt;=Expenses!$C$30,2,1)))</f>
        <v>4</v>
      </c>
      <c r="AB388" s="37">
        <f t="shared" si="118"/>
        <v>1</v>
      </c>
      <c r="AC388" s="37" t="str">
        <f t="shared" si="119"/>
        <v>2019</v>
      </c>
    </row>
    <row r="389" spans="1:29" ht="18.75" x14ac:dyDescent="0.3">
      <c r="A389" s="37" t="str">
        <f t="shared" si="116"/>
        <v>2016San AlejandroLas Rocas</v>
      </c>
      <c r="B389">
        <v>2016</v>
      </c>
      <c r="C389" t="s">
        <v>152</v>
      </c>
      <c r="D389" t="s">
        <v>153</v>
      </c>
      <c r="E389" t="s">
        <v>284</v>
      </c>
      <c r="F389" s="37" t="s">
        <v>729</v>
      </c>
      <c r="G389" s="37" t="s">
        <v>811</v>
      </c>
      <c r="H389" s="37" t="s">
        <v>812</v>
      </c>
      <c r="I389">
        <v>1</v>
      </c>
      <c r="J389">
        <v>750</v>
      </c>
      <c r="K389" t="s">
        <v>58</v>
      </c>
      <c r="L389" s="37">
        <f>SUMIF(Wine1!A:A,Drank!A389,Wine1!I:I)</f>
        <v>4</v>
      </c>
      <c r="M389">
        <v>2019</v>
      </c>
      <c r="N389">
        <v>2021</v>
      </c>
      <c r="O389">
        <v>2019</v>
      </c>
      <c r="P389">
        <v>2020</v>
      </c>
      <c r="Q389">
        <v>89</v>
      </c>
      <c r="R389">
        <v>88</v>
      </c>
      <c r="S389" s="7">
        <f>AVERAGEIF(A:A,A389,R:R)</f>
        <v>88.944444444444443</v>
      </c>
      <c r="T389" s="1">
        <v>43630</v>
      </c>
      <c r="U389" s="13" t="str">
        <f t="shared" si="120"/>
        <v>June</v>
      </c>
      <c r="V389" s="12">
        <f t="shared" si="121"/>
        <v>43630</v>
      </c>
      <c r="W389" s="2">
        <v>8.09</v>
      </c>
      <c r="X389">
        <v>0</v>
      </c>
      <c r="Y389" s="11">
        <f t="shared" si="117"/>
        <v>8.09</v>
      </c>
      <c r="Z389" s="109"/>
      <c r="AA389" s="37">
        <f>IF(Y389&gt;=Expenses!$C$32,4,IF(Y389&gt;=Expenses!$C$31,3,IF(Y389&gt;=Expenses!$C$30,2,1)))</f>
        <v>1</v>
      </c>
      <c r="AB389" s="37">
        <f t="shared" si="118"/>
        <v>1</v>
      </c>
      <c r="AC389" s="37" t="str">
        <f t="shared" si="119"/>
        <v>2019</v>
      </c>
    </row>
    <row r="390" spans="1:29" ht="18.75" x14ac:dyDescent="0.3">
      <c r="A390" s="37" t="str">
        <f t="shared" si="116"/>
        <v>2014ParrasEvidencia Tinto Dao</v>
      </c>
      <c r="B390">
        <v>2014</v>
      </c>
      <c r="C390" t="s">
        <v>187</v>
      </c>
      <c r="D390" t="s">
        <v>188</v>
      </c>
      <c r="E390" t="s">
        <v>274</v>
      </c>
      <c r="F390" s="37" t="s">
        <v>804</v>
      </c>
      <c r="G390" s="37" t="s">
        <v>837</v>
      </c>
      <c r="I390">
        <v>1</v>
      </c>
      <c r="J390">
        <v>750</v>
      </c>
      <c r="K390" t="s">
        <v>102</v>
      </c>
      <c r="L390" s="37">
        <f>SUMIF(Wine1!A:A,Drank!A390,Wine1!I:I)</f>
        <v>0</v>
      </c>
      <c r="R390">
        <v>85</v>
      </c>
      <c r="S390" s="7">
        <f>AVERAGEIF(A:A,A390,R:R)</f>
        <v>85.5</v>
      </c>
      <c r="T390" s="1">
        <v>43627</v>
      </c>
      <c r="U390" s="13" t="str">
        <f t="shared" si="120"/>
        <v>June</v>
      </c>
      <c r="V390" s="12">
        <f t="shared" si="121"/>
        <v>43627</v>
      </c>
      <c r="W390" s="2">
        <v>8.09</v>
      </c>
      <c r="X390">
        <v>0</v>
      </c>
      <c r="Y390" s="11">
        <f t="shared" si="117"/>
        <v>8.09</v>
      </c>
      <c r="Z390" s="109"/>
      <c r="AA390" s="37">
        <f>IF(Y390&gt;=Expenses!$C$32,4,IF(Y390&gt;=Expenses!$C$31,3,IF(Y390&gt;=Expenses!$C$30,2,1)))</f>
        <v>1</v>
      </c>
      <c r="AB390" s="37">
        <f t="shared" si="118"/>
        <v>1</v>
      </c>
      <c r="AC390" s="37" t="str">
        <f t="shared" si="119"/>
        <v>2019</v>
      </c>
    </row>
    <row r="391" spans="1:29" ht="18.75" x14ac:dyDescent="0.3">
      <c r="A391" s="37" t="str">
        <f t="shared" si="116"/>
        <v>2009Taylor FladgateVintage Port</v>
      </c>
      <c r="B391">
        <v>2009</v>
      </c>
      <c r="C391" t="s">
        <v>243</v>
      </c>
      <c r="D391" t="s">
        <v>244</v>
      </c>
      <c r="E391" t="s">
        <v>257</v>
      </c>
      <c r="F391" s="37" t="s">
        <v>804</v>
      </c>
      <c r="G391" s="37" t="s">
        <v>805</v>
      </c>
      <c r="I391">
        <v>0</v>
      </c>
      <c r="J391">
        <v>750</v>
      </c>
      <c r="K391" t="s">
        <v>236</v>
      </c>
      <c r="L391" s="37">
        <f>SUMIF(Wine1!A:A,Drank!A391,Wine1!I:I)</f>
        <v>0</v>
      </c>
      <c r="Q391">
        <v>97</v>
      </c>
      <c r="R391">
        <v>97</v>
      </c>
      <c r="S391" s="7">
        <f>AVERAGEIF(A:A,A391,R:R)</f>
        <v>97</v>
      </c>
      <c r="T391" s="1">
        <v>43625</v>
      </c>
      <c r="U391" s="13" t="str">
        <f t="shared" si="120"/>
        <v>June</v>
      </c>
      <c r="V391" s="12">
        <f t="shared" si="121"/>
        <v>43625</v>
      </c>
      <c r="W391" s="2"/>
      <c r="X391">
        <v>0</v>
      </c>
      <c r="Y391" s="11">
        <f t="shared" si="117"/>
        <v>0</v>
      </c>
      <c r="Z391" s="109"/>
      <c r="AA391" s="37">
        <f>IF(Y391&gt;=Expenses!$C$32,4,IF(Y391&gt;=Expenses!$C$31,3,IF(Y391&gt;=Expenses!$C$30,2,1)))</f>
        <v>1</v>
      </c>
      <c r="AB391" s="37">
        <f t="shared" si="118"/>
        <v>1</v>
      </c>
      <c r="AC391" s="37" t="str">
        <f t="shared" si="119"/>
        <v>2019</v>
      </c>
    </row>
    <row r="392" spans="1:29" ht="18.75" x14ac:dyDescent="0.3">
      <c r="A392" s="37" t="str">
        <f t="shared" si="116"/>
        <v>2013FantiBrunello di Montalcino</v>
      </c>
      <c r="B392">
        <v>2013</v>
      </c>
      <c r="C392" t="s">
        <v>353</v>
      </c>
      <c r="D392" t="s">
        <v>19</v>
      </c>
      <c r="E392" t="s">
        <v>266</v>
      </c>
      <c r="F392" s="37" t="s">
        <v>728</v>
      </c>
      <c r="G392" s="37" t="s">
        <v>790</v>
      </c>
      <c r="H392" s="37" t="s">
        <v>19</v>
      </c>
      <c r="I392">
        <v>0</v>
      </c>
      <c r="J392">
        <v>750</v>
      </c>
      <c r="K392" t="s">
        <v>236</v>
      </c>
      <c r="L392" s="37">
        <f>SUMIF(Wine1!A:A,Drank!A392,Wine1!I:I)</f>
        <v>0</v>
      </c>
      <c r="M392">
        <v>2019</v>
      </c>
      <c r="N392">
        <v>2029</v>
      </c>
      <c r="Q392">
        <v>90</v>
      </c>
      <c r="R392">
        <v>92</v>
      </c>
      <c r="S392" s="7">
        <f>AVERAGEIF(A:A,A392,R:R)</f>
        <v>92</v>
      </c>
      <c r="T392" s="1">
        <v>43625</v>
      </c>
      <c r="U392" s="13" t="str">
        <f t="shared" si="120"/>
        <v>June</v>
      </c>
      <c r="V392" s="12">
        <f t="shared" si="121"/>
        <v>43625</v>
      </c>
      <c r="W392" s="2"/>
      <c r="X392">
        <v>0</v>
      </c>
      <c r="Y392" s="11">
        <f t="shared" si="117"/>
        <v>0</v>
      </c>
      <c r="Z392" s="109"/>
      <c r="AA392" s="37">
        <f>IF(Y392&gt;=Expenses!$C$32,4,IF(Y392&gt;=Expenses!$C$31,3,IF(Y392&gt;=Expenses!$C$30,2,1)))</f>
        <v>1</v>
      </c>
      <c r="AB392" s="37">
        <f t="shared" si="118"/>
        <v>1</v>
      </c>
      <c r="AC392" s="37" t="str">
        <f t="shared" si="119"/>
        <v>2019</v>
      </c>
    </row>
    <row r="393" spans="1:29" ht="18.75" x14ac:dyDescent="0.3">
      <c r="A393" s="37" t="str">
        <f t="shared" si="116"/>
        <v>2014Leeuwin EstateArt Series Chardonnay</v>
      </c>
      <c r="B393">
        <v>2014</v>
      </c>
      <c r="C393" t="s">
        <v>349</v>
      </c>
      <c r="D393" t="s">
        <v>350</v>
      </c>
      <c r="E393" t="s">
        <v>259</v>
      </c>
      <c r="F393" s="37" t="s">
        <v>736</v>
      </c>
      <c r="G393" s="37" t="s">
        <v>740</v>
      </c>
      <c r="H393" s="37" t="s">
        <v>741</v>
      </c>
      <c r="I393">
        <v>1</v>
      </c>
      <c r="J393">
        <v>750</v>
      </c>
      <c r="K393" t="s">
        <v>650</v>
      </c>
      <c r="L393" s="37">
        <f>SUMIF(Wine1!A:A,Drank!A393,Wine1!I:I)</f>
        <v>2</v>
      </c>
      <c r="M393">
        <v>2017</v>
      </c>
      <c r="N393">
        <v>2025</v>
      </c>
      <c r="O393">
        <v>2021</v>
      </c>
      <c r="P393">
        <v>2025</v>
      </c>
      <c r="Q393">
        <v>96</v>
      </c>
      <c r="R393">
        <v>94</v>
      </c>
      <c r="S393" s="7">
        <f>AVERAGEIF(A:A,A393,R:R)</f>
        <v>94</v>
      </c>
      <c r="T393" s="1">
        <v>43625</v>
      </c>
      <c r="U393" s="13" t="str">
        <f t="shared" si="120"/>
        <v>June</v>
      </c>
      <c r="V393" s="12">
        <f t="shared" si="121"/>
        <v>43625</v>
      </c>
      <c r="W393" s="2">
        <v>65</v>
      </c>
      <c r="X393">
        <v>0</v>
      </c>
      <c r="Y393" s="11">
        <f t="shared" si="117"/>
        <v>65</v>
      </c>
      <c r="Z393" s="109"/>
      <c r="AA393" s="37">
        <f>IF(Y393&gt;=Expenses!$C$32,4,IF(Y393&gt;=Expenses!$C$31,3,IF(Y393&gt;=Expenses!$C$30,2,1)))</f>
        <v>4</v>
      </c>
      <c r="AB393" s="37">
        <f t="shared" si="118"/>
        <v>1</v>
      </c>
      <c r="AC393" s="37" t="str">
        <f t="shared" si="119"/>
        <v>2019</v>
      </c>
    </row>
    <row r="394" spans="1:29" ht="18.75" x14ac:dyDescent="0.3">
      <c r="A394" s="37" t="str">
        <f t="shared" si="116"/>
        <v>2013Campo ViejoReserva</v>
      </c>
      <c r="B394">
        <v>2013</v>
      </c>
      <c r="C394" t="s">
        <v>352</v>
      </c>
      <c r="D394" t="s">
        <v>106</v>
      </c>
      <c r="E394" t="s">
        <v>277</v>
      </c>
      <c r="F394" s="37" t="s">
        <v>729</v>
      </c>
      <c r="G394" s="37" t="s">
        <v>823</v>
      </c>
      <c r="I394">
        <v>1</v>
      </c>
      <c r="J394">
        <v>750</v>
      </c>
      <c r="K394" t="s">
        <v>236</v>
      </c>
      <c r="L394" s="37">
        <f>SUMIF(Wine1!A:A,Drank!A394,Wine1!I:I)</f>
        <v>0</v>
      </c>
      <c r="M394">
        <v>2018</v>
      </c>
      <c r="N394">
        <v>2019</v>
      </c>
      <c r="Q394">
        <v>85</v>
      </c>
      <c r="R394">
        <v>88</v>
      </c>
      <c r="S394" s="7">
        <f>AVERAGEIF(A:A,A394,R:R)</f>
        <v>88</v>
      </c>
      <c r="T394" s="1">
        <v>43624</v>
      </c>
      <c r="U394" s="13" t="str">
        <f t="shared" si="120"/>
        <v>June</v>
      </c>
      <c r="V394" s="12">
        <f t="shared" si="121"/>
        <v>43624</v>
      </c>
      <c r="W394" s="2">
        <v>16.989999999999998</v>
      </c>
      <c r="X394">
        <v>0</v>
      </c>
      <c r="Y394" s="11">
        <f t="shared" si="117"/>
        <v>16.989999999999998</v>
      </c>
      <c r="Z394" s="109"/>
      <c r="AA394" s="37">
        <f>IF(Y394&gt;=Expenses!$C$32,4,IF(Y394&gt;=Expenses!$C$31,3,IF(Y394&gt;=Expenses!$C$30,2,1)))</f>
        <v>2</v>
      </c>
      <c r="AB394" s="37">
        <f t="shared" si="118"/>
        <v>1</v>
      </c>
      <c r="AC394" s="37" t="str">
        <f t="shared" si="119"/>
        <v>2019</v>
      </c>
    </row>
    <row r="395" spans="1:29" ht="18.75" x14ac:dyDescent="0.3">
      <c r="A395" s="37" t="str">
        <f t="shared" si="116"/>
        <v>2015AllegriniPalazzo della Torre</v>
      </c>
      <c r="B395">
        <v>2015</v>
      </c>
      <c r="C395" t="s">
        <v>111</v>
      </c>
      <c r="D395" t="s">
        <v>112</v>
      </c>
      <c r="E395" t="s">
        <v>262</v>
      </c>
      <c r="F395" s="37" t="s">
        <v>728</v>
      </c>
      <c r="G395" s="37" t="s">
        <v>799</v>
      </c>
      <c r="H395" s="37" t="s">
        <v>800</v>
      </c>
      <c r="I395">
        <v>1</v>
      </c>
      <c r="J395">
        <v>750</v>
      </c>
      <c r="K395" t="s">
        <v>650</v>
      </c>
      <c r="L395" s="37">
        <f>SUMIF(Wine1!A:A,Drank!A395,Wine1!I:I)</f>
        <v>6</v>
      </c>
      <c r="O395">
        <v>2019</v>
      </c>
      <c r="P395">
        <v>2022</v>
      </c>
      <c r="R395">
        <v>91</v>
      </c>
      <c r="S395" s="7">
        <f>AVERAGEIF(A:A,A395,R:R)</f>
        <v>90.909090909090907</v>
      </c>
      <c r="T395" s="1">
        <v>43624</v>
      </c>
      <c r="U395" s="13" t="str">
        <f t="shared" si="120"/>
        <v>June</v>
      </c>
      <c r="V395" s="12">
        <f t="shared" si="121"/>
        <v>43624</v>
      </c>
      <c r="W395" s="2">
        <v>17.989999999999998</v>
      </c>
      <c r="X395">
        <v>0</v>
      </c>
      <c r="Y395" s="11">
        <f t="shared" si="117"/>
        <v>17.989999999999998</v>
      </c>
      <c r="Z395" s="109"/>
      <c r="AA395" s="37">
        <f>IF(Y395&gt;=Expenses!$C$32,4,IF(Y395&gt;=Expenses!$C$31,3,IF(Y395&gt;=Expenses!$C$30,2,1)))</f>
        <v>2</v>
      </c>
      <c r="AB395" s="37">
        <f t="shared" si="118"/>
        <v>1</v>
      </c>
      <c r="AC395" s="37" t="str">
        <f t="shared" si="119"/>
        <v>2019</v>
      </c>
    </row>
    <row r="396" spans="1:29" ht="18.75" x14ac:dyDescent="0.3">
      <c r="A396" s="37" t="str">
        <f t="shared" ref="A396:A459" si="122">CONCATENATE(B396,C396,D396)</f>
        <v>2012Lamole di LamoleChianti Classico Gran Selezione Vigneto di Campolungo</v>
      </c>
      <c r="B396">
        <v>2012</v>
      </c>
      <c r="C396" t="s">
        <v>63</v>
      </c>
      <c r="D396" t="s">
        <v>64</v>
      </c>
      <c r="E396" t="s">
        <v>267</v>
      </c>
      <c r="F396" s="37" t="s">
        <v>728</v>
      </c>
      <c r="G396" s="37" t="s">
        <v>790</v>
      </c>
      <c r="H396" s="37" t="s">
        <v>792</v>
      </c>
      <c r="I396">
        <v>1</v>
      </c>
      <c r="J396">
        <v>750</v>
      </c>
      <c r="K396" t="s">
        <v>25</v>
      </c>
      <c r="L396" s="37">
        <f>SUMIF(Wine1!A:A,Drank!A396,Wine1!I:I)</f>
        <v>0</v>
      </c>
      <c r="N396" s="7"/>
      <c r="O396" t="s">
        <v>238</v>
      </c>
      <c r="P396" s="7">
        <v>2021</v>
      </c>
      <c r="R396">
        <v>90</v>
      </c>
      <c r="S396" s="7">
        <f>AVERAGEIF(A:A,A396,R:R)</f>
        <v>90</v>
      </c>
      <c r="T396" s="1">
        <v>43623</v>
      </c>
      <c r="U396" s="13" t="str">
        <f t="shared" si="120"/>
        <v>June</v>
      </c>
      <c r="V396" s="12">
        <f t="shared" si="121"/>
        <v>43623</v>
      </c>
      <c r="W396" s="2">
        <v>28</v>
      </c>
      <c r="X396">
        <v>0</v>
      </c>
      <c r="Y396" s="11">
        <f t="shared" si="117"/>
        <v>28.000000000000004</v>
      </c>
      <c r="Z396" s="109"/>
      <c r="AA396" s="37">
        <f>IF(Y396&gt;=Expenses!$C$32,4,IF(Y396&gt;=Expenses!$C$31,3,IF(Y396&gt;=Expenses!$C$30,2,1)))</f>
        <v>2</v>
      </c>
      <c r="AB396" s="37">
        <f t="shared" si="118"/>
        <v>1</v>
      </c>
      <c r="AC396" s="37" t="str">
        <f t="shared" si="119"/>
        <v>2019</v>
      </c>
    </row>
    <row r="397" spans="1:29" ht="18.75" x14ac:dyDescent="0.3">
      <c r="A397" s="37" t="str">
        <f t="shared" si="122"/>
        <v>2015Diez-CaballeroCrianza</v>
      </c>
      <c r="B397">
        <v>2015</v>
      </c>
      <c r="C397" t="s">
        <v>1216</v>
      </c>
      <c r="D397" t="s">
        <v>108</v>
      </c>
      <c r="E397" t="s">
        <v>276</v>
      </c>
      <c r="F397" s="37" t="s">
        <v>729</v>
      </c>
      <c r="G397" s="37" t="s">
        <v>823</v>
      </c>
      <c r="I397">
        <v>1</v>
      </c>
      <c r="J397">
        <v>750</v>
      </c>
      <c r="K397" t="s">
        <v>213</v>
      </c>
      <c r="L397" s="37">
        <f>SUMIF(Wine1!A:A,Drank!A397,Wine1!I:I)</f>
        <v>4</v>
      </c>
      <c r="M397">
        <v>2018</v>
      </c>
      <c r="N397" s="7">
        <v>2022</v>
      </c>
      <c r="O397">
        <v>2019</v>
      </c>
      <c r="P397" s="7">
        <v>2021</v>
      </c>
      <c r="Q397">
        <v>92</v>
      </c>
      <c r="R397">
        <v>90</v>
      </c>
      <c r="S397" s="7">
        <f>AVERAGEIF(A:A,A397,R:R)</f>
        <v>91.235294117647058</v>
      </c>
      <c r="T397" s="1">
        <v>43622</v>
      </c>
      <c r="U397" s="13" t="str">
        <f t="shared" si="120"/>
        <v>June</v>
      </c>
      <c r="V397" s="12">
        <f t="shared" si="121"/>
        <v>43622</v>
      </c>
      <c r="W397" s="2">
        <v>14</v>
      </c>
      <c r="X397">
        <v>0</v>
      </c>
      <c r="Y397" s="11">
        <f t="shared" si="117"/>
        <v>14.000000000000002</v>
      </c>
      <c r="Z397" s="109"/>
      <c r="AA397" s="37">
        <f>IF(Y397&gt;=Expenses!$C$32,4,IF(Y397&gt;=Expenses!$C$31,3,IF(Y397&gt;=Expenses!$C$30,2,1)))</f>
        <v>1</v>
      </c>
      <c r="AB397" s="37">
        <f t="shared" si="118"/>
        <v>1</v>
      </c>
      <c r="AC397" s="37" t="str">
        <f t="shared" si="119"/>
        <v>2019</v>
      </c>
    </row>
    <row r="398" spans="1:29" ht="18.75" x14ac:dyDescent="0.3">
      <c r="A398" s="37" t="str">
        <f t="shared" si="122"/>
        <v>2010Cosimo TaurinoSalice Salentino Riserva</v>
      </c>
      <c r="B398">
        <v>2010</v>
      </c>
      <c r="C398" t="s">
        <v>56</v>
      </c>
      <c r="D398" t="s">
        <v>57</v>
      </c>
      <c r="E398" s="37" t="s">
        <v>1204</v>
      </c>
      <c r="F398" s="37" t="s">
        <v>728</v>
      </c>
      <c r="G398" s="37" t="s">
        <v>785</v>
      </c>
      <c r="H398" s="37" t="s">
        <v>769</v>
      </c>
      <c r="I398">
        <v>1</v>
      </c>
      <c r="J398">
        <v>750</v>
      </c>
      <c r="K398" t="s">
        <v>58</v>
      </c>
      <c r="L398" s="37">
        <f>SUMIF(Wine1!A:A,Drank!A398,Wine1!I:I)</f>
        <v>19</v>
      </c>
      <c r="O398">
        <v>2019</v>
      </c>
      <c r="P398">
        <v>2019</v>
      </c>
      <c r="R398">
        <v>89</v>
      </c>
      <c r="S398" s="7">
        <f>AVERAGEIF(A:A,A398,R:R)</f>
        <v>89.46875</v>
      </c>
      <c r="T398" s="1">
        <v>43619</v>
      </c>
      <c r="U398" s="13" t="str">
        <f t="shared" si="120"/>
        <v>June</v>
      </c>
      <c r="V398" s="12">
        <f t="shared" si="121"/>
        <v>43619</v>
      </c>
      <c r="W398" s="2">
        <v>11.69</v>
      </c>
      <c r="X398">
        <v>0</v>
      </c>
      <c r="Y398" s="11">
        <f t="shared" si="117"/>
        <v>11.69</v>
      </c>
      <c r="Z398" s="109"/>
      <c r="AA398" s="37">
        <f>IF(Y398&gt;=Expenses!$C$32,4,IF(Y398&gt;=Expenses!$C$31,3,IF(Y398&gt;=Expenses!$C$30,2,1)))</f>
        <v>1</v>
      </c>
      <c r="AB398" s="37">
        <f t="shared" si="118"/>
        <v>1</v>
      </c>
      <c r="AC398" s="37" t="str">
        <f t="shared" si="119"/>
        <v>2019</v>
      </c>
    </row>
    <row r="399" spans="1:29" ht="18.75" x14ac:dyDescent="0.3">
      <c r="A399" s="37" t="str">
        <f t="shared" si="122"/>
        <v>2014Prisoner Wine CoProprietary Red The Prisoner</v>
      </c>
      <c r="B399">
        <v>2014</v>
      </c>
      <c r="C399" t="s">
        <v>68</v>
      </c>
      <c r="D399" t="s">
        <v>69</v>
      </c>
      <c r="E399" t="s">
        <v>273</v>
      </c>
      <c r="F399" s="37" t="s">
        <v>727</v>
      </c>
      <c r="G399" s="37" t="s">
        <v>806</v>
      </c>
      <c r="H399" s="37" t="s">
        <v>832</v>
      </c>
      <c r="I399">
        <v>1</v>
      </c>
      <c r="J399">
        <v>750</v>
      </c>
      <c r="K399" t="s">
        <v>8</v>
      </c>
      <c r="L399" s="37">
        <f>SUMIF(Wine1!A:A,Drank!A399,Wine1!I:I)</f>
        <v>0</v>
      </c>
      <c r="O399" t="s">
        <v>238</v>
      </c>
      <c r="P399" t="s">
        <v>238</v>
      </c>
      <c r="R399">
        <v>90</v>
      </c>
      <c r="S399" s="7">
        <f>AVERAGEIF(A:A,A399,R:R)</f>
        <v>90</v>
      </c>
      <c r="T399" s="1">
        <v>43618</v>
      </c>
      <c r="U399" s="13" t="str">
        <f t="shared" si="120"/>
        <v>June</v>
      </c>
      <c r="V399" s="12">
        <f t="shared" si="121"/>
        <v>43618</v>
      </c>
      <c r="W399" s="2">
        <v>53</v>
      </c>
      <c r="X399" t="s">
        <v>298</v>
      </c>
      <c r="Y399" s="11">
        <f t="shared" si="117"/>
        <v>53</v>
      </c>
      <c r="Z399" s="109"/>
      <c r="AA399" s="37">
        <f>IF(Y399&gt;=Expenses!$C$32,4,IF(Y399&gt;=Expenses!$C$31,3,IF(Y399&gt;=Expenses!$C$30,2,1)))</f>
        <v>3</v>
      </c>
      <c r="AB399" s="37">
        <f t="shared" si="118"/>
        <v>1</v>
      </c>
      <c r="AC399" s="37" t="str">
        <f t="shared" si="119"/>
        <v>2019</v>
      </c>
    </row>
    <row r="400" spans="1:29" ht="18.75" x14ac:dyDescent="0.3">
      <c r="A400" s="37" t="str">
        <f t="shared" si="122"/>
        <v>2016San AlejandroLas Rocas</v>
      </c>
      <c r="B400">
        <v>2016</v>
      </c>
      <c r="C400" t="s">
        <v>152</v>
      </c>
      <c r="D400" t="s">
        <v>153</v>
      </c>
      <c r="E400" t="s">
        <v>284</v>
      </c>
      <c r="F400" s="37" t="s">
        <v>729</v>
      </c>
      <c r="G400" s="37" t="s">
        <v>811</v>
      </c>
      <c r="H400" s="37" t="s">
        <v>812</v>
      </c>
      <c r="I400">
        <v>1</v>
      </c>
      <c r="J400">
        <v>750</v>
      </c>
      <c r="K400" t="s">
        <v>58</v>
      </c>
      <c r="L400" s="37">
        <f>SUMIF(Wine1!A:A,Drank!A400,Wine1!I:I)</f>
        <v>4</v>
      </c>
      <c r="M400">
        <v>2019</v>
      </c>
      <c r="N400">
        <v>2021</v>
      </c>
      <c r="O400">
        <v>2019</v>
      </c>
      <c r="P400">
        <v>2019</v>
      </c>
      <c r="Q400">
        <v>89</v>
      </c>
      <c r="R400">
        <v>86</v>
      </c>
      <c r="S400" s="7">
        <f>AVERAGEIF(A:A,A400,R:R)</f>
        <v>88.944444444444443</v>
      </c>
      <c r="T400" s="1">
        <v>43616</v>
      </c>
      <c r="U400" s="13" t="str">
        <f t="shared" si="120"/>
        <v>May</v>
      </c>
      <c r="V400" s="12">
        <f t="shared" si="121"/>
        <v>43616</v>
      </c>
      <c r="W400" s="2">
        <v>8.99</v>
      </c>
      <c r="X400">
        <v>0</v>
      </c>
      <c r="Y400" s="11">
        <f t="shared" si="117"/>
        <v>8.99</v>
      </c>
      <c r="Z400" s="109"/>
      <c r="AA400" s="37">
        <f>IF(Y400&gt;=Expenses!$C$32,4,IF(Y400&gt;=Expenses!$C$31,3,IF(Y400&gt;=Expenses!$C$30,2,1)))</f>
        <v>1</v>
      </c>
      <c r="AB400" s="37">
        <f t="shared" si="118"/>
        <v>1</v>
      </c>
      <c r="AC400" s="37" t="str">
        <f t="shared" si="119"/>
        <v>2019</v>
      </c>
    </row>
    <row r="401" spans="1:29" ht="18.75" x14ac:dyDescent="0.3">
      <c r="A401" s="37" t="str">
        <f t="shared" si="122"/>
        <v>2017Georges DuboeufSaint-Amour Chateau de Saint-Amour</v>
      </c>
      <c r="B401">
        <v>2017</v>
      </c>
      <c r="C401" t="s">
        <v>335</v>
      </c>
      <c r="D401" t="s">
        <v>1209</v>
      </c>
      <c r="E401" t="s">
        <v>336</v>
      </c>
      <c r="F401" s="37" t="s">
        <v>742</v>
      </c>
      <c r="G401" s="37" t="s">
        <v>745</v>
      </c>
      <c r="H401" s="37" t="s">
        <v>747</v>
      </c>
      <c r="I401">
        <v>1</v>
      </c>
      <c r="J401">
        <v>750</v>
      </c>
      <c r="K401" t="s">
        <v>236</v>
      </c>
      <c r="L401" s="37">
        <f>SUMIF(Wine1!A:A,Drank!A401,Wine1!I:I)</f>
        <v>2</v>
      </c>
      <c r="M401">
        <v>2018</v>
      </c>
      <c r="N401">
        <v>2022</v>
      </c>
      <c r="O401">
        <v>2019</v>
      </c>
      <c r="P401">
        <v>2024</v>
      </c>
      <c r="Q401">
        <v>90</v>
      </c>
      <c r="R401">
        <v>90</v>
      </c>
      <c r="S401" s="7">
        <f>AVERAGEIF(A:A,A401,R:R)</f>
        <v>89.5</v>
      </c>
      <c r="T401" s="1">
        <v>43616</v>
      </c>
      <c r="U401" s="13" t="str">
        <f t="shared" si="120"/>
        <v>May</v>
      </c>
      <c r="V401" s="12">
        <f t="shared" si="121"/>
        <v>43616</v>
      </c>
      <c r="W401" s="2">
        <v>17.989999999999998</v>
      </c>
      <c r="X401">
        <v>0</v>
      </c>
      <c r="Y401" s="11">
        <f t="shared" si="117"/>
        <v>17.989999999999998</v>
      </c>
      <c r="Z401" s="109"/>
      <c r="AA401" s="37">
        <f>IF(Y401&gt;=Expenses!$C$32,4,IF(Y401&gt;=Expenses!$C$31,3,IF(Y401&gt;=Expenses!$C$30,2,1)))</f>
        <v>2</v>
      </c>
      <c r="AB401" s="37">
        <f t="shared" si="118"/>
        <v>1</v>
      </c>
      <c r="AC401" s="37" t="str">
        <f t="shared" si="119"/>
        <v>2019</v>
      </c>
    </row>
    <row r="402" spans="1:29" ht="18.75" x14ac:dyDescent="0.3">
      <c r="A402" s="37" t="str">
        <f t="shared" si="122"/>
        <v>2016Enrique MendozaLa Tremenda</v>
      </c>
      <c r="B402">
        <v>2016</v>
      </c>
      <c r="C402" t="s">
        <v>234</v>
      </c>
      <c r="D402" t="s">
        <v>235</v>
      </c>
      <c r="E402" t="s">
        <v>1226</v>
      </c>
      <c r="F402" s="37" t="s">
        <v>729</v>
      </c>
      <c r="G402" s="37" t="s">
        <v>826</v>
      </c>
      <c r="H402" s="37" t="s">
        <v>827</v>
      </c>
      <c r="I402">
        <v>1</v>
      </c>
      <c r="J402">
        <v>750</v>
      </c>
      <c r="K402" t="s">
        <v>652</v>
      </c>
      <c r="L402" s="37">
        <f>SUMIF(Wine1!A:A,Drank!A402,Wine1!I:I)</f>
        <v>0</v>
      </c>
      <c r="M402">
        <v>2018</v>
      </c>
      <c r="N402">
        <v>2021</v>
      </c>
      <c r="O402" t="s">
        <v>238</v>
      </c>
      <c r="P402">
        <v>2021</v>
      </c>
      <c r="Q402">
        <v>92</v>
      </c>
      <c r="R402">
        <v>91</v>
      </c>
      <c r="S402" s="7">
        <f>AVERAGEIF(A:A,A402,R:R)</f>
        <v>91</v>
      </c>
      <c r="T402" s="1">
        <v>43615</v>
      </c>
      <c r="U402" s="13" t="str">
        <f t="shared" si="120"/>
        <v>May</v>
      </c>
      <c r="V402" s="12">
        <f t="shared" si="121"/>
        <v>43615</v>
      </c>
      <c r="W402" s="2">
        <v>12.99</v>
      </c>
      <c r="X402">
        <v>0</v>
      </c>
      <c r="Y402" s="11">
        <f t="shared" si="117"/>
        <v>12.989999999999998</v>
      </c>
      <c r="Z402" s="109"/>
      <c r="AA402" s="37">
        <f>IF(Y402&gt;=Expenses!$C$32,4,IF(Y402&gt;=Expenses!$C$31,3,IF(Y402&gt;=Expenses!$C$30,2,1)))</f>
        <v>1</v>
      </c>
      <c r="AB402" s="37">
        <f t="shared" si="118"/>
        <v>1</v>
      </c>
      <c r="AC402" s="37" t="str">
        <f t="shared" si="119"/>
        <v>2019</v>
      </c>
    </row>
    <row r="403" spans="1:29" ht="18.75" x14ac:dyDescent="0.3">
      <c r="A403" s="37" t="str">
        <f t="shared" si="122"/>
        <v>2015Diez-CaballeroCrianza</v>
      </c>
      <c r="B403">
        <v>2015</v>
      </c>
      <c r="C403" t="s">
        <v>1216</v>
      </c>
      <c r="D403" t="s">
        <v>108</v>
      </c>
      <c r="E403" t="s">
        <v>276</v>
      </c>
      <c r="F403" s="37" t="s">
        <v>729</v>
      </c>
      <c r="G403" s="37" t="s">
        <v>823</v>
      </c>
      <c r="I403">
        <v>1</v>
      </c>
      <c r="J403">
        <v>750</v>
      </c>
      <c r="K403" t="s">
        <v>213</v>
      </c>
      <c r="L403" s="37">
        <f>SUMIF(Wine1!A:A,Drank!A403,Wine1!I:I)</f>
        <v>4</v>
      </c>
      <c r="M403">
        <v>2018</v>
      </c>
      <c r="N403">
        <v>2022</v>
      </c>
      <c r="O403">
        <v>2022</v>
      </c>
      <c r="P403">
        <v>2021</v>
      </c>
      <c r="Q403">
        <v>92</v>
      </c>
      <c r="R403">
        <v>92</v>
      </c>
      <c r="S403" s="7">
        <f>AVERAGEIF(A:A,A403,R:R)</f>
        <v>91.235294117647058</v>
      </c>
      <c r="T403" s="1">
        <v>43613</v>
      </c>
      <c r="U403" s="13" t="str">
        <f t="shared" si="120"/>
        <v>May</v>
      </c>
      <c r="V403" s="12">
        <f t="shared" si="121"/>
        <v>43613</v>
      </c>
      <c r="W403" s="2">
        <v>14</v>
      </c>
      <c r="X403">
        <v>0</v>
      </c>
      <c r="Y403" s="11">
        <f t="shared" si="117"/>
        <v>14.000000000000002</v>
      </c>
      <c r="Z403" s="109"/>
      <c r="AA403" s="37">
        <f>IF(Y403&gt;=Expenses!$C$32,4,IF(Y403&gt;=Expenses!$C$31,3,IF(Y403&gt;=Expenses!$C$30,2,1)))</f>
        <v>1</v>
      </c>
      <c r="AB403" s="37">
        <f t="shared" si="118"/>
        <v>1</v>
      </c>
      <c r="AC403" s="37" t="str">
        <f t="shared" si="119"/>
        <v>2019</v>
      </c>
    </row>
    <row r="404" spans="1:29" ht="18.75" x14ac:dyDescent="0.3">
      <c r="A404" s="37" t="str">
        <f t="shared" si="122"/>
        <v>2005Chateau GuiraudGuiraud</v>
      </c>
      <c r="B404">
        <v>2005</v>
      </c>
      <c r="C404" t="s">
        <v>1210</v>
      </c>
      <c r="D404" t="s">
        <v>325</v>
      </c>
      <c r="E404" t="s">
        <v>260</v>
      </c>
      <c r="F404" s="37" t="s">
        <v>742</v>
      </c>
      <c r="G404" s="37" t="s">
        <v>748</v>
      </c>
      <c r="H404" s="37" t="s">
        <v>260</v>
      </c>
      <c r="I404">
        <v>1</v>
      </c>
      <c r="J404">
        <v>375</v>
      </c>
      <c r="K404" t="s">
        <v>236</v>
      </c>
      <c r="L404" s="37">
        <f>SUMIF(Wine1!A:A,Drank!A404,Wine1!I:I)</f>
        <v>0</v>
      </c>
      <c r="M404">
        <v>2015</v>
      </c>
      <c r="N404">
        <v>2035</v>
      </c>
      <c r="P404">
        <v>2035</v>
      </c>
      <c r="Q404">
        <v>92</v>
      </c>
      <c r="R404">
        <v>92</v>
      </c>
      <c r="S404" s="7">
        <f>AVERAGEIF(A:A,A404,R:R)</f>
        <v>92</v>
      </c>
      <c r="T404" s="1">
        <v>43612</v>
      </c>
      <c r="U404" s="13" t="str">
        <f t="shared" si="120"/>
        <v>May</v>
      </c>
      <c r="V404" s="12">
        <f t="shared" si="121"/>
        <v>43612</v>
      </c>
      <c r="W404" s="2">
        <v>39.979999999999997</v>
      </c>
      <c r="X404">
        <v>0</v>
      </c>
      <c r="Y404" s="11">
        <f t="shared" si="117"/>
        <v>79.959999999999994</v>
      </c>
      <c r="Z404" s="109"/>
      <c r="AA404" s="37">
        <f>IF(Y404&gt;=Expenses!$C$32,4,IF(Y404&gt;=Expenses!$C$31,3,IF(Y404&gt;=Expenses!$C$30,2,1)))</f>
        <v>4</v>
      </c>
      <c r="AB404" s="37">
        <f t="shared" si="118"/>
        <v>0.5</v>
      </c>
      <c r="AC404" s="37" t="str">
        <f t="shared" si="119"/>
        <v>2019</v>
      </c>
    </row>
    <row r="405" spans="1:29" ht="18.75" x14ac:dyDescent="0.3">
      <c r="A405" s="37" t="str">
        <f t="shared" si="122"/>
        <v>2009Luigi RighettiAmarone Della Valpolicella Capitel de Roari</v>
      </c>
      <c r="B405">
        <v>2009</v>
      </c>
      <c r="C405" t="s">
        <v>39</v>
      </c>
      <c r="D405" t="s">
        <v>40</v>
      </c>
      <c r="E405" t="s">
        <v>264</v>
      </c>
      <c r="F405" s="37" t="s">
        <v>728</v>
      </c>
      <c r="G405" s="37" t="s">
        <v>799</v>
      </c>
      <c r="H405" s="37" t="s">
        <v>803</v>
      </c>
      <c r="I405">
        <v>1</v>
      </c>
      <c r="J405">
        <v>750</v>
      </c>
      <c r="K405" t="s">
        <v>11</v>
      </c>
      <c r="L405" s="37">
        <f>SUMIF(Wine1!A:A,Drank!A405,Wine1!I:I)</f>
        <v>0</v>
      </c>
      <c r="P405">
        <v>2025</v>
      </c>
      <c r="R405">
        <v>93</v>
      </c>
      <c r="S405" s="7">
        <f>AVERAGEIF(A:A,A405,R:R)</f>
        <v>93</v>
      </c>
      <c r="T405" s="1">
        <v>43611</v>
      </c>
      <c r="U405" s="13" t="str">
        <f t="shared" si="120"/>
        <v>May</v>
      </c>
      <c r="V405" s="12">
        <f t="shared" si="121"/>
        <v>43611</v>
      </c>
      <c r="W405" s="2">
        <v>35</v>
      </c>
      <c r="X405" s="8">
        <v>1</v>
      </c>
      <c r="Y405" s="11">
        <f t="shared" si="117"/>
        <v>35</v>
      </c>
      <c r="Z405" s="109"/>
      <c r="AA405" s="37">
        <f>IF(Y405&gt;=Expenses!$C$32,4,IF(Y405&gt;=Expenses!$C$31,3,IF(Y405&gt;=Expenses!$C$30,2,1)))</f>
        <v>3</v>
      </c>
      <c r="AB405" s="37">
        <f t="shared" si="118"/>
        <v>1</v>
      </c>
      <c r="AC405" s="37" t="str">
        <f t="shared" si="119"/>
        <v>2019</v>
      </c>
    </row>
    <row r="406" spans="1:29" ht="18.75" x14ac:dyDescent="0.3">
      <c r="A406" s="37" t="str">
        <f t="shared" si="122"/>
        <v>2015Cantine do OraAmicone</v>
      </c>
      <c r="B406">
        <v>2015</v>
      </c>
      <c r="C406" t="s">
        <v>183</v>
      </c>
      <c r="D406" t="s">
        <v>184</v>
      </c>
      <c r="E406" t="s">
        <v>262</v>
      </c>
      <c r="F406" s="37" t="s">
        <v>728</v>
      </c>
      <c r="G406" s="37" t="s">
        <v>799</v>
      </c>
      <c r="H406" s="37" t="s">
        <v>801</v>
      </c>
      <c r="I406">
        <v>1</v>
      </c>
      <c r="J406">
        <v>750</v>
      </c>
      <c r="K406" t="s">
        <v>102</v>
      </c>
      <c r="L406" s="37">
        <f>SUMIF(Wine1!A:A,Drank!A406,Wine1!I:I)</f>
        <v>0</v>
      </c>
      <c r="O406">
        <v>2019</v>
      </c>
      <c r="P406">
        <v>2019</v>
      </c>
      <c r="R406">
        <v>87</v>
      </c>
      <c r="S406" s="7">
        <f>AVERAGEIF(A:A,A406,R:R)</f>
        <v>86.5</v>
      </c>
      <c r="T406" s="1">
        <v>43611</v>
      </c>
      <c r="U406" s="13" t="str">
        <f t="shared" si="120"/>
        <v>May</v>
      </c>
      <c r="V406" s="12">
        <f t="shared" si="121"/>
        <v>43611</v>
      </c>
      <c r="W406" s="2">
        <v>14.39</v>
      </c>
      <c r="X406" s="8">
        <v>0</v>
      </c>
      <c r="Y406" s="11">
        <f t="shared" si="117"/>
        <v>14.39</v>
      </c>
      <c r="Z406" s="109"/>
      <c r="AA406" s="37">
        <f>IF(Y406&gt;=Expenses!$C$32,4,IF(Y406&gt;=Expenses!$C$31,3,IF(Y406&gt;=Expenses!$C$30,2,1)))</f>
        <v>1</v>
      </c>
      <c r="AB406" s="37">
        <f t="shared" si="118"/>
        <v>1</v>
      </c>
      <c r="AC406" s="37" t="str">
        <f t="shared" si="119"/>
        <v>2019</v>
      </c>
    </row>
    <row r="407" spans="1:29" ht="18.75" x14ac:dyDescent="0.3">
      <c r="A407" s="37" t="str">
        <f t="shared" si="122"/>
        <v>2013Enrico SerafinoBarolo</v>
      </c>
      <c r="B407">
        <v>2013</v>
      </c>
      <c r="C407" t="s">
        <v>326</v>
      </c>
      <c r="D407" t="s">
        <v>268</v>
      </c>
      <c r="E407" t="s">
        <v>268</v>
      </c>
      <c r="F407" s="37" t="s">
        <v>728</v>
      </c>
      <c r="G407" s="37" t="s">
        <v>778</v>
      </c>
      <c r="H407" s="37" t="s">
        <v>268</v>
      </c>
      <c r="I407">
        <v>1</v>
      </c>
      <c r="J407">
        <v>750</v>
      </c>
      <c r="K407" t="s">
        <v>236</v>
      </c>
      <c r="L407" s="37">
        <f>SUMIF(Wine1!A:A,Drank!A407,Wine1!I:I)</f>
        <v>0</v>
      </c>
      <c r="P407">
        <v>2035</v>
      </c>
      <c r="R407">
        <v>93</v>
      </c>
      <c r="S407" s="7">
        <f>AVERAGEIF(A:A,A407,R:R)</f>
        <v>93</v>
      </c>
      <c r="T407" s="1">
        <v>43611</v>
      </c>
      <c r="U407" s="13" t="str">
        <f t="shared" si="120"/>
        <v>May</v>
      </c>
      <c r="V407" s="12">
        <f t="shared" si="121"/>
        <v>43611</v>
      </c>
      <c r="W407" s="2">
        <v>39.979999999999997</v>
      </c>
      <c r="X407">
        <v>1</v>
      </c>
      <c r="Y407" s="11">
        <f t="shared" si="117"/>
        <v>39.979999999999997</v>
      </c>
      <c r="Z407" s="109"/>
      <c r="AA407" s="37">
        <f>IF(Y407&gt;=Expenses!$C$32,4,IF(Y407&gt;=Expenses!$C$31,3,IF(Y407&gt;=Expenses!$C$30,2,1)))</f>
        <v>3</v>
      </c>
      <c r="AB407" s="37">
        <f t="shared" si="118"/>
        <v>1</v>
      </c>
      <c r="AC407" s="37" t="str">
        <f t="shared" si="119"/>
        <v>2019</v>
      </c>
    </row>
    <row r="408" spans="1:29" ht="18.75" x14ac:dyDescent="0.3">
      <c r="A408" s="37" t="str">
        <f t="shared" si="122"/>
        <v>2016Altos Las HormigasMalbec Appellation Gualtallary</v>
      </c>
      <c r="B408">
        <v>2016</v>
      </c>
      <c r="C408" t="s">
        <v>232</v>
      </c>
      <c r="D408" t="s">
        <v>233</v>
      </c>
      <c r="E408" t="s">
        <v>281</v>
      </c>
      <c r="F408" s="37" t="s">
        <v>731</v>
      </c>
      <c r="G408" s="37" t="s">
        <v>732</v>
      </c>
      <c r="H408" s="37" t="s">
        <v>734</v>
      </c>
      <c r="I408">
        <v>1</v>
      </c>
      <c r="J408">
        <v>750</v>
      </c>
      <c r="K408" t="s">
        <v>651</v>
      </c>
      <c r="L408" s="37">
        <f>SUMIF(Wine1!A:A,Drank!A408,Wine1!I:I)</f>
        <v>4</v>
      </c>
      <c r="M408">
        <v>2018</v>
      </c>
      <c r="N408">
        <v>2028</v>
      </c>
      <c r="O408">
        <v>2020</v>
      </c>
      <c r="P408">
        <v>2030</v>
      </c>
      <c r="Q408">
        <v>96</v>
      </c>
      <c r="R408">
        <v>95</v>
      </c>
      <c r="S408" s="7">
        <f>AVERAGEIF(A:A,A408,R:R)</f>
        <v>95.5</v>
      </c>
      <c r="T408" s="1">
        <v>43611</v>
      </c>
      <c r="U408" s="13" t="str">
        <f t="shared" si="120"/>
        <v>May</v>
      </c>
      <c r="V408" s="12">
        <f t="shared" si="121"/>
        <v>43611</v>
      </c>
      <c r="W408" s="2">
        <v>39.979999999999997</v>
      </c>
      <c r="X408">
        <v>1</v>
      </c>
      <c r="Y408" s="11">
        <f t="shared" si="117"/>
        <v>39.979999999999997</v>
      </c>
      <c r="Z408" s="109"/>
      <c r="AA408" s="37">
        <f>IF(Y408&gt;=Expenses!$C$32,4,IF(Y408&gt;=Expenses!$C$31,3,IF(Y408&gt;=Expenses!$C$30,2,1)))</f>
        <v>3</v>
      </c>
      <c r="AB408" s="37">
        <f t="shared" si="118"/>
        <v>1</v>
      </c>
      <c r="AC408" s="37" t="str">
        <f t="shared" si="119"/>
        <v>2019</v>
      </c>
    </row>
    <row r="409" spans="1:29" ht="18.75" x14ac:dyDescent="0.3">
      <c r="A409" s="37" t="str">
        <f t="shared" si="122"/>
        <v>2017TrapicheBroquel Malbec</v>
      </c>
      <c r="B409">
        <v>2017</v>
      </c>
      <c r="C409" t="s">
        <v>327</v>
      </c>
      <c r="D409" t="s">
        <v>328</v>
      </c>
      <c r="E409" t="s">
        <v>281</v>
      </c>
      <c r="F409" s="37" t="s">
        <v>731</v>
      </c>
      <c r="G409" s="37" t="s">
        <v>732</v>
      </c>
      <c r="H409" s="37" t="s">
        <v>735</v>
      </c>
      <c r="I409">
        <v>1</v>
      </c>
      <c r="J409">
        <v>750</v>
      </c>
      <c r="K409" t="s">
        <v>236</v>
      </c>
      <c r="L409" s="37">
        <f>SUMIF(Wine1!A:A,Drank!A409,Wine1!I:I)</f>
        <v>0</v>
      </c>
      <c r="M409">
        <v>2018</v>
      </c>
      <c r="N409">
        <v>2020</v>
      </c>
      <c r="P409">
        <v>2020</v>
      </c>
      <c r="Q409">
        <v>88</v>
      </c>
      <c r="R409">
        <v>84</v>
      </c>
      <c r="S409" s="7">
        <f>AVERAGEIF(A:A,A409,R:R)</f>
        <v>84</v>
      </c>
      <c r="T409" s="1">
        <v>43611</v>
      </c>
      <c r="U409" s="13" t="str">
        <f t="shared" si="120"/>
        <v>May</v>
      </c>
      <c r="V409" s="12">
        <f t="shared" si="121"/>
        <v>43611</v>
      </c>
      <c r="W409" s="2">
        <v>11</v>
      </c>
      <c r="X409">
        <v>0</v>
      </c>
      <c r="Y409" s="11">
        <f t="shared" si="117"/>
        <v>11</v>
      </c>
      <c r="Z409" s="109"/>
      <c r="AA409" s="37">
        <f>IF(Y409&gt;=Expenses!$C$32,4,IF(Y409&gt;=Expenses!$C$31,3,IF(Y409&gt;=Expenses!$C$30,2,1)))</f>
        <v>1</v>
      </c>
      <c r="AB409" s="37">
        <f t="shared" si="118"/>
        <v>1</v>
      </c>
      <c r="AC409" s="37" t="str">
        <f t="shared" si="119"/>
        <v>2019</v>
      </c>
    </row>
    <row r="410" spans="1:29" ht="18.75" x14ac:dyDescent="0.3">
      <c r="A410" s="37" t="str">
        <f t="shared" si="122"/>
        <v>2004ViÃ±edos y Bodegas PabloGran Viu Finca Santiaga</v>
      </c>
      <c r="B410">
        <v>2004</v>
      </c>
      <c r="C410" t="s">
        <v>322</v>
      </c>
      <c r="D410" t="s">
        <v>323</v>
      </c>
      <c r="E410" t="s">
        <v>283</v>
      </c>
      <c r="F410" s="37" t="s">
        <v>729</v>
      </c>
      <c r="G410" s="37" t="s">
        <v>811</v>
      </c>
      <c r="H410" s="37" t="s">
        <v>813</v>
      </c>
      <c r="I410">
        <v>1</v>
      </c>
      <c r="J410">
        <v>750</v>
      </c>
      <c r="K410" t="s">
        <v>324</v>
      </c>
      <c r="L410" s="37">
        <f>SUMIF(Wine1!A:A,Drank!A410,Wine1!I:I)</f>
        <v>2</v>
      </c>
      <c r="M410">
        <v>2012</v>
      </c>
      <c r="N410">
        <v>2035</v>
      </c>
      <c r="O410">
        <v>2020</v>
      </c>
      <c r="P410">
        <v>2028</v>
      </c>
      <c r="Q410" s="7">
        <v>94</v>
      </c>
      <c r="R410">
        <v>91</v>
      </c>
      <c r="S410" s="7">
        <f>AVERAGEIF(A:A,A410,R:R)</f>
        <v>91</v>
      </c>
      <c r="T410" s="1">
        <v>43610</v>
      </c>
      <c r="U410" s="13" t="str">
        <f t="shared" si="120"/>
        <v>May</v>
      </c>
      <c r="V410" s="12">
        <f t="shared" si="121"/>
        <v>43610</v>
      </c>
      <c r="W410" s="2">
        <v>29.98</v>
      </c>
      <c r="X410">
        <v>1</v>
      </c>
      <c r="Y410" s="11">
        <f t="shared" si="117"/>
        <v>29.98</v>
      </c>
      <c r="Z410" s="109"/>
      <c r="AA410" s="37">
        <f>IF(Y410&gt;=Expenses!$C$32,4,IF(Y410&gt;=Expenses!$C$31,3,IF(Y410&gt;=Expenses!$C$30,2,1)))</f>
        <v>2</v>
      </c>
      <c r="AB410" s="37">
        <f t="shared" si="118"/>
        <v>1</v>
      </c>
      <c r="AC410" s="37" t="str">
        <f t="shared" si="119"/>
        <v>2019</v>
      </c>
    </row>
    <row r="411" spans="1:29" ht="18.75" x14ac:dyDescent="0.3">
      <c r="A411" s="37" t="str">
        <f t="shared" si="122"/>
        <v>2015AllegriniPalazzo della Torre</v>
      </c>
      <c r="B411">
        <v>2015</v>
      </c>
      <c r="C411" t="s">
        <v>111</v>
      </c>
      <c r="D411" t="s">
        <v>112</v>
      </c>
      <c r="E411" t="s">
        <v>262</v>
      </c>
      <c r="F411" s="37" t="s">
        <v>728</v>
      </c>
      <c r="G411" s="37" t="s">
        <v>799</v>
      </c>
      <c r="H411" s="37" t="s">
        <v>800</v>
      </c>
      <c r="I411">
        <v>1</v>
      </c>
      <c r="J411">
        <v>750</v>
      </c>
      <c r="K411" t="s">
        <v>656</v>
      </c>
      <c r="L411" s="37">
        <f>SUMIF(Wine1!A:A,Drank!A411,Wine1!I:I)</f>
        <v>6</v>
      </c>
      <c r="O411">
        <v>2019</v>
      </c>
      <c r="P411">
        <v>2022</v>
      </c>
      <c r="R411">
        <v>90</v>
      </c>
      <c r="S411" s="7">
        <f>AVERAGEIF(A:A,A411,R:R)</f>
        <v>90.909090909090907</v>
      </c>
      <c r="T411" s="1">
        <v>43610</v>
      </c>
      <c r="U411" s="13" t="str">
        <f t="shared" si="120"/>
        <v>May</v>
      </c>
      <c r="V411" s="12">
        <f t="shared" si="121"/>
        <v>43610</v>
      </c>
      <c r="W411" s="2">
        <v>19.989999999999998</v>
      </c>
      <c r="X411">
        <v>0</v>
      </c>
      <c r="Y411" s="11">
        <f t="shared" si="117"/>
        <v>19.989999999999998</v>
      </c>
      <c r="Z411" s="109"/>
      <c r="AA411" s="37">
        <f>IF(Y411&gt;=Expenses!$C$32,4,IF(Y411&gt;=Expenses!$C$31,3,IF(Y411&gt;=Expenses!$C$30,2,1)))</f>
        <v>2</v>
      </c>
      <c r="AB411" s="37">
        <f t="shared" si="118"/>
        <v>1</v>
      </c>
      <c r="AC411" s="37" t="str">
        <f t="shared" si="119"/>
        <v>2019</v>
      </c>
    </row>
    <row r="412" spans="1:29" ht="18.75" x14ac:dyDescent="0.3">
      <c r="A412" s="37" t="str">
        <f t="shared" si="122"/>
        <v>2006LÃ³pez de HerediaViÃ±a Tondonia Reserva</v>
      </c>
      <c r="B412">
        <v>2006</v>
      </c>
      <c r="C412" t="s">
        <v>219</v>
      </c>
      <c r="D412" t="s">
        <v>220</v>
      </c>
      <c r="E412" t="s">
        <v>277</v>
      </c>
      <c r="F412" s="37" t="s">
        <v>729</v>
      </c>
      <c r="G412" s="37" t="s">
        <v>823</v>
      </c>
      <c r="H412" s="37" t="s">
        <v>825</v>
      </c>
      <c r="I412">
        <v>1</v>
      </c>
      <c r="J412">
        <v>750</v>
      </c>
      <c r="K412" t="s">
        <v>655</v>
      </c>
      <c r="L412" s="37">
        <f>SUMIF(Wine1!A:A,Drank!A412,Wine1!I:I)</f>
        <v>3</v>
      </c>
      <c r="M412">
        <v>2018</v>
      </c>
      <c r="N412">
        <v>2028</v>
      </c>
      <c r="O412">
        <v>2019</v>
      </c>
      <c r="P412">
        <v>2024</v>
      </c>
      <c r="Q412">
        <v>95</v>
      </c>
      <c r="R412">
        <v>94</v>
      </c>
      <c r="S412" s="7">
        <f>AVERAGEIF(A:A,A412,R:R)</f>
        <v>94.5</v>
      </c>
      <c r="T412" s="1">
        <v>43609</v>
      </c>
      <c r="U412" s="13" t="str">
        <f t="shared" si="120"/>
        <v>May</v>
      </c>
      <c r="V412" s="12">
        <f t="shared" si="121"/>
        <v>43609</v>
      </c>
      <c r="W412" s="2">
        <v>39.99</v>
      </c>
      <c r="X412">
        <v>1</v>
      </c>
      <c r="Y412" s="11">
        <f t="shared" si="117"/>
        <v>39.99</v>
      </c>
      <c r="Z412" s="109"/>
      <c r="AA412" s="37">
        <f>IF(Y412&gt;=Expenses!$C$32,4,IF(Y412&gt;=Expenses!$C$31,3,IF(Y412&gt;=Expenses!$C$30,2,1)))</f>
        <v>3</v>
      </c>
      <c r="AB412" s="37">
        <f t="shared" si="118"/>
        <v>1</v>
      </c>
      <c r="AC412" s="37" t="str">
        <f t="shared" si="119"/>
        <v>2019</v>
      </c>
    </row>
    <row r="413" spans="1:29" ht="18.75" x14ac:dyDescent="0.3">
      <c r="A413" s="37" t="str">
        <f t="shared" si="122"/>
        <v xml:space="preserve">2013Ramon BilbaoCrianza Rioja Tempranillo </v>
      </c>
      <c r="B413">
        <v>2013</v>
      </c>
      <c r="C413" t="s">
        <v>181</v>
      </c>
      <c r="D413" t="s">
        <v>1243</v>
      </c>
      <c r="E413" t="s">
        <v>276</v>
      </c>
      <c r="F413" s="37" t="s">
        <v>729</v>
      </c>
      <c r="G413" s="37" t="s">
        <v>823</v>
      </c>
      <c r="H413" s="37" t="s">
        <v>824</v>
      </c>
      <c r="I413">
        <v>1</v>
      </c>
      <c r="J413">
        <v>750</v>
      </c>
      <c r="K413" t="s">
        <v>102</v>
      </c>
      <c r="L413" s="37">
        <f>SUMIF(Wine1!A:A,Drank!A413,Wine1!I:I)</f>
        <v>0</v>
      </c>
      <c r="O413">
        <v>2020</v>
      </c>
      <c r="P413">
        <v>2021</v>
      </c>
      <c r="R413">
        <v>90</v>
      </c>
      <c r="S413" s="7">
        <f>AVERAGEIF(A:A,A413,R:R)</f>
        <v>90</v>
      </c>
      <c r="T413" s="1">
        <v>43609</v>
      </c>
      <c r="U413" s="13" t="str">
        <f t="shared" si="120"/>
        <v>May</v>
      </c>
      <c r="V413" s="12">
        <f t="shared" si="121"/>
        <v>43609</v>
      </c>
      <c r="W413" s="2">
        <v>8.49</v>
      </c>
      <c r="X413">
        <v>0</v>
      </c>
      <c r="Y413" s="11">
        <f t="shared" si="117"/>
        <v>8.49</v>
      </c>
      <c r="Z413" s="109"/>
      <c r="AA413" s="37">
        <f>IF(Y413&gt;=Expenses!$C$32,4,IF(Y413&gt;=Expenses!$C$31,3,IF(Y413&gt;=Expenses!$C$30,2,1)))</f>
        <v>1</v>
      </c>
      <c r="AB413" s="37">
        <f t="shared" si="118"/>
        <v>1</v>
      </c>
      <c r="AC413" s="37" t="str">
        <f t="shared" si="119"/>
        <v>2019</v>
      </c>
    </row>
    <row r="414" spans="1:29" ht="18.75" x14ac:dyDescent="0.3">
      <c r="A414" s="37" t="str">
        <f t="shared" si="122"/>
        <v>2014ParrasEvidencia Tinto Dao</v>
      </c>
      <c r="B414">
        <v>2014</v>
      </c>
      <c r="C414" t="s">
        <v>187</v>
      </c>
      <c r="D414" t="s">
        <v>188</v>
      </c>
      <c r="E414" t="s">
        <v>274</v>
      </c>
      <c r="F414" s="37" t="s">
        <v>804</v>
      </c>
      <c r="G414" s="37" t="s">
        <v>837</v>
      </c>
      <c r="I414">
        <v>1</v>
      </c>
      <c r="J414">
        <v>750</v>
      </c>
      <c r="K414" t="s">
        <v>102</v>
      </c>
      <c r="L414" s="37">
        <f>SUMIF(Wine1!A:A,Drank!A414,Wine1!I:I)</f>
        <v>0</v>
      </c>
      <c r="O414">
        <v>2019</v>
      </c>
      <c r="P414">
        <v>2020</v>
      </c>
      <c r="R414">
        <v>88</v>
      </c>
      <c r="S414" s="7">
        <f>AVERAGEIF(A:A,A414,R:R)</f>
        <v>85.5</v>
      </c>
      <c r="T414" s="1">
        <v>43607</v>
      </c>
      <c r="U414" s="13" t="str">
        <f t="shared" si="120"/>
        <v>May</v>
      </c>
      <c r="V414" s="12">
        <f t="shared" si="121"/>
        <v>43607</v>
      </c>
      <c r="W414" s="2">
        <v>8.09</v>
      </c>
      <c r="X414">
        <v>0</v>
      </c>
      <c r="Y414" s="11">
        <f t="shared" si="117"/>
        <v>8.09</v>
      </c>
      <c r="Z414" s="109"/>
      <c r="AA414" s="37">
        <f>IF(Y414&gt;=Expenses!$C$32,4,IF(Y414&gt;=Expenses!$C$31,3,IF(Y414&gt;=Expenses!$C$30,2,1)))</f>
        <v>1</v>
      </c>
      <c r="AB414" s="37">
        <f t="shared" si="118"/>
        <v>1</v>
      </c>
      <c r="AC414" s="37" t="str">
        <f t="shared" si="119"/>
        <v>2019</v>
      </c>
    </row>
    <row r="415" spans="1:29" ht="18.75" x14ac:dyDescent="0.3">
      <c r="A415" s="37" t="str">
        <f t="shared" si="122"/>
        <v>2015NewtonChardonnay Unfiltered</v>
      </c>
      <c r="B415">
        <v>2015</v>
      </c>
      <c r="C415" t="s">
        <v>129</v>
      </c>
      <c r="D415" t="s">
        <v>130</v>
      </c>
      <c r="E415" t="s">
        <v>259</v>
      </c>
      <c r="F415" s="37" t="s">
        <v>727</v>
      </c>
      <c r="G415" s="37" t="s">
        <v>806</v>
      </c>
      <c r="H415" s="37" t="s">
        <v>832</v>
      </c>
      <c r="I415">
        <v>1</v>
      </c>
      <c r="J415">
        <v>750</v>
      </c>
      <c r="K415" t="s">
        <v>97</v>
      </c>
      <c r="L415" s="37">
        <f>SUMIF(Wine1!A:A,Drank!A415,Wine1!I:I)</f>
        <v>0</v>
      </c>
      <c r="O415" t="s">
        <v>238</v>
      </c>
      <c r="P415" t="s">
        <v>238</v>
      </c>
      <c r="R415">
        <v>91</v>
      </c>
      <c r="S415" s="7">
        <f>AVERAGEIF(A:A,A415,R:R)</f>
        <v>91</v>
      </c>
      <c r="T415" s="1">
        <v>43604</v>
      </c>
      <c r="U415" s="13" t="str">
        <f t="shared" si="120"/>
        <v>May</v>
      </c>
      <c r="V415" s="12">
        <f t="shared" si="121"/>
        <v>43604</v>
      </c>
      <c r="W415" s="2">
        <v>48</v>
      </c>
      <c r="X415">
        <v>0</v>
      </c>
      <c r="Y415" s="11">
        <f t="shared" si="117"/>
        <v>48</v>
      </c>
      <c r="Z415" s="109"/>
      <c r="AA415" s="37">
        <f>IF(Y415&gt;=Expenses!$C$32,4,IF(Y415&gt;=Expenses!$C$31,3,IF(Y415&gt;=Expenses!$C$30,2,1)))</f>
        <v>3</v>
      </c>
      <c r="AB415" s="37">
        <f t="shared" si="118"/>
        <v>1</v>
      </c>
      <c r="AC415" s="37" t="str">
        <f t="shared" si="119"/>
        <v>2019</v>
      </c>
    </row>
    <row r="416" spans="1:29" ht="18.75" x14ac:dyDescent="0.3">
      <c r="A416" s="37" t="str">
        <f t="shared" si="122"/>
        <v>2012Eighty FourPetit Sirah</v>
      </c>
      <c r="B416">
        <v>2012</v>
      </c>
      <c r="C416" t="s">
        <v>318</v>
      </c>
      <c r="D416" t="s">
        <v>319</v>
      </c>
      <c r="E416" t="s">
        <v>320</v>
      </c>
      <c r="F416" s="37" t="s">
        <v>727</v>
      </c>
      <c r="G416" s="37" t="s">
        <v>806</v>
      </c>
      <c r="H416" s="37" t="s">
        <v>832</v>
      </c>
      <c r="I416">
        <v>1</v>
      </c>
      <c r="J416">
        <v>750</v>
      </c>
      <c r="K416" t="s">
        <v>212</v>
      </c>
      <c r="L416" s="37">
        <f>SUMIF(Wine1!A:A,Drank!A416,Wine1!I:I)</f>
        <v>2</v>
      </c>
      <c r="O416">
        <v>2022</v>
      </c>
      <c r="P416">
        <v>2028</v>
      </c>
      <c r="R416">
        <v>92</v>
      </c>
      <c r="S416" s="7">
        <f>AVERAGEIF(A:A,A416,R:R)</f>
        <v>92</v>
      </c>
      <c r="T416" s="1">
        <v>43604</v>
      </c>
      <c r="U416" s="13" t="str">
        <f t="shared" si="120"/>
        <v>May</v>
      </c>
      <c r="V416" s="12">
        <f t="shared" si="121"/>
        <v>43604</v>
      </c>
      <c r="W416" s="2">
        <v>39.99</v>
      </c>
      <c r="X416" t="s">
        <v>321</v>
      </c>
      <c r="Y416" s="11">
        <f t="shared" si="117"/>
        <v>39.99</v>
      </c>
      <c r="Z416" s="109"/>
      <c r="AA416" s="37">
        <f>IF(Y416&gt;=Expenses!$C$32,4,IF(Y416&gt;=Expenses!$C$31,3,IF(Y416&gt;=Expenses!$C$30,2,1)))</f>
        <v>3</v>
      </c>
      <c r="AB416" s="37">
        <f t="shared" si="118"/>
        <v>1</v>
      </c>
      <c r="AC416" s="37" t="str">
        <f t="shared" si="119"/>
        <v>2019</v>
      </c>
    </row>
    <row r="417" spans="1:29" ht="18.75" x14ac:dyDescent="0.3">
      <c r="A417" s="37" t="str">
        <f t="shared" si="122"/>
        <v>2017TommasiValpolicella Classico Superiore RafaÃ¨l</v>
      </c>
      <c r="B417">
        <v>2017</v>
      </c>
      <c r="C417" t="s">
        <v>316</v>
      </c>
      <c r="D417" t="s">
        <v>317</v>
      </c>
      <c r="E417" t="s">
        <v>262</v>
      </c>
      <c r="F417" s="37" t="s">
        <v>728</v>
      </c>
      <c r="G417" s="37" t="s">
        <v>799</v>
      </c>
      <c r="H417" s="37" t="s">
        <v>800</v>
      </c>
      <c r="I417">
        <v>1</v>
      </c>
      <c r="J417">
        <v>750</v>
      </c>
      <c r="K417" t="s">
        <v>650</v>
      </c>
      <c r="L417" s="37">
        <f>SUMIF(Wine1!A:A,Drank!A417,Wine1!I:I)</f>
        <v>0</v>
      </c>
      <c r="O417">
        <v>2019</v>
      </c>
      <c r="P417">
        <v>2021</v>
      </c>
      <c r="R417">
        <v>88</v>
      </c>
      <c r="S417" s="7">
        <f>AVERAGEIF(A:A,A417,R:R)</f>
        <v>88</v>
      </c>
      <c r="T417" s="1">
        <v>43603</v>
      </c>
      <c r="U417" s="13" t="str">
        <f t="shared" si="120"/>
        <v>May</v>
      </c>
      <c r="V417" s="12">
        <f t="shared" si="121"/>
        <v>43603</v>
      </c>
      <c r="W417" s="2">
        <v>14.39</v>
      </c>
      <c r="X417">
        <v>0</v>
      </c>
      <c r="Y417" s="11">
        <f t="shared" si="117"/>
        <v>14.39</v>
      </c>
      <c r="Z417" s="109"/>
      <c r="AA417" s="37">
        <f>IF(Y417&gt;=Expenses!$C$32,4,IF(Y417&gt;=Expenses!$C$31,3,IF(Y417&gt;=Expenses!$C$30,2,1)))</f>
        <v>1</v>
      </c>
      <c r="AB417" s="37">
        <f t="shared" si="118"/>
        <v>1</v>
      </c>
      <c r="AC417" s="37" t="str">
        <f t="shared" si="119"/>
        <v>2019</v>
      </c>
    </row>
    <row r="418" spans="1:29" ht="18.75" x14ac:dyDescent="0.3">
      <c r="A418" s="37" t="str">
        <f t="shared" si="122"/>
        <v>2015Diez-CaballeroCrianza</v>
      </c>
      <c r="B418">
        <v>2015</v>
      </c>
      <c r="C418" t="s">
        <v>1216</v>
      </c>
      <c r="D418" t="s">
        <v>108</v>
      </c>
      <c r="E418" t="s">
        <v>276</v>
      </c>
      <c r="F418" s="37" t="s">
        <v>729</v>
      </c>
      <c r="G418" s="37" t="s">
        <v>823</v>
      </c>
      <c r="I418">
        <v>1</v>
      </c>
      <c r="J418">
        <v>750</v>
      </c>
      <c r="K418" t="s">
        <v>213</v>
      </c>
      <c r="L418" s="37">
        <f>SUMIF(Wine1!A:A,Drank!A418,Wine1!I:I)</f>
        <v>4</v>
      </c>
      <c r="M418">
        <v>2018</v>
      </c>
      <c r="N418">
        <v>2022</v>
      </c>
      <c r="O418">
        <v>2022</v>
      </c>
      <c r="P418">
        <v>2021</v>
      </c>
      <c r="Q418">
        <v>92</v>
      </c>
      <c r="R418">
        <v>91</v>
      </c>
      <c r="S418" s="7">
        <f>AVERAGEIF(A:A,A418,R:R)</f>
        <v>91.235294117647058</v>
      </c>
      <c r="T418" s="1">
        <v>43603</v>
      </c>
      <c r="U418" s="13" t="str">
        <f t="shared" si="120"/>
        <v>May</v>
      </c>
      <c r="V418" s="12">
        <f t="shared" si="121"/>
        <v>43603</v>
      </c>
      <c r="W418" s="2">
        <v>14</v>
      </c>
      <c r="X418">
        <v>0</v>
      </c>
      <c r="Y418" s="11">
        <f t="shared" si="117"/>
        <v>14.000000000000002</v>
      </c>
      <c r="Z418" s="109"/>
      <c r="AA418" s="37">
        <f>IF(Y418&gt;=Expenses!$C$32,4,IF(Y418&gt;=Expenses!$C$31,3,IF(Y418&gt;=Expenses!$C$30,2,1)))</f>
        <v>1</v>
      </c>
      <c r="AB418" s="37">
        <f t="shared" si="118"/>
        <v>1</v>
      </c>
      <c r="AC418" s="37" t="str">
        <f t="shared" si="119"/>
        <v>2019</v>
      </c>
    </row>
    <row r="419" spans="1:29" ht="18.75" x14ac:dyDescent="0.3">
      <c r="A419" s="37" t="str">
        <f t="shared" si="122"/>
        <v>2016CesariValpolicella Ripasso Superiore Mara</v>
      </c>
      <c r="B419">
        <v>2016</v>
      </c>
      <c r="C419" t="s">
        <v>314</v>
      </c>
      <c r="D419" t="s">
        <v>315</v>
      </c>
      <c r="E419" t="s">
        <v>262</v>
      </c>
      <c r="F419" s="37" t="s">
        <v>728</v>
      </c>
      <c r="G419" s="37" t="s">
        <v>799</v>
      </c>
      <c r="H419" s="37" t="s">
        <v>800</v>
      </c>
      <c r="I419">
        <v>1</v>
      </c>
      <c r="J419">
        <v>750</v>
      </c>
      <c r="K419" t="s">
        <v>650</v>
      </c>
      <c r="L419" s="37">
        <f>SUMIF(Wine1!A:A,Drank!A419,Wine1!I:I)</f>
        <v>1</v>
      </c>
      <c r="O419">
        <v>2019</v>
      </c>
      <c r="P419">
        <v>2022</v>
      </c>
      <c r="R419">
        <v>87</v>
      </c>
      <c r="S419" s="7">
        <f>AVERAGEIF(A:A,A419,R:R)</f>
        <v>87</v>
      </c>
      <c r="T419" s="1">
        <v>43602</v>
      </c>
      <c r="U419" s="13" t="str">
        <f t="shared" si="120"/>
        <v>May</v>
      </c>
      <c r="V419" s="12">
        <f t="shared" si="121"/>
        <v>43602</v>
      </c>
      <c r="W419" s="2">
        <v>16.190000000000001</v>
      </c>
      <c r="X419">
        <v>3</v>
      </c>
      <c r="Y419" s="11">
        <f t="shared" si="117"/>
        <v>16.190000000000001</v>
      </c>
      <c r="Z419" s="109"/>
      <c r="AA419" s="37">
        <f>IF(Y419&gt;=Expenses!$C$32,4,IF(Y419&gt;=Expenses!$C$31,3,IF(Y419&gt;=Expenses!$C$30,2,1)))</f>
        <v>1</v>
      </c>
      <c r="AB419" s="37">
        <f t="shared" si="118"/>
        <v>1</v>
      </c>
      <c r="AC419" s="37" t="str">
        <f t="shared" si="119"/>
        <v>2019</v>
      </c>
    </row>
    <row r="420" spans="1:29" ht="18.75" x14ac:dyDescent="0.3">
      <c r="A420" s="37" t="str">
        <f t="shared" si="122"/>
        <v>2014SostenerSostener</v>
      </c>
      <c r="B420">
        <v>2014</v>
      </c>
      <c r="C420" t="s">
        <v>113</v>
      </c>
      <c r="D420" t="s">
        <v>113</v>
      </c>
      <c r="E420" t="s">
        <v>263</v>
      </c>
      <c r="F420" s="37" t="s">
        <v>727</v>
      </c>
      <c r="G420" s="37" t="s">
        <v>806</v>
      </c>
      <c r="H420" s="37" t="s">
        <v>807</v>
      </c>
      <c r="I420">
        <v>1</v>
      </c>
      <c r="J420">
        <v>750</v>
      </c>
      <c r="K420" t="s">
        <v>655</v>
      </c>
      <c r="L420" s="37">
        <f>SUMIF(Wine1!A:A,Drank!A420,Wine1!I:I)</f>
        <v>0</v>
      </c>
      <c r="O420" t="s">
        <v>238</v>
      </c>
      <c r="P420" t="s">
        <v>238</v>
      </c>
      <c r="R420">
        <v>85</v>
      </c>
      <c r="S420" s="7">
        <f>AVERAGEIF(A:A,A420,R:R)</f>
        <v>85</v>
      </c>
      <c r="T420" s="1">
        <v>43599</v>
      </c>
      <c r="U420" s="13" t="str">
        <f t="shared" si="120"/>
        <v>May</v>
      </c>
      <c r="V420" s="12">
        <f t="shared" si="121"/>
        <v>43599</v>
      </c>
      <c r="W420" s="4">
        <v>15</v>
      </c>
      <c r="X420">
        <v>0</v>
      </c>
      <c r="Y420" s="11">
        <f t="shared" si="117"/>
        <v>15</v>
      </c>
      <c r="Z420" s="109"/>
      <c r="AA420" s="37">
        <f>IF(Y420&gt;=Expenses!$C$32,4,IF(Y420&gt;=Expenses!$C$31,3,IF(Y420&gt;=Expenses!$C$30,2,1)))</f>
        <v>1</v>
      </c>
      <c r="AB420" s="37">
        <f t="shared" si="118"/>
        <v>1</v>
      </c>
      <c r="AC420" s="37" t="str">
        <f t="shared" si="119"/>
        <v>2019</v>
      </c>
    </row>
    <row r="421" spans="1:29" ht="18.75" x14ac:dyDescent="0.3">
      <c r="A421" s="37" t="str">
        <f t="shared" si="122"/>
        <v>2015Domaine du Saint GensGigondas</v>
      </c>
      <c r="B421">
        <v>2015</v>
      </c>
      <c r="C421" t="s">
        <v>226</v>
      </c>
      <c r="D421" t="s">
        <v>227</v>
      </c>
      <c r="E421" t="s">
        <v>227</v>
      </c>
      <c r="F421" s="37" t="s">
        <v>742</v>
      </c>
      <c r="G421" s="37" t="s">
        <v>759</v>
      </c>
      <c r="H421" s="37" t="s">
        <v>764</v>
      </c>
      <c r="I421">
        <v>1</v>
      </c>
      <c r="J421">
        <v>750</v>
      </c>
      <c r="K421" t="s">
        <v>255</v>
      </c>
      <c r="L421" s="37">
        <f>SUMIF(Wine1!A:A,Drank!A421,Wine1!I:I)</f>
        <v>3</v>
      </c>
      <c r="M421">
        <v>2017</v>
      </c>
      <c r="N421">
        <v>2025</v>
      </c>
      <c r="O421">
        <v>2022</v>
      </c>
      <c r="P421">
        <v>2026</v>
      </c>
      <c r="Q421">
        <v>93</v>
      </c>
      <c r="R421">
        <v>93</v>
      </c>
      <c r="S421" s="7">
        <f>AVERAGEIF(A:A,A421,R:R)</f>
        <v>93</v>
      </c>
      <c r="T421" s="1">
        <v>43597</v>
      </c>
      <c r="U421" s="13" t="str">
        <f t="shared" si="120"/>
        <v>May</v>
      </c>
      <c r="V421" s="12">
        <f t="shared" si="121"/>
        <v>43597</v>
      </c>
      <c r="W421" s="4">
        <v>21.99</v>
      </c>
      <c r="X421">
        <v>1</v>
      </c>
      <c r="Y421" s="11">
        <f t="shared" si="117"/>
        <v>21.99</v>
      </c>
      <c r="Z421" s="109"/>
      <c r="AA421" s="37">
        <f>IF(Y421&gt;=Expenses!$C$32,4,IF(Y421&gt;=Expenses!$C$31,3,IF(Y421&gt;=Expenses!$C$30,2,1)))</f>
        <v>2</v>
      </c>
      <c r="AB421" s="37">
        <f t="shared" si="118"/>
        <v>1</v>
      </c>
      <c r="AC421" s="37" t="str">
        <f t="shared" si="119"/>
        <v>2019</v>
      </c>
    </row>
    <row r="422" spans="1:29" ht="18.75" x14ac:dyDescent="0.3">
      <c r="A422" s="37" t="str">
        <f t="shared" si="122"/>
        <v>2013Giovanni ManzoneBarolo Gramolere</v>
      </c>
      <c r="B422">
        <v>2013</v>
      </c>
      <c r="C422" t="s">
        <v>294</v>
      </c>
      <c r="D422" t="s">
        <v>305</v>
      </c>
      <c r="E422" t="s">
        <v>268</v>
      </c>
      <c r="F422" s="37" t="s">
        <v>728</v>
      </c>
      <c r="G422" s="37" t="s">
        <v>778</v>
      </c>
      <c r="H422" s="37" t="s">
        <v>781</v>
      </c>
      <c r="I422">
        <v>1</v>
      </c>
      <c r="J422">
        <v>750</v>
      </c>
      <c r="K422" t="s">
        <v>102</v>
      </c>
      <c r="L422" s="37">
        <f>SUMIF(Wine1!A:A,Drank!A422,Wine1!I:I)</f>
        <v>3</v>
      </c>
      <c r="M422">
        <v>2018</v>
      </c>
      <c r="N422">
        <v>2030</v>
      </c>
      <c r="O422">
        <v>2024</v>
      </c>
      <c r="P422">
        <v>2032</v>
      </c>
      <c r="Q422">
        <v>94</v>
      </c>
      <c r="R422">
        <v>94</v>
      </c>
      <c r="S422" s="7">
        <f>AVERAGEIF(A:A,A422,R:R)</f>
        <v>94</v>
      </c>
      <c r="T422" s="1">
        <v>43597</v>
      </c>
      <c r="U422" s="13" t="str">
        <f t="shared" si="120"/>
        <v>May</v>
      </c>
      <c r="V422" s="12">
        <f t="shared" si="121"/>
        <v>43597</v>
      </c>
      <c r="W422" s="4">
        <v>45</v>
      </c>
      <c r="X422">
        <v>1</v>
      </c>
      <c r="Y422" s="11">
        <f t="shared" si="117"/>
        <v>45</v>
      </c>
      <c r="Z422" s="109"/>
      <c r="AA422" s="37">
        <f>IF(Y422&gt;=Expenses!$C$32,4,IF(Y422&gt;=Expenses!$C$31,3,IF(Y422&gt;=Expenses!$C$30,2,1)))</f>
        <v>3</v>
      </c>
      <c r="AB422" s="37">
        <f t="shared" si="118"/>
        <v>1</v>
      </c>
      <c r="AC422" s="37" t="str">
        <f t="shared" si="119"/>
        <v>2019</v>
      </c>
    </row>
    <row r="423" spans="1:29" ht="18.75" x14ac:dyDescent="0.3">
      <c r="A423" s="37" t="str">
        <f t="shared" si="122"/>
        <v>2015Mas des PatresLa Clape Mas Des Patres</v>
      </c>
      <c r="B423">
        <v>2015</v>
      </c>
      <c r="C423" t="s">
        <v>224</v>
      </c>
      <c r="D423" t="s">
        <v>225</v>
      </c>
      <c r="E423" t="s">
        <v>286</v>
      </c>
      <c r="F423" s="37" t="s">
        <v>742</v>
      </c>
      <c r="G423" s="37" t="s">
        <v>756</v>
      </c>
      <c r="H423" s="37" t="s">
        <v>757</v>
      </c>
      <c r="I423">
        <v>1</v>
      </c>
      <c r="J423">
        <v>750</v>
      </c>
      <c r="K423" t="s">
        <v>102</v>
      </c>
      <c r="L423" s="37">
        <f>SUMIF(Wine1!A:A,Drank!A423,Wine1!I:I)</f>
        <v>1</v>
      </c>
      <c r="M423">
        <v>2017</v>
      </c>
      <c r="N423">
        <v>2023</v>
      </c>
      <c r="O423">
        <v>2019</v>
      </c>
      <c r="P423">
        <v>2023</v>
      </c>
      <c r="Q423" t="s">
        <v>237</v>
      </c>
      <c r="R423">
        <v>89</v>
      </c>
      <c r="S423" s="7">
        <f>AVERAGEIF(A:A,A423,R:R)</f>
        <v>89.8</v>
      </c>
      <c r="T423" s="1">
        <v>43596</v>
      </c>
      <c r="U423" s="13" t="str">
        <f t="shared" si="120"/>
        <v>May</v>
      </c>
      <c r="V423" s="12">
        <f t="shared" si="121"/>
        <v>43596</v>
      </c>
      <c r="W423" s="4">
        <v>12.99</v>
      </c>
      <c r="X423">
        <v>0</v>
      </c>
      <c r="Y423" s="11">
        <f t="shared" si="117"/>
        <v>12.989999999999998</v>
      </c>
      <c r="Z423" s="109"/>
      <c r="AA423" s="37">
        <f>IF(Y423&gt;=Expenses!$C$32,4,IF(Y423&gt;=Expenses!$C$31,3,IF(Y423&gt;=Expenses!$C$30,2,1)))</f>
        <v>1</v>
      </c>
      <c r="AB423" s="37">
        <f t="shared" si="118"/>
        <v>1</v>
      </c>
      <c r="AC423" s="37" t="str">
        <f t="shared" si="119"/>
        <v>2019</v>
      </c>
    </row>
    <row r="424" spans="1:29" ht="18.75" x14ac:dyDescent="0.3">
      <c r="A424" s="37" t="str">
        <f t="shared" si="122"/>
        <v>2014AllegriniPalazzo della Torre</v>
      </c>
      <c r="B424">
        <v>2014</v>
      </c>
      <c r="C424" t="s">
        <v>111</v>
      </c>
      <c r="D424" t="s">
        <v>112</v>
      </c>
      <c r="E424" t="s">
        <v>262</v>
      </c>
      <c r="F424" s="37" t="s">
        <v>728</v>
      </c>
      <c r="G424" s="37" t="s">
        <v>799</v>
      </c>
      <c r="H424" s="37" t="s">
        <v>800</v>
      </c>
      <c r="I424">
        <v>1</v>
      </c>
      <c r="J424">
        <v>750</v>
      </c>
      <c r="K424" t="s">
        <v>656</v>
      </c>
      <c r="L424" s="37">
        <f>SUMIF(Wine1!A:A,Drank!A424,Wine1!I:I)</f>
        <v>1</v>
      </c>
      <c r="O424" t="s">
        <v>238</v>
      </c>
      <c r="P424">
        <v>2022</v>
      </c>
      <c r="Q424" s="7"/>
      <c r="R424">
        <v>90</v>
      </c>
      <c r="S424" s="7">
        <f>AVERAGEIF(A:A,A424,R:R)</f>
        <v>90</v>
      </c>
      <c r="T424" s="1">
        <v>43596</v>
      </c>
      <c r="U424" s="13" t="str">
        <f t="shared" si="120"/>
        <v>May</v>
      </c>
      <c r="V424" s="12">
        <f t="shared" si="121"/>
        <v>43596</v>
      </c>
      <c r="W424" s="4">
        <v>18</v>
      </c>
      <c r="X424">
        <v>1</v>
      </c>
      <c r="Y424" s="11">
        <f t="shared" ref="Y424:Y487" si="123">W424/J424*750</f>
        <v>18</v>
      </c>
      <c r="Z424" s="109"/>
      <c r="AA424" s="37">
        <f>IF(Y424&gt;=Expenses!$C$32,4,IF(Y424&gt;=Expenses!$C$31,3,IF(Y424&gt;=Expenses!$C$30,2,1)))</f>
        <v>2</v>
      </c>
      <c r="AB424" s="37">
        <f t="shared" ref="AB424:AB487" si="124">J424/750</f>
        <v>1</v>
      </c>
      <c r="AC424" s="37" t="str">
        <f t="shared" ref="AC424:AC487" si="125">TEXT(T424,"yyyy")</f>
        <v>2019</v>
      </c>
    </row>
    <row r="425" spans="1:29" ht="18.75" x14ac:dyDescent="0.3">
      <c r="A425" s="37" t="str">
        <f t="shared" si="122"/>
        <v>2010V MadroneCabernet Sauvignon</v>
      </c>
      <c r="B425">
        <v>2010</v>
      </c>
      <c r="C425" t="s">
        <v>241</v>
      </c>
      <c r="D425" t="s">
        <v>32</v>
      </c>
      <c r="E425" t="s">
        <v>32</v>
      </c>
      <c r="F425" s="37" t="s">
        <v>727</v>
      </c>
      <c r="G425" s="37" t="s">
        <v>806</v>
      </c>
      <c r="H425" s="37" t="s">
        <v>832</v>
      </c>
      <c r="I425">
        <v>1</v>
      </c>
      <c r="J425">
        <v>750</v>
      </c>
      <c r="K425" t="s">
        <v>655</v>
      </c>
      <c r="L425" s="37">
        <f>SUMIF(Wine1!A:A,Drank!A425,Wine1!I:I)</f>
        <v>1</v>
      </c>
      <c r="O425">
        <v>2025</v>
      </c>
      <c r="P425">
        <v>2026</v>
      </c>
      <c r="R425">
        <v>93</v>
      </c>
      <c r="S425" s="7">
        <f>AVERAGEIF(A:A,A425,R:R)</f>
        <v>93</v>
      </c>
      <c r="T425" s="1">
        <v>43595</v>
      </c>
      <c r="U425" s="13" t="str">
        <f t="shared" si="120"/>
        <v>May</v>
      </c>
      <c r="V425" s="12">
        <f t="shared" si="121"/>
        <v>43595</v>
      </c>
      <c r="W425" s="4">
        <v>65</v>
      </c>
      <c r="X425" t="s">
        <v>299</v>
      </c>
      <c r="Y425" s="11">
        <f t="shared" si="123"/>
        <v>65</v>
      </c>
      <c r="Z425" s="109"/>
      <c r="AA425" s="37">
        <f>IF(Y425&gt;=Expenses!$C$32,4,IF(Y425&gt;=Expenses!$C$31,3,IF(Y425&gt;=Expenses!$C$30,2,1)))</f>
        <v>4</v>
      </c>
      <c r="AB425" s="37">
        <f t="shared" si="124"/>
        <v>1</v>
      </c>
      <c r="AC425" s="37" t="str">
        <f t="shared" si="125"/>
        <v>2019</v>
      </c>
    </row>
    <row r="426" spans="1:29" ht="18.75" x14ac:dyDescent="0.3">
      <c r="A426" s="37" t="str">
        <f t="shared" si="122"/>
        <v>2013Pertimali - Livio SassettiBrunello di Montalcino</v>
      </c>
      <c r="B426">
        <v>2013</v>
      </c>
      <c r="C426" t="s">
        <v>293</v>
      </c>
      <c r="D426" t="s">
        <v>19</v>
      </c>
      <c r="E426" t="s">
        <v>266</v>
      </c>
      <c r="F426" s="37" t="s">
        <v>728</v>
      </c>
      <c r="G426" s="37" t="s">
        <v>790</v>
      </c>
      <c r="H426" s="37" t="s">
        <v>19</v>
      </c>
      <c r="I426">
        <v>1</v>
      </c>
      <c r="J426">
        <v>750</v>
      </c>
      <c r="K426" t="s">
        <v>102</v>
      </c>
      <c r="L426" s="37">
        <f>SUMIF(Wine1!A:A,Drank!A426,Wine1!I:I)</f>
        <v>2</v>
      </c>
      <c r="M426">
        <v>2020</v>
      </c>
      <c r="N426">
        <v>2035</v>
      </c>
      <c r="O426" s="10">
        <v>2024</v>
      </c>
      <c r="P426" s="10">
        <v>2035</v>
      </c>
      <c r="Q426">
        <v>93</v>
      </c>
      <c r="R426">
        <v>93</v>
      </c>
      <c r="S426" s="7">
        <f>AVERAGEIF(A:A,A426,R:R)</f>
        <v>93</v>
      </c>
      <c r="T426" s="1">
        <v>43590</v>
      </c>
      <c r="U426" s="13" t="str">
        <f t="shared" si="120"/>
        <v>May</v>
      </c>
      <c r="V426" s="12">
        <f t="shared" si="121"/>
        <v>43590</v>
      </c>
      <c r="W426" s="4">
        <v>52</v>
      </c>
      <c r="X426">
        <v>1</v>
      </c>
      <c r="Y426" s="11">
        <f t="shared" si="123"/>
        <v>52</v>
      </c>
      <c r="Z426" s="109"/>
      <c r="AA426" s="37">
        <f>IF(Y426&gt;=Expenses!$C$32,4,IF(Y426&gt;=Expenses!$C$31,3,IF(Y426&gt;=Expenses!$C$30,2,1)))</f>
        <v>3</v>
      </c>
      <c r="AB426" s="37">
        <f t="shared" si="124"/>
        <v>1</v>
      </c>
      <c r="AC426" s="37" t="str">
        <f t="shared" si="125"/>
        <v>2019</v>
      </c>
    </row>
    <row r="427" spans="1:29" ht="18.75" x14ac:dyDescent="0.3">
      <c r="A427" s="37" t="str">
        <f t="shared" si="122"/>
        <v>2015Diez-CaballeroVendimia Seleccionada</v>
      </c>
      <c r="B427">
        <v>2015</v>
      </c>
      <c r="C427" t="s">
        <v>1216</v>
      </c>
      <c r="D427" t="s">
        <v>303</v>
      </c>
      <c r="E427" t="s">
        <v>276</v>
      </c>
      <c r="F427" s="37" t="s">
        <v>729</v>
      </c>
      <c r="G427" s="37" t="s">
        <v>823</v>
      </c>
      <c r="I427">
        <v>1</v>
      </c>
      <c r="J427">
        <v>750</v>
      </c>
      <c r="K427" t="s">
        <v>236</v>
      </c>
      <c r="L427" s="37">
        <f>SUMIF(Wine1!A:A,Drank!A427,Wine1!I:I)</f>
        <v>1</v>
      </c>
      <c r="M427">
        <v>2018</v>
      </c>
      <c r="N427">
        <v>2022</v>
      </c>
      <c r="O427" s="10">
        <v>2019</v>
      </c>
      <c r="P427" s="10">
        <v>2021</v>
      </c>
      <c r="Q427" t="s">
        <v>196</v>
      </c>
      <c r="R427">
        <v>91</v>
      </c>
      <c r="S427" s="7">
        <f>AVERAGEIF(A:A,A427,R:R)</f>
        <v>91</v>
      </c>
      <c r="T427" s="1">
        <v>43590</v>
      </c>
      <c r="U427" s="13" t="str">
        <f t="shared" si="120"/>
        <v>May</v>
      </c>
      <c r="V427" s="12">
        <f t="shared" si="121"/>
        <v>43590</v>
      </c>
      <c r="W427" s="4">
        <v>16.989999999999998</v>
      </c>
      <c r="X427" t="s">
        <v>298</v>
      </c>
      <c r="Y427" s="11">
        <f t="shared" si="123"/>
        <v>16.989999999999998</v>
      </c>
      <c r="Z427" s="109"/>
      <c r="AA427" s="37">
        <f>IF(Y427&gt;=Expenses!$C$32,4,IF(Y427&gt;=Expenses!$C$31,3,IF(Y427&gt;=Expenses!$C$30,2,1)))</f>
        <v>2</v>
      </c>
      <c r="AB427" s="37">
        <f t="shared" si="124"/>
        <v>1</v>
      </c>
      <c r="AC427" s="37" t="str">
        <f t="shared" si="125"/>
        <v>2019</v>
      </c>
    </row>
    <row r="428" spans="1:29" ht="18.75" x14ac:dyDescent="0.3">
      <c r="A428" s="37" t="str">
        <f t="shared" si="122"/>
        <v>2010Cosimo TaurinoSalice Salentino Riserva</v>
      </c>
      <c r="B428">
        <v>2010</v>
      </c>
      <c r="C428" t="s">
        <v>56</v>
      </c>
      <c r="D428" t="s">
        <v>57</v>
      </c>
      <c r="E428" s="37" t="s">
        <v>1204</v>
      </c>
      <c r="F428" s="37" t="s">
        <v>728</v>
      </c>
      <c r="G428" s="37" t="s">
        <v>785</v>
      </c>
      <c r="H428" s="37" t="s">
        <v>769</v>
      </c>
      <c r="I428">
        <v>1</v>
      </c>
      <c r="J428">
        <v>750</v>
      </c>
      <c r="K428" t="s">
        <v>58</v>
      </c>
      <c r="L428" s="37">
        <f>SUMIF(Wine1!A:A,Drank!A428,Wine1!I:I)</f>
        <v>19</v>
      </c>
      <c r="O428">
        <v>2019</v>
      </c>
      <c r="P428">
        <v>2020</v>
      </c>
      <c r="R428">
        <v>89</v>
      </c>
      <c r="S428" s="7">
        <f>AVERAGEIF(A:A,A428,R:R)</f>
        <v>89.46875</v>
      </c>
      <c r="T428" s="1">
        <v>43587</v>
      </c>
      <c r="U428" s="13" t="str">
        <f t="shared" si="120"/>
        <v>May</v>
      </c>
      <c r="V428" s="12">
        <f t="shared" si="121"/>
        <v>43587</v>
      </c>
      <c r="W428" s="4">
        <v>11.69</v>
      </c>
      <c r="Y428" s="11">
        <f t="shared" si="123"/>
        <v>11.69</v>
      </c>
      <c r="Z428" s="109"/>
      <c r="AA428" s="37">
        <f>IF(Y428&gt;=Expenses!$C$32,4,IF(Y428&gt;=Expenses!$C$31,3,IF(Y428&gt;=Expenses!$C$30,2,1)))</f>
        <v>1</v>
      </c>
      <c r="AB428" s="37">
        <f t="shared" si="124"/>
        <v>1</v>
      </c>
      <c r="AC428" s="37" t="str">
        <f t="shared" si="125"/>
        <v>2019</v>
      </c>
    </row>
    <row r="429" spans="1:29" ht="18.75" x14ac:dyDescent="0.3">
      <c r="A429" s="37" t="str">
        <f t="shared" si="122"/>
        <v>2017M. ChapoutierCotes du Rhone Belleruche</v>
      </c>
      <c r="B429">
        <v>2017</v>
      </c>
      <c r="C429" t="s">
        <v>301</v>
      </c>
      <c r="D429" t="s">
        <v>302</v>
      </c>
      <c r="E429" t="s">
        <v>274</v>
      </c>
      <c r="F429" s="37" t="s">
        <v>742</v>
      </c>
      <c r="G429" s="37" t="s">
        <v>759</v>
      </c>
      <c r="H429" s="37" t="s">
        <v>761</v>
      </c>
      <c r="I429">
        <v>1</v>
      </c>
      <c r="J429">
        <v>750</v>
      </c>
      <c r="K429" t="s">
        <v>236</v>
      </c>
      <c r="L429" s="37">
        <f>SUMIF(Wine1!A:A,Drank!A429,Wine1!I:I)</f>
        <v>0</v>
      </c>
      <c r="M429">
        <v>2018</v>
      </c>
      <c r="N429">
        <v>2022</v>
      </c>
      <c r="Q429">
        <v>87</v>
      </c>
      <c r="R429">
        <v>88</v>
      </c>
      <c r="S429" s="7">
        <f>AVERAGEIF(A:A,A429,R:R)</f>
        <v>88</v>
      </c>
      <c r="T429" s="1">
        <v>43583</v>
      </c>
      <c r="U429" s="13" t="str">
        <f t="shared" si="120"/>
        <v>April</v>
      </c>
      <c r="V429" s="12">
        <f t="shared" si="121"/>
        <v>43583</v>
      </c>
      <c r="W429" s="2">
        <v>13</v>
      </c>
      <c r="X429">
        <v>1</v>
      </c>
      <c r="Y429" s="11">
        <f t="shared" si="123"/>
        <v>13</v>
      </c>
      <c r="Z429" s="109"/>
      <c r="AA429" s="37">
        <f>IF(Y429&gt;=Expenses!$C$32,4,IF(Y429&gt;=Expenses!$C$31,3,IF(Y429&gt;=Expenses!$C$30,2,1)))</f>
        <v>1</v>
      </c>
      <c r="AB429" s="37">
        <f t="shared" si="124"/>
        <v>1</v>
      </c>
      <c r="AC429" s="37" t="str">
        <f t="shared" si="125"/>
        <v>2019</v>
      </c>
    </row>
    <row r="430" spans="1:29" ht="18.75" x14ac:dyDescent="0.3">
      <c r="A430" s="37" t="str">
        <f t="shared" si="122"/>
        <v>2013Prisoner Wine CoProprietary Red The Prisoner</v>
      </c>
      <c r="B430">
        <v>2013</v>
      </c>
      <c r="C430" t="s">
        <v>68</v>
      </c>
      <c r="D430" t="s">
        <v>69</v>
      </c>
      <c r="E430" t="s">
        <v>273</v>
      </c>
      <c r="F430" s="37" t="s">
        <v>727</v>
      </c>
      <c r="G430" s="37" t="s">
        <v>806</v>
      </c>
      <c r="H430" s="37" t="s">
        <v>832</v>
      </c>
      <c r="I430">
        <v>1</v>
      </c>
      <c r="J430">
        <v>750</v>
      </c>
      <c r="K430" t="s">
        <v>8</v>
      </c>
      <c r="L430" s="37">
        <f>SUMIF(Wine1!A:A,Drank!A430,Wine1!I:I)</f>
        <v>0</v>
      </c>
      <c r="M430">
        <v>2015</v>
      </c>
      <c r="N430">
        <v>2019</v>
      </c>
      <c r="O430" t="s">
        <v>238</v>
      </c>
      <c r="P430">
        <v>2021</v>
      </c>
      <c r="Q430">
        <v>89</v>
      </c>
      <c r="R430">
        <v>91</v>
      </c>
      <c r="S430" s="7">
        <f>AVERAGEIF(A:A,A430,R:R)</f>
        <v>91</v>
      </c>
      <c r="T430" s="1">
        <v>43583</v>
      </c>
      <c r="U430" s="13" t="str">
        <f t="shared" si="120"/>
        <v>April</v>
      </c>
      <c r="V430" s="12">
        <f t="shared" si="121"/>
        <v>43583</v>
      </c>
      <c r="W430" s="2">
        <v>55</v>
      </c>
      <c r="X430">
        <v>1</v>
      </c>
      <c r="Y430" s="11">
        <f t="shared" si="123"/>
        <v>55</v>
      </c>
      <c r="Z430" s="109"/>
      <c r="AA430" s="37">
        <f>IF(Y430&gt;=Expenses!$C$32,4,IF(Y430&gt;=Expenses!$C$31,3,IF(Y430&gt;=Expenses!$C$30,2,1)))</f>
        <v>3</v>
      </c>
      <c r="AB430" s="37">
        <f t="shared" si="124"/>
        <v>1</v>
      </c>
      <c r="AC430" s="37" t="str">
        <f t="shared" si="125"/>
        <v>2019</v>
      </c>
    </row>
    <row r="431" spans="1:29" ht="18.75" x14ac:dyDescent="0.3">
      <c r="A431" s="37" t="str">
        <f t="shared" si="122"/>
        <v>2013Giovanni ManzoneBarolo Bricat</v>
      </c>
      <c r="B431">
        <v>2013</v>
      </c>
      <c r="C431" t="s">
        <v>294</v>
      </c>
      <c r="D431" t="s">
        <v>295</v>
      </c>
      <c r="E431" t="s">
        <v>268</v>
      </c>
      <c r="F431" s="37" t="s">
        <v>728</v>
      </c>
      <c r="G431" s="37" t="s">
        <v>778</v>
      </c>
      <c r="H431" s="37" t="s">
        <v>268</v>
      </c>
      <c r="I431">
        <v>2</v>
      </c>
      <c r="J431">
        <v>750</v>
      </c>
      <c r="K431" t="s">
        <v>296</v>
      </c>
      <c r="L431" s="37">
        <f>SUMIF(Wine1!A:A,Drank!A431,Wine1!I:I)</f>
        <v>3</v>
      </c>
      <c r="M431">
        <v>2018</v>
      </c>
      <c r="N431">
        <v>2032</v>
      </c>
      <c r="O431">
        <v>2024</v>
      </c>
      <c r="P431">
        <v>2032</v>
      </c>
      <c r="Q431" t="s">
        <v>17</v>
      </c>
      <c r="R431">
        <v>91</v>
      </c>
      <c r="S431" s="7">
        <f>AVERAGEIF(A:A,A431,R:R)</f>
        <v>91</v>
      </c>
      <c r="T431" s="1">
        <v>43583</v>
      </c>
      <c r="U431" s="13" t="str">
        <f t="shared" si="120"/>
        <v>April</v>
      </c>
      <c r="V431" s="12">
        <f t="shared" si="121"/>
        <v>43583</v>
      </c>
      <c r="W431" s="2">
        <v>45</v>
      </c>
      <c r="X431" t="s">
        <v>300</v>
      </c>
      <c r="Y431" s="11">
        <f t="shared" si="123"/>
        <v>45</v>
      </c>
      <c r="Z431" s="109"/>
      <c r="AA431" s="37">
        <f>IF(Y431&gt;=Expenses!$C$32,4,IF(Y431&gt;=Expenses!$C$31,3,IF(Y431&gt;=Expenses!$C$30,2,1)))</f>
        <v>3</v>
      </c>
      <c r="AB431" s="37">
        <f t="shared" si="124"/>
        <v>1</v>
      </c>
      <c r="AC431" s="37" t="str">
        <f t="shared" si="125"/>
        <v>2019</v>
      </c>
    </row>
    <row r="432" spans="1:29" ht="18.75" x14ac:dyDescent="0.3">
      <c r="A432" s="37" t="str">
        <f t="shared" si="122"/>
        <v>2010CondeNeo</v>
      </c>
      <c r="B432">
        <v>2010</v>
      </c>
      <c r="C432" t="s">
        <v>45</v>
      </c>
      <c r="D432" t="s">
        <v>46</v>
      </c>
      <c r="E432" t="s">
        <v>277</v>
      </c>
      <c r="F432" s="37" t="s">
        <v>729</v>
      </c>
      <c r="G432" s="37" t="s">
        <v>814</v>
      </c>
      <c r="H432" s="37" t="s">
        <v>818</v>
      </c>
      <c r="I432">
        <v>1</v>
      </c>
      <c r="J432">
        <v>750</v>
      </c>
      <c r="K432" t="s">
        <v>25</v>
      </c>
      <c r="L432" s="37">
        <f>SUMIF(Wine1!A:A,Drank!A432,Wine1!I:I)</f>
        <v>4</v>
      </c>
      <c r="M432">
        <v>2014</v>
      </c>
      <c r="N432">
        <v>2020</v>
      </c>
      <c r="O432">
        <v>2019</v>
      </c>
      <c r="P432">
        <v>2024</v>
      </c>
      <c r="Q432">
        <v>93</v>
      </c>
      <c r="R432">
        <v>94</v>
      </c>
      <c r="S432" s="7">
        <f>AVERAGEIF(A:A,A432,R:R)</f>
        <v>92.166666666666671</v>
      </c>
      <c r="T432" s="1">
        <v>43583</v>
      </c>
      <c r="U432" s="13" t="str">
        <f t="shared" si="120"/>
        <v>April</v>
      </c>
      <c r="V432" s="12">
        <f t="shared" si="121"/>
        <v>43583</v>
      </c>
      <c r="W432" s="2">
        <v>33</v>
      </c>
      <c r="X432">
        <v>1</v>
      </c>
      <c r="Y432" s="11">
        <f t="shared" si="123"/>
        <v>33</v>
      </c>
      <c r="Z432" s="109"/>
      <c r="AA432" s="37">
        <f>IF(Y432&gt;=Expenses!$C$32,4,IF(Y432&gt;=Expenses!$C$31,3,IF(Y432&gt;=Expenses!$C$30,2,1)))</f>
        <v>3</v>
      </c>
      <c r="AB432" s="37">
        <f t="shared" si="124"/>
        <v>1</v>
      </c>
      <c r="AC432" s="37" t="str">
        <f t="shared" si="125"/>
        <v>2019</v>
      </c>
    </row>
    <row r="433" spans="1:29" ht="18.75" x14ac:dyDescent="0.3">
      <c r="A433" s="37" t="str">
        <f t="shared" si="122"/>
        <v>2013TabarriniMontefalco Sagrantino Colle Grimaldesco</v>
      </c>
      <c r="B433">
        <v>2013</v>
      </c>
      <c r="C433" t="s">
        <v>246</v>
      </c>
      <c r="D433" t="s">
        <v>247</v>
      </c>
      <c r="E433" t="s">
        <v>272</v>
      </c>
      <c r="F433" s="37" t="s">
        <v>728</v>
      </c>
      <c r="G433" s="37" t="s">
        <v>797</v>
      </c>
      <c r="H433" s="37" t="s">
        <v>798</v>
      </c>
      <c r="I433">
        <v>1</v>
      </c>
      <c r="J433">
        <v>750</v>
      </c>
      <c r="K433" t="s">
        <v>254</v>
      </c>
      <c r="L433" s="37">
        <f>SUMIF(Wine1!A:A,Drank!A433,Wine1!I:I)</f>
        <v>2</v>
      </c>
      <c r="M433">
        <v>2017</v>
      </c>
      <c r="N433">
        <v>2026</v>
      </c>
      <c r="O433">
        <v>2022</v>
      </c>
      <c r="P433">
        <v>2026</v>
      </c>
      <c r="Q433">
        <v>90</v>
      </c>
      <c r="R433">
        <v>90</v>
      </c>
      <c r="S433" s="7">
        <f>AVERAGEIF(A:A,A433,R:R)</f>
        <v>90</v>
      </c>
      <c r="T433" s="1">
        <v>43583</v>
      </c>
      <c r="U433" s="13" t="str">
        <f t="shared" si="120"/>
        <v>April</v>
      </c>
      <c r="V433" s="12">
        <f t="shared" si="121"/>
        <v>43583</v>
      </c>
      <c r="W433" s="2">
        <v>24.99</v>
      </c>
      <c r="X433">
        <v>1</v>
      </c>
      <c r="Y433" s="11">
        <f t="shared" si="123"/>
        <v>24.989999999999995</v>
      </c>
      <c r="Z433" s="109"/>
      <c r="AA433" s="37">
        <f>IF(Y433&gt;=Expenses!$C$32,4,IF(Y433&gt;=Expenses!$C$31,3,IF(Y433&gt;=Expenses!$C$30,2,1)))</f>
        <v>2</v>
      </c>
      <c r="AB433" s="37">
        <f t="shared" si="124"/>
        <v>1</v>
      </c>
      <c r="AC433" s="37" t="str">
        <f t="shared" si="125"/>
        <v>2019</v>
      </c>
    </row>
    <row r="434" spans="1:29" ht="18.75" x14ac:dyDescent="0.3">
      <c r="A434" s="37" t="str">
        <f t="shared" si="122"/>
        <v>2016Anderson's Conn ValleyCabernet Sauvignon</v>
      </c>
      <c r="B434">
        <v>2016</v>
      </c>
      <c r="C434" t="s">
        <v>252</v>
      </c>
      <c r="D434" t="s">
        <v>32</v>
      </c>
      <c r="E434" t="s">
        <v>32</v>
      </c>
      <c r="F434" s="37" t="s">
        <v>727</v>
      </c>
      <c r="G434" s="37" t="s">
        <v>806</v>
      </c>
      <c r="H434" s="37" t="s">
        <v>832</v>
      </c>
      <c r="I434">
        <v>1</v>
      </c>
      <c r="J434">
        <v>750</v>
      </c>
      <c r="K434" t="s">
        <v>651</v>
      </c>
      <c r="L434" s="37">
        <f>SUMIF(Wine1!A:A,Drank!A434,Wine1!I:I)</f>
        <v>3</v>
      </c>
      <c r="M434">
        <v>2019</v>
      </c>
      <c r="N434">
        <v>2033</v>
      </c>
      <c r="O434">
        <v>2024</v>
      </c>
      <c r="P434">
        <v>2031</v>
      </c>
      <c r="Q434">
        <v>93</v>
      </c>
      <c r="R434">
        <v>93</v>
      </c>
      <c r="S434" s="7">
        <f>AVERAGEIF(A:A,A434,R:R)</f>
        <v>93</v>
      </c>
      <c r="T434" s="1">
        <v>43582</v>
      </c>
      <c r="U434" s="13" t="str">
        <f t="shared" si="120"/>
        <v>April</v>
      </c>
      <c r="V434" s="12">
        <f t="shared" si="121"/>
        <v>43582</v>
      </c>
      <c r="W434" s="2">
        <v>33</v>
      </c>
      <c r="X434" t="s">
        <v>300</v>
      </c>
      <c r="Y434" s="11">
        <f t="shared" si="123"/>
        <v>33</v>
      </c>
      <c r="Z434" s="109"/>
      <c r="AA434" s="37">
        <f>IF(Y434&gt;=Expenses!$C$32,4,IF(Y434&gt;=Expenses!$C$31,3,IF(Y434&gt;=Expenses!$C$30,2,1)))</f>
        <v>3</v>
      </c>
      <c r="AB434" s="37">
        <f t="shared" si="124"/>
        <v>1</v>
      </c>
      <c r="AC434" s="37" t="str">
        <f t="shared" si="125"/>
        <v>2019</v>
      </c>
    </row>
    <row r="435" spans="1:29" ht="18.75" x14ac:dyDescent="0.3">
      <c r="A435" s="37" t="str">
        <f t="shared" si="122"/>
        <v>2009El BomberoGran Reserva</v>
      </c>
      <c r="B435">
        <v>2009</v>
      </c>
      <c r="C435" t="s">
        <v>292</v>
      </c>
      <c r="D435" t="s">
        <v>24</v>
      </c>
      <c r="E435" t="s">
        <v>284</v>
      </c>
      <c r="F435" s="37" t="s">
        <v>729</v>
      </c>
      <c r="G435" s="37" t="s">
        <v>811</v>
      </c>
      <c r="H435" s="37" t="s">
        <v>813</v>
      </c>
      <c r="I435">
        <v>1</v>
      </c>
      <c r="J435">
        <v>750</v>
      </c>
      <c r="K435" t="s">
        <v>14</v>
      </c>
      <c r="L435" s="37">
        <f>SUMIF(Wine1!A:A,Drank!A435,Wine1!I:I)</f>
        <v>0</v>
      </c>
      <c r="P435">
        <v>2019</v>
      </c>
      <c r="R435">
        <v>88</v>
      </c>
      <c r="S435" s="7">
        <f>AVERAGEIF(A:A,A435,R:R)</f>
        <v>88</v>
      </c>
      <c r="T435" s="1">
        <v>43582</v>
      </c>
      <c r="U435" s="13" t="str">
        <f t="shared" si="120"/>
        <v>April</v>
      </c>
      <c r="V435" s="12">
        <f t="shared" si="121"/>
        <v>43582</v>
      </c>
      <c r="W435" s="2">
        <v>17</v>
      </c>
      <c r="X435">
        <v>1</v>
      </c>
      <c r="Y435" s="11">
        <f t="shared" si="123"/>
        <v>17</v>
      </c>
      <c r="Z435" s="109"/>
      <c r="AA435" s="37">
        <f>IF(Y435&gt;=Expenses!$C$32,4,IF(Y435&gt;=Expenses!$C$31,3,IF(Y435&gt;=Expenses!$C$30,2,1)))</f>
        <v>2</v>
      </c>
      <c r="AB435" s="37">
        <f t="shared" si="124"/>
        <v>1</v>
      </c>
      <c r="AC435" s="37" t="str">
        <f t="shared" si="125"/>
        <v>2019</v>
      </c>
    </row>
    <row r="436" spans="1:29" ht="18.75" x14ac:dyDescent="0.3">
      <c r="A436" s="37" t="str">
        <f t="shared" si="122"/>
        <v>2015Mas des PatresLa Clape Mas Des Patres</v>
      </c>
      <c r="B436">
        <v>2015</v>
      </c>
      <c r="C436" t="s">
        <v>224</v>
      </c>
      <c r="D436" t="s">
        <v>225</v>
      </c>
      <c r="E436" t="s">
        <v>286</v>
      </c>
      <c r="F436" s="37" t="s">
        <v>742</v>
      </c>
      <c r="G436" s="37" t="s">
        <v>756</v>
      </c>
      <c r="H436" s="37" t="s">
        <v>757</v>
      </c>
      <c r="I436">
        <v>1</v>
      </c>
      <c r="J436">
        <v>750</v>
      </c>
      <c r="K436" t="s">
        <v>102</v>
      </c>
      <c r="L436" s="37">
        <f>SUMIF(Wine1!A:A,Drank!A436,Wine1!I:I)</f>
        <v>1</v>
      </c>
      <c r="M436">
        <v>2017</v>
      </c>
      <c r="N436">
        <v>2023</v>
      </c>
      <c r="O436">
        <v>2019</v>
      </c>
      <c r="P436">
        <v>2023</v>
      </c>
      <c r="Q436" t="s">
        <v>237</v>
      </c>
      <c r="R436">
        <v>89</v>
      </c>
      <c r="S436" s="7">
        <f>AVERAGEIF(A:A,A436,R:R)</f>
        <v>89.8</v>
      </c>
      <c r="T436" s="1">
        <v>43581</v>
      </c>
      <c r="U436" s="13" t="str">
        <f t="shared" si="120"/>
        <v>April</v>
      </c>
      <c r="V436" s="12">
        <f t="shared" si="121"/>
        <v>43581</v>
      </c>
      <c r="W436" s="2">
        <v>12.99</v>
      </c>
      <c r="X436">
        <v>1</v>
      </c>
      <c r="Y436" s="11">
        <f t="shared" si="123"/>
        <v>12.989999999999998</v>
      </c>
      <c r="Z436" s="109"/>
      <c r="AA436" s="37">
        <f>IF(Y436&gt;=Expenses!$C$32,4,IF(Y436&gt;=Expenses!$C$31,3,IF(Y436&gt;=Expenses!$C$30,2,1)))</f>
        <v>1</v>
      </c>
      <c r="AB436" s="37">
        <f t="shared" si="124"/>
        <v>1</v>
      </c>
      <c r="AC436" s="37" t="str">
        <f t="shared" si="125"/>
        <v>2019</v>
      </c>
    </row>
    <row r="437" spans="1:29" ht="18.75" x14ac:dyDescent="0.3">
      <c r="A437" s="37" t="str">
        <f t="shared" si="122"/>
        <v>2016IntrinsicCabernet Sauvignon</v>
      </c>
      <c r="B437">
        <v>2016</v>
      </c>
      <c r="C437" t="s">
        <v>290</v>
      </c>
      <c r="D437" t="s">
        <v>32</v>
      </c>
      <c r="E437" t="s">
        <v>32</v>
      </c>
      <c r="F437" s="37" t="s">
        <v>727</v>
      </c>
      <c r="G437" s="37" t="s">
        <v>833</v>
      </c>
      <c r="H437" s="37" t="s">
        <v>834</v>
      </c>
      <c r="I437">
        <v>1</v>
      </c>
      <c r="J437">
        <v>750</v>
      </c>
      <c r="K437" t="s">
        <v>236</v>
      </c>
      <c r="L437" s="37">
        <f>SUMIF(Wine1!A:A,Drank!A437,Wine1!I:I)</f>
        <v>0</v>
      </c>
      <c r="O437" t="s">
        <v>238</v>
      </c>
      <c r="P437" t="s">
        <v>238</v>
      </c>
      <c r="R437">
        <v>87</v>
      </c>
      <c r="S437" s="7">
        <f>AVERAGEIF(A:A,A437,R:R)</f>
        <v>87</v>
      </c>
      <c r="T437" s="1">
        <v>43578</v>
      </c>
      <c r="U437" s="13" t="str">
        <f t="shared" si="120"/>
        <v>April</v>
      </c>
      <c r="V437" s="12">
        <f t="shared" si="121"/>
        <v>43578</v>
      </c>
      <c r="W437" s="2">
        <v>23</v>
      </c>
      <c r="Y437" s="11">
        <f t="shared" si="123"/>
        <v>23</v>
      </c>
      <c r="Z437" s="109"/>
      <c r="AA437" s="37">
        <f>IF(Y437&gt;=Expenses!$C$32,4,IF(Y437&gt;=Expenses!$C$31,3,IF(Y437&gt;=Expenses!$C$30,2,1)))</f>
        <v>2</v>
      </c>
      <c r="AB437" s="37">
        <f t="shared" si="124"/>
        <v>1</v>
      </c>
      <c r="AC437" s="37" t="str">
        <f t="shared" si="125"/>
        <v>2019</v>
      </c>
    </row>
    <row r="438" spans="1:29" ht="18.75" x14ac:dyDescent="0.3">
      <c r="A438" s="37" t="str">
        <f t="shared" si="122"/>
        <v>2015Diez-CaballeroCrianza</v>
      </c>
      <c r="B438">
        <v>2015</v>
      </c>
      <c r="C438" t="s">
        <v>1216</v>
      </c>
      <c r="D438" t="s">
        <v>108</v>
      </c>
      <c r="E438" t="s">
        <v>276</v>
      </c>
      <c r="F438" s="37" t="s">
        <v>729</v>
      </c>
      <c r="G438" s="37" t="s">
        <v>823</v>
      </c>
      <c r="I438">
        <v>1</v>
      </c>
      <c r="J438">
        <v>750</v>
      </c>
      <c r="K438" t="s">
        <v>213</v>
      </c>
      <c r="L438" s="37">
        <f>SUMIF(Wine1!A:A,Drank!A438,Wine1!I:I)</f>
        <v>4</v>
      </c>
      <c r="M438">
        <v>2018</v>
      </c>
      <c r="N438">
        <v>2022</v>
      </c>
      <c r="O438">
        <v>2022</v>
      </c>
      <c r="P438">
        <v>2020</v>
      </c>
      <c r="Q438">
        <v>92</v>
      </c>
      <c r="R438">
        <v>92</v>
      </c>
      <c r="S438" s="7">
        <f>AVERAGEIF(A:A,A438,R:R)</f>
        <v>91.235294117647058</v>
      </c>
      <c r="T438" s="1">
        <v>43578</v>
      </c>
      <c r="U438" s="13" t="str">
        <f t="shared" si="120"/>
        <v>April</v>
      </c>
      <c r="V438" s="12">
        <f t="shared" si="121"/>
        <v>43578</v>
      </c>
      <c r="W438" s="2">
        <v>14</v>
      </c>
      <c r="Y438" s="11">
        <f t="shared" si="123"/>
        <v>14.000000000000002</v>
      </c>
      <c r="Z438" s="109"/>
      <c r="AA438" s="37">
        <f>IF(Y438&gt;=Expenses!$C$32,4,IF(Y438&gt;=Expenses!$C$31,3,IF(Y438&gt;=Expenses!$C$30,2,1)))</f>
        <v>1</v>
      </c>
      <c r="AB438" s="37">
        <f t="shared" si="124"/>
        <v>1</v>
      </c>
      <c r="AC438" s="37" t="str">
        <f t="shared" si="125"/>
        <v>2019</v>
      </c>
    </row>
    <row r="439" spans="1:29" ht="18.75" x14ac:dyDescent="0.3">
      <c r="A439" s="37" t="str">
        <f t="shared" si="122"/>
        <v>2015Michele ChiarloBarbera d'Asti le Orme</v>
      </c>
      <c r="B439">
        <v>2015</v>
      </c>
      <c r="C439" t="s">
        <v>138</v>
      </c>
      <c r="D439" t="s">
        <v>139</v>
      </c>
      <c r="E439" t="s">
        <v>271</v>
      </c>
      <c r="F439" s="37" t="s">
        <v>728</v>
      </c>
      <c r="G439" s="37" t="s">
        <v>778</v>
      </c>
      <c r="H439" s="37" t="s">
        <v>779</v>
      </c>
      <c r="I439">
        <v>1</v>
      </c>
      <c r="J439">
        <v>750</v>
      </c>
      <c r="K439" t="s">
        <v>25</v>
      </c>
      <c r="L439" s="37">
        <f>SUMIF(Wine1!A:A,Drank!A439,Wine1!I:I)</f>
        <v>0</v>
      </c>
      <c r="O439" t="s">
        <v>238</v>
      </c>
      <c r="P439" t="s">
        <v>238</v>
      </c>
      <c r="R439">
        <v>86</v>
      </c>
      <c r="S439" s="7">
        <f>AVERAGEIF(A:A,A439,R:R)</f>
        <v>86</v>
      </c>
      <c r="T439" s="1">
        <v>43577</v>
      </c>
      <c r="U439" s="13" t="str">
        <f t="shared" si="120"/>
        <v>April</v>
      </c>
      <c r="V439" s="12">
        <f t="shared" si="121"/>
        <v>43577</v>
      </c>
      <c r="W439" s="2">
        <v>13</v>
      </c>
      <c r="Y439" s="11">
        <f t="shared" si="123"/>
        <v>13</v>
      </c>
      <c r="Z439" s="109"/>
      <c r="AA439" s="37">
        <f>IF(Y439&gt;=Expenses!$C$32,4,IF(Y439&gt;=Expenses!$C$31,3,IF(Y439&gt;=Expenses!$C$30,2,1)))</f>
        <v>1</v>
      </c>
      <c r="AB439" s="37">
        <f t="shared" si="124"/>
        <v>1</v>
      </c>
      <c r="AC439" s="37" t="str">
        <f t="shared" si="125"/>
        <v>2019</v>
      </c>
    </row>
    <row r="440" spans="1:29" ht="18.75" x14ac:dyDescent="0.3">
      <c r="A440" s="37" t="str">
        <f t="shared" si="122"/>
        <v>2010Raymond-LafonRaymond-Lafon</v>
      </c>
      <c r="B440">
        <v>2010</v>
      </c>
      <c r="C440" t="s">
        <v>197</v>
      </c>
      <c r="D440" t="s">
        <v>197</v>
      </c>
      <c r="E440" t="s">
        <v>260</v>
      </c>
      <c r="F440" s="37" t="s">
        <v>742</v>
      </c>
      <c r="G440" s="37" t="s">
        <v>748</v>
      </c>
      <c r="H440" s="37" t="s">
        <v>260</v>
      </c>
      <c r="I440">
        <v>1</v>
      </c>
      <c r="J440">
        <v>375</v>
      </c>
      <c r="K440" t="s">
        <v>253</v>
      </c>
      <c r="L440" s="37">
        <f>SUMIF(Wine1!A:A,Drank!A440,Wine1!I:I)</f>
        <v>4</v>
      </c>
      <c r="O440">
        <v>2020</v>
      </c>
      <c r="P440">
        <v>2040</v>
      </c>
      <c r="Q440" t="s">
        <v>198</v>
      </c>
      <c r="R440">
        <v>93</v>
      </c>
      <c r="S440" s="7">
        <f>AVERAGEIF(A:A,A440,R:R)</f>
        <v>92.8</v>
      </c>
      <c r="T440" s="1">
        <v>43576</v>
      </c>
      <c r="U440" s="13" t="str">
        <f t="shared" si="120"/>
        <v>April</v>
      </c>
      <c r="V440" s="12">
        <f t="shared" si="121"/>
        <v>43576</v>
      </c>
      <c r="W440" s="2">
        <v>22.99</v>
      </c>
      <c r="Y440" s="11">
        <f t="shared" si="123"/>
        <v>45.98</v>
      </c>
      <c r="Z440" s="109"/>
      <c r="AA440" s="37">
        <f>IF(Y440&gt;=Expenses!$C$32,4,IF(Y440&gt;=Expenses!$C$31,3,IF(Y440&gt;=Expenses!$C$30,2,1)))</f>
        <v>3</v>
      </c>
      <c r="AB440" s="37">
        <f t="shared" si="124"/>
        <v>0.5</v>
      </c>
      <c r="AC440" s="37" t="str">
        <f t="shared" si="125"/>
        <v>2019</v>
      </c>
    </row>
    <row r="441" spans="1:29" ht="18.75" x14ac:dyDescent="0.3">
      <c r="A441" s="37" t="str">
        <f t="shared" si="122"/>
        <v>2015Luis Seabra VinhosTinto Xisto Cru</v>
      </c>
      <c r="B441">
        <v>2015</v>
      </c>
      <c r="C441" t="s">
        <v>250</v>
      </c>
      <c r="D441" t="s">
        <v>1275</v>
      </c>
      <c r="E441" t="s">
        <v>274</v>
      </c>
      <c r="F441" s="37" t="s">
        <v>804</v>
      </c>
      <c r="G441" s="37" t="s">
        <v>805</v>
      </c>
      <c r="I441">
        <v>1</v>
      </c>
      <c r="J441">
        <v>750</v>
      </c>
      <c r="K441" t="s">
        <v>102</v>
      </c>
      <c r="L441" s="37">
        <f>SUMIF(Wine1!A:A,Drank!A441,Wine1!I:I)</f>
        <v>3</v>
      </c>
      <c r="M441">
        <v>2021</v>
      </c>
      <c r="N441">
        <v>2040</v>
      </c>
      <c r="O441">
        <v>2021</v>
      </c>
      <c r="P441">
        <v>2028</v>
      </c>
      <c r="Q441">
        <v>95</v>
      </c>
      <c r="R441">
        <v>95</v>
      </c>
      <c r="S441" s="7">
        <f>AVERAGEIF(A:A,A441,R:R)</f>
        <v>95</v>
      </c>
      <c r="T441" s="1">
        <v>43576</v>
      </c>
      <c r="U441" s="13" t="str">
        <f t="shared" ref="U441:U504" si="126">TEXT(T441,"mmmm")</f>
        <v>April</v>
      </c>
      <c r="V441" s="12">
        <f t="shared" ref="V441:V504" si="127">T441</f>
        <v>43576</v>
      </c>
      <c r="W441" s="2">
        <v>45</v>
      </c>
      <c r="Y441" s="11">
        <f t="shared" si="123"/>
        <v>45</v>
      </c>
      <c r="Z441" s="109"/>
      <c r="AA441" s="37">
        <f>IF(Y441&gt;=Expenses!$C$32,4,IF(Y441&gt;=Expenses!$C$31,3,IF(Y441&gt;=Expenses!$C$30,2,1)))</f>
        <v>3</v>
      </c>
      <c r="AB441" s="37">
        <f t="shared" si="124"/>
        <v>1</v>
      </c>
      <c r="AC441" s="37" t="str">
        <f t="shared" si="125"/>
        <v>2019</v>
      </c>
    </row>
    <row r="442" spans="1:29" ht="18.75" x14ac:dyDescent="0.3">
      <c r="A442" s="37" t="str">
        <f t="shared" si="122"/>
        <v>2016Altos Las HormigasMalbec Appellation Gualtallary</v>
      </c>
      <c r="B442">
        <v>2016</v>
      </c>
      <c r="C442" t="s">
        <v>232</v>
      </c>
      <c r="D442" t="s">
        <v>233</v>
      </c>
      <c r="E442" t="s">
        <v>281</v>
      </c>
      <c r="F442" s="37" t="s">
        <v>731</v>
      </c>
      <c r="G442" s="37" t="s">
        <v>732</v>
      </c>
      <c r="H442" s="37" t="s">
        <v>734</v>
      </c>
      <c r="I442">
        <v>1</v>
      </c>
      <c r="J442">
        <v>750</v>
      </c>
      <c r="K442" t="s">
        <v>653</v>
      </c>
      <c r="L442" s="37">
        <f>SUMIF(Wine1!A:A,Drank!A442,Wine1!I:I)</f>
        <v>4</v>
      </c>
      <c r="M442">
        <v>2018</v>
      </c>
      <c r="N442">
        <v>2028</v>
      </c>
      <c r="O442">
        <v>2020</v>
      </c>
      <c r="P442" s="7">
        <v>2030</v>
      </c>
      <c r="Q442">
        <v>96</v>
      </c>
      <c r="R442">
        <v>96</v>
      </c>
      <c r="S442" s="7">
        <f>AVERAGEIF(A:A,A442,R:R)</f>
        <v>95.5</v>
      </c>
      <c r="T442" s="1">
        <v>43576</v>
      </c>
      <c r="U442" s="13" t="str">
        <f t="shared" si="126"/>
        <v>April</v>
      </c>
      <c r="V442" s="12">
        <f t="shared" si="127"/>
        <v>43576</v>
      </c>
      <c r="W442" s="2">
        <v>39.99</v>
      </c>
      <c r="Y442" s="11">
        <f t="shared" si="123"/>
        <v>39.99</v>
      </c>
      <c r="Z442" s="109"/>
      <c r="AA442" s="37">
        <f>IF(Y442&gt;=Expenses!$C$32,4,IF(Y442&gt;=Expenses!$C$31,3,IF(Y442&gt;=Expenses!$C$30,2,1)))</f>
        <v>3</v>
      </c>
      <c r="AB442" s="37">
        <f t="shared" si="124"/>
        <v>1</v>
      </c>
      <c r="AC442" s="37" t="str">
        <f t="shared" si="125"/>
        <v>2019</v>
      </c>
    </row>
    <row r="443" spans="1:29" ht="18.75" x14ac:dyDescent="0.3">
      <c r="A443" s="37" t="str">
        <f t="shared" si="122"/>
        <v>2014Domaine Hubert &amp; Olivier LamyBourgogne les Chataigners</v>
      </c>
      <c r="B443">
        <v>2014</v>
      </c>
      <c r="C443" t="s">
        <v>95</v>
      </c>
      <c r="D443" t="s">
        <v>96</v>
      </c>
      <c r="E443" t="s">
        <v>259</v>
      </c>
      <c r="F443" s="37" t="s">
        <v>742</v>
      </c>
      <c r="G443" s="37" t="s">
        <v>754</v>
      </c>
      <c r="I443">
        <v>1</v>
      </c>
      <c r="J443">
        <v>750</v>
      </c>
      <c r="K443" t="s">
        <v>97</v>
      </c>
      <c r="L443" s="37">
        <f>SUMIF(Wine1!A:A,Drank!A443,Wine1!I:I)</f>
        <v>0</v>
      </c>
      <c r="M443">
        <v>2015</v>
      </c>
      <c r="N443">
        <v>2018</v>
      </c>
      <c r="O443" t="s">
        <v>238</v>
      </c>
      <c r="P443" s="7" t="s">
        <v>238</v>
      </c>
      <c r="Q443" t="s">
        <v>98</v>
      </c>
      <c r="R443">
        <v>89</v>
      </c>
      <c r="S443" s="7">
        <f>AVERAGEIF(A:A,A443,R:R)</f>
        <v>89</v>
      </c>
      <c r="T443" s="1">
        <v>43575</v>
      </c>
      <c r="U443" s="13" t="str">
        <f t="shared" si="126"/>
        <v>April</v>
      </c>
      <c r="V443" s="12">
        <f t="shared" si="127"/>
        <v>43575</v>
      </c>
      <c r="W443" s="2">
        <v>25</v>
      </c>
      <c r="Y443" s="11">
        <f t="shared" si="123"/>
        <v>25</v>
      </c>
      <c r="Z443" s="109"/>
      <c r="AA443" s="37">
        <f>IF(Y443&gt;=Expenses!$C$32,4,IF(Y443&gt;=Expenses!$C$31,3,IF(Y443&gt;=Expenses!$C$30,2,1)))</f>
        <v>2</v>
      </c>
      <c r="AB443" s="37">
        <f t="shared" si="124"/>
        <v>1</v>
      </c>
      <c r="AC443" s="37" t="str">
        <f t="shared" si="125"/>
        <v>2019</v>
      </c>
    </row>
    <row r="444" spans="1:29" ht="18.75" x14ac:dyDescent="0.3">
      <c r="A444" s="37" t="str">
        <f t="shared" si="122"/>
        <v>2013ZenatoValpolicella Ripasso Superiore Ripassa</v>
      </c>
      <c r="B444">
        <v>2013</v>
      </c>
      <c r="C444" t="s">
        <v>70</v>
      </c>
      <c r="D444" t="s">
        <v>71</v>
      </c>
      <c r="E444" t="s">
        <v>262</v>
      </c>
      <c r="F444" s="37" t="s">
        <v>728</v>
      </c>
      <c r="G444" s="37" t="s">
        <v>799</v>
      </c>
      <c r="H444" s="37" t="s">
        <v>800</v>
      </c>
      <c r="I444">
        <v>1</v>
      </c>
      <c r="J444">
        <v>750</v>
      </c>
      <c r="K444" t="s">
        <v>656</v>
      </c>
      <c r="L444" s="37">
        <f>SUMIF(Wine1!A:A,Drank!A444,Wine1!I:I)</f>
        <v>0</v>
      </c>
      <c r="M444">
        <v>2017</v>
      </c>
      <c r="N444">
        <v>2022</v>
      </c>
      <c r="O444">
        <v>2020</v>
      </c>
      <c r="P444" s="7">
        <v>2020</v>
      </c>
      <c r="Q444">
        <v>88</v>
      </c>
      <c r="R444">
        <v>90</v>
      </c>
      <c r="S444" s="7">
        <f>AVERAGEIF(A:A,A444,R:R)</f>
        <v>90</v>
      </c>
      <c r="T444" s="1">
        <v>43575</v>
      </c>
      <c r="U444" s="13" t="str">
        <f t="shared" si="126"/>
        <v>April</v>
      </c>
      <c r="V444" s="12">
        <f t="shared" si="127"/>
        <v>43575</v>
      </c>
      <c r="W444" s="2">
        <v>27</v>
      </c>
      <c r="Y444" s="11">
        <f t="shared" si="123"/>
        <v>26.999999999999996</v>
      </c>
      <c r="Z444" s="109"/>
      <c r="AA444" s="37">
        <f>IF(Y444&gt;=Expenses!$C$32,4,IF(Y444&gt;=Expenses!$C$31,3,IF(Y444&gt;=Expenses!$C$30,2,1)))</f>
        <v>2</v>
      </c>
      <c r="AB444" s="37">
        <f t="shared" si="124"/>
        <v>1</v>
      </c>
      <c r="AC444" s="37" t="str">
        <f t="shared" si="125"/>
        <v>2019</v>
      </c>
    </row>
    <row r="445" spans="1:29" ht="18.75" x14ac:dyDescent="0.3">
      <c r="A445" s="37" t="str">
        <f t="shared" si="122"/>
        <v>2015Diez-CaballeroCrianza</v>
      </c>
      <c r="B445">
        <v>2015</v>
      </c>
      <c r="C445" t="s">
        <v>1216</v>
      </c>
      <c r="D445" t="s">
        <v>108</v>
      </c>
      <c r="E445" t="s">
        <v>276</v>
      </c>
      <c r="F445" s="37" t="s">
        <v>729</v>
      </c>
      <c r="G445" s="37" t="s">
        <v>823</v>
      </c>
      <c r="I445">
        <v>1</v>
      </c>
      <c r="J445">
        <v>750</v>
      </c>
      <c r="K445" t="s">
        <v>213</v>
      </c>
      <c r="L445" s="37">
        <f>SUMIF(Wine1!A:A,Drank!A445,Wine1!I:I)</f>
        <v>4</v>
      </c>
      <c r="M445">
        <v>2018</v>
      </c>
      <c r="N445">
        <v>2022</v>
      </c>
      <c r="O445">
        <v>2020</v>
      </c>
      <c r="P445" s="7">
        <v>2022</v>
      </c>
      <c r="Q445">
        <v>92</v>
      </c>
      <c r="R445">
        <v>92</v>
      </c>
      <c r="S445" s="7">
        <f>AVERAGEIF(A:A,A445,R:R)</f>
        <v>91.235294117647058</v>
      </c>
      <c r="T445" s="1">
        <v>43575</v>
      </c>
      <c r="U445" s="13" t="str">
        <f t="shared" si="126"/>
        <v>April</v>
      </c>
      <c r="V445" s="12">
        <f t="shared" si="127"/>
        <v>43575</v>
      </c>
      <c r="W445" s="2">
        <v>14</v>
      </c>
      <c r="Y445" s="11">
        <f t="shared" si="123"/>
        <v>14.000000000000002</v>
      </c>
      <c r="Z445" s="109"/>
      <c r="AA445" s="37">
        <f>IF(Y445&gt;=Expenses!$C$32,4,IF(Y445&gt;=Expenses!$C$31,3,IF(Y445&gt;=Expenses!$C$30,2,1)))</f>
        <v>1</v>
      </c>
      <c r="AB445" s="37">
        <f t="shared" si="124"/>
        <v>1</v>
      </c>
      <c r="AC445" s="37" t="str">
        <f t="shared" si="125"/>
        <v>2019</v>
      </c>
    </row>
    <row r="446" spans="1:29" ht="18.75" x14ac:dyDescent="0.3">
      <c r="A446" s="37" t="str">
        <f t="shared" si="122"/>
        <v>2014Los Frailes1771</v>
      </c>
      <c r="B446">
        <v>2014</v>
      </c>
      <c r="C446" t="s">
        <v>242</v>
      </c>
      <c r="D446">
        <v>1771</v>
      </c>
      <c r="E446" t="s">
        <v>1226</v>
      </c>
      <c r="F446" s="37" t="s">
        <v>729</v>
      </c>
      <c r="G446" s="37" t="s">
        <v>826</v>
      </c>
      <c r="I446">
        <v>1</v>
      </c>
      <c r="J446">
        <v>750</v>
      </c>
      <c r="K446" t="s">
        <v>652</v>
      </c>
      <c r="L446" s="37">
        <f>SUMIF(Wine1!A:A,Drank!A446,Wine1!I:I)</f>
        <v>9</v>
      </c>
      <c r="M446">
        <v>2018</v>
      </c>
      <c r="N446">
        <v>2023</v>
      </c>
      <c r="O446">
        <v>2020</v>
      </c>
      <c r="P446" s="7">
        <v>2023</v>
      </c>
      <c r="Q446">
        <v>93</v>
      </c>
      <c r="R446">
        <v>93</v>
      </c>
      <c r="S446" s="7">
        <f>AVERAGEIF(A:A,A446,R:R)</f>
        <v>92.4</v>
      </c>
      <c r="T446" s="1">
        <v>43575</v>
      </c>
      <c r="U446" s="13" t="str">
        <f t="shared" si="126"/>
        <v>April</v>
      </c>
      <c r="V446" s="12">
        <f t="shared" si="127"/>
        <v>43575</v>
      </c>
      <c r="W446" s="2">
        <v>19.5</v>
      </c>
      <c r="Y446" s="11">
        <f t="shared" si="123"/>
        <v>19.5</v>
      </c>
      <c r="Z446" s="109"/>
      <c r="AA446" s="37">
        <f>IF(Y446&gt;=Expenses!$C$32,4,IF(Y446&gt;=Expenses!$C$31,3,IF(Y446&gt;=Expenses!$C$30,2,1)))</f>
        <v>2</v>
      </c>
      <c r="AB446" s="37">
        <f t="shared" si="124"/>
        <v>1</v>
      </c>
      <c r="AC446" s="37" t="str">
        <f t="shared" si="125"/>
        <v>2019</v>
      </c>
    </row>
    <row r="447" spans="1:29" ht="18.75" x14ac:dyDescent="0.3">
      <c r="A447" s="37" t="str">
        <f t="shared" si="122"/>
        <v>2015BeringerCabernet Sauvignon Knights Valley</v>
      </c>
      <c r="B447">
        <v>2015</v>
      </c>
      <c r="C447" t="s">
        <v>47</v>
      </c>
      <c r="D447" t="s">
        <v>114</v>
      </c>
      <c r="E447" t="s">
        <v>32</v>
      </c>
      <c r="F447" s="37" t="s">
        <v>727</v>
      </c>
      <c r="G447" s="37" t="s">
        <v>806</v>
      </c>
      <c r="H447" s="37" t="s">
        <v>831</v>
      </c>
      <c r="I447">
        <v>1</v>
      </c>
      <c r="J447">
        <v>750</v>
      </c>
      <c r="K447" t="s">
        <v>236</v>
      </c>
      <c r="L447" s="37">
        <f>SUMIF(Wine1!A:A,Drank!A447,Wine1!I:I)</f>
        <v>0</v>
      </c>
      <c r="M447">
        <v>2017</v>
      </c>
      <c r="N447">
        <v>2023</v>
      </c>
      <c r="O447" t="s">
        <v>238</v>
      </c>
      <c r="P447" s="7" t="s">
        <v>238</v>
      </c>
      <c r="Q447">
        <v>90</v>
      </c>
      <c r="R447">
        <v>87</v>
      </c>
      <c r="S447" s="7">
        <f>AVERAGEIF(A:A,A447,R:R)</f>
        <v>87</v>
      </c>
      <c r="T447" s="1">
        <v>43575</v>
      </c>
      <c r="U447" s="13" t="str">
        <f t="shared" si="126"/>
        <v>April</v>
      </c>
      <c r="V447" s="12">
        <f t="shared" si="127"/>
        <v>43575</v>
      </c>
      <c r="W447" s="2">
        <v>28</v>
      </c>
      <c r="Y447" s="11">
        <f t="shared" si="123"/>
        <v>28.000000000000004</v>
      </c>
      <c r="Z447" s="109"/>
      <c r="AA447" s="37">
        <f>IF(Y447&gt;=Expenses!$C$32,4,IF(Y447&gt;=Expenses!$C$31,3,IF(Y447&gt;=Expenses!$C$30,2,1)))</f>
        <v>2</v>
      </c>
      <c r="AB447" s="37">
        <f t="shared" si="124"/>
        <v>1</v>
      </c>
      <c r="AC447" s="37" t="str">
        <f t="shared" si="125"/>
        <v>2019</v>
      </c>
    </row>
    <row r="448" spans="1:29" ht="18.75" x14ac:dyDescent="0.3">
      <c r="A448" s="37" t="str">
        <f t="shared" si="122"/>
        <v>2010Raymond-LafonRaymond-Lafon</v>
      </c>
      <c r="B448">
        <v>2010</v>
      </c>
      <c r="C448" t="s">
        <v>197</v>
      </c>
      <c r="D448" t="s">
        <v>197</v>
      </c>
      <c r="E448" t="s">
        <v>260</v>
      </c>
      <c r="F448" s="37" t="s">
        <v>742</v>
      </c>
      <c r="G448" s="37" t="s">
        <v>748</v>
      </c>
      <c r="H448" s="37" t="s">
        <v>260</v>
      </c>
      <c r="I448">
        <v>1</v>
      </c>
      <c r="J448">
        <v>375</v>
      </c>
      <c r="K448" t="s">
        <v>253</v>
      </c>
      <c r="L448" s="37">
        <f>SUMIF(Wine1!A:A,Drank!A448,Wine1!I:I)</f>
        <v>4</v>
      </c>
      <c r="O448">
        <v>2024</v>
      </c>
      <c r="P448" s="7">
        <v>2040</v>
      </c>
      <c r="Q448" t="s">
        <v>198</v>
      </c>
      <c r="R448">
        <v>92</v>
      </c>
      <c r="S448" s="7">
        <f>AVERAGEIF(A:A,A448,R:R)</f>
        <v>92.8</v>
      </c>
      <c r="T448" s="1">
        <v>43575</v>
      </c>
      <c r="U448" s="13" t="str">
        <f t="shared" si="126"/>
        <v>April</v>
      </c>
      <c r="V448" s="12">
        <f t="shared" si="127"/>
        <v>43575</v>
      </c>
      <c r="W448" s="2">
        <v>22.99</v>
      </c>
      <c r="Y448" s="11">
        <f t="shared" si="123"/>
        <v>45.98</v>
      </c>
      <c r="Z448" s="109"/>
      <c r="AA448" s="37">
        <f>IF(Y448&gt;=Expenses!$C$32,4,IF(Y448&gt;=Expenses!$C$31,3,IF(Y448&gt;=Expenses!$C$30,2,1)))</f>
        <v>3</v>
      </c>
      <c r="AB448" s="37">
        <f t="shared" si="124"/>
        <v>0.5</v>
      </c>
      <c r="AC448" s="37" t="str">
        <f t="shared" si="125"/>
        <v>2019</v>
      </c>
    </row>
    <row r="449" spans="1:29" ht="18.75" x14ac:dyDescent="0.3">
      <c r="A449" s="37" t="str">
        <f t="shared" si="122"/>
        <v>2013Le GodeBrunello di Montalcino</v>
      </c>
      <c r="B449">
        <v>2013</v>
      </c>
      <c r="C449" t="s">
        <v>245</v>
      </c>
      <c r="D449" t="s">
        <v>19</v>
      </c>
      <c r="E449" t="s">
        <v>266</v>
      </c>
      <c r="F449" s="37" t="s">
        <v>728</v>
      </c>
      <c r="G449" s="37" t="s">
        <v>790</v>
      </c>
      <c r="H449" s="37" t="s">
        <v>19</v>
      </c>
      <c r="I449">
        <v>1</v>
      </c>
      <c r="J449">
        <v>750</v>
      </c>
      <c r="K449" t="s">
        <v>254</v>
      </c>
      <c r="L449" s="37">
        <f>SUMIF(Wine1!A:A,Drank!A449,Wine1!I:I)</f>
        <v>1</v>
      </c>
      <c r="M449">
        <v>2019</v>
      </c>
      <c r="N449">
        <v>2028</v>
      </c>
      <c r="O449">
        <v>2026</v>
      </c>
      <c r="P449" s="7">
        <v>2028</v>
      </c>
      <c r="Q449">
        <v>90</v>
      </c>
      <c r="R449">
        <v>91</v>
      </c>
      <c r="S449" s="7">
        <f>AVERAGEIF(A:A,A449,R:R)</f>
        <v>90.5</v>
      </c>
      <c r="T449" s="1">
        <v>43575</v>
      </c>
      <c r="U449" s="13" t="str">
        <f t="shared" si="126"/>
        <v>April</v>
      </c>
      <c r="V449" s="12">
        <f t="shared" si="127"/>
        <v>43575</v>
      </c>
      <c r="W449" s="2">
        <v>32.99</v>
      </c>
      <c r="Y449" s="11">
        <f t="shared" si="123"/>
        <v>32.99</v>
      </c>
      <c r="Z449" s="109"/>
      <c r="AA449" s="37">
        <f>IF(Y449&gt;=Expenses!$C$32,4,IF(Y449&gt;=Expenses!$C$31,3,IF(Y449&gt;=Expenses!$C$30,2,1)))</f>
        <v>3</v>
      </c>
      <c r="AB449" s="37">
        <f t="shared" si="124"/>
        <v>1</v>
      </c>
      <c r="AC449" s="37" t="str">
        <f t="shared" si="125"/>
        <v>2019</v>
      </c>
    </row>
    <row r="450" spans="1:29" ht="18.75" x14ac:dyDescent="0.3">
      <c r="A450" s="37" t="str">
        <f t="shared" si="122"/>
        <v>2014ParrasEvidencia Tinto Dao</v>
      </c>
      <c r="B450">
        <v>2014</v>
      </c>
      <c r="C450" t="s">
        <v>187</v>
      </c>
      <c r="D450" t="s">
        <v>188</v>
      </c>
      <c r="E450" t="s">
        <v>274</v>
      </c>
      <c r="F450" s="37" t="s">
        <v>804</v>
      </c>
      <c r="G450" s="37" t="s">
        <v>837</v>
      </c>
      <c r="I450">
        <v>1</v>
      </c>
      <c r="J450">
        <v>750</v>
      </c>
      <c r="K450" t="s">
        <v>58</v>
      </c>
      <c r="L450" s="37">
        <f>SUMIF(Wine1!A:A,Drank!A450,Wine1!I:I)</f>
        <v>0</v>
      </c>
      <c r="O450">
        <v>2019</v>
      </c>
      <c r="P450" s="7">
        <v>2020</v>
      </c>
      <c r="R450">
        <v>85</v>
      </c>
      <c r="S450" s="7">
        <f>AVERAGEIF(A:A,A450,R:R)</f>
        <v>85.5</v>
      </c>
      <c r="T450" s="1">
        <v>43574</v>
      </c>
      <c r="U450" s="13" t="str">
        <f t="shared" si="126"/>
        <v>April</v>
      </c>
      <c r="V450" s="12">
        <f t="shared" si="127"/>
        <v>43574</v>
      </c>
      <c r="W450" s="2">
        <v>8.09</v>
      </c>
      <c r="Y450" s="11">
        <f t="shared" si="123"/>
        <v>8.09</v>
      </c>
      <c r="Z450" s="109"/>
      <c r="AA450" s="37">
        <f>IF(Y450&gt;=Expenses!$C$32,4,IF(Y450&gt;=Expenses!$C$31,3,IF(Y450&gt;=Expenses!$C$30,2,1)))</f>
        <v>1</v>
      </c>
      <c r="AB450" s="37">
        <f t="shared" si="124"/>
        <v>1</v>
      </c>
      <c r="AC450" s="37" t="str">
        <f t="shared" si="125"/>
        <v>2019</v>
      </c>
    </row>
    <row r="451" spans="1:29" ht="18.75" x14ac:dyDescent="0.3">
      <c r="A451" s="37" t="str">
        <f t="shared" si="122"/>
        <v>2013Le GodeBrunello di Montalcino</v>
      </c>
      <c r="B451">
        <v>2013</v>
      </c>
      <c r="C451" t="s">
        <v>245</v>
      </c>
      <c r="D451" t="s">
        <v>19</v>
      </c>
      <c r="E451" t="s">
        <v>266</v>
      </c>
      <c r="F451" s="37" t="s">
        <v>728</v>
      </c>
      <c r="G451" s="37" t="s">
        <v>790</v>
      </c>
      <c r="H451" s="37" t="s">
        <v>19</v>
      </c>
      <c r="I451">
        <v>1</v>
      </c>
      <c r="J451">
        <v>750</v>
      </c>
      <c r="K451" t="s">
        <v>236</v>
      </c>
      <c r="L451" s="37">
        <f>SUMIF(Wine1!A:A,Drank!A451,Wine1!I:I)</f>
        <v>1</v>
      </c>
      <c r="M451">
        <v>2019</v>
      </c>
      <c r="N451">
        <v>2028</v>
      </c>
      <c r="O451" t="s">
        <v>238</v>
      </c>
      <c r="P451" s="7"/>
      <c r="Q451">
        <v>90</v>
      </c>
      <c r="R451">
        <v>90</v>
      </c>
      <c r="S451" s="7">
        <f>AVERAGEIF(A:A,A451,R:R)</f>
        <v>90.5</v>
      </c>
      <c r="T451" s="1">
        <v>43574</v>
      </c>
      <c r="U451" s="13" t="str">
        <f t="shared" si="126"/>
        <v>April</v>
      </c>
      <c r="V451" s="12">
        <f t="shared" si="127"/>
        <v>43574</v>
      </c>
      <c r="W451" s="2">
        <v>32.99</v>
      </c>
      <c r="Y451" s="11">
        <f t="shared" si="123"/>
        <v>32.99</v>
      </c>
      <c r="Z451" s="109"/>
      <c r="AA451" s="37">
        <f>IF(Y451&gt;=Expenses!$C$32,4,IF(Y451&gt;=Expenses!$C$31,3,IF(Y451&gt;=Expenses!$C$30,2,1)))</f>
        <v>3</v>
      </c>
      <c r="AB451" s="37">
        <f t="shared" si="124"/>
        <v>1</v>
      </c>
      <c r="AC451" s="37" t="str">
        <f t="shared" si="125"/>
        <v>2019</v>
      </c>
    </row>
    <row r="452" spans="1:29" ht="18.75" x14ac:dyDescent="0.3">
      <c r="A452" s="37" t="str">
        <f t="shared" si="122"/>
        <v>2014Ovadia BartenuraOvadia Chianti</v>
      </c>
      <c r="B452">
        <v>2014</v>
      </c>
      <c r="C452" t="s">
        <v>189</v>
      </c>
      <c r="D452" t="s">
        <v>190</v>
      </c>
      <c r="E452" t="s">
        <v>267</v>
      </c>
      <c r="F452" s="37" t="s">
        <v>728</v>
      </c>
      <c r="G452" s="37" t="s">
        <v>790</v>
      </c>
      <c r="I452">
        <v>1</v>
      </c>
      <c r="J452">
        <v>750</v>
      </c>
      <c r="K452" t="s">
        <v>655</v>
      </c>
      <c r="L452" s="37">
        <f>SUMIF(Wine1!A:A,Drank!A452,Wine1!I:I)</f>
        <v>0</v>
      </c>
      <c r="N452">
        <v>2021</v>
      </c>
      <c r="O452" t="s">
        <v>238</v>
      </c>
      <c r="P452" s="7" t="s">
        <v>238</v>
      </c>
      <c r="R452">
        <v>89</v>
      </c>
      <c r="S452" s="7">
        <f>AVERAGEIF(A:A,A452,R:R)</f>
        <v>89</v>
      </c>
      <c r="T452" s="1">
        <v>43574</v>
      </c>
      <c r="U452" s="13" t="str">
        <f t="shared" si="126"/>
        <v>April</v>
      </c>
      <c r="V452" s="12">
        <f t="shared" si="127"/>
        <v>43574</v>
      </c>
      <c r="W452" s="2">
        <v>14</v>
      </c>
      <c r="Y452" s="11">
        <f t="shared" si="123"/>
        <v>14.000000000000002</v>
      </c>
      <c r="Z452" s="109"/>
      <c r="AA452" s="37">
        <f>IF(Y452&gt;=Expenses!$C$32,4,IF(Y452&gt;=Expenses!$C$31,3,IF(Y452&gt;=Expenses!$C$30,2,1)))</f>
        <v>1</v>
      </c>
      <c r="AB452" s="37">
        <f t="shared" si="124"/>
        <v>1</v>
      </c>
      <c r="AC452" s="37" t="str">
        <f t="shared" si="125"/>
        <v>2019</v>
      </c>
    </row>
    <row r="453" spans="1:29" ht="18.75" x14ac:dyDescent="0.3">
      <c r="A453" s="37" t="str">
        <f t="shared" si="122"/>
        <v>2014Produttori del BarbarescoBarbaresco</v>
      </c>
      <c r="B453">
        <v>2014</v>
      </c>
      <c r="C453" t="s">
        <v>248</v>
      </c>
      <c r="D453" t="s">
        <v>249</v>
      </c>
      <c r="E453" t="s">
        <v>249</v>
      </c>
      <c r="F453" s="37" t="s">
        <v>728</v>
      </c>
      <c r="G453" s="37" t="s">
        <v>778</v>
      </c>
      <c r="H453" s="37" t="s">
        <v>249</v>
      </c>
      <c r="I453">
        <v>1</v>
      </c>
      <c r="J453">
        <v>750</v>
      </c>
      <c r="K453" t="s">
        <v>236</v>
      </c>
      <c r="L453" s="37">
        <f>SUMIF(Wine1!A:A,Drank!A453,Wine1!I:I)</f>
        <v>2</v>
      </c>
      <c r="M453">
        <v>2018</v>
      </c>
      <c r="N453">
        <v>2030</v>
      </c>
      <c r="O453">
        <v>2019</v>
      </c>
      <c r="P453" s="7">
        <v>2028</v>
      </c>
      <c r="Q453">
        <v>94</v>
      </c>
      <c r="R453">
        <v>92</v>
      </c>
      <c r="S453" s="7">
        <f>AVERAGEIF(A:A,A453,R:R)</f>
        <v>93</v>
      </c>
      <c r="T453" s="1">
        <v>43571</v>
      </c>
      <c r="U453" s="13" t="str">
        <f t="shared" si="126"/>
        <v>April</v>
      </c>
      <c r="V453" s="12">
        <f t="shared" si="127"/>
        <v>43571</v>
      </c>
      <c r="W453" s="2">
        <v>39.99</v>
      </c>
      <c r="Y453" s="11">
        <f t="shared" si="123"/>
        <v>39.99</v>
      </c>
      <c r="Z453" s="109"/>
      <c r="AA453" s="37">
        <f>IF(Y453&gt;=Expenses!$C$32,4,IF(Y453&gt;=Expenses!$C$31,3,IF(Y453&gt;=Expenses!$C$30,2,1)))</f>
        <v>3</v>
      </c>
      <c r="AB453" s="37">
        <f t="shared" si="124"/>
        <v>1</v>
      </c>
      <c r="AC453" s="37" t="str">
        <f t="shared" si="125"/>
        <v>2019</v>
      </c>
    </row>
    <row r="454" spans="1:29" ht="18.75" x14ac:dyDescent="0.3">
      <c r="A454" s="37" t="str">
        <f t="shared" si="122"/>
        <v>2014Los Frailes1771</v>
      </c>
      <c r="B454">
        <v>2014</v>
      </c>
      <c r="C454" t="s">
        <v>242</v>
      </c>
      <c r="D454">
        <v>1771</v>
      </c>
      <c r="E454" t="s">
        <v>1226</v>
      </c>
      <c r="F454" s="37" t="s">
        <v>729</v>
      </c>
      <c r="G454" s="37" t="s">
        <v>826</v>
      </c>
      <c r="I454">
        <v>1</v>
      </c>
      <c r="J454">
        <v>750</v>
      </c>
      <c r="K454" t="s">
        <v>236</v>
      </c>
      <c r="L454" s="37">
        <f>SUMIF(Wine1!A:A,Drank!A454,Wine1!I:I)</f>
        <v>9</v>
      </c>
      <c r="M454">
        <v>2018</v>
      </c>
      <c r="N454">
        <v>2023</v>
      </c>
      <c r="O454">
        <v>2020</v>
      </c>
      <c r="P454" s="7">
        <v>2023</v>
      </c>
      <c r="Q454">
        <v>93</v>
      </c>
      <c r="R454">
        <v>93</v>
      </c>
      <c r="S454" s="7">
        <f>AVERAGEIF(A:A,A454,R:R)</f>
        <v>92.4</v>
      </c>
      <c r="T454" s="1">
        <v>43570</v>
      </c>
      <c r="U454" s="13" t="str">
        <f t="shared" si="126"/>
        <v>April</v>
      </c>
      <c r="V454" s="12">
        <f t="shared" si="127"/>
        <v>43570</v>
      </c>
      <c r="W454" s="2">
        <v>19.5</v>
      </c>
      <c r="Y454" s="11">
        <f t="shared" si="123"/>
        <v>19.5</v>
      </c>
      <c r="Z454" s="109"/>
      <c r="AA454" s="37">
        <f>IF(Y454&gt;=Expenses!$C$32,4,IF(Y454&gt;=Expenses!$C$31,3,IF(Y454&gt;=Expenses!$C$30,2,1)))</f>
        <v>2</v>
      </c>
      <c r="AB454" s="37">
        <f t="shared" si="124"/>
        <v>1</v>
      </c>
      <c r="AC454" s="37" t="str">
        <f t="shared" si="125"/>
        <v>2019</v>
      </c>
    </row>
    <row r="455" spans="1:29" ht="18.75" x14ac:dyDescent="0.3">
      <c r="A455" s="37" t="str">
        <f t="shared" si="122"/>
        <v>2014ParrasEvidencia Tinto Dao</v>
      </c>
      <c r="B455">
        <v>2014</v>
      </c>
      <c r="C455" t="s">
        <v>187</v>
      </c>
      <c r="D455" t="s">
        <v>188</v>
      </c>
      <c r="E455" t="s">
        <v>274</v>
      </c>
      <c r="F455" s="37" t="s">
        <v>804</v>
      </c>
      <c r="G455" s="37" t="s">
        <v>837</v>
      </c>
      <c r="I455">
        <v>1</v>
      </c>
      <c r="J455">
        <v>750</v>
      </c>
      <c r="K455" t="s">
        <v>58</v>
      </c>
      <c r="L455" s="37">
        <f>SUMIF(Wine1!A:A,Drank!A455,Wine1!I:I)</f>
        <v>0</v>
      </c>
      <c r="O455">
        <v>2019</v>
      </c>
      <c r="P455" s="7">
        <v>2020</v>
      </c>
      <c r="R455">
        <v>85</v>
      </c>
      <c r="S455" s="7">
        <f>AVERAGEIF(A:A,A455,R:R)</f>
        <v>85.5</v>
      </c>
      <c r="T455" s="1">
        <v>43570</v>
      </c>
      <c r="U455" s="13" t="str">
        <f t="shared" si="126"/>
        <v>April</v>
      </c>
      <c r="V455" s="12">
        <f t="shared" si="127"/>
        <v>43570</v>
      </c>
      <c r="W455" s="2">
        <v>8.09</v>
      </c>
      <c r="Y455" s="11">
        <f t="shared" si="123"/>
        <v>8.09</v>
      </c>
      <c r="Z455" s="109"/>
      <c r="AA455" s="37">
        <f>IF(Y455&gt;=Expenses!$C$32,4,IF(Y455&gt;=Expenses!$C$31,3,IF(Y455&gt;=Expenses!$C$30,2,1)))</f>
        <v>1</v>
      </c>
      <c r="AB455" s="37">
        <f t="shared" si="124"/>
        <v>1</v>
      </c>
      <c r="AC455" s="37" t="str">
        <f t="shared" si="125"/>
        <v>2019</v>
      </c>
    </row>
    <row r="456" spans="1:29" ht="18.75" x14ac:dyDescent="0.3">
      <c r="A456" s="37" t="str">
        <f t="shared" si="122"/>
        <v>2005EscuderoArvum</v>
      </c>
      <c r="B456">
        <v>2005</v>
      </c>
      <c r="C456" t="s">
        <v>217</v>
      </c>
      <c r="D456" t="s">
        <v>218</v>
      </c>
      <c r="E456" t="s">
        <v>277</v>
      </c>
      <c r="F456" s="37" t="s">
        <v>729</v>
      </c>
      <c r="G456" s="37" t="s">
        <v>823</v>
      </c>
      <c r="I456">
        <v>1</v>
      </c>
      <c r="J456">
        <v>750</v>
      </c>
      <c r="K456" t="s">
        <v>653</v>
      </c>
      <c r="L456" s="37">
        <f>SUMIF(Wine1!A:A,Drank!A456,Wine1!I:I)</f>
        <v>2</v>
      </c>
      <c r="M456">
        <v>2014</v>
      </c>
      <c r="N456">
        <v>2025</v>
      </c>
      <c r="O456">
        <v>2021</v>
      </c>
      <c r="P456" s="7">
        <v>2025</v>
      </c>
      <c r="Q456" t="s">
        <v>74</v>
      </c>
      <c r="R456">
        <v>93</v>
      </c>
      <c r="S456" s="7">
        <f>AVERAGEIF(A:A,A456,R:R)</f>
        <v>93</v>
      </c>
      <c r="T456" s="1">
        <v>43569</v>
      </c>
      <c r="U456" s="13" t="str">
        <f t="shared" si="126"/>
        <v>April</v>
      </c>
      <c r="V456" s="12">
        <f t="shared" si="127"/>
        <v>43569</v>
      </c>
      <c r="W456" s="2">
        <v>27.99</v>
      </c>
      <c r="Y456" s="11">
        <f t="shared" si="123"/>
        <v>27.99</v>
      </c>
      <c r="Z456" s="109"/>
      <c r="AA456" s="37">
        <f>IF(Y456&gt;=Expenses!$C$32,4,IF(Y456&gt;=Expenses!$C$31,3,IF(Y456&gt;=Expenses!$C$30,2,1)))</f>
        <v>2</v>
      </c>
      <c r="AB456" s="37">
        <f t="shared" si="124"/>
        <v>1</v>
      </c>
      <c r="AC456" s="37" t="str">
        <f t="shared" si="125"/>
        <v>2019</v>
      </c>
    </row>
    <row r="457" spans="1:29" ht="18.75" x14ac:dyDescent="0.3">
      <c r="A457" s="37" t="str">
        <f t="shared" si="122"/>
        <v>2015PlungerheadZinfandel Old Vines Lodi</v>
      </c>
      <c r="B457">
        <v>2015</v>
      </c>
      <c r="C457" t="s">
        <v>144</v>
      </c>
      <c r="D457" t="s">
        <v>145</v>
      </c>
      <c r="E457" t="s">
        <v>151</v>
      </c>
      <c r="F457" s="37" t="s">
        <v>727</v>
      </c>
      <c r="G457" s="37" t="s">
        <v>806</v>
      </c>
      <c r="H457" s="37" t="s">
        <v>831</v>
      </c>
      <c r="I457">
        <v>1</v>
      </c>
      <c r="J457">
        <v>750</v>
      </c>
      <c r="K457" t="s">
        <v>655</v>
      </c>
      <c r="L457" s="37">
        <f>SUMIF(Wine1!A:A,Drank!A457,Wine1!I:I)</f>
        <v>0</v>
      </c>
      <c r="O457" t="s">
        <v>238</v>
      </c>
      <c r="P457" s="7" t="s">
        <v>238</v>
      </c>
      <c r="R457">
        <v>84</v>
      </c>
      <c r="S457" s="7">
        <f>AVERAGEIF(A:A,A457,R:R)</f>
        <v>84</v>
      </c>
      <c r="T457" s="1">
        <v>43569</v>
      </c>
      <c r="U457" s="13" t="str">
        <f t="shared" si="126"/>
        <v>April</v>
      </c>
      <c r="V457" s="12">
        <f t="shared" si="127"/>
        <v>43569</v>
      </c>
      <c r="W457" s="2">
        <v>13</v>
      </c>
      <c r="Y457" s="11">
        <f t="shared" si="123"/>
        <v>13</v>
      </c>
      <c r="Z457" s="109"/>
      <c r="AA457" s="37">
        <f>IF(Y457&gt;=Expenses!$C$32,4,IF(Y457&gt;=Expenses!$C$31,3,IF(Y457&gt;=Expenses!$C$30,2,1)))</f>
        <v>1</v>
      </c>
      <c r="AB457" s="37">
        <f t="shared" si="124"/>
        <v>1</v>
      </c>
      <c r="AC457" s="37" t="str">
        <f t="shared" si="125"/>
        <v>2019</v>
      </c>
    </row>
    <row r="458" spans="1:29" ht="18.75" x14ac:dyDescent="0.3">
      <c r="A458" s="37" t="str">
        <f t="shared" si="122"/>
        <v>2013Tre MontiRomagna Sangiovese Riserva Oriolo Thea</v>
      </c>
      <c r="B458">
        <v>2013</v>
      </c>
      <c r="C458" t="s">
        <v>77</v>
      </c>
      <c r="D458" t="s">
        <v>78</v>
      </c>
      <c r="E458" t="s">
        <v>280</v>
      </c>
      <c r="F458" s="37" t="s">
        <v>728</v>
      </c>
      <c r="G458" s="37" t="s">
        <v>774</v>
      </c>
      <c r="H458" s="37" t="s">
        <v>775</v>
      </c>
      <c r="I458">
        <v>1</v>
      </c>
      <c r="J458">
        <v>750</v>
      </c>
      <c r="K458" t="s">
        <v>11</v>
      </c>
      <c r="L458" s="37">
        <f>SUMIF(Wine1!A:A,Drank!A458,Wine1!I:I)</f>
        <v>0</v>
      </c>
      <c r="O458" t="s">
        <v>238</v>
      </c>
      <c r="P458">
        <v>2020</v>
      </c>
      <c r="R458">
        <v>91</v>
      </c>
      <c r="S458" s="7">
        <f>AVERAGEIF(A:A,A458,R:R)</f>
        <v>91</v>
      </c>
      <c r="T458" s="1">
        <v>43568</v>
      </c>
      <c r="U458" s="13" t="str">
        <f t="shared" si="126"/>
        <v>April</v>
      </c>
      <c r="V458" s="12">
        <f t="shared" si="127"/>
        <v>43568</v>
      </c>
      <c r="W458" s="2">
        <v>30</v>
      </c>
      <c r="Y458" s="11">
        <f t="shared" si="123"/>
        <v>30</v>
      </c>
      <c r="Z458" s="109"/>
      <c r="AA458" s="37">
        <f>IF(Y458&gt;=Expenses!$C$32,4,IF(Y458&gt;=Expenses!$C$31,3,IF(Y458&gt;=Expenses!$C$30,2,1)))</f>
        <v>3</v>
      </c>
      <c r="AB458" s="37">
        <f t="shared" si="124"/>
        <v>1</v>
      </c>
      <c r="AC458" s="37" t="str">
        <f t="shared" si="125"/>
        <v>2019</v>
      </c>
    </row>
    <row r="459" spans="1:29" ht="18.75" x14ac:dyDescent="0.3">
      <c r="A459" s="37" t="str">
        <f t="shared" si="122"/>
        <v>2012Tenuta VitanzaBrunello di Montalcino Riserva Firma</v>
      </c>
      <c r="B459">
        <v>2012</v>
      </c>
      <c r="C459" t="s">
        <v>214</v>
      </c>
      <c r="D459" t="s">
        <v>215</v>
      </c>
      <c r="E459" t="s">
        <v>265</v>
      </c>
      <c r="F459" s="37" t="s">
        <v>728</v>
      </c>
      <c r="G459" s="37" t="s">
        <v>790</v>
      </c>
      <c r="H459" s="37" t="s">
        <v>19</v>
      </c>
      <c r="I459">
        <v>1</v>
      </c>
      <c r="J459">
        <v>750</v>
      </c>
      <c r="K459" t="s">
        <v>102</v>
      </c>
      <c r="L459" s="37">
        <f>SUMIF(Wine1!A:A,Drank!A459,Wine1!I:I)</f>
        <v>1</v>
      </c>
      <c r="O459">
        <v>2028</v>
      </c>
      <c r="P459">
        <v>2028</v>
      </c>
      <c r="R459">
        <v>94</v>
      </c>
      <c r="S459" s="7">
        <f>AVERAGEIF(A:A,A459,R:R)</f>
        <v>94</v>
      </c>
      <c r="T459" s="1">
        <v>43568</v>
      </c>
      <c r="U459" s="13" t="str">
        <f t="shared" si="126"/>
        <v>April</v>
      </c>
      <c r="V459" s="12">
        <f t="shared" si="127"/>
        <v>43568</v>
      </c>
      <c r="W459" s="2">
        <v>39.99</v>
      </c>
      <c r="Y459" s="11">
        <f t="shared" si="123"/>
        <v>39.99</v>
      </c>
      <c r="Z459" s="109"/>
      <c r="AA459" s="37">
        <f>IF(Y459&gt;=Expenses!$C$32,4,IF(Y459&gt;=Expenses!$C$31,3,IF(Y459&gt;=Expenses!$C$30,2,1)))</f>
        <v>3</v>
      </c>
      <c r="AB459" s="37">
        <f t="shared" si="124"/>
        <v>1</v>
      </c>
      <c r="AC459" s="37" t="str">
        <f t="shared" si="125"/>
        <v>2019</v>
      </c>
    </row>
    <row r="460" spans="1:29" ht="18.75" x14ac:dyDescent="0.3">
      <c r="A460" s="37" t="str">
        <f t="shared" ref="A460:A507" si="128">CONCATENATE(B460,C460,D460)</f>
        <v>2009Chateau La Tour BlancheLa Tour Blanche</v>
      </c>
      <c r="B460">
        <v>2009</v>
      </c>
      <c r="C460" t="s">
        <v>1208</v>
      </c>
      <c r="D460" t="s">
        <v>216</v>
      </c>
      <c r="E460" t="s">
        <v>260</v>
      </c>
      <c r="F460" s="37" t="s">
        <v>742</v>
      </c>
      <c r="G460" s="37" t="s">
        <v>748</v>
      </c>
      <c r="H460" s="37" t="s">
        <v>260</v>
      </c>
      <c r="I460">
        <v>1</v>
      </c>
      <c r="J460">
        <v>375</v>
      </c>
      <c r="K460" t="s">
        <v>97</v>
      </c>
      <c r="L460" s="37">
        <f>SUMIF(Wine1!A:A,Drank!A460,Wine1!I:I)</f>
        <v>9</v>
      </c>
      <c r="M460">
        <v>2019</v>
      </c>
      <c r="N460">
        <v>2042</v>
      </c>
      <c r="O460">
        <v>2019</v>
      </c>
      <c r="P460">
        <v>2040</v>
      </c>
      <c r="Q460">
        <v>93</v>
      </c>
      <c r="R460">
        <v>93</v>
      </c>
      <c r="S460" s="7">
        <f>AVERAGEIF(A:A,A460,R:R)</f>
        <v>92.25</v>
      </c>
      <c r="T460" s="1">
        <v>43568</v>
      </c>
      <c r="U460" s="13" t="str">
        <f t="shared" si="126"/>
        <v>April</v>
      </c>
      <c r="V460" s="12">
        <f t="shared" si="127"/>
        <v>43568</v>
      </c>
      <c r="W460" s="2">
        <v>20.99</v>
      </c>
      <c r="Y460" s="11">
        <f t="shared" si="123"/>
        <v>41.98</v>
      </c>
      <c r="Z460" s="109"/>
      <c r="AA460" s="37">
        <f>IF(Y460&gt;=Expenses!$C$32,4,IF(Y460&gt;=Expenses!$C$31,3,IF(Y460&gt;=Expenses!$C$30,2,1)))</f>
        <v>3</v>
      </c>
      <c r="AB460" s="37">
        <f t="shared" si="124"/>
        <v>0.5</v>
      </c>
      <c r="AC460" s="37" t="str">
        <f t="shared" si="125"/>
        <v>2019</v>
      </c>
    </row>
    <row r="461" spans="1:29" ht="18.75" x14ac:dyDescent="0.3">
      <c r="A461" s="37" t="str">
        <f t="shared" si="128"/>
        <v>2015Tre MontiRomagna Sangiovese Riserva Oriolo Petrignone</v>
      </c>
      <c r="B461">
        <v>2015</v>
      </c>
      <c r="C461" t="s">
        <v>77</v>
      </c>
      <c r="D461" t="s">
        <v>135</v>
      </c>
      <c r="E461" t="s">
        <v>280</v>
      </c>
      <c r="F461" s="37" t="s">
        <v>728</v>
      </c>
      <c r="G461" s="37" t="s">
        <v>774</v>
      </c>
      <c r="H461" s="37" t="s">
        <v>775</v>
      </c>
      <c r="I461">
        <v>1</v>
      </c>
      <c r="J461">
        <v>750</v>
      </c>
      <c r="K461" t="s">
        <v>11</v>
      </c>
      <c r="L461" s="37">
        <f>SUMIF(Wine1!A:A,Drank!A461,Wine1!I:I)</f>
        <v>0</v>
      </c>
      <c r="O461" t="s">
        <v>238</v>
      </c>
      <c r="P461">
        <v>2023</v>
      </c>
      <c r="R461">
        <v>90</v>
      </c>
      <c r="S461" s="7">
        <f>AVERAGEIF(A:A,A461,R:R)</f>
        <v>90</v>
      </c>
      <c r="T461" s="1">
        <v>43567</v>
      </c>
      <c r="U461" s="13" t="str">
        <f t="shared" si="126"/>
        <v>April</v>
      </c>
      <c r="V461" s="12">
        <f t="shared" si="127"/>
        <v>43567</v>
      </c>
      <c r="W461" s="2">
        <v>25</v>
      </c>
      <c r="Y461" s="11">
        <f t="shared" si="123"/>
        <v>25</v>
      </c>
      <c r="Z461" s="109"/>
      <c r="AA461" s="37">
        <f>IF(Y461&gt;=Expenses!$C$32,4,IF(Y461&gt;=Expenses!$C$31,3,IF(Y461&gt;=Expenses!$C$30,2,1)))</f>
        <v>2</v>
      </c>
      <c r="AB461" s="37">
        <f t="shared" si="124"/>
        <v>1</v>
      </c>
      <c r="AC461" s="37" t="str">
        <f t="shared" si="125"/>
        <v>2019</v>
      </c>
    </row>
    <row r="462" spans="1:29" ht="18.75" x14ac:dyDescent="0.3">
      <c r="A462" s="37" t="str">
        <f t="shared" si="128"/>
        <v>2014ParrasEvidencia Tinto Dao</v>
      </c>
      <c r="B462">
        <v>2014</v>
      </c>
      <c r="C462" t="s">
        <v>187</v>
      </c>
      <c r="D462" t="s">
        <v>188</v>
      </c>
      <c r="E462" s="37" t="s">
        <v>274</v>
      </c>
      <c r="F462" s="37" t="s">
        <v>804</v>
      </c>
      <c r="G462" s="37" t="s">
        <v>837</v>
      </c>
      <c r="I462">
        <v>1</v>
      </c>
      <c r="J462">
        <v>750</v>
      </c>
      <c r="K462" t="s">
        <v>58</v>
      </c>
      <c r="L462" s="37">
        <f>SUMIF(Wine1!A:A,Drank!A462,Wine1!I:I)</f>
        <v>0</v>
      </c>
      <c r="O462">
        <v>2019</v>
      </c>
      <c r="P462">
        <v>2020</v>
      </c>
      <c r="R462">
        <v>85</v>
      </c>
      <c r="S462" s="7">
        <f>AVERAGEIF(A:A,A462,R:R)</f>
        <v>85.5</v>
      </c>
      <c r="T462" s="1">
        <v>43567</v>
      </c>
      <c r="U462" s="13" t="str">
        <f t="shared" si="126"/>
        <v>April</v>
      </c>
      <c r="V462" s="12">
        <f t="shared" si="127"/>
        <v>43567</v>
      </c>
      <c r="W462" s="2">
        <v>8.09</v>
      </c>
      <c r="Y462" s="11">
        <f t="shared" si="123"/>
        <v>8.09</v>
      </c>
      <c r="Z462" s="109"/>
      <c r="AA462" s="37">
        <f>IF(Y462&gt;=Expenses!$C$32,4,IF(Y462&gt;=Expenses!$C$31,3,IF(Y462&gt;=Expenses!$C$30,2,1)))</f>
        <v>1</v>
      </c>
      <c r="AB462" s="37">
        <f t="shared" si="124"/>
        <v>1</v>
      </c>
      <c r="AC462" s="37" t="str">
        <f t="shared" si="125"/>
        <v>2019</v>
      </c>
    </row>
    <row r="463" spans="1:29" ht="18.75" x14ac:dyDescent="0.3">
      <c r="A463" s="37" t="str">
        <f t="shared" si="128"/>
        <v>2015Barone di VillagrandeEtna Rosso</v>
      </c>
      <c r="B463">
        <v>2015</v>
      </c>
      <c r="C463" t="s">
        <v>146</v>
      </c>
      <c r="D463" t="s">
        <v>147</v>
      </c>
      <c r="E463" s="37" t="s">
        <v>147</v>
      </c>
      <c r="F463" s="37" t="s">
        <v>728</v>
      </c>
      <c r="G463" s="37" t="s">
        <v>788</v>
      </c>
      <c r="H463" s="37" t="s">
        <v>789</v>
      </c>
      <c r="I463">
        <v>1</v>
      </c>
      <c r="J463">
        <v>750</v>
      </c>
      <c r="K463" t="s">
        <v>102</v>
      </c>
      <c r="L463" s="37">
        <f>SUMIF(Wine1!A:A,Drank!A463,Wine1!I:I)</f>
        <v>0</v>
      </c>
      <c r="M463">
        <v>2018</v>
      </c>
      <c r="N463">
        <v>2024</v>
      </c>
      <c r="O463" t="s">
        <v>238</v>
      </c>
      <c r="P463" s="7">
        <v>2021</v>
      </c>
      <c r="Q463">
        <v>88</v>
      </c>
      <c r="R463">
        <v>88</v>
      </c>
      <c r="S463" s="7">
        <f>AVERAGEIF(A:A,A463,R:R)</f>
        <v>88</v>
      </c>
      <c r="T463" s="1">
        <v>43564</v>
      </c>
      <c r="U463" s="13" t="str">
        <f t="shared" si="126"/>
        <v>April</v>
      </c>
      <c r="V463" s="12">
        <f t="shared" si="127"/>
        <v>43564</v>
      </c>
      <c r="W463" s="2">
        <v>16.190000000000001</v>
      </c>
      <c r="Y463" s="11">
        <f t="shared" si="123"/>
        <v>16.190000000000001</v>
      </c>
      <c r="Z463" s="109"/>
      <c r="AA463" s="37">
        <f>IF(Y463&gt;=Expenses!$C$32,4,IF(Y463&gt;=Expenses!$C$31,3,IF(Y463&gt;=Expenses!$C$30,2,1)))</f>
        <v>1</v>
      </c>
      <c r="AB463" s="37">
        <f t="shared" si="124"/>
        <v>1</v>
      </c>
      <c r="AC463" s="37" t="str">
        <f t="shared" si="125"/>
        <v>2019</v>
      </c>
    </row>
    <row r="464" spans="1:29" ht="18.75" x14ac:dyDescent="0.3">
      <c r="A464" s="37" t="str">
        <f t="shared" si="128"/>
        <v>2013Grateful PalatePrecious</v>
      </c>
      <c r="B464">
        <v>2013</v>
      </c>
      <c r="C464" t="s">
        <v>89</v>
      </c>
      <c r="D464" t="s">
        <v>90</v>
      </c>
      <c r="E464" s="37" t="s">
        <v>261</v>
      </c>
      <c r="F464" s="37" t="s">
        <v>729</v>
      </c>
      <c r="G464" s="37" t="s">
        <v>821</v>
      </c>
      <c r="H464" s="37" t="s">
        <v>822</v>
      </c>
      <c r="I464">
        <v>1</v>
      </c>
      <c r="J464">
        <v>750</v>
      </c>
      <c r="K464" t="s">
        <v>25</v>
      </c>
      <c r="L464" s="37">
        <f>SUMIF(Wine1!A:A,Drank!A464,Wine1!I:I)</f>
        <v>0</v>
      </c>
      <c r="O464">
        <v>2019</v>
      </c>
      <c r="P464">
        <v>2020</v>
      </c>
      <c r="R464">
        <v>90</v>
      </c>
      <c r="S464" s="7">
        <f>AVERAGEIF(A:A,A464,R:R)</f>
        <v>90.5</v>
      </c>
      <c r="T464" s="1">
        <v>43562</v>
      </c>
      <c r="U464" s="13" t="str">
        <f t="shared" si="126"/>
        <v>April</v>
      </c>
      <c r="V464" s="12">
        <f t="shared" si="127"/>
        <v>43562</v>
      </c>
      <c r="W464" s="2">
        <v>39</v>
      </c>
      <c r="Y464" s="11">
        <f t="shared" si="123"/>
        <v>39</v>
      </c>
      <c r="Z464" s="109"/>
      <c r="AA464" s="37">
        <f>IF(Y464&gt;=Expenses!$C$32,4,IF(Y464&gt;=Expenses!$C$31,3,IF(Y464&gt;=Expenses!$C$30,2,1)))</f>
        <v>3</v>
      </c>
      <c r="AB464" s="37">
        <f t="shared" si="124"/>
        <v>1</v>
      </c>
      <c r="AC464" s="37" t="str">
        <f t="shared" si="125"/>
        <v>2019</v>
      </c>
    </row>
    <row r="465" spans="1:29" ht="18.75" x14ac:dyDescent="0.3">
      <c r="A465" s="37" t="str">
        <f t="shared" si="128"/>
        <v>1977MiguelsColheita Porto</v>
      </c>
      <c r="B465">
        <v>1977</v>
      </c>
      <c r="C465" t="s">
        <v>239</v>
      </c>
      <c r="D465" t="s">
        <v>240</v>
      </c>
      <c r="E465" s="37" t="s">
        <v>257</v>
      </c>
      <c r="F465" s="37" t="s">
        <v>804</v>
      </c>
      <c r="G465" s="37" t="s">
        <v>805</v>
      </c>
      <c r="I465">
        <v>1</v>
      </c>
      <c r="J465">
        <v>375</v>
      </c>
      <c r="K465" t="s">
        <v>236</v>
      </c>
      <c r="L465" s="37">
        <f>SUMIF(Wine1!A:A,Drank!A465,Wine1!I:I)</f>
        <v>0</v>
      </c>
      <c r="O465" t="s">
        <v>238</v>
      </c>
      <c r="P465" t="s">
        <v>238</v>
      </c>
      <c r="R465">
        <v>90</v>
      </c>
      <c r="S465" s="7">
        <f>AVERAGEIF(A:A,A465,R:R)</f>
        <v>90</v>
      </c>
      <c r="T465" s="1">
        <v>43562</v>
      </c>
      <c r="U465" s="13" t="str">
        <f t="shared" si="126"/>
        <v>April</v>
      </c>
      <c r="V465" s="12">
        <f t="shared" si="127"/>
        <v>43562</v>
      </c>
      <c r="W465" s="2">
        <v>70</v>
      </c>
      <c r="Y465" s="11">
        <f t="shared" si="123"/>
        <v>140</v>
      </c>
      <c r="Z465" s="109"/>
      <c r="AA465" s="37">
        <f>IF(Y465&gt;=Expenses!$C$32,4,IF(Y465&gt;=Expenses!$C$31,3,IF(Y465&gt;=Expenses!$C$30,2,1)))</f>
        <v>4</v>
      </c>
      <c r="AB465" s="37">
        <f t="shared" si="124"/>
        <v>0.5</v>
      </c>
      <c r="AC465" s="37" t="str">
        <f t="shared" si="125"/>
        <v>2019</v>
      </c>
    </row>
    <row r="466" spans="1:29" ht="18.75" x14ac:dyDescent="0.3">
      <c r="A466" s="37" t="str">
        <f t="shared" si="128"/>
        <v>2015Quinta da MuradellaAlanda</v>
      </c>
      <c r="B466">
        <v>2015</v>
      </c>
      <c r="C466" t="s">
        <v>230</v>
      </c>
      <c r="D466" t="s">
        <v>231</v>
      </c>
      <c r="E466" s="37" t="s">
        <v>363</v>
      </c>
      <c r="F466" s="37" t="s">
        <v>729</v>
      </c>
      <c r="G466" s="37" t="s">
        <v>819</v>
      </c>
      <c r="H466" s="37" t="s">
        <v>820</v>
      </c>
      <c r="I466">
        <v>1</v>
      </c>
      <c r="J466">
        <v>750</v>
      </c>
      <c r="K466" t="s">
        <v>236</v>
      </c>
      <c r="L466" s="37">
        <f>SUMIF(Wine1!A:A,Drank!A466,Wine1!I:I)</f>
        <v>0</v>
      </c>
      <c r="M466">
        <v>2017</v>
      </c>
      <c r="N466">
        <v>2022</v>
      </c>
      <c r="O466" t="s">
        <v>238</v>
      </c>
      <c r="P466" t="s">
        <v>238</v>
      </c>
      <c r="Q466">
        <v>93</v>
      </c>
      <c r="R466">
        <v>92</v>
      </c>
      <c r="S466" s="7">
        <f>AVERAGEIF(A:A,A466,R:R)</f>
        <v>92</v>
      </c>
      <c r="T466" s="1">
        <v>43561</v>
      </c>
      <c r="U466" s="13" t="str">
        <f t="shared" si="126"/>
        <v>April</v>
      </c>
      <c r="V466" s="12">
        <f t="shared" si="127"/>
        <v>43561</v>
      </c>
      <c r="W466" s="2">
        <v>39.99</v>
      </c>
      <c r="Y466" s="11">
        <f t="shared" si="123"/>
        <v>39.99</v>
      </c>
      <c r="Z466" s="109"/>
      <c r="AA466" s="37">
        <f>IF(Y466&gt;=Expenses!$C$32,4,IF(Y466&gt;=Expenses!$C$31,3,IF(Y466&gt;=Expenses!$C$30,2,1)))</f>
        <v>3</v>
      </c>
      <c r="AB466" s="37">
        <f t="shared" si="124"/>
        <v>1</v>
      </c>
      <c r="AC466" s="37" t="str">
        <f t="shared" si="125"/>
        <v>2019</v>
      </c>
    </row>
    <row r="467" spans="1:29" ht="18.75" x14ac:dyDescent="0.3">
      <c r="A467" s="37" t="str">
        <f t="shared" si="128"/>
        <v>2015Diez-CaballeroCrianza</v>
      </c>
      <c r="B467">
        <v>2015</v>
      </c>
      <c r="C467" t="s">
        <v>1216</v>
      </c>
      <c r="D467" t="s">
        <v>108</v>
      </c>
      <c r="E467" s="37" t="s">
        <v>276</v>
      </c>
      <c r="F467" s="37" t="s">
        <v>729</v>
      </c>
      <c r="G467" s="37" t="s">
        <v>823</v>
      </c>
      <c r="I467">
        <v>1</v>
      </c>
      <c r="J467">
        <v>750</v>
      </c>
      <c r="K467" t="s">
        <v>102</v>
      </c>
      <c r="L467" s="37">
        <f>SUMIF(Wine1!A:A,Drank!A467,Wine1!I:I)</f>
        <v>4</v>
      </c>
      <c r="M467">
        <v>2018</v>
      </c>
      <c r="N467">
        <v>2022</v>
      </c>
      <c r="O467" t="str">
        <f>IF(IFERROR(VLOOKUP(A467,Drank!A:S,11,FALSE),"")=0,"",IFERROR(VLOOKUP(A467,Drank!A:S,11,FALSE),""))</f>
        <v>Uncellared</v>
      </c>
      <c r="P467">
        <v>2021</v>
      </c>
      <c r="Q467">
        <v>92</v>
      </c>
      <c r="R467"/>
      <c r="S467" s="7">
        <f>AVERAGEIF(A:A,A467,R:R)</f>
        <v>91.235294117647058</v>
      </c>
      <c r="T467" s="1">
        <v>43561</v>
      </c>
      <c r="U467" s="13" t="str">
        <f t="shared" si="126"/>
        <v>April</v>
      </c>
      <c r="V467" s="12">
        <f t="shared" si="127"/>
        <v>43561</v>
      </c>
      <c r="W467" s="2">
        <v>14</v>
      </c>
      <c r="Y467" s="11">
        <f t="shared" si="123"/>
        <v>14.000000000000002</v>
      </c>
      <c r="Z467" s="109"/>
      <c r="AA467" s="37">
        <f>IF(Y467&gt;=Expenses!$C$32,4,IF(Y467&gt;=Expenses!$C$31,3,IF(Y467&gt;=Expenses!$C$30,2,1)))</f>
        <v>1</v>
      </c>
      <c r="AB467" s="37">
        <f t="shared" si="124"/>
        <v>1</v>
      </c>
      <c r="AC467" s="37" t="str">
        <f t="shared" si="125"/>
        <v>2019</v>
      </c>
    </row>
    <row r="468" spans="1:29" ht="18.75" x14ac:dyDescent="0.3">
      <c r="A468" s="37" t="str">
        <f t="shared" si="128"/>
        <v>2016Quinta do ValladoTouriga Nacional</v>
      </c>
      <c r="B468">
        <v>2016</v>
      </c>
      <c r="C468" t="s">
        <v>210</v>
      </c>
      <c r="D468" t="s">
        <v>211</v>
      </c>
      <c r="E468" s="37" t="s">
        <v>211</v>
      </c>
      <c r="F468" s="37" t="s">
        <v>804</v>
      </c>
      <c r="G468" s="37" t="s">
        <v>805</v>
      </c>
      <c r="I468">
        <v>1</v>
      </c>
      <c r="J468">
        <v>750</v>
      </c>
      <c r="K468" t="s">
        <v>58</v>
      </c>
      <c r="L468" s="37">
        <f>SUMIF(Wine1!A:A,Drank!A468,Wine1!I:I)</f>
        <v>7</v>
      </c>
      <c r="M468">
        <v>2020</v>
      </c>
      <c r="N468">
        <v>2032</v>
      </c>
      <c r="O468">
        <v>2024</v>
      </c>
      <c r="P468">
        <v>2027</v>
      </c>
      <c r="Q468">
        <v>93</v>
      </c>
      <c r="R468">
        <v>93</v>
      </c>
      <c r="S468" s="7">
        <f>AVERAGEIF(A:A,A468,R:R)</f>
        <v>92</v>
      </c>
      <c r="T468" s="1">
        <v>43560</v>
      </c>
      <c r="U468" s="13" t="str">
        <f t="shared" si="126"/>
        <v>April</v>
      </c>
      <c r="V468" s="12">
        <f t="shared" si="127"/>
        <v>43560</v>
      </c>
      <c r="W468" s="2">
        <v>24.99</v>
      </c>
      <c r="Y468" s="11">
        <f t="shared" si="123"/>
        <v>24.989999999999995</v>
      </c>
      <c r="Z468" s="109"/>
      <c r="AA468" s="37">
        <f>IF(Y468&gt;=Expenses!$C$32,4,IF(Y468&gt;=Expenses!$C$31,3,IF(Y468&gt;=Expenses!$C$30,2,1)))</f>
        <v>2</v>
      </c>
      <c r="AB468" s="37">
        <f t="shared" si="124"/>
        <v>1</v>
      </c>
      <c r="AC468" s="37" t="str">
        <f t="shared" si="125"/>
        <v>2019</v>
      </c>
    </row>
    <row r="469" spans="1:29" ht="18.75" x14ac:dyDescent="0.3">
      <c r="A469" s="37" t="str">
        <f t="shared" si="128"/>
        <v>2015Diez-CaballeroCrianza</v>
      </c>
      <c r="B469">
        <v>2015</v>
      </c>
      <c r="C469" t="s">
        <v>1216</v>
      </c>
      <c r="D469" t="s">
        <v>108</v>
      </c>
      <c r="E469" s="37" t="s">
        <v>276</v>
      </c>
      <c r="F469" s="37" t="s">
        <v>729</v>
      </c>
      <c r="G469" s="37" t="s">
        <v>823</v>
      </c>
      <c r="I469">
        <v>1</v>
      </c>
      <c r="J469">
        <v>750</v>
      </c>
      <c r="K469" t="s">
        <v>102</v>
      </c>
      <c r="L469" s="37">
        <f>SUMIF(Wine1!A:A,Drank!A469,Wine1!I:I)</f>
        <v>4</v>
      </c>
      <c r="M469">
        <v>2018</v>
      </c>
      <c r="N469">
        <v>2022</v>
      </c>
      <c r="O469">
        <v>2020</v>
      </c>
      <c r="P469">
        <v>2022</v>
      </c>
      <c r="Q469">
        <v>92</v>
      </c>
      <c r="R469">
        <v>92</v>
      </c>
      <c r="S469" s="7">
        <f>AVERAGEIF(A:A,A469,R:R)</f>
        <v>91.235294117647058</v>
      </c>
      <c r="T469" s="1">
        <v>43560</v>
      </c>
      <c r="U469" s="13" t="str">
        <f t="shared" si="126"/>
        <v>April</v>
      </c>
      <c r="V469" s="12">
        <f t="shared" si="127"/>
        <v>43560</v>
      </c>
      <c r="W469" s="2">
        <v>14</v>
      </c>
      <c r="Y469" s="11">
        <f t="shared" si="123"/>
        <v>14.000000000000002</v>
      </c>
      <c r="Z469" s="109"/>
      <c r="AA469" s="37">
        <f>IF(Y469&gt;=Expenses!$C$32,4,IF(Y469&gt;=Expenses!$C$31,3,IF(Y469&gt;=Expenses!$C$30,2,1)))</f>
        <v>1</v>
      </c>
      <c r="AB469" s="37">
        <f t="shared" si="124"/>
        <v>1</v>
      </c>
      <c r="AC469" s="37" t="str">
        <f t="shared" si="125"/>
        <v>2019</v>
      </c>
    </row>
    <row r="470" spans="1:29" ht="18.75" x14ac:dyDescent="0.3">
      <c r="A470" s="37" t="str">
        <f t="shared" si="128"/>
        <v>2011Corte GiaraAmarone della Valpolicella</v>
      </c>
      <c r="B470">
        <v>2011</v>
      </c>
      <c r="C470" t="s">
        <v>59</v>
      </c>
      <c r="D470" t="s">
        <v>10</v>
      </c>
      <c r="E470" s="37" t="s">
        <v>264</v>
      </c>
      <c r="F470" s="37" t="s">
        <v>728</v>
      </c>
      <c r="G470" s="37" t="s">
        <v>799</v>
      </c>
      <c r="H470" s="37" t="s">
        <v>803</v>
      </c>
      <c r="I470">
        <v>1</v>
      </c>
      <c r="J470">
        <v>750</v>
      </c>
      <c r="K470" t="s">
        <v>11</v>
      </c>
      <c r="L470" s="37">
        <f>SUMIF(Wine1!A:A,Drank!A470,Wine1!I:I)</f>
        <v>0</v>
      </c>
      <c r="O470" t="s">
        <v>238</v>
      </c>
      <c r="P470" t="s">
        <v>238</v>
      </c>
      <c r="R470">
        <v>90</v>
      </c>
      <c r="S470" s="7">
        <f>AVERAGEIF(A:A,A470,R:R)</f>
        <v>90</v>
      </c>
      <c r="T470" s="1">
        <v>43559</v>
      </c>
      <c r="U470" s="13" t="str">
        <f t="shared" si="126"/>
        <v>April</v>
      </c>
      <c r="V470" s="12">
        <f t="shared" si="127"/>
        <v>43559</v>
      </c>
      <c r="W470" s="2">
        <v>46</v>
      </c>
      <c r="Y470" s="11">
        <f t="shared" si="123"/>
        <v>46</v>
      </c>
      <c r="Z470" s="109"/>
      <c r="AA470" s="37">
        <f>IF(Y470&gt;=Expenses!$C$32,4,IF(Y470&gt;=Expenses!$C$31,3,IF(Y470&gt;=Expenses!$C$30,2,1)))</f>
        <v>3</v>
      </c>
      <c r="AB470" s="37">
        <f t="shared" si="124"/>
        <v>1</v>
      </c>
      <c r="AC470" s="37" t="str">
        <f t="shared" si="125"/>
        <v>2019</v>
      </c>
    </row>
    <row r="471" spans="1:29" ht="18.75" x14ac:dyDescent="0.3">
      <c r="A471" s="37" t="str">
        <f t="shared" si="128"/>
        <v>2016San AlejandroLas Rocas</v>
      </c>
      <c r="B471">
        <v>2016</v>
      </c>
      <c r="C471" t="s">
        <v>152</v>
      </c>
      <c r="D471" t="s">
        <v>153</v>
      </c>
      <c r="E471" s="37" t="s">
        <v>284</v>
      </c>
      <c r="F471" s="37" t="s">
        <v>729</v>
      </c>
      <c r="G471" s="37" t="s">
        <v>811</v>
      </c>
      <c r="H471" s="37" t="s">
        <v>812</v>
      </c>
      <c r="I471">
        <v>1</v>
      </c>
      <c r="J471">
        <v>750</v>
      </c>
      <c r="K471" t="s">
        <v>58</v>
      </c>
      <c r="L471" s="37">
        <f>SUMIF(Wine1!A:A,Drank!A471,Wine1!I:I)</f>
        <v>4</v>
      </c>
      <c r="M471">
        <v>2019</v>
      </c>
      <c r="N471">
        <v>2021</v>
      </c>
      <c r="O471">
        <v>2019</v>
      </c>
      <c r="P471">
        <v>2019</v>
      </c>
      <c r="Q471">
        <v>89</v>
      </c>
      <c r="R471">
        <v>87</v>
      </c>
      <c r="S471" s="7">
        <f>AVERAGEIF(A:A,A471,R:R)</f>
        <v>88.944444444444443</v>
      </c>
      <c r="T471" s="1">
        <v>43557</v>
      </c>
      <c r="U471" s="13" t="str">
        <f t="shared" si="126"/>
        <v>April</v>
      </c>
      <c r="V471" s="12">
        <f t="shared" si="127"/>
        <v>43557</v>
      </c>
      <c r="W471" s="2">
        <v>8.99</v>
      </c>
      <c r="Y471" s="11">
        <f t="shared" si="123"/>
        <v>8.99</v>
      </c>
      <c r="Z471" s="109"/>
      <c r="AA471" s="37">
        <f>IF(Y471&gt;=Expenses!$C$32,4,IF(Y471&gt;=Expenses!$C$31,3,IF(Y471&gt;=Expenses!$C$30,2,1)))</f>
        <v>1</v>
      </c>
      <c r="AB471" s="37">
        <f t="shared" si="124"/>
        <v>1</v>
      </c>
      <c r="AC471" s="37" t="str">
        <f t="shared" si="125"/>
        <v>2019</v>
      </c>
    </row>
    <row r="472" spans="1:29" ht="18.75" x14ac:dyDescent="0.3">
      <c r="A472" s="37" t="str">
        <f t="shared" si="128"/>
        <v>2009Chateau La Tour BlancheLa Tour Blanche</v>
      </c>
      <c r="B472">
        <v>2009</v>
      </c>
      <c r="C472" t="s">
        <v>1208</v>
      </c>
      <c r="D472" t="s">
        <v>216</v>
      </c>
      <c r="E472" s="37" t="s">
        <v>260</v>
      </c>
      <c r="F472" s="37" t="s">
        <v>742</v>
      </c>
      <c r="G472" s="37" t="s">
        <v>748</v>
      </c>
      <c r="H472" s="37" t="s">
        <v>260</v>
      </c>
      <c r="I472">
        <v>1</v>
      </c>
      <c r="J472">
        <v>375</v>
      </c>
      <c r="K472" t="s">
        <v>97</v>
      </c>
      <c r="L472" s="37">
        <f>SUMIF(Wine1!A:A,Drank!A472,Wine1!I:I)</f>
        <v>9</v>
      </c>
      <c r="M472">
        <v>2019</v>
      </c>
      <c r="N472">
        <v>2042</v>
      </c>
      <c r="O472">
        <v>2019</v>
      </c>
      <c r="P472">
        <v>2040</v>
      </c>
      <c r="Q472">
        <v>93</v>
      </c>
      <c r="R472">
        <v>92</v>
      </c>
      <c r="S472" s="7">
        <f>AVERAGEIF(A:A,A472,R:R)</f>
        <v>92.25</v>
      </c>
      <c r="T472" s="1">
        <v>43555</v>
      </c>
      <c r="U472" s="13" t="str">
        <f t="shared" si="126"/>
        <v>March</v>
      </c>
      <c r="V472" s="12">
        <f t="shared" si="127"/>
        <v>43555</v>
      </c>
      <c r="W472" s="2">
        <v>20.99</v>
      </c>
      <c r="Y472" s="11">
        <f t="shared" si="123"/>
        <v>41.98</v>
      </c>
      <c r="Z472" s="109"/>
      <c r="AA472" s="37">
        <f>IF(Y472&gt;=Expenses!$C$32,4,IF(Y472&gt;=Expenses!$C$31,3,IF(Y472&gt;=Expenses!$C$30,2,1)))</f>
        <v>3</v>
      </c>
      <c r="AB472" s="37">
        <f t="shared" si="124"/>
        <v>0.5</v>
      </c>
      <c r="AC472" s="37" t="str">
        <f t="shared" si="125"/>
        <v>2019</v>
      </c>
    </row>
    <row r="473" spans="1:29" ht="18.75" x14ac:dyDescent="0.3">
      <c r="A473" s="37" t="str">
        <f t="shared" si="128"/>
        <v>2015Durfort VivensDurfort Vivens</v>
      </c>
      <c r="B473">
        <v>2015</v>
      </c>
      <c r="C473" t="s">
        <v>116</v>
      </c>
      <c r="D473" t="s">
        <v>116</v>
      </c>
      <c r="E473" s="37"/>
      <c r="F473" s="37" t="s">
        <v>742</v>
      </c>
      <c r="G473" s="37" t="s">
        <v>748</v>
      </c>
      <c r="H473" s="37" t="s">
        <v>750</v>
      </c>
      <c r="I473">
        <v>1</v>
      </c>
      <c r="J473">
        <v>750</v>
      </c>
      <c r="K473" t="s">
        <v>653</v>
      </c>
      <c r="L473" s="37">
        <f>SUMIF(Wine1!A:A,Drank!A473,Wine1!I:I)</f>
        <v>4</v>
      </c>
      <c r="M473">
        <v>2018</v>
      </c>
      <c r="N473">
        <v>2030</v>
      </c>
      <c r="O473">
        <v>2019</v>
      </c>
      <c r="P473">
        <v>2029</v>
      </c>
      <c r="Q473" t="s">
        <v>117</v>
      </c>
      <c r="R473">
        <v>91</v>
      </c>
      <c r="S473" s="7">
        <f>AVERAGEIF(A:A,A473,R:R)</f>
        <v>91</v>
      </c>
      <c r="T473" s="1">
        <v>43554</v>
      </c>
      <c r="U473" s="13" t="str">
        <f t="shared" si="126"/>
        <v>March</v>
      </c>
      <c r="V473" s="12">
        <f t="shared" si="127"/>
        <v>43554</v>
      </c>
      <c r="W473" s="2">
        <v>70</v>
      </c>
      <c r="Y473" s="11">
        <f t="shared" si="123"/>
        <v>70</v>
      </c>
      <c r="Z473" s="109"/>
      <c r="AA473" s="37">
        <f>IF(Y473&gt;=Expenses!$C$32,4,IF(Y473&gt;=Expenses!$C$31,3,IF(Y473&gt;=Expenses!$C$30,2,1)))</f>
        <v>4</v>
      </c>
      <c r="AB473" s="37">
        <f t="shared" si="124"/>
        <v>1</v>
      </c>
      <c r="AC473" s="37" t="str">
        <f t="shared" si="125"/>
        <v>2019</v>
      </c>
    </row>
    <row r="474" spans="1:29" ht="18.75" x14ac:dyDescent="0.3">
      <c r="A474" s="37" t="str">
        <f t="shared" si="128"/>
        <v>2006LÃ³pez de HerediaViÃ±a Tondonia Reserva</v>
      </c>
      <c r="B474">
        <v>2006</v>
      </c>
      <c r="C474" t="s">
        <v>219</v>
      </c>
      <c r="D474" t="s">
        <v>220</v>
      </c>
      <c r="E474" s="37" t="s">
        <v>277</v>
      </c>
      <c r="F474" s="37" t="s">
        <v>729</v>
      </c>
      <c r="G474" s="37" t="s">
        <v>823</v>
      </c>
      <c r="H474" s="37" t="s">
        <v>825</v>
      </c>
      <c r="I474">
        <v>1</v>
      </c>
      <c r="J474">
        <v>750</v>
      </c>
      <c r="K474" t="s">
        <v>236</v>
      </c>
      <c r="L474" s="37">
        <f>SUMIF(Wine1!A:A,Drank!A474,Wine1!I:I)</f>
        <v>3</v>
      </c>
      <c r="M474">
        <v>2018</v>
      </c>
      <c r="N474">
        <v>2028</v>
      </c>
      <c r="O474">
        <v>2019</v>
      </c>
      <c r="P474">
        <v>2024</v>
      </c>
      <c r="Q474">
        <v>95</v>
      </c>
      <c r="R474">
        <v>95</v>
      </c>
      <c r="S474" s="7">
        <f>AVERAGEIF(A:A,A474,R:R)</f>
        <v>94.5</v>
      </c>
      <c r="T474" s="1">
        <v>43554</v>
      </c>
      <c r="U474" s="13" t="str">
        <f t="shared" si="126"/>
        <v>March</v>
      </c>
      <c r="V474" s="12">
        <f t="shared" si="127"/>
        <v>43554</v>
      </c>
      <c r="W474" s="2">
        <v>39.99</v>
      </c>
      <c r="Y474" s="11">
        <f t="shared" si="123"/>
        <v>39.99</v>
      </c>
      <c r="Z474" s="109"/>
      <c r="AA474" s="37">
        <f>IF(Y474&gt;=Expenses!$C$32,4,IF(Y474&gt;=Expenses!$C$31,3,IF(Y474&gt;=Expenses!$C$30,2,1)))</f>
        <v>3</v>
      </c>
      <c r="AB474" s="37">
        <f t="shared" si="124"/>
        <v>1</v>
      </c>
      <c r="AC474" s="37" t="str">
        <f t="shared" si="125"/>
        <v>2019</v>
      </c>
    </row>
    <row r="475" spans="1:29" ht="18.75" x14ac:dyDescent="0.3">
      <c r="A475" s="37" t="str">
        <f t="shared" si="128"/>
        <v>2009Chateau La Tour BlancheLa Tour Blanche</v>
      </c>
      <c r="B475">
        <v>2009</v>
      </c>
      <c r="C475" t="s">
        <v>1208</v>
      </c>
      <c r="D475" t="s">
        <v>216</v>
      </c>
      <c r="E475" s="37" t="s">
        <v>260</v>
      </c>
      <c r="F475" s="37" t="s">
        <v>742</v>
      </c>
      <c r="G475" s="37" t="s">
        <v>748</v>
      </c>
      <c r="H475" s="37" t="s">
        <v>260</v>
      </c>
      <c r="I475">
        <v>1</v>
      </c>
      <c r="J475">
        <v>375</v>
      </c>
      <c r="K475" t="s">
        <v>97</v>
      </c>
      <c r="L475" s="37">
        <f>SUMIF(Wine1!A:A,Drank!A475,Wine1!I:I)</f>
        <v>9</v>
      </c>
      <c r="M475">
        <v>2019</v>
      </c>
      <c r="N475">
        <v>2042</v>
      </c>
      <c r="O475">
        <v>2019</v>
      </c>
      <c r="P475">
        <v>2040</v>
      </c>
      <c r="Q475">
        <v>93</v>
      </c>
      <c r="R475">
        <v>92</v>
      </c>
      <c r="S475" s="7">
        <f>AVERAGEIF(A:A,A475,R:R)</f>
        <v>92.25</v>
      </c>
      <c r="T475" s="1">
        <v>43554</v>
      </c>
      <c r="U475" s="13" t="str">
        <f t="shared" si="126"/>
        <v>March</v>
      </c>
      <c r="V475" s="12">
        <f t="shared" si="127"/>
        <v>43554</v>
      </c>
      <c r="W475" s="2">
        <v>20.99</v>
      </c>
      <c r="Y475" s="11">
        <f t="shared" si="123"/>
        <v>41.98</v>
      </c>
      <c r="Z475" s="109"/>
      <c r="AA475" s="37">
        <f>IF(Y475&gt;=Expenses!$C$32,4,IF(Y475&gt;=Expenses!$C$31,3,IF(Y475&gt;=Expenses!$C$30,2,1)))</f>
        <v>3</v>
      </c>
      <c r="AB475" s="37">
        <f t="shared" si="124"/>
        <v>0.5</v>
      </c>
      <c r="AC475" s="37" t="str">
        <f t="shared" si="125"/>
        <v>2019</v>
      </c>
    </row>
    <row r="476" spans="1:29" ht="18.75" x14ac:dyDescent="0.3">
      <c r="A476" s="37" t="str">
        <f t="shared" si="128"/>
        <v>2015Diez-CaballeroCrianza</v>
      </c>
      <c r="B476">
        <v>2015</v>
      </c>
      <c r="C476" t="s">
        <v>1216</v>
      </c>
      <c r="D476" t="s">
        <v>108</v>
      </c>
      <c r="E476" s="37" t="s">
        <v>276</v>
      </c>
      <c r="F476" s="37" t="s">
        <v>729</v>
      </c>
      <c r="G476" s="37" t="s">
        <v>823</v>
      </c>
      <c r="I476">
        <v>1</v>
      </c>
      <c r="J476">
        <v>750</v>
      </c>
      <c r="K476" t="s">
        <v>213</v>
      </c>
      <c r="L476" s="37">
        <f>SUMIF(Wine1!A:A,Drank!A476,Wine1!I:I)</f>
        <v>4</v>
      </c>
      <c r="M476">
        <v>2018</v>
      </c>
      <c r="N476">
        <v>2022</v>
      </c>
      <c r="O476" t="str">
        <f>IF(IFERROR(VLOOKUP(A476,Drank!A:S,11,FALSE),"")=0,"",IFERROR(VLOOKUP(A476,Drank!A:S,11,FALSE),""))</f>
        <v>Uncellared</v>
      </c>
      <c r="P476">
        <v>2021</v>
      </c>
      <c r="Q476" s="37">
        <v>92</v>
      </c>
      <c r="R476">
        <v>92</v>
      </c>
      <c r="S476" s="7">
        <f>AVERAGEIF(A:A,A476,R:R)</f>
        <v>91.235294117647058</v>
      </c>
      <c r="T476" s="1">
        <v>43553</v>
      </c>
      <c r="U476" s="13" t="str">
        <f t="shared" si="126"/>
        <v>March</v>
      </c>
      <c r="V476" s="12">
        <f t="shared" si="127"/>
        <v>43553</v>
      </c>
      <c r="W476" s="2">
        <v>14</v>
      </c>
      <c r="Y476" s="11">
        <f t="shared" si="123"/>
        <v>14.000000000000002</v>
      </c>
      <c r="Z476" s="109"/>
      <c r="AA476" s="37">
        <f>IF(Y476&gt;=Expenses!$C$32,4,IF(Y476&gt;=Expenses!$C$31,3,IF(Y476&gt;=Expenses!$C$30,2,1)))</f>
        <v>1</v>
      </c>
      <c r="AB476" s="37">
        <f t="shared" si="124"/>
        <v>1</v>
      </c>
      <c r="AC476" s="37" t="str">
        <f t="shared" si="125"/>
        <v>2019</v>
      </c>
    </row>
    <row r="477" spans="1:29" ht="18.75" x14ac:dyDescent="0.3">
      <c r="A477" s="37" t="str">
        <f t="shared" si="128"/>
        <v>2015Mas des PatresLa Clape Mas Des Patres</v>
      </c>
      <c r="B477">
        <v>2015</v>
      </c>
      <c r="C477" t="s">
        <v>224</v>
      </c>
      <c r="D477" t="s">
        <v>225</v>
      </c>
      <c r="E477" s="37"/>
      <c r="F477" s="37" t="s">
        <v>742</v>
      </c>
      <c r="G477" s="37" t="s">
        <v>756</v>
      </c>
      <c r="H477" s="37" t="s">
        <v>757</v>
      </c>
      <c r="I477">
        <v>1</v>
      </c>
      <c r="J477">
        <v>750</v>
      </c>
      <c r="K477" t="s">
        <v>236</v>
      </c>
      <c r="L477" s="37">
        <f>SUMIF(Wine1!A:A,Drank!A477,Wine1!I:I)</f>
        <v>1</v>
      </c>
      <c r="M477">
        <v>2017</v>
      </c>
      <c r="N477">
        <v>2023</v>
      </c>
      <c r="O477" t="str">
        <f>IF(IFERROR(VLOOKUP(A477,Drank!A:S,11,FALSE),"")=0,"",IFERROR(VLOOKUP(A477,Drank!A:S,11,FALSE),""))</f>
        <v>case above fridge</v>
      </c>
      <c r="P477">
        <v>2021</v>
      </c>
      <c r="Q477" s="2" t="s">
        <v>237</v>
      </c>
      <c r="R477">
        <v>88</v>
      </c>
      <c r="S477" s="7">
        <f>AVERAGEIF(A:A,A477,R:R)</f>
        <v>89.8</v>
      </c>
      <c r="T477" s="1">
        <v>43553</v>
      </c>
      <c r="U477" s="13" t="str">
        <f t="shared" si="126"/>
        <v>March</v>
      </c>
      <c r="V477" s="12">
        <f t="shared" si="127"/>
        <v>43553</v>
      </c>
      <c r="W477" s="2">
        <v>12.99</v>
      </c>
      <c r="Y477" s="11">
        <f t="shared" si="123"/>
        <v>12.989999999999998</v>
      </c>
      <c r="Z477" s="109"/>
      <c r="AA477" s="37">
        <f>IF(Y477&gt;=Expenses!$C$32,4,IF(Y477&gt;=Expenses!$C$31,3,IF(Y477&gt;=Expenses!$C$30,2,1)))</f>
        <v>1</v>
      </c>
      <c r="AB477" s="37">
        <f t="shared" si="124"/>
        <v>1</v>
      </c>
      <c r="AC477" s="37" t="str">
        <f t="shared" si="125"/>
        <v>2019</v>
      </c>
    </row>
    <row r="478" spans="1:29" ht="18.75" x14ac:dyDescent="0.3">
      <c r="A478" s="37" t="str">
        <f t="shared" si="128"/>
        <v>2016Foley JohnsonCabernet Sauvignon Estate</v>
      </c>
      <c r="B478">
        <v>2016</v>
      </c>
      <c r="C478" t="s">
        <v>194</v>
      </c>
      <c r="D478" t="s">
        <v>195</v>
      </c>
      <c r="E478" s="37" t="s">
        <v>32</v>
      </c>
      <c r="F478" s="37" t="s">
        <v>727</v>
      </c>
      <c r="G478" s="37" t="s">
        <v>806</v>
      </c>
      <c r="H478" s="37" t="s">
        <v>832</v>
      </c>
      <c r="I478">
        <v>1</v>
      </c>
      <c r="J478">
        <v>750</v>
      </c>
      <c r="K478" t="s">
        <v>102</v>
      </c>
      <c r="L478" s="37">
        <f>SUMIF(Wine1!A:A,Drank!A478,Wine1!I:I)</f>
        <v>3</v>
      </c>
      <c r="M478">
        <v>2019</v>
      </c>
      <c r="N478">
        <v>2032</v>
      </c>
      <c r="O478">
        <v>2022</v>
      </c>
      <c r="P478">
        <v>2032</v>
      </c>
      <c r="Q478" s="2" t="s">
        <v>196</v>
      </c>
      <c r="R478">
        <v>90</v>
      </c>
      <c r="S478" s="7">
        <f>AVERAGEIF(A:A,A478,R:R)</f>
        <v>90</v>
      </c>
      <c r="T478" s="1">
        <v>43527</v>
      </c>
      <c r="U478" s="13" t="str">
        <f t="shared" si="126"/>
        <v>March</v>
      </c>
      <c r="V478" s="12">
        <f t="shared" si="127"/>
        <v>43527</v>
      </c>
      <c r="W478" s="2">
        <v>30.3</v>
      </c>
      <c r="Y478" s="11">
        <f t="shared" si="123"/>
        <v>30.299999999999997</v>
      </c>
      <c r="Z478" s="109"/>
      <c r="AA478" s="37">
        <f>IF(Y478&gt;=Expenses!$C$32,4,IF(Y478&gt;=Expenses!$C$31,3,IF(Y478&gt;=Expenses!$C$30,2,1)))</f>
        <v>3</v>
      </c>
      <c r="AB478" s="37">
        <f t="shared" si="124"/>
        <v>1</v>
      </c>
      <c r="AC478" s="37" t="str">
        <f t="shared" si="125"/>
        <v>2019</v>
      </c>
    </row>
    <row r="479" spans="1:29" ht="18.75" x14ac:dyDescent="0.3">
      <c r="A479" s="37" t="str">
        <f t="shared" si="128"/>
        <v>2011Corte PavoneBrunello di Montalcino</v>
      </c>
      <c r="B479">
        <v>2011</v>
      </c>
      <c r="C479" t="s">
        <v>12</v>
      </c>
      <c r="D479" t="s">
        <v>19</v>
      </c>
      <c r="E479" s="37" t="s">
        <v>266</v>
      </c>
      <c r="F479" s="37" t="s">
        <v>728</v>
      </c>
      <c r="G479" s="37" t="s">
        <v>790</v>
      </c>
      <c r="H479" s="37" t="s">
        <v>19</v>
      </c>
      <c r="I479">
        <v>1</v>
      </c>
      <c r="J479">
        <v>750</v>
      </c>
      <c r="K479" t="s">
        <v>102</v>
      </c>
      <c r="L479" s="37">
        <f>SUMIF(Wine1!A:A,Drank!A479,Wine1!I:I)</f>
        <v>2</v>
      </c>
      <c r="M479">
        <v>2017</v>
      </c>
      <c r="N479">
        <v>2030</v>
      </c>
      <c r="O479">
        <v>2023</v>
      </c>
      <c r="P479">
        <v>2028</v>
      </c>
      <c r="Q479">
        <v>92</v>
      </c>
      <c r="R479">
        <v>90</v>
      </c>
      <c r="S479" s="7">
        <f>AVERAGEIF(A:A,A479,R:R)</f>
        <v>90</v>
      </c>
      <c r="T479" s="1">
        <v>43526</v>
      </c>
      <c r="U479" s="13" t="str">
        <f t="shared" si="126"/>
        <v>March</v>
      </c>
      <c r="V479" s="12">
        <f t="shared" si="127"/>
        <v>43526</v>
      </c>
      <c r="W479" s="2">
        <v>32.99</v>
      </c>
      <c r="Y479" s="11">
        <f t="shared" si="123"/>
        <v>32.99</v>
      </c>
      <c r="Z479" s="109"/>
      <c r="AA479" s="37">
        <f>IF(Y479&gt;=Expenses!$C$32,4,IF(Y479&gt;=Expenses!$C$31,3,IF(Y479&gt;=Expenses!$C$30,2,1)))</f>
        <v>3</v>
      </c>
      <c r="AB479" s="37">
        <f t="shared" si="124"/>
        <v>1</v>
      </c>
      <c r="AC479" s="37" t="str">
        <f t="shared" si="125"/>
        <v>2019</v>
      </c>
    </row>
    <row r="480" spans="1:29" ht="18.75" x14ac:dyDescent="0.3">
      <c r="A480" s="37" t="str">
        <f t="shared" si="128"/>
        <v>2012Poggio San PoloBrunello di Montalcino</v>
      </c>
      <c r="B480">
        <v>2012</v>
      </c>
      <c r="C480" t="s">
        <v>208</v>
      </c>
      <c r="D480" t="s">
        <v>19</v>
      </c>
      <c r="E480" s="37" t="s">
        <v>266</v>
      </c>
      <c r="F480" s="37" t="s">
        <v>728</v>
      </c>
      <c r="G480" s="37" t="s">
        <v>790</v>
      </c>
      <c r="H480" s="37" t="s">
        <v>19</v>
      </c>
      <c r="I480">
        <v>1</v>
      </c>
      <c r="J480">
        <v>750</v>
      </c>
      <c r="K480" t="s">
        <v>102</v>
      </c>
      <c r="L480" s="37">
        <f>SUMIF(Wine1!A:A,Drank!A480,Wine1!I:I)</f>
        <v>1</v>
      </c>
      <c r="M480">
        <v>2017</v>
      </c>
      <c r="N480">
        <v>2025</v>
      </c>
      <c r="O480">
        <v>2023</v>
      </c>
      <c r="P480">
        <v>2025</v>
      </c>
      <c r="Q480">
        <v>90</v>
      </c>
      <c r="R480">
        <v>88</v>
      </c>
      <c r="S480" s="7">
        <f>AVERAGEIF(A:A,A480,R:R)</f>
        <v>88</v>
      </c>
      <c r="T480" s="1">
        <v>43526</v>
      </c>
      <c r="U480" s="13" t="str">
        <f t="shared" si="126"/>
        <v>March</v>
      </c>
      <c r="V480" s="12">
        <f t="shared" si="127"/>
        <v>43526</v>
      </c>
      <c r="W480" s="2">
        <v>39.99</v>
      </c>
      <c r="Y480" s="11">
        <f t="shared" si="123"/>
        <v>39.99</v>
      </c>
      <c r="Z480" s="109"/>
      <c r="AA480" s="37">
        <f>IF(Y480&gt;=Expenses!$C$32,4,IF(Y480&gt;=Expenses!$C$31,3,IF(Y480&gt;=Expenses!$C$30,2,1)))</f>
        <v>3</v>
      </c>
      <c r="AB480" s="37">
        <f t="shared" si="124"/>
        <v>1</v>
      </c>
      <c r="AC480" s="37" t="str">
        <f t="shared" si="125"/>
        <v>2019</v>
      </c>
    </row>
    <row r="481" spans="1:29" ht="18.75" x14ac:dyDescent="0.3">
      <c r="A481" s="37" t="str">
        <f t="shared" si="128"/>
        <v>2012CortonesiBrunello di Montalcino La Mannella</v>
      </c>
      <c r="B481">
        <v>2012</v>
      </c>
      <c r="C481" t="s">
        <v>72</v>
      </c>
      <c r="D481" t="s">
        <v>73</v>
      </c>
      <c r="E481" s="37" t="s">
        <v>266</v>
      </c>
      <c r="F481" s="37" t="s">
        <v>728</v>
      </c>
      <c r="G481" s="37" t="s">
        <v>790</v>
      </c>
      <c r="H481" s="37" t="s">
        <v>19</v>
      </c>
      <c r="I481">
        <v>1</v>
      </c>
      <c r="J481">
        <v>750</v>
      </c>
      <c r="K481" t="s">
        <v>102</v>
      </c>
      <c r="L481" s="37">
        <f>SUMIF(Wine1!A:A,Drank!A481,Wine1!I:I)</f>
        <v>1</v>
      </c>
      <c r="M481">
        <v>2017</v>
      </c>
      <c r="N481">
        <v>2026</v>
      </c>
      <c r="O481">
        <v>2025</v>
      </c>
      <c r="P481">
        <v>2027</v>
      </c>
      <c r="Q481">
        <v>91</v>
      </c>
      <c r="R481">
        <v>90</v>
      </c>
      <c r="S481" s="7">
        <f>AVERAGEIF(A:A,A481,R:R)</f>
        <v>90</v>
      </c>
      <c r="T481" s="1">
        <v>43526</v>
      </c>
      <c r="U481" s="13" t="str">
        <f t="shared" si="126"/>
        <v>March</v>
      </c>
      <c r="V481" s="12">
        <f t="shared" si="127"/>
        <v>43526</v>
      </c>
      <c r="W481" s="2">
        <v>32.99</v>
      </c>
      <c r="Y481" s="11">
        <f t="shared" si="123"/>
        <v>32.99</v>
      </c>
      <c r="Z481" s="109"/>
      <c r="AA481" s="37">
        <f>IF(Y481&gt;=Expenses!$C$32,4,IF(Y481&gt;=Expenses!$C$31,3,IF(Y481&gt;=Expenses!$C$30,2,1)))</f>
        <v>3</v>
      </c>
      <c r="AB481" s="37">
        <f t="shared" si="124"/>
        <v>1</v>
      </c>
      <c r="AC481" s="37" t="str">
        <f t="shared" si="125"/>
        <v>2019</v>
      </c>
    </row>
    <row r="482" spans="1:29" ht="18.75" x14ac:dyDescent="0.3">
      <c r="A482" s="37" t="str">
        <f t="shared" si="128"/>
        <v>2010Raymond-LafonRaymond-Lafon</v>
      </c>
      <c r="B482">
        <v>2010</v>
      </c>
      <c r="C482" t="s">
        <v>197</v>
      </c>
      <c r="D482" t="s">
        <v>197</v>
      </c>
      <c r="E482" s="37" t="s">
        <v>260</v>
      </c>
      <c r="F482" s="37" t="s">
        <v>742</v>
      </c>
      <c r="G482" s="37" t="s">
        <v>748</v>
      </c>
      <c r="H482" s="37" t="s">
        <v>260</v>
      </c>
      <c r="I482">
        <v>1</v>
      </c>
      <c r="J482">
        <v>375</v>
      </c>
      <c r="K482" t="s">
        <v>8</v>
      </c>
      <c r="L482" s="37">
        <f>SUMIF(Wine1!A:A,Drank!A482,Wine1!I:I)</f>
        <v>4</v>
      </c>
      <c r="O482">
        <v>2024</v>
      </c>
      <c r="P482">
        <v>2040</v>
      </c>
      <c r="Q482" s="2" t="s">
        <v>198</v>
      </c>
      <c r="R482">
        <v>93</v>
      </c>
      <c r="S482" s="7">
        <f>AVERAGEIF(A:A,A482,R:R)</f>
        <v>92.8</v>
      </c>
      <c r="T482" s="1">
        <v>43526</v>
      </c>
      <c r="U482" s="13" t="str">
        <f t="shared" si="126"/>
        <v>March</v>
      </c>
      <c r="V482" s="12">
        <f t="shared" si="127"/>
        <v>43526</v>
      </c>
      <c r="W482" s="2">
        <v>22.99</v>
      </c>
      <c r="Y482" s="11">
        <f t="shared" si="123"/>
        <v>45.98</v>
      </c>
      <c r="Z482" s="109"/>
      <c r="AA482" s="37">
        <f>IF(Y482&gt;=Expenses!$C$32,4,IF(Y482&gt;=Expenses!$C$31,3,IF(Y482&gt;=Expenses!$C$30,2,1)))</f>
        <v>3</v>
      </c>
      <c r="AB482" s="37">
        <f t="shared" si="124"/>
        <v>0.5</v>
      </c>
      <c r="AC482" s="37" t="str">
        <f t="shared" si="125"/>
        <v>2019</v>
      </c>
    </row>
    <row r="483" spans="1:29" ht="18.75" x14ac:dyDescent="0.3">
      <c r="A483" s="37" t="str">
        <f t="shared" si="128"/>
        <v>2016San AlejandroLas Rocas</v>
      </c>
      <c r="B483">
        <v>2016</v>
      </c>
      <c r="C483" t="s">
        <v>152</v>
      </c>
      <c r="D483" t="s">
        <v>153</v>
      </c>
      <c r="E483" s="37" t="s">
        <v>284</v>
      </c>
      <c r="F483" s="37" t="s">
        <v>729</v>
      </c>
      <c r="G483" s="37" t="s">
        <v>811</v>
      </c>
      <c r="H483" s="37" t="s">
        <v>812</v>
      </c>
      <c r="I483">
        <v>1</v>
      </c>
      <c r="J483">
        <v>750</v>
      </c>
      <c r="K483" t="s">
        <v>58</v>
      </c>
      <c r="L483" s="37">
        <f>SUMIF(Wine1!A:A,Drank!A483,Wine1!I:I)</f>
        <v>4</v>
      </c>
      <c r="M483">
        <v>2019</v>
      </c>
      <c r="N483">
        <v>2021</v>
      </c>
      <c r="O483">
        <v>2019</v>
      </c>
      <c r="P483">
        <v>2019</v>
      </c>
      <c r="Q483">
        <v>89</v>
      </c>
      <c r="R483">
        <v>87</v>
      </c>
      <c r="S483" s="7">
        <f>AVERAGEIF(A:A,A483,R:R)</f>
        <v>88.944444444444443</v>
      </c>
      <c r="T483" s="1">
        <v>43521</v>
      </c>
      <c r="U483" s="13" t="str">
        <f t="shared" si="126"/>
        <v>February</v>
      </c>
      <c r="V483" s="12">
        <f t="shared" si="127"/>
        <v>43521</v>
      </c>
      <c r="W483" s="2">
        <v>8.99</v>
      </c>
      <c r="Y483" s="11">
        <f t="shared" si="123"/>
        <v>8.99</v>
      </c>
      <c r="Z483" s="109"/>
      <c r="AA483" s="37">
        <f>IF(Y483&gt;=Expenses!$C$32,4,IF(Y483&gt;=Expenses!$C$31,3,IF(Y483&gt;=Expenses!$C$30,2,1)))</f>
        <v>1</v>
      </c>
      <c r="AB483" s="37">
        <f t="shared" si="124"/>
        <v>1</v>
      </c>
      <c r="AC483" s="37" t="str">
        <f t="shared" si="125"/>
        <v>2019</v>
      </c>
    </row>
    <row r="484" spans="1:29" ht="18.75" x14ac:dyDescent="0.3">
      <c r="A484" s="37" t="str">
        <f t="shared" si="128"/>
        <v>2012Francis Ford Coppola WineryProprietary Red Eleanor</v>
      </c>
      <c r="B484">
        <v>2012</v>
      </c>
      <c r="C484" t="s">
        <v>49</v>
      </c>
      <c r="D484" t="s">
        <v>50</v>
      </c>
      <c r="E484" s="37" t="s">
        <v>278</v>
      </c>
      <c r="F484" s="37" t="s">
        <v>727</v>
      </c>
      <c r="G484" s="37" t="s">
        <v>806</v>
      </c>
      <c r="H484" s="37" t="s">
        <v>831</v>
      </c>
      <c r="I484">
        <v>1</v>
      </c>
      <c r="J484">
        <v>750</v>
      </c>
      <c r="K484" t="s">
        <v>8</v>
      </c>
      <c r="L484" s="37">
        <f>SUMIF(Wine1!A:A,Drank!A484,Wine1!I:I)</f>
        <v>0</v>
      </c>
      <c r="M484">
        <v>2014</v>
      </c>
      <c r="N484">
        <v>2020</v>
      </c>
      <c r="P484">
        <v>2022</v>
      </c>
      <c r="Q484">
        <v>91</v>
      </c>
      <c r="R484">
        <v>91</v>
      </c>
      <c r="S484" s="7">
        <f>AVERAGEIF(A:A,A484,R:R)</f>
        <v>91</v>
      </c>
      <c r="T484" s="1">
        <v>43519</v>
      </c>
      <c r="U484" s="13" t="str">
        <f t="shared" si="126"/>
        <v>February</v>
      </c>
      <c r="V484" s="12">
        <f t="shared" si="127"/>
        <v>43519</v>
      </c>
      <c r="W484" s="2">
        <v>55</v>
      </c>
      <c r="Y484" s="11">
        <f t="shared" si="123"/>
        <v>55</v>
      </c>
      <c r="Z484" s="109"/>
      <c r="AA484" s="37">
        <f>IF(Y484&gt;=Expenses!$C$32,4,IF(Y484&gt;=Expenses!$C$31,3,IF(Y484&gt;=Expenses!$C$30,2,1)))</f>
        <v>3</v>
      </c>
      <c r="AB484" s="37">
        <f t="shared" si="124"/>
        <v>1</v>
      </c>
      <c r="AC484" s="37" t="str">
        <f t="shared" si="125"/>
        <v>2019</v>
      </c>
    </row>
    <row r="485" spans="1:29" ht="18.75" x14ac:dyDescent="0.3">
      <c r="A485" s="37" t="str">
        <f t="shared" si="128"/>
        <v>2010CondeNeo</v>
      </c>
      <c r="B485">
        <v>2010</v>
      </c>
      <c r="C485" t="s">
        <v>45</v>
      </c>
      <c r="D485" t="s">
        <v>46</v>
      </c>
      <c r="E485" s="37" t="s">
        <v>277</v>
      </c>
      <c r="F485" s="37" t="s">
        <v>729</v>
      </c>
      <c r="G485" s="37" t="s">
        <v>814</v>
      </c>
      <c r="H485" s="37" t="s">
        <v>818</v>
      </c>
      <c r="I485">
        <v>1</v>
      </c>
      <c r="J485">
        <v>750</v>
      </c>
      <c r="K485" t="s">
        <v>25</v>
      </c>
      <c r="L485" s="37">
        <f>SUMIF(Wine1!A:A,Drank!A485,Wine1!I:I)</f>
        <v>4</v>
      </c>
      <c r="M485">
        <v>2014</v>
      </c>
      <c r="N485">
        <v>2020</v>
      </c>
      <c r="O485">
        <v>2019</v>
      </c>
      <c r="P485">
        <v>2024</v>
      </c>
      <c r="Q485">
        <v>93</v>
      </c>
      <c r="R485">
        <v>91</v>
      </c>
      <c r="S485" s="7">
        <f>AVERAGEIF(A:A,A485,R:R)</f>
        <v>92.166666666666671</v>
      </c>
      <c r="T485" s="1">
        <v>43519</v>
      </c>
      <c r="U485" s="13" t="str">
        <f t="shared" si="126"/>
        <v>February</v>
      </c>
      <c r="V485" s="12">
        <f t="shared" si="127"/>
        <v>43519</v>
      </c>
      <c r="W485" s="2">
        <v>33</v>
      </c>
      <c r="Y485" s="11">
        <f t="shared" si="123"/>
        <v>33</v>
      </c>
      <c r="Z485" s="109"/>
      <c r="AA485" s="37">
        <f>IF(Y485&gt;=Expenses!$C$32,4,IF(Y485&gt;=Expenses!$C$31,3,IF(Y485&gt;=Expenses!$C$30,2,1)))</f>
        <v>3</v>
      </c>
      <c r="AB485" s="37">
        <f t="shared" si="124"/>
        <v>1</v>
      </c>
      <c r="AC485" s="37" t="str">
        <f t="shared" si="125"/>
        <v>2019</v>
      </c>
    </row>
    <row r="486" spans="1:29" ht="18.75" x14ac:dyDescent="0.3">
      <c r="A486" s="37" t="str">
        <f t="shared" si="128"/>
        <v>2015Cantine do OraAmicone</v>
      </c>
      <c r="B486">
        <v>2015</v>
      </c>
      <c r="C486" t="s">
        <v>183</v>
      </c>
      <c r="D486" t="s">
        <v>184</v>
      </c>
      <c r="E486" s="37" t="s">
        <v>262</v>
      </c>
      <c r="F486" s="37" t="s">
        <v>728</v>
      </c>
      <c r="G486" s="37" t="s">
        <v>799</v>
      </c>
      <c r="H486" s="37" t="s">
        <v>801</v>
      </c>
      <c r="I486">
        <v>1</v>
      </c>
      <c r="J486">
        <v>750</v>
      </c>
      <c r="K486" t="s">
        <v>158</v>
      </c>
      <c r="L486" s="37">
        <f>SUMIF(Wine1!A:A,Drank!A486,Wine1!I:I)</f>
        <v>0</v>
      </c>
      <c r="O486">
        <v>2019</v>
      </c>
      <c r="P486">
        <v>2019</v>
      </c>
      <c r="R486">
        <v>85</v>
      </c>
      <c r="S486" s="7">
        <f>AVERAGEIF(A:A,A486,R:R)</f>
        <v>86.5</v>
      </c>
      <c r="T486" s="1">
        <v>43516</v>
      </c>
      <c r="U486" s="13" t="str">
        <f t="shared" si="126"/>
        <v>February</v>
      </c>
      <c r="V486" s="12">
        <f t="shared" si="127"/>
        <v>43516</v>
      </c>
      <c r="W486" s="2">
        <v>14.39</v>
      </c>
      <c r="Y486" s="11">
        <f t="shared" si="123"/>
        <v>14.39</v>
      </c>
      <c r="Z486" s="109"/>
      <c r="AA486" s="37">
        <f>IF(Y486&gt;=Expenses!$C$32,4,IF(Y486&gt;=Expenses!$C$31,3,IF(Y486&gt;=Expenses!$C$30,2,1)))</f>
        <v>1</v>
      </c>
      <c r="AB486" s="37">
        <f t="shared" si="124"/>
        <v>1</v>
      </c>
      <c r="AC486" s="37" t="str">
        <f t="shared" si="125"/>
        <v>2019</v>
      </c>
    </row>
    <row r="487" spans="1:29" ht="18.75" x14ac:dyDescent="0.3">
      <c r="A487" s="37" t="str">
        <f t="shared" si="128"/>
        <v>2014Tenuta di NozzoleChianti Classico Riserva Nozzole</v>
      </c>
      <c r="B487">
        <v>2014</v>
      </c>
      <c r="C487" t="s">
        <v>100</v>
      </c>
      <c r="D487" t="s">
        <v>101</v>
      </c>
      <c r="E487" s="37" t="s">
        <v>310</v>
      </c>
      <c r="F487" s="37" t="s">
        <v>728</v>
      </c>
      <c r="G487" s="37" t="s">
        <v>790</v>
      </c>
      <c r="H487" s="37" t="s">
        <v>792</v>
      </c>
      <c r="I487">
        <v>1</v>
      </c>
      <c r="J487">
        <v>750</v>
      </c>
      <c r="K487" t="s">
        <v>158</v>
      </c>
      <c r="L487" s="37">
        <f>SUMIF(Wine1!A:A,Drank!A487,Wine1!I:I)</f>
        <v>0</v>
      </c>
      <c r="O487">
        <v>2019</v>
      </c>
      <c r="P487">
        <v>2021</v>
      </c>
      <c r="R487">
        <v>92</v>
      </c>
      <c r="S487" s="7">
        <f>AVERAGEIF(A:A,A487,R:R)</f>
        <v>92</v>
      </c>
      <c r="T487" s="1">
        <v>43514</v>
      </c>
      <c r="U487" s="13" t="str">
        <f t="shared" si="126"/>
        <v>February</v>
      </c>
      <c r="V487" s="12">
        <f t="shared" si="127"/>
        <v>43514</v>
      </c>
      <c r="W487" s="2">
        <v>17.989999999999998</v>
      </c>
      <c r="Y487" s="11">
        <f t="shared" si="123"/>
        <v>17.989999999999998</v>
      </c>
      <c r="Z487" s="109"/>
      <c r="AA487" s="37">
        <f>IF(Y487&gt;=Expenses!$C$32,4,IF(Y487&gt;=Expenses!$C$31,3,IF(Y487&gt;=Expenses!$C$30,2,1)))</f>
        <v>2</v>
      </c>
      <c r="AB487" s="37">
        <f t="shared" si="124"/>
        <v>1</v>
      </c>
      <c r="AC487" s="37" t="str">
        <f t="shared" si="125"/>
        <v>2019</v>
      </c>
    </row>
    <row r="488" spans="1:29" ht="18.75" x14ac:dyDescent="0.3">
      <c r="A488" s="37" t="str">
        <f t="shared" si="128"/>
        <v>2006Abadia MantrusGran Reserva</v>
      </c>
      <c r="B488">
        <v>2006</v>
      </c>
      <c r="C488" t="s">
        <v>23</v>
      </c>
      <c r="D488" t="s">
        <v>24</v>
      </c>
      <c r="E488" t="s">
        <v>274</v>
      </c>
      <c r="F488" s="37" t="s">
        <v>804</v>
      </c>
      <c r="G488" s="37" t="s">
        <v>837</v>
      </c>
      <c r="I488">
        <v>1</v>
      </c>
      <c r="J488">
        <v>750</v>
      </c>
      <c r="K488" t="s">
        <v>158</v>
      </c>
      <c r="L488" s="37">
        <f>SUMIF(Wine1!A:A,Drank!A488,Wine1!I:I)</f>
        <v>0</v>
      </c>
      <c r="P488">
        <v>2018</v>
      </c>
      <c r="R488">
        <v>90</v>
      </c>
      <c r="S488" s="7">
        <f>AVERAGEIF(A:A,A488,R:R)</f>
        <v>90</v>
      </c>
      <c r="T488" s="1">
        <v>43513</v>
      </c>
      <c r="U488" s="13" t="str">
        <f t="shared" si="126"/>
        <v>February</v>
      </c>
      <c r="V488" s="12">
        <f t="shared" si="127"/>
        <v>43513</v>
      </c>
      <c r="W488" s="2">
        <v>11.11</v>
      </c>
      <c r="Y488" s="11">
        <f t="shared" ref="Y488:Y507" si="129">W488/J488*750</f>
        <v>11.11</v>
      </c>
      <c r="Z488" s="109"/>
      <c r="AA488" s="37">
        <f>IF(Y488&gt;=Expenses!$C$32,4,IF(Y488&gt;=Expenses!$C$31,3,IF(Y488&gt;=Expenses!$C$30,2,1)))</f>
        <v>1</v>
      </c>
      <c r="AB488" s="37">
        <f t="shared" ref="AB488:AB507" si="130">J488/750</f>
        <v>1</v>
      </c>
      <c r="AC488" s="37" t="str">
        <f t="shared" ref="AC488:AC507" si="131">TEXT(T488,"yyyy")</f>
        <v>2019</v>
      </c>
    </row>
    <row r="489" spans="1:29" ht="18.75" x14ac:dyDescent="0.3">
      <c r="A489" s="37" t="str">
        <f t="shared" si="128"/>
        <v>2016RodanoPoggialupi</v>
      </c>
      <c r="B489">
        <v>2016</v>
      </c>
      <c r="C489" t="s">
        <v>148</v>
      </c>
      <c r="D489" t="s">
        <v>149</v>
      </c>
      <c r="E489" s="37" t="s">
        <v>280</v>
      </c>
      <c r="F489" s="37" t="s">
        <v>728</v>
      </c>
      <c r="G489" s="37" t="s">
        <v>790</v>
      </c>
      <c r="H489" s="37" t="s">
        <v>794</v>
      </c>
      <c r="I489">
        <v>1</v>
      </c>
      <c r="J489">
        <v>750</v>
      </c>
      <c r="K489" t="s">
        <v>158</v>
      </c>
      <c r="L489" s="37">
        <f>SUMIF(Wine1!A:A,Drank!A489,Wine1!I:I)</f>
        <v>0</v>
      </c>
      <c r="P489">
        <v>2023</v>
      </c>
      <c r="R489">
        <v>87</v>
      </c>
      <c r="S489" s="7">
        <f>AVERAGEIF(A:A,A489,R:R)</f>
        <v>87</v>
      </c>
      <c r="T489" s="1">
        <v>43513</v>
      </c>
      <c r="U489" s="13" t="str">
        <f t="shared" si="126"/>
        <v>February</v>
      </c>
      <c r="V489" s="12">
        <f t="shared" si="127"/>
        <v>43513</v>
      </c>
      <c r="W489" s="2">
        <v>13</v>
      </c>
      <c r="Y489" s="11">
        <f t="shared" si="129"/>
        <v>13</v>
      </c>
      <c r="Z489" s="109"/>
      <c r="AA489" s="37">
        <f>IF(Y489&gt;=Expenses!$C$32,4,IF(Y489&gt;=Expenses!$C$31,3,IF(Y489&gt;=Expenses!$C$30,2,1)))</f>
        <v>1</v>
      </c>
      <c r="AB489" s="37">
        <f t="shared" si="130"/>
        <v>1</v>
      </c>
      <c r="AC489" s="37" t="str">
        <f t="shared" si="131"/>
        <v>2019</v>
      </c>
    </row>
    <row r="490" spans="1:29" ht="18.75" x14ac:dyDescent="0.3">
      <c r="A490" s="37" t="str">
        <f t="shared" si="128"/>
        <v>2014Tenuta di NozzoleChianti Classico Riserva Nozzole</v>
      </c>
      <c r="B490">
        <v>2014</v>
      </c>
      <c r="C490" t="s">
        <v>100</v>
      </c>
      <c r="D490" t="s">
        <v>101</v>
      </c>
      <c r="E490" s="37" t="s">
        <v>310</v>
      </c>
      <c r="F490" s="37" t="s">
        <v>728</v>
      </c>
      <c r="G490" s="37" t="s">
        <v>790</v>
      </c>
      <c r="H490" s="37" t="s">
        <v>792</v>
      </c>
      <c r="I490">
        <v>1</v>
      </c>
      <c r="J490">
        <v>750</v>
      </c>
      <c r="K490" t="s">
        <v>158</v>
      </c>
      <c r="L490" s="37">
        <f>SUMIF(Wine1!A:A,Drank!A490,Wine1!I:I)</f>
        <v>0</v>
      </c>
      <c r="O490">
        <v>2019</v>
      </c>
      <c r="P490">
        <v>2021</v>
      </c>
      <c r="R490">
        <v>92</v>
      </c>
      <c r="S490" s="7">
        <f>AVERAGEIF(A:A,A490,R:R)</f>
        <v>92</v>
      </c>
      <c r="T490" s="1">
        <v>43513</v>
      </c>
      <c r="U490" s="13" t="str">
        <f t="shared" si="126"/>
        <v>February</v>
      </c>
      <c r="V490" s="12">
        <f t="shared" si="127"/>
        <v>43513</v>
      </c>
      <c r="W490" s="2">
        <v>17.989999999999998</v>
      </c>
      <c r="Y490" s="11">
        <f t="shared" si="129"/>
        <v>17.989999999999998</v>
      </c>
      <c r="Z490" s="109"/>
      <c r="AA490" s="37">
        <f>IF(Y490&gt;=Expenses!$C$32,4,IF(Y490&gt;=Expenses!$C$31,3,IF(Y490&gt;=Expenses!$C$30,2,1)))</f>
        <v>2</v>
      </c>
      <c r="AB490" s="37">
        <f t="shared" si="130"/>
        <v>1</v>
      </c>
      <c r="AC490" s="37" t="str">
        <f t="shared" si="131"/>
        <v>2019</v>
      </c>
    </row>
    <row r="491" spans="1:29" ht="18.75" x14ac:dyDescent="0.3">
      <c r="A491" s="37" t="str">
        <f t="shared" si="128"/>
        <v>2010Cosimo TaurinoSalice Salentino Riserva</v>
      </c>
      <c r="B491">
        <v>2010</v>
      </c>
      <c r="C491" t="s">
        <v>56</v>
      </c>
      <c r="D491" t="s">
        <v>57</v>
      </c>
      <c r="E491" s="37" t="s">
        <v>1204</v>
      </c>
      <c r="F491" s="37" t="s">
        <v>728</v>
      </c>
      <c r="G491" s="37" t="s">
        <v>785</v>
      </c>
      <c r="H491" s="37" t="s">
        <v>769</v>
      </c>
      <c r="I491">
        <v>1</v>
      </c>
      <c r="J491">
        <v>750</v>
      </c>
      <c r="K491" t="s">
        <v>158</v>
      </c>
      <c r="L491" s="37">
        <f>SUMIF(Wine1!A:A,Drank!A491,Wine1!I:I)</f>
        <v>19</v>
      </c>
      <c r="O491">
        <v>2019</v>
      </c>
      <c r="P491">
        <v>2018</v>
      </c>
      <c r="R491">
        <v>89</v>
      </c>
      <c r="S491" s="7">
        <f>AVERAGEIF(A:A,A491,R:R)</f>
        <v>89.46875</v>
      </c>
      <c r="T491" s="1">
        <v>43512</v>
      </c>
      <c r="U491" s="13" t="str">
        <f t="shared" si="126"/>
        <v>February</v>
      </c>
      <c r="V491" s="12">
        <f t="shared" si="127"/>
        <v>43512</v>
      </c>
      <c r="W491" s="2">
        <v>11.69</v>
      </c>
      <c r="Y491" s="11">
        <f t="shared" si="129"/>
        <v>11.69</v>
      </c>
      <c r="Z491" s="109"/>
      <c r="AA491" s="37">
        <f>IF(Y491&gt;=Expenses!$C$32,4,IF(Y491&gt;=Expenses!$C$31,3,IF(Y491&gt;=Expenses!$C$30,2,1)))</f>
        <v>1</v>
      </c>
      <c r="AB491" s="37">
        <f t="shared" si="130"/>
        <v>1</v>
      </c>
      <c r="AC491" s="37" t="str">
        <f t="shared" si="131"/>
        <v>2019</v>
      </c>
    </row>
    <row r="492" spans="1:29" ht="18.75" x14ac:dyDescent="0.3">
      <c r="A492" s="37" t="str">
        <f t="shared" si="128"/>
        <v>2014ParrasEvidencia Tinto Dao</v>
      </c>
      <c r="B492">
        <v>2014</v>
      </c>
      <c r="C492" t="s">
        <v>187</v>
      </c>
      <c r="D492" t="s">
        <v>188</v>
      </c>
      <c r="E492" s="37" t="s">
        <v>274</v>
      </c>
      <c r="F492" s="37" t="s">
        <v>804</v>
      </c>
      <c r="G492" s="37" t="s">
        <v>837</v>
      </c>
      <c r="I492">
        <v>1</v>
      </c>
      <c r="J492">
        <v>750</v>
      </c>
      <c r="K492" s="37" t="s">
        <v>158</v>
      </c>
      <c r="L492" s="37">
        <f>SUMIF(Wine1!A:A,Drank!A492,Wine1!I:I)</f>
        <v>0</v>
      </c>
      <c r="O492">
        <v>2019</v>
      </c>
      <c r="P492">
        <v>2020</v>
      </c>
      <c r="R492">
        <v>85</v>
      </c>
      <c r="S492" s="7">
        <f>AVERAGEIF(A:A,A492,R:R)</f>
        <v>85.5</v>
      </c>
      <c r="T492" s="1">
        <v>43512</v>
      </c>
      <c r="U492" s="13" t="str">
        <f t="shared" si="126"/>
        <v>February</v>
      </c>
      <c r="V492" s="12">
        <f t="shared" si="127"/>
        <v>43512</v>
      </c>
      <c r="W492" s="2">
        <v>8.09</v>
      </c>
      <c r="Y492" s="11">
        <f t="shared" si="129"/>
        <v>8.09</v>
      </c>
      <c r="Z492" s="109"/>
      <c r="AA492" s="37">
        <f>IF(Y492&gt;=Expenses!$C$32,4,IF(Y492&gt;=Expenses!$C$31,3,IF(Y492&gt;=Expenses!$C$30,2,1)))</f>
        <v>1</v>
      </c>
      <c r="AB492" s="37">
        <f t="shared" si="130"/>
        <v>1</v>
      </c>
      <c r="AC492" s="37" t="str">
        <f t="shared" si="131"/>
        <v>2019</v>
      </c>
    </row>
    <row r="493" spans="1:29" ht="18.75" x14ac:dyDescent="0.3">
      <c r="A493" s="37" t="str">
        <f t="shared" si="128"/>
        <v>2015Cantine do OraAmicone</v>
      </c>
      <c r="B493">
        <v>2015</v>
      </c>
      <c r="C493" t="s">
        <v>183</v>
      </c>
      <c r="D493" t="s">
        <v>184</v>
      </c>
      <c r="E493" s="37" t="s">
        <v>262</v>
      </c>
      <c r="F493" s="37" t="s">
        <v>728</v>
      </c>
      <c r="G493" s="37" t="s">
        <v>799</v>
      </c>
      <c r="H493" s="37" t="s">
        <v>801</v>
      </c>
      <c r="I493">
        <v>1</v>
      </c>
      <c r="J493">
        <v>750</v>
      </c>
      <c r="K493" s="37" t="s">
        <v>158</v>
      </c>
      <c r="L493" s="37">
        <f>SUMIF(Wine1!A:A,Drank!A493,Wine1!I:I)</f>
        <v>0</v>
      </c>
      <c r="O493">
        <v>2019</v>
      </c>
      <c r="P493">
        <v>2021</v>
      </c>
      <c r="R493">
        <v>86</v>
      </c>
      <c r="S493" s="7">
        <f>AVERAGEIF(A:A,A493,R:R)</f>
        <v>86.5</v>
      </c>
      <c r="T493" s="1">
        <v>43510</v>
      </c>
      <c r="U493" s="13" t="str">
        <f t="shared" si="126"/>
        <v>February</v>
      </c>
      <c r="V493" s="12">
        <f t="shared" si="127"/>
        <v>43510</v>
      </c>
      <c r="W493" s="2">
        <v>14.39</v>
      </c>
      <c r="Y493" s="11">
        <f t="shared" si="129"/>
        <v>14.39</v>
      </c>
      <c r="Z493" s="109"/>
      <c r="AA493" s="37">
        <f>IF(Y493&gt;=Expenses!$C$32,4,IF(Y493&gt;=Expenses!$C$31,3,IF(Y493&gt;=Expenses!$C$30,2,1)))</f>
        <v>1</v>
      </c>
      <c r="AB493" s="37">
        <f t="shared" si="130"/>
        <v>1</v>
      </c>
      <c r="AC493" s="37" t="str">
        <f t="shared" si="131"/>
        <v>2019</v>
      </c>
    </row>
    <row r="494" spans="1:29" ht="18.75" x14ac:dyDescent="0.3">
      <c r="A494" s="37" t="str">
        <f t="shared" si="128"/>
        <v>2009NicolisAmarone della Valpolicella Classico</v>
      </c>
      <c r="B494">
        <v>2009</v>
      </c>
      <c r="C494" t="s">
        <v>44</v>
      </c>
      <c r="D494" t="s">
        <v>26</v>
      </c>
      <c r="E494" s="37" t="s">
        <v>264</v>
      </c>
      <c r="F494" s="37" t="s">
        <v>728</v>
      </c>
      <c r="G494" s="37" t="s">
        <v>799</v>
      </c>
      <c r="H494" s="37" t="s">
        <v>800</v>
      </c>
      <c r="I494">
        <v>1</v>
      </c>
      <c r="J494">
        <v>750</v>
      </c>
      <c r="K494" s="37" t="s">
        <v>158</v>
      </c>
      <c r="L494" s="37">
        <f>SUMIF(Wine1!A:A,Drank!A494,Wine1!I:I)</f>
        <v>0</v>
      </c>
      <c r="O494">
        <v>2021</v>
      </c>
      <c r="P494">
        <v>2021</v>
      </c>
      <c r="R494">
        <v>90</v>
      </c>
      <c r="S494" s="7">
        <f>AVERAGEIF(A:A,A494,R:R)</f>
        <v>89.5</v>
      </c>
      <c r="T494" s="1">
        <v>43506</v>
      </c>
      <c r="U494" s="13" t="str">
        <f t="shared" si="126"/>
        <v>February</v>
      </c>
      <c r="V494" s="12">
        <f t="shared" si="127"/>
        <v>43506</v>
      </c>
      <c r="W494" s="2">
        <v>35</v>
      </c>
      <c r="Y494" s="11">
        <f t="shared" si="129"/>
        <v>35</v>
      </c>
      <c r="Z494" s="109"/>
      <c r="AA494" s="37">
        <f>IF(Y494&gt;=Expenses!$C$32,4,IF(Y494&gt;=Expenses!$C$31,3,IF(Y494&gt;=Expenses!$C$30,2,1)))</f>
        <v>3</v>
      </c>
      <c r="AB494" s="37">
        <f t="shared" si="130"/>
        <v>1</v>
      </c>
      <c r="AC494" s="37" t="str">
        <f t="shared" si="131"/>
        <v>2019</v>
      </c>
    </row>
    <row r="495" spans="1:29" ht="18.75" x14ac:dyDescent="0.3">
      <c r="A495" s="37" t="str">
        <f t="shared" si="128"/>
        <v>2014Tenuta di NozzoleChianti Classico Riserva Nozzole</v>
      </c>
      <c r="B495">
        <v>2014</v>
      </c>
      <c r="C495" t="s">
        <v>100</v>
      </c>
      <c r="D495" t="s">
        <v>101</v>
      </c>
      <c r="E495" s="37" t="s">
        <v>310</v>
      </c>
      <c r="F495" s="37" t="s">
        <v>728</v>
      </c>
      <c r="G495" s="37" t="s">
        <v>790</v>
      </c>
      <c r="H495" s="37" t="s">
        <v>792</v>
      </c>
      <c r="I495">
        <v>1</v>
      </c>
      <c r="J495">
        <v>750</v>
      </c>
      <c r="K495" s="37" t="s">
        <v>158</v>
      </c>
      <c r="L495" s="37">
        <f>SUMIF(Wine1!A:A,Drank!A495,Wine1!I:I)</f>
        <v>0</v>
      </c>
      <c r="O495">
        <v>2019</v>
      </c>
      <c r="P495">
        <v>2021</v>
      </c>
      <c r="R495">
        <v>92</v>
      </c>
      <c r="S495" s="7">
        <f>AVERAGEIF(A:A,A495,R:R)</f>
        <v>92</v>
      </c>
      <c r="T495" s="1">
        <v>43506</v>
      </c>
      <c r="U495" s="13" t="str">
        <f t="shared" si="126"/>
        <v>February</v>
      </c>
      <c r="V495" s="12">
        <f t="shared" si="127"/>
        <v>43506</v>
      </c>
      <c r="W495" s="2">
        <v>17.989999999999998</v>
      </c>
      <c r="Y495" s="11">
        <f t="shared" si="129"/>
        <v>17.989999999999998</v>
      </c>
      <c r="Z495" s="109"/>
      <c r="AA495" s="37">
        <f>IF(Y495&gt;=Expenses!$C$32,4,IF(Y495&gt;=Expenses!$C$31,3,IF(Y495&gt;=Expenses!$C$30,2,1)))</f>
        <v>2</v>
      </c>
      <c r="AB495" s="37">
        <f t="shared" si="130"/>
        <v>1</v>
      </c>
      <c r="AC495" s="37" t="str">
        <f t="shared" si="131"/>
        <v>2019</v>
      </c>
    </row>
    <row r="496" spans="1:29" ht="18.75" x14ac:dyDescent="0.3">
      <c r="A496" s="37" t="str">
        <f t="shared" si="128"/>
        <v>2015Diez-CaballeroCrianza</v>
      </c>
      <c r="B496">
        <v>2015</v>
      </c>
      <c r="C496" t="s">
        <v>1216</v>
      </c>
      <c r="D496" t="s">
        <v>108</v>
      </c>
      <c r="E496" s="37" t="s">
        <v>276</v>
      </c>
      <c r="F496" s="37" t="s">
        <v>729</v>
      </c>
      <c r="G496" s="37" t="s">
        <v>823</v>
      </c>
      <c r="I496">
        <v>1</v>
      </c>
      <c r="J496">
        <v>750</v>
      </c>
      <c r="K496" s="37" t="s">
        <v>158</v>
      </c>
      <c r="L496" s="37">
        <f>SUMIF(Wine1!A:A,Drank!A496,Wine1!I:I)</f>
        <v>4</v>
      </c>
      <c r="M496">
        <v>2018</v>
      </c>
      <c r="N496">
        <v>2022</v>
      </c>
      <c r="O496">
        <v>2020</v>
      </c>
      <c r="P496">
        <v>2022</v>
      </c>
      <c r="Q496">
        <v>92</v>
      </c>
      <c r="R496">
        <v>91</v>
      </c>
      <c r="S496" s="7">
        <f>AVERAGEIF(A:A,A496,R:R)</f>
        <v>91.235294117647058</v>
      </c>
      <c r="T496" s="1">
        <v>43505</v>
      </c>
      <c r="U496" s="13" t="str">
        <f t="shared" si="126"/>
        <v>February</v>
      </c>
      <c r="V496" s="12">
        <f t="shared" si="127"/>
        <v>43505</v>
      </c>
      <c r="W496" s="2">
        <v>14</v>
      </c>
      <c r="Y496" s="11">
        <f t="shared" si="129"/>
        <v>14.000000000000002</v>
      </c>
      <c r="Z496" s="109"/>
      <c r="AA496" s="37">
        <f>IF(Y496&gt;=Expenses!$C$32,4,IF(Y496&gt;=Expenses!$C$31,3,IF(Y496&gt;=Expenses!$C$30,2,1)))</f>
        <v>1</v>
      </c>
      <c r="AB496" s="37">
        <f t="shared" si="130"/>
        <v>1</v>
      </c>
      <c r="AC496" s="37" t="str">
        <f t="shared" si="131"/>
        <v>2019</v>
      </c>
    </row>
    <row r="497" spans="1:29" ht="18.75" x14ac:dyDescent="0.3">
      <c r="A497" s="37" t="str">
        <f t="shared" si="128"/>
        <v>2013Stag's Leap Wine CellarsCabernet Sauvignon Artemis</v>
      </c>
      <c r="B497">
        <v>2013</v>
      </c>
      <c r="C497" t="s">
        <v>161</v>
      </c>
      <c r="D497" t="s">
        <v>162</v>
      </c>
      <c r="E497" s="37" t="s">
        <v>32</v>
      </c>
      <c r="F497" s="37" t="s">
        <v>727</v>
      </c>
      <c r="G497" s="37" t="s">
        <v>806</v>
      </c>
      <c r="H497" s="37" t="s">
        <v>832</v>
      </c>
      <c r="I497">
        <v>1</v>
      </c>
      <c r="J497">
        <v>750</v>
      </c>
      <c r="K497" s="37" t="s">
        <v>158</v>
      </c>
      <c r="L497" s="37">
        <f>SUMIF(Wine1!A:A,Drank!A497,Wine1!I:I)</f>
        <v>0</v>
      </c>
      <c r="M497">
        <v>2015</v>
      </c>
      <c r="N497">
        <v>2025</v>
      </c>
      <c r="P497">
        <v>2025</v>
      </c>
      <c r="Q497">
        <v>89</v>
      </c>
      <c r="R497">
        <v>89</v>
      </c>
      <c r="S497" s="7">
        <f>AVERAGEIF(A:A,A497,R:R)</f>
        <v>89</v>
      </c>
      <c r="T497" s="1">
        <v>43504</v>
      </c>
      <c r="U497" s="13" t="str">
        <f t="shared" si="126"/>
        <v>February</v>
      </c>
      <c r="V497" s="12">
        <f t="shared" si="127"/>
        <v>43504</v>
      </c>
      <c r="W497" s="2">
        <v>65</v>
      </c>
      <c r="Y497" s="11">
        <f t="shared" si="129"/>
        <v>65</v>
      </c>
      <c r="Z497" s="109"/>
      <c r="AA497" s="37">
        <f>IF(Y497&gt;=Expenses!$C$32,4,IF(Y497&gt;=Expenses!$C$31,3,IF(Y497&gt;=Expenses!$C$30,2,1)))</f>
        <v>4</v>
      </c>
      <c r="AB497" s="37">
        <f t="shared" si="130"/>
        <v>1</v>
      </c>
      <c r="AC497" s="37" t="str">
        <f t="shared" si="131"/>
        <v>2019</v>
      </c>
    </row>
    <row r="498" spans="1:29" ht="18.75" x14ac:dyDescent="0.3">
      <c r="A498" s="37" t="str">
        <f t="shared" si="128"/>
        <v>2013BovioBarolo Arborina</v>
      </c>
      <c r="B498">
        <v>2013</v>
      </c>
      <c r="C498" t="s">
        <v>163</v>
      </c>
      <c r="D498" t="s">
        <v>164</v>
      </c>
      <c r="E498" s="37" t="s">
        <v>268</v>
      </c>
      <c r="F498" s="37" t="s">
        <v>728</v>
      </c>
      <c r="G498" s="37" t="s">
        <v>778</v>
      </c>
      <c r="H498" s="37" t="s">
        <v>784</v>
      </c>
      <c r="I498">
        <v>1</v>
      </c>
      <c r="J498">
        <v>750</v>
      </c>
      <c r="K498" s="37" t="s">
        <v>158</v>
      </c>
      <c r="L498" s="37">
        <f>SUMIF(Wine1!A:A,Drank!A498,Wine1!I:I)</f>
        <v>0</v>
      </c>
      <c r="P498">
        <v>2029</v>
      </c>
      <c r="R498">
        <v>85</v>
      </c>
      <c r="S498" s="7">
        <f>AVERAGEIF(A:A,A498,R:R)</f>
        <v>85</v>
      </c>
      <c r="T498" s="1">
        <v>43504</v>
      </c>
      <c r="U498" s="13" t="str">
        <f t="shared" si="126"/>
        <v>February</v>
      </c>
      <c r="V498" s="12">
        <f t="shared" si="127"/>
        <v>43504</v>
      </c>
      <c r="W498" s="2">
        <v>35</v>
      </c>
      <c r="Y498" s="11">
        <f t="shared" si="129"/>
        <v>35</v>
      </c>
      <c r="Z498" s="109"/>
      <c r="AA498" s="37">
        <f>IF(Y498&gt;=Expenses!$C$32,4,IF(Y498&gt;=Expenses!$C$31,3,IF(Y498&gt;=Expenses!$C$30,2,1)))</f>
        <v>3</v>
      </c>
      <c r="AB498" s="37">
        <f t="shared" si="130"/>
        <v>1</v>
      </c>
      <c r="AC498" s="37" t="str">
        <f t="shared" si="131"/>
        <v>2019</v>
      </c>
    </row>
    <row r="499" spans="1:29" ht="18.75" x14ac:dyDescent="0.3">
      <c r="A499" s="37" t="str">
        <f t="shared" si="128"/>
        <v>2013Palazzo WineRed Blend Right Bank Reserve</v>
      </c>
      <c r="B499">
        <v>2013</v>
      </c>
      <c r="C499" t="s">
        <v>87</v>
      </c>
      <c r="D499" t="s">
        <v>88</v>
      </c>
      <c r="E499" s="37" t="s">
        <v>727</v>
      </c>
      <c r="F499" s="37" t="s">
        <v>806</v>
      </c>
      <c r="G499" s="37" t="s">
        <v>832</v>
      </c>
      <c r="I499">
        <v>1</v>
      </c>
      <c r="J499">
        <v>750</v>
      </c>
      <c r="K499" s="37" t="s">
        <v>158</v>
      </c>
      <c r="L499" s="37">
        <f>SUMIF(Wine1!A:A,Drank!A499,Wine1!I:I)</f>
        <v>3</v>
      </c>
      <c r="O499">
        <v>2023</v>
      </c>
      <c r="P499">
        <v>2027</v>
      </c>
      <c r="R499">
        <v>91</v>
      </c>
      <c r="S499" s="7">
        <f>AVERAGEIF(A:A,A499,R:R)</f>
        <v>91</v>
      </c>
      <c r="T499" s="1">
        <v>43498</v>
      </c>
      <c r="U499" s="13" t="str">
        <f t="shared" si="126"/>
        <v>February</v>
      </c>
      <c r="V499" s="12">
        <f t="shared" si="127"/>
        <v>43498</v>
      </c>
      <c r="W499" s="2">
        <v>54.99</v>
      </c>
      <c r="Y499" s="11">
        <f t="shared" si="129"/>
        <v>54.989999999999995</v>
      </c>
      <c r="Z499" s="109"/>
      <c r="AA499" s="37">
        <f>IF(Y499&gt;=Expenses!$C$32,4,IF(Y499&gt;=Expenses!$C$31,3,IF(Y499&gt;=Expenses!$C$30,2,1)))</f>
        <v>3</v>
      </c>
      <c r="AB499" s="37">
        <f t="shared" si="130"/>
        <v>1</v>
      </c>
      <c r="AC499" s="37" t="str">
        <f t="shared" si="131"/>
        <v>2019</v>
      </c>
    </row>
    <row r="500" spans="1:29" ht="18.75" x14ac:dyDescent="0.3">
      <c r="A500" s="37" t="str">
        <f t="shared" si="128"/>
        <v>2010Dominio de AtautaAtauta</v>
      </c>
      <c r="B500">
        <v>2010</v>
      </c>
      <c r="C500" t="s">
        <v>159</v>
      </c>
      <c r="D500" t="s">
        <v>160</v>
      </c>
      <c r="E500" s="37" t="s">
        <v>274</v>
      </c>
      <c r="F500" s="37" t="s">
        <v>729</v>
      </c>
      <c r="G500" s="37" t="s">
        <v>814</v>
      </c>
      <c r="H500" s="37" t="s">
        <v>818</v>
      </c>
      <c r="I500">
        <v>1</v>
      </c>
      <c r="J500">
        <v>750</v>
      </c>
      <c r="K500" t="s">
        <v>158</v>
      </c>
      <c r="L500" s="37">
        <f>SUMIF(Wine1!A:A,Drank!A500,Wine1!I:I)</f>
        <v>0</v>
      </c>
      <c r="M500">
        <v>2014</v>
      </c>
      <c r="N500">
        <v>2018</v>
      </c>
      <c r="Q500">
        <v>91</v>
      </c>
      <c r="R500">
        <v>90</v>
      </c>
      <c r="S500" s="7">
        <f>AVERAGEIF(A:A,A500,R:R)</f>
        <v>90</v>
      </c>
      <c r="T500" s="1">
        <v>43497</v>
      </c>
      <c r="U500" s="13" t="str">
        <f t="shared" si="126"/>
        <v>February</v>
      </c>
      <c r="V500" s="12">
        <f t="shared" si="127"/>
        <v>43497</v>
      </c>
      <c r="W500" s="2">
        <v>38</v>
      </c>
      <c r="Y500" s="11">
        <f t="shared" si="129"/>
        <v>38</v>
      </c>
      <c r="Z500" s="109"/>
      <c r="AA500" s="37">
        <f>IF(Y500&gt;=Expenses!$C$32,4,IF(Y500&gt;=Expenses!$C$31,3,IF(Y500&gt;=Expenses!$C$30,2,1)))</f>
        <v>3</v>
      </c>
      <c r="AB500" s="37">
        <f t="shared" si="130"/>
        <v>1</v>
      </c>
      <c r="AC500" s="37" t="str">
        <f t="shared" si="131"/>
        <v>2019</v>
      </c>
    </row>
    <row r="501" spans="1:29" ht="18.75" x14ac:dyDescent="0.3">
      <c r="A501" s="37" t="str">
        <f t="shared" si="128"/>
        <v>2013Cascina CuccoBarolo Cerrati</v>
      </c>
      <c r="B501">
        <v>2013</v>
      </c>
      <c r="C501" t="s">
        <v>85</v>
      </c>
      <c r="D501" t="s">
        <v>86</v>
      </c>
      <c r="E501" s="37" t="s">
        <v>268</v>
      </c>
      <c r="F501" s="37" t="s">
        <v>728</v>
      </c>
      <c r="G501" s="37" t="s">
        <v>778</v>
      </c>
      <c r="H501" s="37" t="s">
        <v>268</v>
      </c>
      <c r="I501">
        <v>1</v>
      </c>
      <c r="J501">
        <v>750</v>
      </c>
      <c r="K501" t="s">
        <v>158</v>
      </c>
      <c r="L501" s="37">
        <f>SUMIF(Wine1!A:A,Drank!A501,Wine1!I:I)</f>
        <v>2</v>
      </c>
      <c r="O501">
        <v>2022</v>
      </c>
      <c r="P501">
        <v>2026</v>
      </c>
      <c r="R501">
        <v>89</v>
      </c>
      <c r="S501" s="7">
        <f>AVERAGEIF(A:A,A501,R:R)</f>
        <v>89</v>
      </c>
      <c r="T501" s="1">
        <v>43497</v>
      </c>
      <c r="U501" s="13" t="str">
        <f t="shared" si="126"/>
        <v>February</v>
      </c>
      <c r="V501" s="12">
        <f t="shared" si="127"/>
        <v>43497</v>
      </c>
      <c r="W501" s="2">
        <v>30</v>
      </c>
      <c r="Y501" s="11">
        <f t="shared" si="129"/>
        <v>30</v>
      </c>
      <c r="Z501" s="109"/>
      <c r="AA501" s="37">
        <f>IF(Y501&gt;=Expenses!$C$32,4,IF(Y501&gt;=Expenses!$C$31,3,IF(Y501&gt;=Expenses!$C$30,2,1)))</f>
        <v>3</v>
      </c>
      <c r="AB501" s="37">
        <f t="shared" si="130"/>
        <v>1</v>
      </c>
      <c r="AC501" s="37" t="str">
        <f t="shared" si="131"/>
        <v>2019</v>
      </c>
    </row>
    <row r="502" spans="1:29" ht="18.75" x14ac:dyDescent="0.3">
      <c r="A502" s="37" t="str">
        <f>CONCATENATE(B502,C502,D502)</f>
        <v>2017Elio AltareDolcetto d'Alba</v>
      </c>
      <c r="B502">
        <v>2017</v>
      </c>
      <c r="C502" t="s">
        <v>165</v>
      </c>
      <c r="D502" t="s">
        <v>166</v>
      </c>
      <c r="E502" s="37" t="s">
        <v>956</v>
      </c>
      <c r="F502" s="19" t="s">
        <v>728</v>
      </c>
      <c r="G502" s="19" t="s">
        <v>778</v>
      </c>
      <c r="H502" s="19" t="s">
        <v>166</v>
      </c>
      <c r="I502">
        <v>1</v>
      </c>
      <c r="J502">
        <v>750</v>
      </c>
      <c r="K502" t="s">
        <v>158</v>
      </c>
      <c r="L502" s="37">
        <f>SUMIF(Wine1!A:A,Drank!A502,Wine1!I:I)</f>
        <v>0</v>
      </c>
      <c r="R502">
        <v>87</v>
      </c>
      <c r="S502" s="7">
        <f>AVERAGEIF(A:A,A502,R:R)</f>
        <v>87</v>
      </c>
      <c r="T502" s="1">
        <v>43497</v>
      </c>
      <c r="U502" s="13" t="str">
        <f t="shared" si="126"/>
        <v>February</v>
      </c>
      <c r="V502" s="12">
        <f t="shared" si="127"/>
        <v>43497</v>
      </c>
      <c r="W502" s="2">
        <v>17</v>
      </c>
      <c r="Y502" s="11">
        <f t="shared" si="129"/>
        <v>17</v>
      </c>
      <c r="Z502" s="109"/>
      <c r="AA502" s="37">
        <f>IF(Y502&gt;=Expenses!$C$32,4,IF(Y502&gt;=Expenses!$C$31,3,IF(Y502&gt;=Expenses!$C$30,2,1)))</f>
        <v>2</v>
      </c>
      <c r="AB502" s="37">
        <f t="shared" si="130"/>
        <v>1</v>
      </c>
      <c r="AC502" s="37" t="str">
        <f t="shared" si="131"/>
        <v>2019</v>
      </c>
    </row>
    <row r="503" spans="1:29" ht="18.75" x14ac:dyDescent="0.3">
      <c r="A503" s="37" t="str">
        <f t="shared" si="128"/>
        <v>NVFonsecaFonseca 10 Year Old Tawny</v>
      </c>
      <c r="B503" t="s">
        <v>167</v>
      </c>
      <c r="C503" t="s">
        <v>168</v>
      </c>
      <c r="D503" t="s">
        <v>169</v>
      </c>
      <c r="E503" s="37" t="s">
        <v>257</v>
      </c>
      <c r="F503" s="37" t="s">
        <v>804</v>
      </c>
      <c r="G503" s="37" t="s">
        <v>805</v>
      </c>
      <c r="I503">
        <v>1</v>
      </c>
      <c r="J503">
        <v>750</v>
      </c>
      <c r="K503" t="s">
        <v>158</v>
      </c>
      <c r="L503" s="37">
        <f>SUMIF(Wine1!A:A,Drank!A503,Wine1!I:I)</f>
        <v>0</v>
      </c>
      <c r="Q503">
        <v>87</v>
      </c>
      <c r="R503">
        <v>89</v>
      </c>
      <c r="S503" s="7">
        <f>AVERAGEIF(A:A,A503,R:R)</f>
        <v>89</v>
      </c>
      <c r="T503" s="1">
        <v>43470</v>
      </c>
      <c r="U503" s="13" t="str">
        <f t="shared" si="126"/>
        <v>January</v>
      </c>
      <c r="V503" s="12">
        <f t="shared" si="127"/>
        <v>43470</v>
      </c>
      <c r="W503" s="2">
        <v>34</v>
      </c>
      <c r="Y503" s="11">
        <f t="shared" si="129"/>
        <v>34</v>
      </c>
      <c r="Z503" s="109"/>
      <c r="AA503" s="37">
        <f>IF(Y503&gt;=Expenses!$C$32,4,IF(Y503&gt;=Expenses!$C$31,3,IF(Y503&gt;=Expenses!$C$30,2,1)))</f>
        <v>3</v>
      </c>
      <c r="AB503" s="37">
        <f t="shared" si="130"/>
        <v>1</v>
      </c>
      <c r="AC503" s="37" t="str">
        <f t="shared" si="131"/>
        <v>2019</v>
      </c>
    </row>
    <row r="504" spans="1:29" ht="18.75" x14ac:dyDescent="0.3">
      <c r="A504" s="37" t="str">
        <f t="shared" si="128"/>
        <v>2009LoackerBrunello di Montalcino Corte Pavone</v>
      </c>
      <c r="B504">
        <v>2009</v>
      </c>
      <c r="C504" t="s">
        <v>42</v>
      </c>
      <c r="D504" t="s">
        <v>43</v>
      </c>
      <c r="E504" s="37" t="s">
        <v>266</v>
      </c>
      <c r="F504" s="37" t="s">
        <v>728</v>
      </c>
      <c r="G504" s="37" t="s">
        <v>790</v>
      </c>
      <c r="H504" s="37" t="s">
        <v>19</v>
      </c>
      <c r="I504">
        <v>1</v>
      </c>
      <c r="J504">
        <v>750</v>
      </c>
      <c r="K504" t="s">
        <v>158</v>
      </c>
      <c r="L504" s="37">
        <f>SUMIF(Wine1!A:A,Drank!A504,Wine1!I:I)</f>
        <v>2</v>
      </c>
      <c r="M504">
        <v>2015</v>
      </c>
      <c r="N504">
        <v>2020</v>
      </c>
      <c r="O504">
        <v>2023</v>
      </c>
      <c r="P504">
        <v>2023</v>
      </c>
      <c r="Q504">
        <v>89</v>
      </c>
      <c r="R504">
        <v>90</v>
      </c>
      <c r="S504" s="7">
        <f>AVERAGEIF(A:A,A504,R:R)</f>
        <v>90</v>
      </c>
      <c r="T504" s="1">
        <v>43466</v>
      </c>
      <c r="U504" s="13" t="str">
        <f t="shared" si="126"/>
        <v>January</v>
      </c>
      <c r="V504" s="12">
        <f t="shared" si="127"/>
        <v>43466</v>
      </c>
      <c r="W504" s="2">
        <v>45</v>
      </c>
      <c r="Y504" s="11">
        <f t="shared" si="129"/>
        <v>45</v>
      </c>
      <c r="Z504" s="109"/>
      <c r="AA504" s="37">
        <f>IF(Y504&gt;=Expenses!$C$32,4,IF(Y504&gt;=Expenses!$C$31,3,IF(Y504&gt;=Expenses!$C$30,2,1)))</f>
        <v>3</v>
      </c>
      <c r="AB504" s="37">
        <f t="shared" si="130"/>
        <v>1</v>
      </c>
      <c r="AC504" s="37" t="str">
        <f t="shared" si="131"/>
        <v>2019</v>
      </c>
    </row>
    <row r="505" spans="1:29" ht="18.75" x14ac:dyDescent="0.3">
      <c r="A505" s="37" t="str">
        <f t="shared" si="128"/>
        <v xml:space="preserve">2013Ramon BilbaoCrianza Rioja Tempranillo </v>
      </c>
      <c r="B505">
        <v>2013</v>
      </c>
      <c r="C505" t="s">
        <v>181</v>
      </c>
      <c r="D505" t="s">
        <v>1243</v>
      </c>
      <c r="E505" s="37" t="s">
        <v>276</v>
      </c>
      <c r="F505" s="37" t="s">
        <v>729</v>
      </c>
      <c r="G505" s="37" t="s">
        <v>823</v>
      </c>
      <c r="H505" s="37" t="s">
        <v>824</v>
      </c>
      <c r="I505">
        <v>1</v>
      </c>
      <c r="J505">
        <v>750</v>
      </c>
      <c r="K505" t="s">
        <v>158</v>
      </c>
      <c r="L505" s="37">
        <f>SUMIF(Wine1!A:A,Drank!A505,Wine1!I:I)</f>
        <v>0</v>
      </c>
      <c r="O505">
        <v>2020</v>
      </c>
      <c r="P505">
        <v>2021</v>
      </c>
      <c r="R505">
        <v>89</v>
      </c>
      <c r="S505" s="7">
        <f>AVERAGEIF(A:A,A505,R:R)</f>
        <v>90</v>
      </c>
      <c r="T505" s="1">
        <v>43464</v>
      </c>
      <c r="U505" s="13" t="str">
        <f>TEXT(T505,"mmmm")</f>
        <v>December</v>
      </c>
      <c r="V505" s="12">
        <f>T505</f>
        <v>43464</v>
      </c>
      <c r="W505" s="2">
        <v>8.49</v>
      </c>
      <c r="Y505" s="11">
        <f t="shared" si="129"/>
        <v>8.49</v>
      </c>
      <c r="Z505" s="109"/>
      <c r="AA505" s="37">
        <f>IF(Y505&gt;=Expenses!$C$32,4,IF(Y505&gt;=Expenses!$C$31,3,IF(Y505&gt;=Expenses!$C$30,2,1)))</f>
        <v>1</v>
      </c>
      <c r="AB505" s="37">
        <f t="shared" si="130"/>
        <v>1</v>
      </c>
      <c r="AC505" s="37" t="str">
        <f t="shared" si="131"/>
        <v>2018</v>
      </c>
    </row>
    <row r="506" spans="1:29" ht="18.75" x14ac:dyDescent="0.3">
      <c r="A506" s="37" t="str">
        <f t="shared" si="128"/>
        <v>2014Cantine do OraAmicone</v>
      </c>
      <c r="B506">
        <v>2014</v>
      </c>
      <c r="C506" t="s">
        <v>183</v>
      </c>
      <c r="D506" t="s">
        <v>184</v>
      </c>
      <c r="E506" t="s">
        <v>262</v>
      </c>
      <c r="F506" s="37" t="s">
        <v>728</v>
      </c>
      <c r="G506" s="37" t="s">
        <v>799</v>
      </c>
      <c r="H506" s="37" t="s">
        <v>801</v>
      </c>
      <c r="I506">
        <v>1</v>
      </c>
      <c r="J506">
        <v>750</v>
      </c>
      <c r="K506" t="s">
        <v>158</v>
      </c>
      <c r="L506" s="37">
        <f>SUMIF(Wine1!A:A,Drank!A506,Wine1!I:I)</f>
        <v>0</v>
      </c>
      <c r="O506">
        <v>2020</v>
      </c>
      <c r="P506">
        <v>2022</v>
      </c>
      <c r="R506">
        <v>88</v>
      </c>
      <c r="S506" s="7">
        <f>AVERAGEIF(A:A,A506,R:R)</f>
        <v>87</v>
      </c>
      <c r="T506" s="1">
        <v>43464</v>
      </c>
      <c r="U506" s="13" t="str">
        <f>TEXT(T506,"mmmm")</f>
        <v>December</v>
      </c>
      <c r="V506" s="12">
        <f>T506</f>
        <v>43464</v>
      </c>
      <c r="W506" s="2">
        <v>14.39</v>
      </c>
      <c r="Y506" s="11">
        <f t="shared" si="129"/>
        <v>14.39</v>
      </c>
      <c r="Z506" s="109"/>
      <c r="AA506" s="37">
        <f>IF(Y506&gt;=Expenses!$C$32,4,IF(Y506&gt;=Expenses!$C$31,3,IF(Y506&gt;=Expenses!$C$30,2,1)))</f>
        <v>1</v>
      </c>
      <c r="AB506" s="37">
        <f t="shared" si="130"/>
        <v>1</v>
      </c>
      <c r="AC506" s="37" t="str">
        <f t="shared" si="131"/>
        <v>2018</v>
      </c>
    </row>
    <row r="507" spans="1:29" ht="18.75" x14ac:dyDescent="0.3">
      <c r="A507" s="37" t="str">
        <f t="shared" si="128"/>
        <v>1995RavenswoodZinfandel Wood Road Belloni Vineyard</v>
      </c>
      <c r="B507">
        <v>1995</v>
      </c>
      <c r="C507" t="s">
        <v>156</v>
      </c>
      <c r="D507" t="s">
        <v>157</v>
      </c>
      <c r="E507" t="s">
        <v>151</v>
      </c>
      <c r="F507" s="19" t="s">
        <v>727</v>
      </c>
      <c r="G507" s="19" t="s">
        <v>806</v>
      </c>
      <c r="H507" s="19" t="s">
        <v>831</v>
      </c>
      <c r="I507">
        <v>1</v>
      </c>
      <c r="J507">
        <v>750</v>
      </c>
      <c r="K507" t="s">
        <v>158</v>
      </c>
      <c r="L507" s="37">
        <f>SUMIF(Wine1!A:A,Drank!A507,Wine1!I:I)</f>
        <v>0</v>
      </c>
      <c r="M507">
        <v>1997</v>
      </c>
      <c r="N507">
        <v>2007</v>
      </c>
      <c r="P507">
        <v>2012</v>
      </c>
      <c r="Q507">
        <v>90</v>
      </c>
      <c r="R507">
        <v>94</v>
      </c>
      <c r="S507" s="7">
        <f>AVERAGEIF(A:A,A507,R:R)</f>
        <v>94</v>
      </c>
      <c r="T507" s="1">
        <v>43459</v>
      </c>
      <c r="U507" s="13" t="str">
        <f>TEXT(T507,"mmmm")</f>
        <v>December</v>
      </c>
      <c r="V507" s="12">
        <f>T507</f>
        <v>43459</v>
      </c>
      <c r="W507" s="2">
        <v>30</v>
      </c>
      <c r="Y507" s="11">
        <f t="shared" si="129"/>
        <v>30</v>
      </c>
      <c r="Z507" s="109"/>
      <c r="AA507" s="37">
        <f>IF(Y507&gt;=Expenses!$C$32,4,IF(Y507&gt;=Expenses!$C$31,3,IF(Y507&gt;=Expenses!$C$30,2,1)))</f>
        <v>3</v>
      </c>
      <c r="AB507" s="37">
        <f t="shared" si="130"/>
        <v>1</v>
      </c>
      <c r="AC507" s="37" t="str">
        <f t="shared" si="131"/>
        <v>2018</v>
      </c>
    </row>
    <row r="508" spans="1:29" x14ac:dyDescent="0.25">
      <c r="I508">
        <f>SUM(I222:I507)</f>
        <v>285</v>
      </c>
    </row>
  </sheetData>
  <autoFilter ref="A1:AH508" xr:uid="{CF4024B0-FD40-4BA9-8CAA-18BB696D2912}"/>
  <conditionalFormatting sqref="P470 P476:P478 R492:R616 P483:P491 M407 P407 O406:O409 Q412:Q413 R412 O403 R408:R409 Q403:Q410 O411 P396:P397 S77:S507">
    <cfRule type="expression" dxfId="6" priority="15">
      <formula>MOD(M77,1)&gt;0</formula>
    </cfRule>
  </conditionalFormatting>
  <conditionalFormatting sqref="P479:P482">
    <cfRule type="expression" dxfId="5" priority="13">
      <formula>MOD(P479,1)&gt;0</formula>
    </cfRule>
  </conditionalFormatting>
  <conditionalFormatting sqref="R410">
    <cfRule type="expression" dxfId="4" priority="12">
      <formula>MOD(R410,1)&gt;0</formula>
    </cfRule>
  </conditionalFormatting>
  <conditionalFormatting sqref="N270">
    <cfRule type="expression" dxfId="3" priority="6">
      <formula>MOD(N270,1)&gt;0</formula>
    </cfRule>
  </conditionalFormatting>
  <conditionalFormatting sqref="S2:S76">
    <cfRule type="expression" dxfId="2" priority="5">
      <formula>MOD(S2,1)&gt;0</formula>
    </cfRule>
  </conditionalFormatting>
  <conditionalFormatting sqref="Z64:Z507">
    <cfRule type="iconSet" priority="4">
      <iconSet iconSet="5Quarters" showValue="0">
        <cfvo type="percent" val="0"/>
        <cfvo type="num" val="2"/>
        <cfvo type="num" val="3"/>
        <cfvo type="num" val="4"/>
        <cfvo type="num" val="5"/>
      </iconSet>
    </cfRule>
  </conditionalFormatting>
  <conditionalFormatting sqref="Z2:Z63">
    <cfRule type="iconSet" priority="3">
      <iconSet iconSet="5Quarters" showValue="0">
        <cfvo type="percent" val="0"/>
        <cfvo type="num" val="2"/>
        <cfvo type="num" val="3"/>
        <cfvo type="num" val="4"/>
        <cfvo type="num" val="5"/>
      </iconSet>
    </cfRule>
  </conditionalFormatting>
  <conditionalFormatting sqref="N14">
    <cfRule type="expression" dxfId="1" priority="2">
      <formula>MOD(N14,1)&gt;0</formula>
    </cfRule>
  </conditionalFormatting>
  <conditionalFormatting sqref="P14">
    <cfRule type="expression" dxfId="0" priority="1">
      <formula>MOD(P14,1)&gt;0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4">
        <x14:dataValidation type="list" allowBlank="1" showInputMessage="1" showErrorMessage="1" xr:uid="{00000000-0002-0000-0100-000000000000}">
          <x14:formula1>
            <xm:f>Key!$A$1:$A$98</xm:f>
          </x14:formula1>
          <xm:sqref>K448:K449 K451:K455</xm:sqref>
        </x14:dataValidation>
        <x14:dataValidation type="list" allowBlank="1" showInputMessage="1" showErrorMessage="1" xr:uid="{E3BBDCDD-9195-42B8-8946-C37E667C555C}">
          <x14:formula1>
            <xm:f>Key!$A$1:$A$102</xm:f>
          </x14:formula1>
          <xm:sqref>K456:K457 K381 K467 K473 K405 K385</xm:sqref>
        </x14:dataValidation>
        <x14:dataValidation type="list" allowBlank="1" showInputMessage="1" showErrorMessage="1" xr:uid="{3760A9DD-11E6-4F07-BC0C-1965A49A2E55}">
          <x14:formula1>
            <xm:f>Key!$A$1:$A$105</xm:f>
          </x14:formula1>
          <xm:sqref>K358 K349 K337 K339 K325</xm:sqref>
        </x14:dataValidation>
        <x14:dataValidation type="list" allowBlank="1" showInputMessage="1" showErrorMessage="1" xr:uid="{569895A5-5C26-46CA-98ED-F4DBBD7FE83D}">
          <x14:formula1>
            <xm:f>Key!$A$1:$A$113</xm:f>
          </x14:formula1>
          <xm:sqref>K230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5A90-CC21-44EE-B997-28B4597EB80F}">
  <dimension ref="A1:BL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RowHeight="15" x14ac:dyDescent="0.25"/>
  <cols>
    <col min="1" max="1" width="19" bestFit="1" customWidth="1"/>
  </cols>
  <sheetData>
    <row r="1" spans="1:64" x14ac:dyDescent="0.25">
      <c r="B1" s="142" t="s">
        <v>1453</v>
      </c>
      <c r="C1" s="143"/>
      <c r="D1" s="143"/>
      <c r="E1" s="143"/>
      <c r="F1" s="43"/>
      <c r="G1" t="s">
        <v>1454</v>
      </c>
    </row>
    <row r="2" spans="1:64" x14ac:dyDescent="0.25">
      <c r="A2" s="37"/>
      <c r="B2" s="53">
        <v>1</v>
      </c>
      <c r="C2" s="54">
        <v>2</v>
      </c>
      <c r="D2" s="54">
        <v>3</v>
      </c>
      <c r="E2" s="54">
        <v>4</v>
      </c>
      <c r="F2" s="43" t="s">
        <v>664</v>
      </c>
      <c r="G2" s="94">
        <v>2020</v>
      </c>
      <c r="H2" s="94">
        <v>2021</v>
      </c>
      <c r="I2" s="94">
        <v>2022</v>
      </c>
      <c r="J2" s="94">
        <v>2023</v>
      </c>
      <c r="K2" s="94">
        <v>2024</v>
      </c>
      <c r="L2" s="94">
        <v>2025</v>
      </c>
      <c r="M2" s="94">
        <v>2026</v>
      </c>
      <c r="N2" s="94">
        <v>2027</v>
      </c>
      <c r="O2" s="94">
        <v>2028</v>
      </c>
      <c r="P2" s="94">
        <v>2029</v>
      </c>
      <c r="Q2" s="94">
        <v>2030</v>
      </c>
      <c r="R2" s="94">
        <v>2031</v>
      </c>
      <c r="S2" s="94">
        <v>2032</v>
      </c>
      <c r="T2" s="94">
        <v>2033</v>
      </c>
      <c r="U2" s="94">
        <v>2034</v>
      </c>
      <c r="V2" s="94">
        <v>2035</v>
      </c>
      <c r="W2" s="94">
        <v>2036</v>
      </c>
      <c r="X2" s="94">
        <v>2037</v>
      </c>
      <c r="Y2" s="94">
        <v>2038</v>
      </c>
      <c r="Z2" s="94">
        <v>2039</v>
      </c>
      <c r="AA2" s="94">
        <v>2040</v>
      </c>
      <c r="AB2" s="94">
        <v>2041</v>
      </c>
      <c r="AC2" s="94">
        <v>2042</v>
      </c>
      <c r="AD2" s="94">
        <v>2043</v>
      </c>
      <c r="AE2" s="94">
        <v>2044</v>
      </c>
      <c r="AF2" s="94">
        <v>2045</v>
      </c>
      <c r="AG2" s="94">
        <v>2046</v>
      </c>
      <c r="AH2" s="94">
        <v>2047</v>
      </c>
      <c r="AI2" s="94">
        <v>2048</v>
      </c>
      <c r="AJ2" s="94">
        <v>2049</v>
      </c>
      <c r="AK2" s="94">
        <v>2050</v>
      </c>
      <c r="AL2" s="94">
        <v>2051</v>
      </c>
      <c r="AM2" s="94">
        <v>2052</v>
      </c>
      <c r="AN2" s="94">
        <v>2053</v>
      </c>
      <c r="AO2" s="94">
        <v>2054</v>
      </c>
      <c r="AP2" s="94">
        <v>2055</v>
      </c>
      <c r="AQ2" s="94">
        <v>2056</v>
      </c>
      <c r="AR2" s="94">
        <v>2057</v>
      </c>
      <c r="AS2" s="94">
        <v>2058</v>
      </c>
      <c r="AT2" s="94">
        <v>2059</v>
      </c>
      <c r="AU2" s="94">
        <v>2060</v>
      </c>
      <c r="AV2" s="94">
        <v>2061</v>
      </c>
      <c r="AW2" s="94">
        <v>2062</v>
      </c>
      <c r="AX2" s="94">
        <v>2063</v>
      </c>
      <c r="AY2" s="94">
        <v>2064</v>
      </c>
      <c r="AZ2" s="94">
        <v>2065</v>
      </c>
      <c r="BA2" s="94">
        <v>2066</v>
      </c>
      <c r="BB2" s="94">
        <v>2067</v>
      </c>
      <c r="BC2" s="94">
        <v>2068</v>
      </c>
      <c r="BD2" s="94">
        <v>2069</v>
      </c>
      <c r="BE2" s="94">
        <v>2070</v>
      </c>
      <c r="BF2" s="94">
        <v>2071</v>
      </c>
      <c r="BG2" s="94">
        <v>2072</v>
      </c>
      <c r="BH2" s="94">
        <v>2073</v>
      </c>
      <c r="BI2" s="94">
        <v>2074</v>
      </c>
      <c r="BJ2" s="94">
        <v>2075</v>
      </c>
      <c r="BK2" s="94">
        <v>2076</v>
      </c>
      <c r="BL2" s="94">
        <v>2077</v>
      </c>
    </row>
    <row r="3" spans="1:64" x14ac:dyDescent="0.25">
      <c r="A3" t="s">
        <v>285</v>
      </c>
      <c r="B3" s="95">
        <f>COUNTIFS(Wine1!$AF:$AF,Sheet1!B$2,Wine1!$E:$E,"*" &amp; Sheet1!$A3 &amp;"*")</f>
        <v>0</v>
      </c>
      <c r="C3" s="9">
        <f>COUNTIFS(Wine1!$AF:$AF,Sheet1!C$2,Wine1!$E:$E,"*" &amp; Sheet1!$A3 &amp;"*")</f>
        <v>1</v>
      </c>
      <c r="D3" s="9">
        <f>COUNTIFS(Wine1!$AF:$AF,Sheet1!D$2,Wine1!$E:$E,"*" &amp; Sheet1!$A3 &amp;"*")</f>
        <v>5</v>
      </c>
      <c r="E3" s="9">
        <f>COUNTIFS(Wine1!$AF:$AF,Sheet1!E$2,Wine1!$E:$E,"*" &amp; Sheet1!$A3 &amp;"*")</f>
        <v>0</v>
      </c>
      <c r="F3" s="43">
        <f t="shared" ref="F3:F34" si="0">SUM(B3,C3,D3,E3)</f>
        <v>6</v>
      </c>
      <c r="G3" s="37">
        <f>COUNTIFS(Wine1!$AA:$AA,Sheet1!G$2,Wine1!$E:$E,"*" &amp; Sheet1!$A3 &amp;"*")</f>
        <v>1</v>
      </c>
      <c r="H3" s="37">
        <f>COUNTIFS(Wine1!$AA:$AA,Sheet1!H$2,Wine1!$E:$E,"*" &amp; Sheet1!$A3 &amp;"*")</f>
        <v>1</v>
      </c>
      <c r="I3" s="37">
        <f>COUNTIFS(Wine1!$AA:$AA,Sheet1!I$2,Wine1!$E:$E,"*" &amp; Sheet1!$A3 &amp;"*")</f>
        <v>1</v>
      </c>
      <c r="J3" s="37">
        <f>COUNTIFS(Wine1!$AA:$AA,Sheet1!J$2,Wine1!$E:$E,"*" &amp; Sheet1!$A3 &amp;"*")</f>
        <v>0</v>
      </c>
      <c r="K3" s="37">
        <f>COUNTIFS(Wine1!$AA:$AA,Sheet1!K$2,Wine1!$E:$E,"*" &amp; Sheet1!$A3 &amp;"*")</f>
        <v>1</v>
      </c>
      <c r="L3" s="37">
        <f>COUNTIFS(Wine1!$AA:$AA,Sheet1!L$2,Wine1!$E:$E,"*" &amp; Sheet1!$A3 &amp;"*")</f>
        <v>1</v>
      </c>
      <c r="M3" s="37">
        <f>COUNTIFS(Wine1!$AA:$AA,Sheet1!M$2,Wine1!$E:$E,"*" &amp; Sheet1!$A3 &amp;"*")</f>
        <v>0</v>
      </c>
      <c r="N3" s="37">
        <f>COUNTIFS(Wine1!$AA:$AA,Sheet1!N$2,Wine1!$E:$E,"*" &amp; Sheet1!$A3 &amp;"*")</f>
        <v>1</v>
      </c>
      <c r="O3" s="37">
        <f>COUNTIFS(Wine1!$AA:$AA,Sheet1!O$2,Wine1!$E:$E,"*" &amp; Sheet1!$A3 &amp;"*")</f>
        <v>0</v>
      </c>
      <c r="P3" s="37">
        <f>COUNTIFS(Wine1!$AA:$AA,Sheet1!P$2,Wine1!$E:$E,"*" &amp; Sheet1!$A3 &amp;"*")</f>
        <v>0</v>
      </c>
      <c r="Q3" s="37">
        <f>COUNTIFS(Wine1!$AA:$AA,Sheet1!Q$2,Wine1!$E:$E,"*" &amp; Sheet1!$A3 &amp;"*")</f>
        <v>0</v>
      </c>
      <c r="R3" s="37">
        <f>COUNTIFS(Wine1!$AA:$AA,Sheet1!R$2,Wine1!$E:$E,"*" &amp; Sheet1!$A3 &amp;"*")</f>
        <v>0</v>
      </c>
      <c r="S3" s="37">
        <f>COUNTIFS(Wine1!$AA:$AA,Sheet1!S$2,Wine1!$E:$E,"*" &amp; Sheet1!$A3 &amp;"*")</f>
        <v>0</v>
      </c>
      <c r="T3" s="37">
        <f>COUNTIFS(Wine1!$AA:$AA,Sheet1!T$2,Wine1!$E:$E,"*" &amp; Sheet1!$A3 &amp;"*")</f>
        <v>0</v>
      </c>
      <c r="U3" s="37">
        <f>COUNTIFS(Wine1!$AA:$AA,Sheet1!U$2,Wine1!$E:$E,"*" &amp; Sheet1!$A3 &amp;"*")</f>
        <v>0</v>
      </c>
      <c r="V3" s="37">
        <f>COUNTIFS(Wine1!$AA:$AA,Sheet1!V$2,Wine1!$E:$E,"*" &amp; Sheet1!$A3 &amp;"*")</f>
        <v>0</v>
      </c>
      <c r="W3" s="37">
        <f>COUNTIFS(Wine1!$AA:$AA,Sheet1!W$2,Wine1!$E:$E,"*" &amp; Sheet1!$A3 &amp;"*")</f>
        <v>0</v>
      </c>
      <c r="X3" s="37">
        <f>COUNTIFS(Wine1!$AA:$AA,Sheet1!X$2,Wine1!$E:$E,"*" &amp; Sheet1!$A3 &amp;"*")</f>
        <v>0</v>
      </c>
      <c r="Y3" s="37">
        <f>COUNTIFS(Wine1!$AA:$AA,Sheet1!Y$2,Wine1!$E:$E,"*" &amp; Sheet1!$A3 &amp;"*")</f>
        <v>0</v>
      </c>
      <c r="Z3" s="37">
        <f>COUNTIFS(Wine1!$AA:$AA,Sheet1!Z$2,Wine1!$E:$E,"*" &amp; Sheet1!$A3 &amp;"*")</f>
        <v>0</v>
      </c>
      <c r="AA3" s="37">
        <f>COUNTIFS(Wine1!$AA:$AA,Sheet1!AA$2,Wine1!$E:$E,"*" &amp; Sheet1!$A3 &amp;"*")</f>
        <v>0</v>
      </c>
      <c r="AB3" s="37">
        <f>COUNTIFS(Wine1!$AA:$AA,Sheet1!AB$2,Wine1!$E:$E,"*" &amp; Sheet1!$A3 &amp;"*")</f>
        <v>0</v>
      </c>
      <c r="AC3" s="37">
        <f>COUNTIFS(Wine1!$AA:$AA,Sheet1!AC$2,Wine1!$E:$E,"*" &amp; Sheet1!$A3 &amp;"*")</f>
        <v>0</v>
      </c>
      <c r="AD3" s="37">
        <f>COUNTIFS(Wine1!$AA:$AA,Sheet1!AD$2,Wine1!$E:$E,"*" &amp; Sheet1!$A3 &amp;"*")</f>
        <v>0</v>
      </c>
      <c r="AE3" s="37">
        <f>COUNTIFS(Wine1!$AA:$AA,Sheet1!AE$2,Wine1!$E:$E,"*" &amp; Sheet1!$A3 &amp;"*")</f>
        <v>0</v>
      </c>
      <c r="AF3" s="37">
        <f>COUNTIFS(Wine1!$AA:$AA,Sheet1!AF$2,Wine1!$E:$E,"*" &amp; Sheet1!$A3 &amp;"*")</f>
        <v>0</v>
      </c>
      <c r="AG3" s="37">
        <f>COUNTIFS(Wine1!$AA:$AA,Sheet1!AG$2,Wine1!$E:$E,"*" &amp; Sheet1!$A3 &amp;"*")</f>
        <v>0</v>
      </c>
      <c r="AH3" s="37">
        <f>COUNTIFS(Wine1!$AA:$AA,Sheet1!AH$2,Wine1!$E:$E,"*" &amp; Sheet1!$A3 &amp;"*")</f>
        <v>0</v>
      </c>
      <c r="AI3" s="37">
        <f>COUNTIFS(Wine1!$AA:$AA,Sheet1!AI$2,Wine1!$E:$E,"*" &amp; Sheet1!$A3 &amp;"*")</f>
        <v>0</v>
      </c>
      <c r="AJ3" s="37">
        <f>COUNTIFS(Wine1!$AA:$AA,Sheet1!AJ$2,Wine1!$E:$E,"*" &amp; Sheet1!$A3 &amp;"*")</f>
        <v>0</v>
      </c>
      <c r="AK3" s="37">
        <f>COUNTIFS(Wine1!$AA:$AA,Sheet1!AK$2,Wine1!$E:$E,"*" &amp; Sheet1!$A3 &amp;"*")</f>
        <v>0</v>
      </c>
      <c r="AL3" s="37">
        <f>COUNTIFS(Wine1!$AA:$AA,Sheet1!AL$2,Wine1!$E:$E,"*" &amp; Sheet1!$A3 &amp;"*")</f>
        <v>0</v>
      </c>
      <c r="AM3" s="37">
        <f>COUNTIFS(Wine1!$AA:$AA,Sheet1!AM$2,Wine1!$E:$E,"*" &amp; Sheet1!$A3 &amp;"*")</f>
        <v>0</v>
      </c>
      <c r="AN3" s="37">
        <f>COUNTIFS(Wine1!$AA:$AA,Sheet1!AN$2,Wine1!$E:$E,"*" &amp; Sheet1!$A3 &amp;"*")</f>
        <v>0</v>
      </c>
      <c r="AO3" s="37">
        <f>COUNTIFS(Wine1!$AA:$AA,Sheet1!AO$2,Wine1!$E:$E,"*" &amp; Sheet1!$A3 &amp;"*")</f>
        <v>0</v>
      </c>
      <c r="AP3" s="37">
        <f>COUNTIFS(Wine1!$AA:$AA,Sheet1!AP$2,Wine1!$E:$E,"*" &amp; Sheet1!$A3 &amp;"*")</f>
        <v>0</v>
      </c>
      <c r="AQ3" s="37">
        <f>COUNTIFS(Wine1!$AA:$AA,Sheet1!AQ$2,Wine1!$E:$E,"*" &amp; Sheet1!$A3 &amp;"*")</f>
        <v>0</v>
      </c>
      <c r="AR3" s="37">
        <f>COUNTIFS(Wine1!$AA:$AA,Sheet1!AR$2,Wine1!$E:$E,"*" &amp; Sheet1!$A3 &amp;"*")</f>
        <v>0</v>
      </c>
      <c r="AS3" s="37">
        <f>COUNTIFS(Wine1!$AA:$AA,Sheet1!AS$2,Wine1!$E:$E,"*" &amp; Sheet1!$A3 &amp;"*")</f>
        <v>0</v>
      </c>
      <c r="AT3" s="37">
        <f>COUNTIFS(Wine1!$AA:$AA,Sheet1!AT$2,Wine1!$E:$E,"*" &amp; Sheet1!$A3 &amp;"*")</f>
        <v>0</v>
      </c>
      <c r="AU3" s="37">
        <f>COUNTIFS(Wine1!$AA:$AA,Sheet1!AU$2,Wine1!$E:$E,"*" &amp; Sheet1!$A3 &amp;"*")</f>
        <v>0</v>
      </c>
      <c r="AV3" s="37">
        <f>COUNTIFS(Wine1!$AA:$AA,Sheet1!AV$2,Wine1!$E:$E,"*" &amp; Sheet1!$A3 &amp;"*")</f>
        <v>0</v>
      </c>
      <c r="AW3" s="37">
        <f>COUNTIFS(Wine1!$AA:$AA,Sheet1!AW$2,Wine1!$E:$E,"*" &amp; Sheet1!$A3 &amp;"*")</f>
        <v>0</v>
      </c>
      <c r="AX3" s="37">
        <f>COUNTIFS(Wine1!$AA:$AA,Sheet1!AX$2,Wine1!$E:$E,"*" &amp; Sheet1!$A3 &amp;"*")</f>
        <v>0</v>
      </c>
      <c r="AY3" s="37">
        <f>COUNTIFS(Wine1!$AA:$AA,Sheet1!AY$2,Wine1!$E:$E,"*" &amp; Sheet1!$A3 &amp;"*")</f>
        <v>0</v>
      </c>
      <c r="AZ3" s="37">
        <f>COUNTIFS(Wine1!$AA:$AA,Sheet1!AZ$2,Wine1!$E:$E,"*" &amp; Sheet1!$A3 &amp;"*")</f>
        <v>0</v>
      </c>
      <c r="BA3" s="37">
        <f>COUNTIFS(Wine1!$AA:$AA,Sheet1!BA$2,Wine1!$E:$E,"*" &amp; Sheet1!$A3 &amp;"*")</f>
        <v>0</v>
      </c>
      <c r="BB3" s="37">
        <f>COUNTIFS(Wine1!$AA:$AA,Sheet1!BB$2,Wine1!$E:$E,"*" &amp; Sheet1!$A3 &amp;"*")</f>
        <v>0</v>
      </c>
      <c r="BC3" s="37">
        <f>COUNTIFS(Wine1!$AA:$AA,Sheet1!BC$2,Wine1!$E:$E,"*" &amp; Sheet1!$A3 &amp;"*")</f>
        <v>0</v>
      </c>
      <c r="BD3" s="37">
        <f>COUNTIFS(Wine1!$AA:$AA,Sheet1!BD$2,Wine1!$E:$E,"*" &amp; Sheet1!$A3 &amp;"*")</f>
        <v>0</v>
      </c>
      <c r="BE3" s="37">
        <f>COUNTIFS(Wine1!$AA:$AA,Sheet1!BE$2,Wine1!$E:$E,"*" &amp; Sheet1!$A3 &amp;"*")</f>
        <v>0</v>
      </c>
      <c r="BF3" s="37">
        <f>COUNTIFS(Wine1!$AA:$AA,Sheet1!BF$2,Wine1!$E:$E,"*" &amp; Sheet1!$A3 &amp;"*")</f>
        <v>0</v>
      </c>
      <c r="BG3" s="37">
        <f>COUNTIFS(Wine1!$AA:$AA,Sheet1!BG$2,Wine1!$E:$E,"*" &amp; Sheet1!$A3 &amp;"*")</f>
        <v>0</v>
      </c>
      <c r="BH3" s="37">
        <f>COUNTIFS(Wine1!$AA:$AA,Sheet1!BH$2,Wine1!$E:$E,"*" &amp; Sheet1!$A3 &amp;"*")</f>
        <v>0</v>
      </c>
      <c r="BI3" s="37">
        <f>COUNTIFS(Wine1!$AA:$AA,Sheet1!BI$2,Wine1!$E:$E,"*" &amp; Sheet1!$A3 &amp;"*")</f>
        <v>0</v>
      </c>
      <c r="BJ3" s="37">
        <f>COUNTIFS(Wine1!$AA:$AA,Sheet1!BJ$2,Wine1!$E:$E,"*" &amp; Sheet1!$A3 &amp;"*")</f>
        <v>0</v>
      </c>
      <c r="BK3" s="37">
        <f>COUNTIFS(Wine1!$AA:$AA,Sheet1!BK$2,Wine1!$E:$E,"*" &amp; Sheet1!$A3 &amp;"*")</f>
        <v>0</v>
      </c>
      <c r="BL3" s="37">
        <f>COUNTIFS(Wine1!$AA:$AA,Sheet1!BL$2,Wine1!$E:$E,"*" &amp; Sheet1!$A3 &amp;"*")</f>
        <v>0</v>
      </c>
    </row>
    <row r="4" spans="1:64" x14ac:dyDescent="0.25">
      <c r="A4" t="s">
        <v>264</v>
      </c>
      <c r="B4" s="95">
        <f>COUNTIFS(Wine1!$AF:$AF,Sheet1!B$2,Wine1!$E:$E,"*" &amp; Sheet1!$A4 &amp;"*")</f>
        <v>0</v>
      </c>
      <c r="C4" s="9">
        <f>COUNTIFS(Wine1!$AF:$AF,Sheet1!C$2,Wine1!$E:$E,"*" &amp; Sheet1!$A4 &amp;"*")</f>
        <v>0</v>
      </c>
      <c r="D4" s="96">
        <f>COUNTIFS(Wine1!$AF:$AF,Sheet1!D$2,Wine1!$E:$E,"*" &amp; Sheet1!$A4 &amp;"*")</f>
        <v>25</v>
      </c>
      <c r="E4" s="96">
        <f>COUNTIFS(Wine1!$AF:$AF,Sheet1!E$2,Wine1!$E:$E,"*" &amp; Sheet1!$A4 &amp;"*")</f>
        <v>7</v>
      </c>
      <c r="F4" s="43">
        <f t="shared" si="0"/>
        <v>32</v>
      </c>
      <c r="G4" s="37">
        <f>COUNTIFS(Wine1!$AA:$AA,Sheet1!G$2,Wine1!$E:$E,"*" &amp; Sheet1!$A4 &amp;"*")</f>
        <v>0</v>
      </c>
      <c r="H4" s="37">
        <f>COUNTIFS(Wine1!$AA:$AA,Sheet1!H$2,Wine1!$E:$E,"*" &amp; Sheet1!$A4 &amp;"*")</f>
        <v>3</v>
      </c>
      <c r="I4" s="37">
        <f>COUNTIFS(Wine1!$AA:$AA,Sheet1!I$2,Wine1!$E:$E,"*" &amp; Sheet1!$A4 &amp;"*")</f>
        <v>1</v>
      </c>
      <c r="J4" s="37">
        <f>COUNTIFS(Wine1!$AA:$AA,Sheet1!J$2,Wine1!$E:$E,"*" &amp; Sheet1!$A4 &amp;"*")</f>
        <v>1</v>
      </c>
      <c r="K4" s="37">
        <f>COUNTIFS(Wine1!$AA:$AA,Sheet1!K$2,Wine1!$E:$E,"*" &amp; Sheet1!$A4 &amp;"*")</f>
        <v>3</v>
      </c>
      <c r="L4" s="37">
        <f>COUNTIFS(Wine1!$AA:$AA,Sheet1!L$2,Wine1!$E:$E,"*" &amp; Sheet1!$A4 &amp;"*")</f>
        <v>2</v>
      </c>
      <c r="M4" s="37">
        <f>COUNTIFS(Wine1!$AA:$AA,Sheet1!M$2,Wine1!$E:$E,"*" &amp; Sheet1!$A4 &amp;"*")</f>
        <v>4</v>
      </c>
      <c r="N4" s="37">
        <f>COUNTIFS(Wine1!$AA:$AA,Sheet1!N$2,Wine1!$E:$E,"*" &amp; Sheet1!$A4 &amp;"*")</f>
        <v>3</v>
      </c>
      <c r="O4" s="37">
        <f>COUNTIFS(Wine1!$AA:$AA,Sheet1!O$2,Wine1!$E:$E,"*" &amp; Sheet1!$A4 &amp;"*")</f>
        <v>6</v>
      </c>
      <c r="P4" s="37">
        <f>COUNTIFS(Wine1!$AA:$AA,Sheet1!P$2,Wine1!$E:$E,"*" &amp; Sheet1!$A4 &amp;"*")</f>
        <v>4</v>
      </c>
      <c r="Q4" s="37">
        <f>COUNTIFS(Wine1!$AA:$AA,Sheet1!Q$2,Wine1!$E:$E,"*" &amp; Sheet1!$A4 &amp;"*")</f>
        <v>1</v>
      </c>
      <c r="R4" s="37">
        <f>COUNTIFS(Wine1!$AA:$AA,Sheet1!R$2,Wine1!$E:$E,"*" &amp; Sheet1!$A4 &amp;"*")</f>
        <v>1</v>
      </c>
      <c r="S4" s="37">
        <f>COUNTIFS(Wine1!$AA:$AA,Sheet1!S$2,Wine1!$E:$E,"*" &amp; Sheet1!$A4 &amp;"*")</f>
        <v>2</v>
      </c>
      <c r="T4" s="37">
        <f>COUNTIFS(Wine1!$AA:$AA,Sheet1!T$2,Wine1!$E:$E,"*" &amp; Sheet1!$A4 &amp;"*")</f>
        <v>0</v>
      </c>
      <c r="U4" s="37">
        <f>COUNTIFS(Wine1!$AA:$AA,Sheet1!U$2,Wine1!$E:$E,"*" &amp; Sheet1!$A4 &amp;"*")</f>
        <v>0</v>
      </c>
      <c r="V4" s="37">
        <f>COUNTIFS(Wine1!$AA:$AA,Sheet1!V$2,Wine1!$E:$E,"*" &amp; Sheet1!$A4 &amp;"*")</f>
        <v>1</v>
      </c>
      <c r="W4" s="37">
        <f>COUNTIFS(Wine1!$AA:$AA,Sheet1!W$2,Wine1!$E:$E,"*" &amp; Sheet1!$A4 &amp;"*")</f>
        <v>0</v>
      </c>
      <c r="X4" s="37">
        <f>COUNTIFS(Wine1!$AA:$AA,Sheet1!X$2,Wine1!$E:$E,"*" &amp; Sheet1!$A4 &amp;"*")</f>
        <v>0</v>
      </c>
      <c r="Y4" s="37">
        <f>COUNTIFS(Wine1!$AA:$AA,Sheet1!Y$2,Wine1!$E:$E,"*" &amp; Sheet1!$A4 &amp;"*")</f>
        <v>0</v>
      </c>
      <c r="Z4" s="37">
        <f>COUNTIFS(Wine1!$AA:$AA,Sheet1!Z$2,Wine1!$E:$E,"*" &amp; Sheet1!$A4 &amp;"*")</f>
        <v>0</v>
      </c>
      <c r="AA4" s="37">
        <f>COUNTIFS(Wine1!$AA:$AA,Sheet1!AA$2,Wine1!$E:$E,"*" &amp; Sheet1!$A4 &amp;"*")</f>
        <v>0</v>
      </c>
      <c r="AB4" s="37">
        <f>COUNTIFS(Wine1!$AA:$AA,Sheet1!AB$2,Wine1!$E:$E,"*" &amp; Sheet1!$A4 &amp;"*")</f>
        <v>0</v>
      </c>
      <c r="AC4" s="37">
        <f>COUNTIFS(Wine1!$AA:$AA,Sheet1!AC$2,Wine1!$E:$E,"*" &amp; Sheet1!$A4 &amp;"*")</f>
        <v>0</v>
      </c>
      <c r="AD4" s="37">
        <f>COUNTIFS(Wine1!$AA:$AA,Sheet1!AD$2,Wine1!$E:$E,"*" &amp; Sheet1!$A4 &amp;"*")</f>
        <v>0</v>
      </c>
      <c r="AE4" s="37">
        <f>COUNTIFS(Wine1!$AA:$AA,Sheet1!AE$2,Wine1!$E:$E,"*" &amp; Sheet1!$A4 &amp;"*")</f>
        <v>0</v>
      </c>
      <c r="AF4" s="37">
        <f>COUNTIFS(Wine1!$AA:$AA,Sheet1!AF$2,Wine1!$E:$E,"*" &amp; Sheet1!$A4 &amp;"*")</f>
        <v>0</v>
      </c>
      <c r="AG4" s="37">
        <f>COUNTIFS(Wine1!$AA:$AA,Sheet1!AG$2,Wine1!$E:$E,"*" &amp; Sheet1!$A4 &amp;"*")</f>
        <v>0</v>
      </c>
      <c r="AH4" s="37">
        <f>COUNTIFS(Wine1!$AA:$AA,Sheet1!AH$2,Wine1!$E:$E,"*" &amp; Sheet1!$A4 &amp;"*")</f>
        <v>0</v>
      </c>
      <c r="AI4" s="37">
        <f>COUNTIFS(Wine1!$AA:$AA,Sheet1!AI$2,Wine1!$E:$E,"*" &amp; Sheet1!$A4 &amp;"*")</f>
        <v>0</v>
      </c>
      <c r="AJ4" s="37">
        <f>COUNTIFS(Wine1!$AA:$AA,Sheet1!AJ$2,Wine1!$E:$E,"*" &amp; Sheet1!$A4 &amp;"*")</f>
        <v>0</v>
      </c>
      <c r="AK4" s="37">
        <f>COUNTIFS(Wine1!$AA:$AA,Sheet1!AK$2,Wine1!$E:$E,"*" &amp; Sheet1!$A4 &amp;"*")</f>
        <v>0</v>
      </c>
      <c r="AL4" s="37">
        <f>COUNTIFS(Wine1!$AA:$AA,Sheet1!AL$2,Wine1!$E:$E,"*" &amp; Sheet1!$A4 &amp;"*")</f>
        <v>0</v>
      </c>
      <c r="AM4" s="37">
        <f>COUNTIFS(Wine1!$AA:$AA,Sheet1!AM$2,Wine1!$E:$E,"*" &amp; Sheet1!$A4 &amp;"*")</f>
        <v>0</v>
      </c>
      <c r="AN4" s="37">
        <f>COUNTIFS(Wine1!$AA:$AA,Sheet1!AN$2,Wine1!$E:$E,"*" &amp; Sheet1!$A4 &amp;"*")</f>
        <v>0</v>
      </c>
      <c r="AO4" s="37">
        <f>COUNTIFS(Wine1!$AA:$AA,Sheet1!AO$2,Wine1!$E:$E,"*" &amp; Sheet1!$A4 &amp;"*")</f>
        <v>0</v>
      </c>
      <c r="AP4" s="37">
        <f>COUNTIFS(Wine1!$AA:$AA,Sheet1!AP$2,Wine1!$E:$E,"*" &amp; Sheet1!$A4 &amp;"*")</f>
        <v>0</v>
      </c>
      <c r="AQ4" s="37">
        <f>COUNTIFS(Wine1!$AA:$AA,Sheet1!AQ$2,Wine1!$E:$E,"*" &amp; Sheet1!$A4 &amp;"*")</f>
        <v>0</v>
      </c>
      <c r="AR4" s="37">
        <f>COUNTIFS(Wine1!$AA:$AA,Sheet1!AR$2,Wine1!$E:$E,"*" &amp; Sheet1!$A4 &amp;"*")</f>
        <v>0</v>
      </c>
      <c r="AS4" s="37">
        <f>COUNTIFS(Wine1!$AA:$AA,Sheet1!AS$2,Wine1!$E:$E,"*" &amp; Sheet1!$A4 &amp;"*")</f>
        <v>0</v>
      </c>
      <c r="AT4" s="37">
        <f>COUNTIFS(Wine1!$AA:$AA,Sheet1!AT$2,Wine1!$E:$E,"*" &amp; Sheet1!$A4 &amp;"*")</f>
        <v>0</v>
      </c>
      <c r="AU4" s="37">
        <f>COUNTIFS(Wine1!$AA:$AA,Sheet1!AU$2,Wine1!$E:$E,"*" &amp; Sheet1!$A4 &amp;"*")</f>
        <v>0</v>
      </c>
      <c r="AV4" s="37">
        <f>COUNTIFS(Wine1!$AA:$AA,Sheet1!AV$2,Wine1!$E:$E,"*" &amp; Sheet1!$A4 &amp;"*")</f>
        <v>0</v>
      </c>
      <c r="AW4" s="37">
        <f>COUNTIFS(Wine1!$AA:$AA,Sheet1!AW$2,Wine1!$E:$E,"*" &amp; Sheet1!$A4 &amp;"*")</f>
        <v>0</v>
      </c>
      <c r="AX4" s="37">
        <f>COUNTIFS(Wine1!$AA:$AA,Sheet1!AX$2,Wine1!$E:$E,"*" &amp; Sheet1!$A4 &amp;"*")</f>
        <v>0</v>
      </c>
      <c r="AY4" s="37">
        <f>COUNTIFS(Wine1!$AA:$AA,Sheet1!AY$2,Wine1!$E:$E,"*" &amp; Sheet1!$A4 &amp;"*")</f>
        <v>0</v>
      </c>
      <c r="AZ4" s="37">
        <f>COUNTIFS(Wine1!$AA:$AA,Sheet1!AZ$2,Wine1!$E:$E,"*" &amp; Sheet1!$A4 &amp;"*")</f>
        <v>0</v>
      </c>
      <c r="BA4" s="37">
        <f>COUNTIFS(Wine1!$AA:$AA,Sheet1!BA$2,Wine1!$E:$E,"*" &amp; Sheet1!$A4 &amp;"*")</f>
        <v>0</v>
      </c>
      <c r="BB4" s="37">
        <f>COUNTIFS(Wine1!$AA:$AA,Sheet1!BB$2,Wine1!$E:$E,"*" &amp; Sheet1!$A4 &amp;"*")</f>
        <v>0</v>
      </c>
      <c r="BC4" s="37">
        <f>COUNTIFS(Wine1!$AA:$AA,Sheet1!BC$2,Wine1!$E:$E,"*" &amp; Sheet1!$A4 &amp;"*")</f>
        <v>0</v>
      </c>
      <c r="BD4" s="37">
        <f>COUNTIFS(Wine1!$AA:$AA,Sheet1!BD$2,Wine1!$E:$E,"*" &amp; Sheet1!$A4 &amp;"*")</f>
        <v>0</v>
      </c>
      <c r="BE4" s="37">
        <f>COUNTIFS(Wine1!$AA:$AA,Sheet1!BE$2,Wine1!$E:$E,"*" &amp; Sheet1!$A4 &amp;"*")</f>
        <v>0</v>
      </c>
      <c r="BF4" s="37">
        <f>COUNTIFS(Wine1!$AA:$AA,Sheet1!BF$2,Wine1!$E:$E,"*" &amp; Sheet1!$A4 &amp;"*")</f>
        <v>0</v>
      </c>
      <c r="BG4" s="37">
        <f>COUNTIFS(Wine1!$AA:$AA,Sheet1!BG$2,Wine1!$E:$E,"*" &amp; Sheet1!$A4 &amp;"*")</f>
        <v>0</v>
      </c>
      <c r="BH4" s="37">
        <f>COUNTIFS(Wine1!$AA:$AA,Sheet1!BH$2,Wine1!$E:$E,"*" &amp; Sheet1!$A4 &amp;"*")</f>
        <v>0</v>
      </c>
      <c r="BI4" s="37">
        <f>COUNTIFS(Wine1!$AA:$AA,Sheet1!BI$2,Wine1!$E:$E,"*" &amp; Sheet1!$A4 &amp;"*")</f>
        <v>0</v>
      </c>
      <c r="BJ4" s="37">
        <f>COUNTIFS(Wine1!$AA:$AA,Sheet1!BJ$2,Wine1!$E:$E,"*" &amp; Sheet1!$A4 &amp;"*")</f>
        <v>0</v>
      </c>
      <c r="BK4" s="37">
        <f>COUNTIFS(Wine1!$AA:$AA,Sheet1!BK$2,Wine1!$E:$E,"*" &amp; Sheet1!$A4 &amp;"*")</f>
        <v>0</v>
      </c>
      <c r="BL4" s="37">
        <f>COUNTIFS(Wine1!$AA:$AA,Sheet1!BL$2,Wine1!$E:$E,"*" &amp; Sheet1!$A4 &amp;"*")</f>
        <v>0</v>
      </c>
    </row>
    <row r="5" spans="1:64" x14ac:dyDescent="0.25">
      <c r="A5" t="s">
        <v>1192</v>
      </c>
      <c r="B5" s="95">
        <f>COUNTIFS(Wine1!$AF:$AF,Sheet1!B$2,Wine1!$E:$E,"*" &amp; Sheet1!$A5 &amp;"*")</f>
        <v>3</v>
      </c>
      <c r="C5" s="9">
        <f>COUNTIFS(Wine1!$AF:$AF,Sheet1!C$2,Wine1!$E:$E,"*" &amp; Sheet1!$A5 &amp;"*")</f>
        <v>16</v>
      </c>
      <c r="D5" s="9">
        <f>COUNTIFS(Wine1!$AF:$AF,Sheet1!D$2,Wine1!$E:$E,"*" &amp; Sheet1!$A5 &amp;"*")</f>
        <v>41</v>
      </c>
      <c r="E5" s="9">
        <f>COUNTIFS(Wine1!$AF:$AF,Sheet1!E$2,Wine1!$E:$E,"*" &amp; Sheet1!$A5 &amp;"*")</f>
        <v>14</v>
      </c>
      <c r="F5" s="43">
        <f t="shared" si="0"/>
        <v>74</v>
      </c>
      <c r="G5" s="37">
        <f>COUNTIFS(Wine1!$AA:$AA,Sheet1!G$2,Wine1!$E:$E,"*" &amp; Sheet1!$A5 &amp;"*")</f>
        <v>5</v>
      </c>
      <c r="H5" s="37">
        <f>COUNTIFS(Wine1!$AA:$AA,Sheet1!H$2,Wine1!$E:$E,"*" &amp; Sheet1!$A5 &amp;"*")</f>
        <v>1</v>
      </c>
      <c r="I5" s="37">
        <f>COUNTIFS(Wine1!$AA:$AA,Sheet1!I$2,Wine1!$E:$E,"*" &amp; Sheet1!$A5 &amp;"*")</f>
        <v>2</v>
      </c>
      <c r="J5" s="37">
        <f>COUNTIFS(Wine1!$AA:$AA,Sheet1!J$2,Wine1!$E:$E,"*" &amp; Sheet1!$A5 &amp;"*")</f>
        <v>6</v>
      </c>
      <c r="K5" s="37">
        <f>COUNTIFS(Wine1!$AA:$AA,Sheet1!K$2,Wine1!$E:$E,"*" &amp; Sheet1!$A5 &amp;"*")</f>
        <v>3</v>
      </c>
      <c r="L5" s="37">
        <f>COUNTIFS(Wine1!$AA:$AA,Sheet1!L$2,Wine1!$E:$E,"*" &amp; Sheet1!$A5 &amp;"*")</f>
        <v>4</v>
      </c>
      <c r="M5" s="37">
        <f>COUNTIFS(Wine1!$AA:$AA,Sheet1!M$2,Wine1!$E:$E,"*" &amp; Sheet1!$A5 &amp;"*")</f>
        <v>4</v>
      </c>
      <c r="N5" s="37">
        <f>COUNTIFS(Wine1!$AA:$AA,Sheet1!N$2,Wine1!$E:$E,"*" &amp; Sheet1!$A5 &amp;"*")</f>
        <v>4</v>
      </c>
      <c r="O5" s="37">
        <f>COUNTIFS(Wine1!$AA:$AA,Sheet1!O$2,Wine1!$E:$E,"*" &amp; Sheet1!$A5 &amp;"*")</f>
        <v>6</v>
      </c>
      <c r="P5" s="37">
        <f>COUNTIFS(Wine1!$AA:$AA,Sheet1!P$2,Wine1!$E:$E,"*" &amp; Sheet1!$A5 &amp;"*")</f>
        <v>5</v>
      </c>
      <c r="Q5" s="37">
        <f>COUNTIFS(Wine1!$AA:$AA,Sheet1!Q$2,Wine1!$E:$E,"*" &amp; Sheet1!$A5 &amp;"*")</f>
        <v>4</v>
      </c>
      <c r="R5" s="37">
        <f>COUNTIFS(Wine1!$AA:$AA,Sheet1!R$2,Wine1!$E:$E,"*" &amp; Sheet1!$A5 &amp;"*")</f>
        <v>6</v>
      </c>
      <c r="S5" s="37">
        <f>COUNTIFS(Wine1!$AA:$AA,Sheet1!S$2,Wine1!$E:$E,"*" &amp; Sheet1!$A5 &amp;"*")</f>
        <v>2</v>
      </c>
      <c r="T5" s="37">
        <f>COUNTIFS(Wine1!$AA:$AA,Sheet1!T$2,Wine1!$E:$E,"*" &amp; Sheet1!$A5 &amp;"*")</f>
        <v>3</v>
      </c>
      <c r="U5" s="37">
        <f>COUNTIFS(Wine1!$AA:$AA,Sheet1!U$2,Wine1!$E:$E,"*" &amp; Sheet1!$A5 &amp;"*")</f>
        <v>2</v>
      </c>
      <c r="V5" s="37">
        <f>COUNTIFS(Wine1!$AA:$AA,Sheet1!V$2,Wine1!$E:$E,"*" &amp; Sheet1!$A5 &amp;"*")</f>
        <v>4</v>
      </c>
      <c r="W5" s="37">
        <f>COUNTIFS(Wine1!$AA:$AA,Sheet1!W$2,Wine1!$E:$E,"*" &amp; Sheet1!$A5 &amp;"*")</f>
        <v>1</v>
      </c>
      <c r="X5" s="37">
        <f>COUNTIFS(Wine1!$AA:$AA,Sheet1!X$2,Wine1!$E:$E,"*" &amp; Sheet1!$A5 &amp;"*")</f>
        <v>1</v>
      </c>
      <c r="Y5" s="37">
        <f>COUNTIFS(Wine1!$AA:$AA,Sheet1!Y$2,Wine1!$E:$E,"*" &amp; Sheet1!$A5 &amp;"*")</f>
        <v>2</v>
      </c>
      <c r="Z5" s="37">
        <f>COUNTIFS(Wine1!$AA:$AA,Sheet1!Z$2,Wine1!$E:$E,"*" &amp; Sheet1!$A5 &amp;"*")</f>
        <v>2</v>
      </c>
      <c r="AA5" s="37">
        <f>COUNTIFS(Wine1!$AA:$AA,Sheet1!AA$2,Wine1!$E:$E,"*" &amp; Sheet1!$A5 &amp;"*")</f>
        <v>1</v>
      </c>
      <c r="AB5" s="37">
        <f>COUNTIFS(Wine1!$AA:$AA,Sheet1!AB$2,Wine1!$E:$E,"*" &amp; Sheet1!$A5 &amp;"*")</f>
        <v>1</v>
      </c>
      <c r="AC5" s="37">
        <f>COUNTIFS(Wine1!$AA:$AA,Sheet1!AC$2,Wine1!$E:$E,"*" &amp; Sheet1!$A5 &amp;"*")</f>
        <v>1</v>
      </c>
      <c r="AD5" s="37">
        <f>COUNTIFS(Wine1!$AA:$AA,Sheet1!AD$2,Wine1!$E:$E,"*" &amp; Sheet1!$A5 &amp;"*")</f>
        <v>1</v>
      </c>
      <c r="AE5" s="37">
        <f>COUNTIFS(Wine1!$AA:$AA,Sheet1!AE$2,Wine1!$E:$E,"*" &amp; Sheet1!$A5 &amp;"*")</f>
        <v>0</v>
      </c>
      <c r="AF5" s="37">
        <f>COUNTIFS(Wine1!$AA:$AA,Sheet1!AF$2,Wine1!$E:$E,"*" &amp; Sheet1!$A5 &amp;"*")</f>
        <v>2</v>
      </c>
      <c r="AG5" s="37">
        <f>COUNTIFS(Wine1!$AA:$AA,Sheet1!AG$2,Wine1!$E:$E,"*" &amp; Sheet1!$A5 &amp;"*")</f>
        <v>0</v>
      </c>
      <c r="AH5" s="37">
        <f>COUNTIFS(Wine1!$AA:$AA,Sheet1!AH$2,Wine1!$E:$E,"*" &amp; Sheet1!$A5 &amp;"*")</f>
        <v>0</v>
      </c>
      <c r="AI5" s="37">
        <f>COUNTIFS(Wine1!$AA:$AA,Sheet1!AI$2,Wine1!$E:$E,"*" &amp; Sheet1!$A5 &amp;"*")</f>
        <v>0</v>
      </c>
      <c r="AJ5" s="37">
        <f>COUNTIFS(Wine1!$AA:$AA,Sheet1!AJ$2,Wine1!$E:$E,"*" &amp; Sheet1!$A5 &amp;"*")</f>
        <v>1</v>
      </c>
      <c r="AK5" s="37">
        <f>COUNTIFS(Wine1!$AA:$AA,Sheet1!AK$2,Wine1!$E:$E,"*" &amp; Sheet1!$A5 &amp;"*")</f>
        <v>0</v>
      </c>
      <c r="AL5" s="37">
        <f>COUNTIFS(Wine1!$AA:$AA,Sheet1!AL$2,Wine1!$E:$E,"*" &amp; Sheet1!$A5 &amp;"*")</f>
        <v>0</v>
      </c>
      <c r="AM5" s="37">
        <f>COUNTIFS(Wine1!$AA:$AA,Sheet1!AM$2,Wine1!$E:$E,"*" &amp; Sheet1!$A5 &amp;"*")</f>
        <v>0</v>
      </c>
      <c r="AN5" s="37">
        <f>COUNTIFS(Wine1!$AA:$AA,Sheet1!AN$2,Wine1!$E:$E,"*" &amp; Sheet1!$A5 &amp;"*")</f>
        <v>0</v>
      </c>
      <c r="AO5" s="37">
        <f>COUNTIFS(Wine1!$AA:$AA,Sheet1!AO$2,Wine1!$E:$E,"*" &amp; Sheet1!$A5 &amp;"*")</f>
        <v>0</v>
      </c>
      <c r="AP5" s="37">
        <f>COUNTIFS(Wine1!$AA:$AA,Sheet1!AP$2,Wine1!$E:$E,"*" &amp; Sheet1!$A5 &amp;"*")</f>
        <v>0</v>
      </c>
      <c r="AQ5" s="37">
        <f>COUNTIFS(Wine1!$AA:$AA,Sheet1!AQ$2,Wine1!$E:$E,"*" &amp; Sheet1!$A5 &amp;"*")</f>
        <v>0</v>
      </c>
      <c r="AR5" s="37">
        <f>COUNTIFS(Wine1!$AA:$AA,Sheet1!AR$2,Wine1!$E:$E,"*" &amp; Sheet1!$A5 &amp;"*")</f>
        <v>0</v>
      </c>
      <c r="AS5" s="37">
        <f>COUNTIFS(Wine1!$AA:$AA,Sheet1!AS$2,Wine1!$E:$E,"*" &amp; Sheet1!$A5 &amp;"*")</f>
        <v>0</v>
      </c>
      <c r="AT5" s="37">
        <f>COUNTIFS(Wine1!$AA:$AA,Sheet1!AT$2,Wine1!$E:$E,"*" &amp; Sheet1!$A5 &amp;"*")</f>
        <v>0</v>
      </c>
      <c r="AU5" s="37">
        <f>COUNTIFS(Wine1!$AA:$AA,Sheet1!AU$2,Wine1!$E:$E,"*" &amp; Sheet1!$A5 &amp;"*")</f>
        <v>0</v>
      </c>
      <c r="AV5" s="37">
        <f>COUNTIFS(Wine1!$AA:$AA,Sheet1!AV$2,Wine1!$E:$E,"*" &amp; Sheet1!$A5 &amp;"*")</f>
        <v>0</v>
      </c>
      <c r="AW5" s="37">
        <f>COUNTIFS(Wine1!$AA:$AA,Sheet1!AW$2,Wine1!$E:$E,"*" &amp; Sheet1!$A5 &amp;"*")</f>
        <v>0</v>
      </c>
      <c r="AX5" s="37">
        <f>COUNTIFS(Wine1!$AA:$AA,Sheet1!AX$2,Wine1!$E:$E,"*" &amp; Sheet1!$A5 &amp;"*")</f>
        <v>0</v>
      </c>
      <c r="AY5" s="37">
        <f>COUNTIFS(Wine1!$AA:$AA,Sheet1!AY$2,Wine1!$E:$E,"*" &amp; Sheet1!$A5 &amp;"*")</f>
        <v>0</v>
      </c>
      <c r="AZ5" s="37">
        <f>COUNTIFS(Wine1!$AA:$AA,Sheet1!AZ$2,Wine1!$E:$E,"*" &amp; Sheet1!$A5 &amp;"*")</f>
        <v>0</v>
      </c>
      <c r="BA5" s="37">
        <f>COUNTIFS(Wine1!$AA:$AA,Sheet1!BA$2,Wine1!$E:$E,"*" &amp; Sheet1!$A5 &amp;"*")</f>
        <v>0</v>
      </c>
      <c r="BB5" s="37">
        <f>COUNTIFS(Wine1!$AA:$AA,Sheet1!BB$2,Wine1!$E:$E,"*" &amp; Sheet1!$A5 &amp;"*")</f>
        <v>0</v>
      </c>
      <c r="BC5" s="37">
        <f>COUNTIFS(Wine1!$AA:$AA,Sheet1!BC$2,Wine1!$E:$E,"*" &amp; Sheet1!$A5 &amp;"*")</f>
        <v>0</v>
      </c>
      <c r="BD5" s="37">
        <f>COUNTIFS(Wine1!$AA:$AA,Sheet1!BD$2,Wine1!$E:$E,"*" &amp; Sheet1!$A5 &amp;"*")</f>
        <v>0</v>
      </c>
      <c r="BE5" s="37">
        <f>COUNTIFS(Wine1!$AA:$AA,Sheet1!BE$2,Wine1!$E:$E,"*" &amp; Sheet1!$A5 &amp;"*")</f>
        <v>0</v>
      </c>
      <c r="BF5" s="37">
        <f>COUNTIFS(Wine1!$AA:$AA,Sheet1!BF$2,Wine1!$E:$E,"*" &amp; Sheet1!$A5 &amp;"*")</f>
        <v>0</v>
      </c>
      <c r="BG5" s="37">
        <f>COUNTIFS(Wine1!$AA:$AA,Sheet1!BG$2,Wine1!$E:$E,"*" &amp; Sheet1!$A5 &amp;"*")</f>
        <v>0</v>
      </c>
      <c r="BH5" s="37">
        <f>COUNTIFS(Wine1!$AA:$AA,Sheet1!BH$2,Wine1!$E:$E,"*" &amp; Sheet1!$A5 &amp;"*")</f>
        <v>0</v>
      </c>
      <c r="BI5" s="37">
        <f>COUNTIFS(Wine1!$AA:$AA,Sheet1!BI$2,Wine1!$E:$E,"*" &amp; Sheet1!$A5 &amp;"*")</f>
        <v>0</v>
      </c>
      <c r="BJ5" s="37">
        <f>COUNTIFS(Wine1!$AA:$AA,Sheet1!BJ$2,Wine1!$E:$E,"*" &amp; Sheet1!$A5 &amp;"*")</f>
        <v>0</v>
      </c>
      <c r="BK5" s="37">
        <f>COUNTIFS(Wine1!$AA:$AA,Sheet1!BK$2,Wine1!$E:$E,"*" &amp; Sheet1!$A5 &amp;"*")</f>
        <v>0</v>
      </c>
      <c r="BL5" s="37">
        <f>COUNTIFS(Wine1!$AA:$AA,Sheet1!BL$2,Wine1!$E:$E,"*" &amp; Sheet1!$A5 &amp;"*")</f>
        <v>0</v>
      </c>
    </row>
    <row r="6" spans="1:64" x14ac:dyDescent="0.25">
      <c r="A6" t="s">
        <v>32</v>
      </c>
      <c r="B6" s="97">
        <f>COUNTIFS(Wine1!$AF:$AF,Sheet1!B$2,Wine1!$E:$E,"*" &amp; Sheet1!$A6 &amp;"*")</f>
        <v>12</v>
      </c>
      <c r="C6" s="9">
        <f>COUNTIFS(Wine1!$AF:$AF,Sheet1!C$2,Wine1!$E:$E,"*" &amp; Sheet1!$A6 &amp;"*")</f>
        <v>26</v>
      </c>
      <c r="D6" s="9">
        <f>COUNTIFS(Wine1!$AF:$AF,Sheet1!D$2,Wine1!$E:$E,"*" &amp; Sheet1!$A6 &amp;"*")</f>
        <v>87</v>
      </c>
      <c r="E6" s="9">
        <f>COUNTIFS(Wine1!$AF:$AF,Sheet1!E$2,Wine1!$E:$E,"*" &amp; Sheet1!$A6 &amp;"*")</f>
        <v>36</v>
      </c>
      <c r="F6" s="99">
        <f t="shared" si="0"/>
        <v>161</v>
      </c>
      <c r="G6" s="37">
        <f>COUNTIFS(Wine1!$AA:$AA,Sheet1!G$2,Wine1!$E:$E,"*" &amp; Sheet1!$A6 &amp;"*")</f>
        <v>14</v>
      </c>
      <c r="H6" s="37">
        <f>COUNTIFS(Wine1!$AA:$AA,Sheet1!H$2,Wine1!$E:$E,"*" &amp; Sheet1!$A6 &amp;"*")</f>
        <v>7</v>
      </c>
      <c r="I6" s="37">
        <f>COUNTIFS(Wine1!$AA:$AA,Sheet1!I$2,Wine1!$E:$E,"*" &amp; Sheet1!$A6 &amp;"*")</f>
        <v>9</v>
      </c>
      <c r="J6" s="37">
        <f>COUNTIFS(Wine1!$AA:$AA,Sheet1!J$2,Wine1!$E:$E,"*" &amp; Sheet1!$A6 &amp;"*")</f>
        <v>14</v>
      </c>
      <c r="K6" s="37">
        <f>COUNTIFS(Wine1!$AA:$AA,Sheet1!K$2,Wine1!$E:$E,"*" &amp; Sheet1!$A6 &amp;"*")</f>
        <v>10</v>
      </c>
      <c r="L6" s="37">
        <f>COUNTIFS(Wine1!$AA:$AA,Sheet1!L$2,Wine1!$E:$E,"*" &amp; Sheet1!$A6 &amp;"*")</f>
        <v>11</v>
      </c>
      <c r="M6" s="37">
        <f>COUNTIFS(Wine1!$AA:$AA,Sheet1!M$2,Wine1!$E:$E,"*" &amp; Sheet1!$A6 &amp;"*")</f>
        <v>10</v>
      </c>
      <c r="N6" s="37">
        <f>COUNTIFS(Wine1!$AA:$AA,Sheet1!N$2,Wine1!$E:$E,"*" &amp; Sheet1!$A6 &amp;"*")</f>
        <v>10</v>
      </c>
      <c r="O6" s="37">
        <f>COUNTIFS(Wine1!$AA:$AA,Sheet1!O$2,Wine1!$E:$E,"*" &amp; Sheet1!$A6 &amp;"*")</f>
        <v>14</v>
      </c>
      <c r="P6" s="37">
        <f>COUNTIFS(Wine1!$AA:$AA,Sheet1!P$2,Wine1!$E:$E,"*" &amp; Sheet1!$A6 &amp;"*")</f>
        <v>7</v>
      </c>
      <c r="Q6" s="37">
        <f>COUNTIFS(Wine1!$AA:$AA,Sheet1!Q$2,Wine1!$E:$E,"*" &amp; Sheet1!$A6 &amp;"*")</f>
        <v>11</v>
      </c>
      <c r="R6" s="37">
        <f>COUNTIFS(Wine1!$AA:$AA,Sheet1!R$2,Wine1!$E:$E,"*" &amp; Sheet1!$A6 &amp;"*")</f>
        <v>7</v>
      </c>
      <c r="S6" s="37">
        <f>COUNTIFS(Wine1!$AA:$AA,Sheet1!S$2,Wine1!$E:$E,"*" &amp; Sheet1!$A6 &amp;"*")</f>
        <v>3</v>
      </c>
      <c r="T6" s="37">
        <f>COUNTIFS(Wine1!$AA:$AA,Sheet1!T$2,Wine1!$E:$E,"*" &amp; Sheet1!$A6 &amp;"*")</f>
        <v>4</v>
      </c>
      <c r="U6" s="37">
        <f>COUNTIFS(Wine1!$AA:$AA,Sheet1!U$2,Wine1!$E:$E,"*" &amp; Sheet1!$A6 &amp;"*")</f>
        <v>3</v>
      </c>
      <c r="V6" s="37">
        <f>COUNTIFS(Wine1!$AA:$AA,Sheet1!V$2,Wine1!$E:$E,"*" &amp; Sheet1!$A6 &amp;"*")</f>
        <v>7</v>
      </c>
      <c r="W6" s="37">
        <f>COUNTIFS(Wine1!$AA:$AA,Sheet1!W$2,Wine1!$E:$E,"*" &amp; Sheet1!$A6 &amp;"*")</f>
        <v>4</v>
      </c>
      <c r="X6" s="37">
        <f>COUNTIFS(Wine1!$AA:$AA,Sheet1!X$2,Wine1!$E:$E,"*" &amp; Sheet1!$A6 &amp;"*")</f>
        <v>2</v>
      </c>
      <c r="Y6" s="37">
        <f>COUNTIFS(Wine1!$AA:$AA,Sheet1!Y$2,Wine1!$E:$E,"*" &amp; Sheet1!$A6 &amp;"*")</f>
        <v>2</v>
      </c>
      <c r="Z6" s="37">
        <f>COUNTIFS(Wine1!$AA:$AA,Sheet1!Z$2,Wine1!$E:$E,"*" &amp; Sheet1!$A6 &amp;"*")</f>
        <v>2</v>
      </c>
      <c r="AA6" s="37">
        <f>COUNTIFS(Wine1!$AA:$AA,Sheet1!AA$2,Wine1!$E:$E,"*" &amp; Sheet1!$A6 &amp;"*")</f>
        <v>3</v>
      </c>
      <c r="AB6" s="37">
        <f>COUNTIFS(Wine1!$AA:$AA,Sheet1!AB$2,Wine1!$E:$E,"*" &amp; Sheet1!$A6 &amp;"*")</f>
        <v>1</v>
      </c>
      <c r="AC6" s="37">
        <f>COUNTIFS(Wine1!$AA:$AA,Sheet1!AC$2,Wine1!$E:$E,"*" &amp; Sheet1!$A6 &amp;"*")</f>
        <v>2</v>
      </c>
      <c r="AD6" s="37">
        <f>COUNTIFS(Wine1!$AA:$AA,Sheet1!AD$2,Wine1!$E:$E,"*" &amp; Sheet1!$A6 &amp;"*")</f>
        <v>1</v>
      </c>
      <c r="AE6" s="37">
        <f>COUNTIFS(Wine1!$AA:$AA,Sheet1!AE$2,Wine1!$E:$E,"*" &amp; Sheet1!$A6 &amp;"*")</f>
        <v>0</v>
      </c>
      <c r="AF6" s="37">
        <f>COUNTIFS(Wine1!$AA:$AA,Sheet1!AF$2,Wine1!$E:$E,"*" &amp; Sheet1!$A6 &amp;"*")</f>
        <v>2</v>
      </c>
      <c r="AG6" s="37">
        <f>COUNTIFS(Wine1!$AA:$AA,Sheet1!AG$2,Wine1!$E:$E,"*" &amp; Sheet1!$A6 &amp;"*")</f>
        <v>0</v>
      </c>
      <c r="AH6" s="37">
        <f>COUNTIFS(Wine1!$AA:$AA,Sheet1!AH$2,Wine1!$E:$E,"*" &amp; Sheet1!$A6 &amp;"*")</f>
        <v>0</v>
      </c>
      <c r="AI6" s="37">
        <f>COUNTIFS(Wine1!$AA:$AA,Sheet1!AI$2,Wine1!$E:$E,"*" &amp; Sheet1!$A6 &amp;"*")</f>
        <v>0</v>
      </c>
      <c r="AJ6" s="37">
        <f>COUNTIFS(Wine1!$AA:$AA,Sheet1!AJ$2,Wine1!$E:$E,"*" &amp; Sheet1!$A6 &amp;"*")</f>
        <v>1</v>
      </c>
      <c r="AK6" s="37">
        <f>COUNTIFS(Wine1!$AA:$AA,Sheet1!AK$2,Wine1!$E:$E,"*" &amp; Sheet1!$A6 &amp;"*")</f>
        <v>0</v>
      </c>
      <c r="AL6" s="37">
        <f>COUNTIFS(Wine1!$AA:$AA,Sheet1!AL$2,Wine1!$E:$E,"*" &amp; Sheet1!$A6 &amp;"*")</f>
        <v>0</v>
      </c>
      <c r="AM6" s="37">
        <f>COUNTIFS(Wine1!$AA:$AA,Sheet1!AM$2,Wine1!$E:$E,"*" &amp; Sheet1!$A6 &amp;"*")</f>
        <v>0</v>
      </c>
      <c r="AN6" s="37">
        <f>COUNTIFS(Wine1!$AA:$AA,Sheet1!AN$2,Wine1!$E:$E,"*" &amp; Sheet1!$A6 &amp;"*")</f>
        <v>0</v>
      </c>
      <c r="AO6" s="37">
        <f>COUNTIFS(Wine1!$AA:$AA,Sheet1!AO$2,Wine1!$E:$E,"*" &amp; Sheet1!$A6 &amp;"*")</f>
        <v>0</v>
      </c>
      <c r="AP6" s="37">
        <f>COUNTIFS(Wine1!$AA:$AA,Sheet1!AP$2,Wine1!$E:$E,"*" &amp; Sheet1!$A6 &amp;"*")</f>
        <v>0</v>
      </c>
      <c r="AQ6" s="37">
        <f>COUNTIFS(Wine1!$AA:$AA,Sheet1!AQ$2,Wine1!$E:$E,"*" &amp; Sheet1!$A6 &amp;"*")</f>
        <v>0</v>
      </c>
      <c r="AR6" s="37">
        <f>COUNTIFS(Wine1!$AA:$AA,Sheet1!AR$2,Wine1!$E:$E,"*" &amp; Sheet1!$A6 &amp;"*")</f>
        <v>0</v>
      </c>
      <c r="AS6" s="37">
        <f>COUNTIFS(Wine1!$AA:$AA,Sheet1!AS$2,Wine1!$E:$E,"*" &amp; Sheet1!$A6 &amp;"*")</f>
        <v>0</v>
      </c>
      <c r="AT6" s="37">
        <f>COUNTIFS(Wine1!$AA:$AA,Sheet1!AT$2,Wine1!$E:$E,"*" &amp; Sheet1!$A6 &amp;"*")</f>
        <v>0</v>
      </c>
      <c r="AU6" s="37">
        <f>COUNTIFS(Wine1!$AA:$AA,Sheet1!AU$2,Wine1!$E:$E,"*" &amp; Sheet1!$A6 &amp;"*")</f>
        <v>0</v>
      </c>
      <c r="AV6" s="37">
        <f>COUNTIFS(Wine1!$AA:$AA,Sheet1!AV$2,Wine1!$E:$E,"*" &amp; Sheet1!$A6 &amp;"*")</f>
        <v>0</v>
      </c>
      <c r="AW6" s="37">
        <f>COUNTIFS(Wine1!$AA:$AA,Sheet1!AW$2,Wine1!$E:$E,"*" &amp; Sheet1!$A6 &amp;"*")</f>
        <v>0</v>
      </c>
      <c r="AX6" s="37">
        <f>COUNTIFS(Wine1!$AA:$AA,Sheet1!AX$2,Wine1!$E:$E,"*" &amp; Sheet1!$A6 &amp;"*")</f>
        <v>0</v>
      </c>
      <c r="AY6" s="37">
        <f>COUNTIFS(Wine1!$AA:$AA,Sheet1!AY$2,Wine1!$E:$E,"*" &amp; Sheet1!$A6 &amp;"*")</f>
        <v>0</v>
      </c>
      <c r="AZ6" s="37">
        <f>COUNTIFS(Wine1!$AA:$AA,Sheet1!AZ$2,Wine1!$E:$E,"*" &amp; Sheet1!$A6 &amp;"*")</f>
        <v>0</v>
      </c>
      <c r="BA6" s="37">
        <f>COUNTIFS(Wine1!$AA:$AA,Sheet1!BA$2,Wine1!$E:$E,"*" &amp; Sheet1!$A6 &amp;"*")</f>
        <v>0</v>
      </c>
      <c r="BB6" s="37">
        <f>COUNTIFS(Wine1!$AA:$AA,Sheet1!BB$2,Wine1!$E:$E,"*" &amp; Sheet1!$A6 &amp;"*")</f>
        <v>0</v>
      </c>
      <c r="BC6" s="37">
        <f>COUNTIFS(Wine1!$AA:$AA,Sheet1!BC$2,Wine1!$E:$E,"*" &amp; Sheet1!$A6 &amp;"*")</f>
        <v>0</v>
      </c>
      <c r="BD6" s="37">
        <f>COUNTIFS(Wine1!$AA:$AA,Sheet1!BD$2,Wine1!$E:$E,"*" &amp; Sheet1!$A6 &amp;"*")</f>
        <v>0</v>
      </c>
      <c r="BE6" s="37">
        <f>COUNTIFS(Wine1!$AA:$AA,Sheet1!BE$2,Wine1!$E:$E,"*" &amp; Sheet1!$A6 &amp;"*")</f>
        <v>0</v>
      </c>
      <c r="BF6" s="37">
        <f>COUNTIFS(Wine1!$AA:$AA,Sheet1!BF$2,Wine1!$E:$E,"*" &amp; Sheet1!$A6 &amp;"*")</f>
        <v>0</v>
      </c>
      <c r="BG6" s="37">
        <f>COUNTIFS(Wine1!$AA:$AA,Sheet1!BG$2,Wine1!$E:$E,"*" &amp; Sheet1!$A6 &amp;"*")</f>
        <v>0</v>
      </c>
      <c r="BH6" s="37">
        <f>COUNTIFS(Wine1!$AA:$AA,Sheet1!BH$2,Wine1!$E:$E,"*" &amp; Sheet1!$A6 &amp;"*")</f>
        <v>0</v>
      </c>
      <c r="BI6" s="37">
        <f>COUNTIFS(Wine1!$AA:$AA,Sheet1!BI$2,Wine1!$E:$E,"*" &amp; Sheet1!$A6 &amp;"*")</f>
        <v>0</v>
      </c>
      <c r="BJ6" s="37">
        <f>COUNTIFS(Wine1!$AA:$AA,Sheet1!BJ$2,Wine1!$E:$E,"*" &amp; Sheet1!$A6 &amp;"*")</f>
        <v>0</v>
      </c>
      <c r="BK6" s="37">
        <f>COUNTIFS(Wine1!$AA:$AA,Sheet1!BK$2,Wine1!$E:$E,"*" &amp; Sheet1!$A6 &amp;"*")</f>
        <v>0</v>
      </c>
      <c r="BL6" s="37">
        <f>COUNTIFS(Wine1!$AA:$AA,Sheet1!BL$2,Wine1!$E:$E,"*" &amp; Sheet1!$A6 &amp;"*")</f>
        <v>0</v>
      </c>
    </row>
    <row r="7" spans="1:64" x14ac:dyDescent="0.25">
      <c r="A7" t="s">
        <v>813</v>
      </c>
      <c r="B7" s="95">
        <f>COUNTIFS(Wine1!$AF:$AF,Sheet1!B$2,Wine1!$E:$E,"*" &amp; Sheet1!$A7 &amp;"*")</f>
        <v>0</v>
      </c>
      <c r="C7" s="9">
        <f>COUNTIFS(Wine1!$AF:$AF,Sheet1!C$2,Wine1!$E:$E,"*" &amp; Sheet1!$A7 &amp;"*")</f>
        <v>2</v>
      </c>
      <c r="D7" s="9">
        <f>COUNTIFS(Wine1!$AF:$AF,Sheet1!D$2,Wine1!$E:$E,"*" &amp; Sheet1!$A7 &amp;"*")</f>
        <v>0</v>
      </c>
      <c r="E7" s="9">
        <f>COUNTIFS(Wine1!$AF:$AF,Sheet1!E$2,Wine1!$E:$E,"*" &amp; Sheet1!$A7 &amp;"*")</f>
        <v>0</v>
      </c>
      <c r="F7" s="43">
        <f t="shared" si="0"/>
        <v>2</v>
      </c>
      <c r="G7" s="37">
        <f>COUNTIFS(Wine1!$AA:$AA,Sheet1!G$2,Wine1!$E:$E,"*" &amp; Sheet1!$A7 &amp;"*")</f>
        <v>1</v>
      </c>
      <c r="H7" s="37">
        <f>COUNTIFS(Wine1!$AA:$AA,Sheet1!H$2,Wine1!$E:$E,"*" &amp; Sheet1!$A7 &amp;"*")</f>
        <v>0</v>
      </c>
      <c r="I7" s="37">
        <f>COUNTIFS(Wine1!$AA:$AA,Sheet1!I$2,Wine1!$E:$E,"*" &amp; Sheet1!$A7 &amp;"*")</f>
        <v>0</v>
      </c>
      <c r="J7" s="37">
        <f>COUNTIFS(Wine1!$AA:$AA,Sheet1!J$2,Wine1!$E:$E,"*" &amp; Sheet1!$A7 &amp;"*")</f>
        <v>0</v>
      </c>
      <c r="K7" s="37">
        <f>COUNTIFS(Wine1!$AA:$AA,Sheet1!K$2,Wine1!$E:$E,"*" &amp; Sheet1!$A7 &amp;"*")</f>
        <v>1</v>
      </c>
      <c r="L7" s="37">
        <f>COUNTIFS(Wine1!$AA:$AA,Sheet1!L$2,Wine1!$E:$E,"*" &amp; Sheet1!$A7 &amp;"*")</f>
        <v>0</v>
      </c>
      <c r="M7" s="37">
        <f>COUNTIFS(Wine1!$AA:$AA,Sheet1!M$2,Wine1!$E:$E,"*" &amp; Sheet1!$A7 &amp;"*")</f>
        <v>0</v>
      </c>
      <c r="N7" s="37">
        <f>COUNTIFS(Wine1!$AA:$AA,Sheet1!N$2,Wine1!$E:$E,"*" &amp; Sheet1!$A7 &amp;"*")</f>
        <v>0</v>
      </c>
      <c r="O7" s="37">
        <f>COUNTIFS(Wine1!$AA:$AA,Sheet1!O$2,Wine1!$E:$E,"*" &amp; Sheet1!$A7 &amp;"*")</f>
        <v>0</v>
      </c>
      <c r="P7" s="37">
        <f>COUNTIFS(Wine1!$AA:$AA,Sheet1!P$2,Wine1!$E:$E,"*" &amp; Sheet1!$A7 &amp;"*")</f>
        <v>0</v>
      </c>
      <c r="Q7" s="37">
        <f>COUNTIFS(Wine1!$AA:$AA,Sheet1!Q$2,Wine1!$E:$E,"*" &amp; Sheet1!$A7 &amp;"*")</f>
        <v>0</v>
      </c>
      <c r="R7" s="37">
        <f>COUNTIFS(Wine1!$AA:$AA,Sheet1!R$2,Wine1!$E:$E,"*" &amp; Sheet1!$A7 &amp;"*")</f>
        <v>0</v>
      </c>
      <c r="S7" s="37">
        <f>COUNTIFS(Wine1!$AA:$AA,Sheet1!S$2,Wine1!$E:$E,"*" &amp; Sheet1!$A7 &amp;"*")</f>
        <v>0</v>
      </c>
      <c r="T7" s="37">
        <f>COUNTIFS(Wine1!$AA:$AA,Sheet1!T$2,Wine1!$E:$E,"*" &amp; Sheet1!$A7 &amp;"*")</f>
        <v>0</v>
      </c>
      <c r="U7" s="37">
        <f>COUNTIFS(Wine1!$AA:$AA,Sheet1!U$2,Wine1!$E:$E,"*" &amp; Sheet1!$A7 &amp;"*")</f>
        <v>0</v>
      </c>
      <c r="V7" s="37">
        <f>COUNTIFS(Wine1!$AA:$AA,Sheet1!V$2,Wine1!$E:$E,"*" &amp; Sheet1!$A7 &amp;"*")</f>
        <v>0</v>
      </c>
      <c r="W7" s="37">
        <f>COUNTIFS(Wine1!$AA:$AA,Sheet1!W$2,Wine1!$E:$E,"*" &amp; Sheet1!$A7 &amp;"*")</f>
        <v>0</v>
      </c>
      <c r="X7" s="37">
        <f>COUNTIFS(Wine1!$AA:$AA,Sheet1!X$2,Wine1!$E:$E,"*" &amp; Sheet1!$A7 &amp;"*")</f>
        <v>0</v>
      </c>
      <c r="Y7" s="37">
        <f>COUNTIFS(Wine1!$AA:$AA,Sheet1!Y$2,Wine1!$E:$E,"*" &amp; Sheet1!$A7 &amp;"*")</f>
        <v>0</v>
      </c>
      <c r="Z7" s="37">
        <f>COUNTIFS(Wine1!$AA:$AA,Sheet1!Z$2,Wine1!$E:$E,"*" &amp; Sheet1!$A7 &amp;"*")</f>
        <v>0</v>
      </c>
      <c r="AA7" s="37">
        <f>COUNTIFS(Wine1!$AA:$AA,Sheet1!AA$2,Wine1!$E:$E,"*" &amp; Sheet1!$A7 &amp;"*")</f>
        <v>0</v>
      </c>
      <c r="AB7" s="37">
        <f>COUNTIFS(Wine1!$AA:$AA,Sheet1!AB$2,Wine1!$E:$E,"*" &amp; Sheet1!$A7 &amp;"*")</f>
        <v>0</v>
      </c>
      <c r="AC7" s="37">
        <f>COUNTIFS(Wine1!$AA:$AA,Sheet1!AC$2,Wine1!$E:$E,"*" &amp; Sheet1!$A7 &amp;"*")</f>
        <v>0</v>
      </c>
      <c r="AD7" s="37">
        <f>COUNTIFS(Wine1!$AA:$AA,Sheet1!AD$2,Wine1!$E:$E,"*" &amp; Sheet1!$A7 &amp;"*")</f>
        <v>0</v>
      </c>
      <c r="AE7" s="37">
        <f>COUNTIFS(Wine1!$AA:$AA,Sheet1!AE$2,Wine1!$E:$E,"*" &amp; Sheet1!$A7 &amp;"*")</f>
        <v>0</v>
      </c>
      <c r="AF7" s="37">
        <f>COUNTIFS(Wine1!$AA:$AA,Sheet1!AF$2,Wine1!$E:$E,"*" &amp; Sheet1!$A7 &amp;"*")</f>
        <v>0</v>
      </c>
      <c r="AG7" s="37">
        <f>COUNTIFS(Wine1!$AA:$AA,Sheet1!AG$2,Wine1!$E:$E,"*" &amp; Sheet1!$A7 &amp;"*")</f>
        <v>0</v>
      </c>
      <c r="AH7" s="37">
        <f>COUNTIFS(Wine1!$AA:$AA,Sheet1!AH$2,Wine1!$E:$E,"*" &amp; Sheet1!$A7 &amp;"*")</f>
        <v>0</v>
      </c>
      <c r="AI7" s="37">
        <f>COUNTIFS(Wine1!$AA:$AA,Sheet1!AI$2,Wine1!$E:$E,"*" &amp; Sheet1!$A7 &amp;"*")</f>
        <v>0</v>
      </c>
      <c r="AJ7" s="37">
        <f>COUNTIFS(Wine1!$AA:$AA,Sheet1!AJ$2,Wine1!$E:$E,"*" &amp; Sheet1!$A7 &amp;"*")</f>
        <v>0</v>
      </c>
      <c r="AK7" s="37">
        <f>COUNTIFS(Wine1!$AA:$AA,Sheet1!AK$2,Wine1!$E:$E,"*" &amp; Sheet1!$A7 &amp;"*")</f>
        <v>0</v>
      </c>
      <c r="AL7" s="37">
        <f>COUNTIFS(Wine1!$AA:$AA,Sheet1!AL$2,Wine1!$E:$E,"*" &amp; Sheet1!$A7 &amp;"*")</f>
        <v>0</v>
      </c>
      <c r="AM7" s="37">
        <f>COUNTIFS(Wine1!$AA:$AA,Sheet1!AM$2,Wine1!$E:$E,"*" &amp; Sheet1!$A7 &amp;"*")</f>
        <v>0</v>
      </c>
      <c r="AN7" s="37">
        <f>COUNTIFS(Wine1!$AA:$AA,Sheet1!AN$2,Wine1!$E:$E,"*" &amp; Sheet1!$A7 &amp;"*")</f>
        <v>0</v>
      </c>
      <c r="AO7" s="37">
        <f>COUNTIFS(Wine1!$AA:$AA,Sheet1!AO$2,Wine1!$E:$E,"*" &amp; Sheet1!$A7 &amp;"*")</f>
        <v>0</v>
      </c>
      <c r="AP7" s="37">
        <f>COUNTIFS(Wine1!$AA:$AA,Sheet1!AP$2,Wine1!$E:$E,"*" &amp; Sheet1!$A7 &amp;"*")</f>
        <v>0</v>
      </c>
      <c r="AQ7" s="37">
        <f>COUNTIFS(Wine1!$AA:$AA,Sheet1!AQ$2,Wine1!$E:$E,"*" &amp; Sheet1!$A7 &amp;"*")</f>
        <v>0</v>
      </c>
      <c r="AR7" s="37">
        <f>COUNTIFS(Wine1!$AA:$AA,Sheet1!AR$2,Wine1!$E:$E,"*" &amp; Sheet1!$A7 &amp;"*")</f>
        <v>0</v>
      </c>
      <c r="AS7" s="37">
        <f>COUNTIFS(Wine1!$AA:$AA,Sheet1!AS$2,Wine1!$E:$E,"*" &amp; Sheet1!$A7 &amp;"*")</f>
        <v>0</v>
      </c>
      <c r="AT7" s="37">
        <f>COUNTIFS(Wine1!$AA:$AA,Sheet1!AT$2,Wine1!$E:$E,"*" &amp; Sheet1!$A7 &amp;"*")</f>
        <v>0</v>
      </c>
      <c r="AU7" s="37">
        <f>COUNTIFS(Wine1!$AA:$AA,Sheet1!AU$2,Wine1!$E:$E,"*" &amp; Sheet1!$A7 &amp;"*")</f>
        <v>0</v>
      </c>
      <c r="AV7" s="37">
        <f>COUNTIFS(Wine1!$AA:$AA,Sheet1!AV$2,Wine1!$E:$E,"*" &amp; Sheet1!$A7 &amp;"*")</f>
        <v>0</v>
      </c>
      <c r="AW7" s="37">
        <f>COUNTIFS(Wine1!$AA:$AA,Sheet1!AW$2,Wine1!$E:$E,"*" &amp; Sheet1!$A7 &amp;"*")</f>
        <v>0</v>
      </c>
      <c r="AX7" s="37">
        <f>COUNTIFS(Wine1!$AA:$AA,Sheet1!AX$2,Wine1!$E:$E,"*" &amp; Sheet1!$A7 &amp;"*")</f>
        <v>0</v>
      </c>
      <c r="AY7" s="37">
        <f>COUNTIFS(Wine1!$AA:$AA,Sheet1!AY$2,Wine1!$E:$E,"*" &amp; Sheet1!$A7 &amp;"*")</f>
        <v>0</v>
      </c>
      <c r="AZ7" s="37">
        <f>COUNTIFS(Wine1!$AA:$AA,Sheet1!AZ$2,Wine1!$E:$E,"*" &amp; Sheet1!$A7 &amp;"*")</f>
        <v>0</v>
      </c>
      <c r="BA7" s="37">
        <f>COUNTIFS(Wine1!$AA:$AA,Sheet1!BA$2,Wine1!$E:$E,"*" &amp; Sheet1!$A7 &amp;"*")</f>
        <v>0</v>
      </c>
      <c r="BB7" s="37">
        <f>COUNTIFS(Wine1!$AA:$AA,Sheet1!BB$2,Wine1!$E:$E,"*" &amp; Sheet1!$A7 &amp;"*")</f>
        <v>0</v>
      </c>
      <c r="BC7" s="37">
        <f>COUNTIFS(Wine1!$AA:$AA,Sheet1!BC$2,Wine1!$E:$E,"*" &amp; Sheet1!$A7 &amp;"*")</f>
        <v>0</v>
      </c>
      <c r="BD7" s="37">
        <f>COUNTIFS(Wine1!$AA:$AA,Sheet1!BD$2,Wine1!$E:$E,"*" &amp; Sheet1!$A7 &amp;"*")</f>
        <v>0</v>
      </c>
      <c r="BE7" s="37">
        <f>COUNTIFS(Wine1!$AA:$AA,Sheet1!BE$2,Wine1!$E:$E,"*" &amp; Sheet1!$A7 &amp;"*")</f>
        <v>0</v>
      </c>
      <c r="BF7" s="37">
        <f>COUNTIFS(Wine1!$AA:$AA,Sheet1!BF$2,Wine1!$E:$E,"*" &amp; Sheet1!$A7 &amp;"*")</f>
        <v>0</v>
      </c>
      <c r="BG7" s="37">
        <f>COUNTIFS(Wine1!$AA:$AA,Sheet1!BG$2,Wine1!$E:$E,"*" &amp; Sheet1!$A7 &amp;"*")</f>
        <v>0</v>
      </c>
      <c r="BH7" s="37">
        <f>COUNTIFS(Wine1!$AA:$AA,Sheet1!BH$2,Wine1!$E:$E,"*" &amp; Sheet1!$A7 &amp;"*")</f>
        <v>0</v>
      </c>
      <c r="BI7" s="37">
        <f>COUNTIFS(Wine1!$AA:$AA,Sheet1!BI$2,Wine1!$E:$E,"*" &amp; Sheet1!$A7 &amp;"*")</f>
        <v>0</v>
      </c>
      <c r="BJ7" s="37">
        <f>COUNTIFS(Wine1!$AA:$AA,Sheet1!BJ$2,Wine1!$E:$E,"*" &amp; Sheet1!$A7 &amp;"*")</f>
        <v>0</v>
      </c>
      <c r="BK7" s="37">
        <f>COUNTIFS(Wine1!$AA:$AA,Sheet1!BK$2,Wine1!$E:$E,"*" &amp; Sheet1!$A7 &amp;"*")</f>
        <v>0</v>
      </c>
      <c r="BL7" s="37">
        <f>COUNTIFS(Wine1!$AA:$AA,Sheet1!BL$2,Wine1!$E:$E,"*" &amp; Sheet1!$A7 &amp;"*")</f>
        <v>0</v>
      </c>
    </row>
    <row r="8" spans="1:64" x14ac:dyDescent="0.25">
      <c r="A8" t="s">
        <v>416</v>
      </c>
      <c r="B8" s="95">
        <f>COUNTIFS(Wine1!$AF:$AF,Sheet1!B$2,Wine1!$E:$E,"*" &amp; Sheet1!$A8 &amp;"*")</f>
        <v>0</v>
      </c>
      <c r="C8" s="9">
        <f>COUNTIFS(Wine1!$AF:$AF,Sheet1!C$2,Wine1!$E:$E,"*" &amp; Sheet1!$A8 &amp;"*")</f>
        <v>0</v>
      </c>
      <c r="D8" s="96">
        <f>COUNTIFS(Wine1!$AF:$AF,Sheet1!D$2,Wine1!$E:$E,"*" &amp; Sheet1!$A8 &amp;"*")</f>
        <v>1</v>
      </c>
      <c r="E8" s="9">
        <f>COUNTIFS(Wine1!$AF:$AF,Sheet1!E$2,Wine1!$E:$E,"*" &amp; Sheet1!$A8 &amp;"*")</f>
        <v>2</v>
      </c>
      <c r="F8" s="99">
        <f t="shared" si="0"/>
        <v>3</v>
      </c>
      <c r="G8" s="37">
        <f>COUNTIFS(Wine1!$AA:$AA,Sheet1!G$2,Wine1!$E:$E,"*" &amp; Sheet1!$A8 &amp;"*")</f>
        <v>1</v>
      </c>
      <c r="H8" s="37">
        <f>COUNTIFS(Wine1!$AA:$AA,Sheet1!H$2,Wine1!$E:$E,"*" &amp; Sheet1!$A8 &amp;"*")</f>
        <v>0</v>
      </c>
      <c r="I8" s="37">
        <f>COUNTIFS(Wine1!$AA:$AA,Sheet1!I$2,Wine1!$E:$E,"*" &amp; Sheet1!$A8 &amp;"*")</f>
        <v>0</v>
      </c>
      <c r="J8" s="37">
        <f>COUNTIFS(Wine1!$AA:$AA,Sheet1!J$2,Wine1!$E:$E,"*" &amp; Sheet1!$A8 &amp;"*")</f>
        <v>0</v>
      </c>
      <c r="K8" s="37">
        <f>COUNTIFS(Wine1!$AA:$AA,Sheet1!K$2,Wine1!$E:$E,"*" &amp; Sheet1!$A8 &amp;"*")</f>
        <v>1</v>
      </c>
      <c r="L8" s="37">
        <f>COUNTIFS(Wine1!$AA:$AA,Sheet1!L$2,Wine1!$E:$E,"*" &amp; Sheet1!$A8 &amp;"*")</f>
        <v>0</v>
      </c>
      <c r="M8" s="37">
        <f>COUNTIFS(Wine1!$AA:$AA,Sheet1!M$2,Wine1!$E:$E,"*" &amp; Sheet1!$A8 &amp;"*")</f>
        <v>0</v>
      </c>
      <c r="N8" s="37">
        <f>COUNTIFS(Wine1!$AA:$AA,Sheet1!N$2,Wine1!$E:$E,"*" &amp; Sheet1!$A8 &amp;"*")</f>
        <v>0</v>
      </c>
      <c r="O8" s="37">
        <f>COUNTIFS(Wine1!$AA:$AA,Sheet1!O$2,Wine1!$E:$E,"*" &amp; Sheet1!$A8 &amp;"*")</f>
        <v>1</v>
      </c>
      <c r="P8" s="37">
        <f>COUNTIFS(Wine1!$AA:$AA,Sheet1!P$2,Wine1!$E:$E,"*" &amp; Sheet1!$A8 &amp;"*")</f>
        <v>0</v>
      </c>
      <c r="Q8" s="37">
        <f>COUNTIFS(Wine1!$AA:$AA,Sheet1!Q$2,Wine1!$E:$E,"*" &amp; Sheet1!$A8 &amp;"*")</f>
        <v>0</v>
      </c>
      <c r="R8" s="37">
        <f>COUNTIFS(Wine1!$AA:$AA,Sheet1!R$2,Wine1!$E:$E,"*" &amp; Sheet1!$A8 &amp;"*")</f>
        <v>0</v>
      </c>
      <c r="S8" s="37">
        <f>COUNTIFS(Wine1!$AA:$AA,Sheet1!S$2,Wine1!$E:$E,"*" &amp; Sheet1!$A8 &amp;"*")</f>
        <v>0</v>
      </c>
      <c r="T8" s="37">
        <f>COUNTIFS(Wine1!$AA:$AA,Sheet1!T$2,Wine1!$E:$E,"*" &amp; Sheet1!$A8 &amp;"*")</f>
        <v>0</v>
      </c>
      <c r="U8" s="37">
        <f>COUNTIFS(Wine1!$AA:$AA,Sheet1!U$2,Wine1!$E:$E,"*" &amp; Sheet1!$A8 &amp;"*")</f>
        <v>0</v>
      </c>
      <c r="V8" s="37">
        <f>COUNTIFS(Wine1!$AA:$AA,Sheet1!V$2,Wine1!$E:$E,"*" &amp; Sheet1!$A8 &amp;"*")</f>
        <v>0</v>
      </c>
      <c r="W8" s="37">
        <f>COUNTIFS(Wine1!$AA:$AA,Sheet1!W$2,Wine1!$E:$E,"*" &amp; Sheet1!$A8 &amp;"*")</f>
        <v>0</v>
      </c>
      <c r="X8" s="37">
        <f>COUNTIFS(Wine1!$AA:$AA,Sheet1!X$2,Wine1!$E:$E,"*" &amp; Sheet1!$A8 &amp;"*")</f>
        <v>0</v>
      </c>
      <c r="Y8" s="37">
        <f>COUNTIFS(Wine1!$AA:$AA,Sheet1!Y$2,Wine1!$E:$E,"*" &amp; Sheet1!$A8 &amp;"*")</f>
        <v>0</v>
      </c>
      <c r="Z8" s="37">
        <f>COUNTIFS(Wine1!$AA:$AA,Sheet1!Z$2,Wine1!$E:$E,"*" &amp; Sheet1!$A8 &amp;"*")</f>
        <v>0</v>
      </c>
      <c r="AA8" s="37">
        <f>COUNTIFS(Wine1!$AA:$AA,Sheet1!AA$2,Wine1!$E:$E,"*" &amp; Sheet1!$A8 &amp;"*")</f>
        <v>0</v>
      </c>
      <c r="AB8" s="37">
        <f>COUNTIFS(Wine1!$AA:$AA,Sheet1!AB$2,Wine1!$E:$E,"*" &amp; Sheet1!$A8 &amp;"*")</f>
        <v>0</v>
      </c>
      <c r="AC8" s="37">
        <f>COUNTIFS(Wine1!$AA:$AA,Sheet1!AC$2,Wine1!$E:$E,"*" &amp; Sheet1!$A8 &amp;"*")</f>
        <v>0</v>
      </c>
      <c r="AD8" s="37">
        <f>COUNTIFS(Wine1!$AA:$AA,Sheet1!AD$2,Wine1!$E:$E,"*" &amp; Sheet1!$A8 &amp;"*")</f>
        <v>0</v>
      </c>
      <c r="AE8" s="37">
        <f>COUNTIFS(Wine1!$AA:$AA,Sheet1!AE$2,Wine1!$E:$E,"*" &amp; Sheet1!$A8 &amp;"*")</f>
        <v>0</v>
      </c>
      <c r="AF8" s="37">
        <f>COUNTIFS(Wine1!$AA:$AA,Sheet1!AF$2,Wine1!$E:$E,"*" &amp; Sheet1!$A8 &amp;"*")</f>
        <v>0</v>
      </c>
      <c r="AG8" s="37">
        <f>COUNTIFS(Wine1!$AA:$AA,Sheet1!AG$2,Wine1!$E:$E,"*" &amp; Sheet1!$A8 &amp;"*")</f>
        <v>0</v>
      </c>
      <c r="AH8" s="37">
        <f>COUNTIFS(Wine1!$AA:$AA,Sheet1!AH$2,Wine1!$E:$E,"*" &amp; Sheet1!$A8 &amp;"*")</f>
        <v>0</v>
      </c>
      <c r="AI8" s="37">
        <f>COUNTIFS(Wine1!$AA:$AA,Sheet1!AI$2,Wine1!$E:$E,"*" &amp; Sheet1!$A8 &amp;"*")</f>
        <v>0</v>
      </c>
      <c r="AJ8" s="37">
        <f>COUNTIFS(Wine1!$AA:$AA,Sheet1!AJ$2,Wine1!$E:$E,"*" &amp; Sheet1!$A8 &amp;"*")</f>
        <v>0</v>
      </c>
      <c r="AK8" s="37">
        <f>COUNTIFS(Wine1!$AA:$AA,Sheet1!AK$2,Wine1!$E:$E,"*" &amp; Sheet1!$A8 &amp;"*")</f>
        <v>0</v>
      </c>
      <c r="AL8" s="37">
        <f>COUNTIFS(Wine1!$AA:$AA,Sheet1!AL$2,Wine1!$E:$E,"*" &amp; Sheet1!$A8 &amp;"*")</f>
        <v>0</v>
      </c>
      <c r="AM8" s="37">
        <f>COUNTIFS(Wine1!$AA:$AA,Sheet1!AM$2,Wine1!$E:$E,"*" &amp; Sheet1!$A8 &amp;"*")</f>
        <v>0</v>
      </c>
      <c r="AN8" s="37">
        <f>COUNTIFS(Wine1!$AA:$AA,Sheet1!AN$2,Wine1!$E:$E,"*" &amp; Sheet1!$A8 &amp;"*")</f>
        <v>0</v>
      </c>
      <c r="AO8" s="37">
        <f>COUNTIFS(Wine1!$AA:$AA,Sheet1!AO$2,Wine1!$E:$E,"*" &amp; Sheet1!$A8 &amp;"*")</f>
        <v>0</v>
      </c>
      <c r="AP8" s="37">
        <f>COUNTIFS(Wine1!$AA:$AA,Sheet1!AP$2,Wine1!$E:$E,"*" &amp; Sheet1!$A8 &amp;"*")</f>
        <v>0</v>
      </c>
      <c r="AQ8" s="37">
        <f>COUNTIFS(Wine1!$AA:$AA,Sheet1!AQ$2,Wine1!$E:$E,"*" &amp; Sheet1!$A8 &amp;"*")</f>
        <v>0</v>
      </c>
      <c r="AR8" s="37">
        <f>COUNTIFS(Wine1!$AA:$AA,Sheet1!AR$2,Wine1!$E:$E,"*" &amp; Sheet1!$A8 &amp;"*")</f>
        <v>0</v>
      </c>
      <c r="AS8" s="37">
        <f>COUNTIFS(Wine1!$AA:$AA,Sheet1!AS$2,Wine1!$E:$E,"*" &amp; Sheet1!$A8 &amp;"*")</f>
        <v>0</v>
      </c>
      <c r="AT8" s="37">
        <f>COUNTIFS(Wine1!$AA:$AA,Sheet1!AT$2,Wine1!$E:$E,"*" &amp; Sheet1!$A8 &amp;"*")</f>
        <v>0</v>
      </c>
      <c r="AU8" s="37">
        <f>COUNTIFS(Wine1!$AA:$AA,Sheet1!AU$2,Wine1!$E:$E,"*" &amp; Sheet1!$A8 &amp;"*")</f>
        <v>0</v>
      </c>
      <c r="AV8" s="37">
        <f>COUNTIFS(Wine1!$AA:$AA,Sheet1!AV$2,Wine1!$E:$E,"*" &amp; Sheet1!$A8 &amp;"*")</f>
        <v>0</v>
      </c>
      <c r="AW8" s="37">
        <f>COUNTIFS(Wine1!$AA:$AA,Sheet1!AW$2,Wine1!$E:$E,"*" &amp; Sheet1!$A8 &amp;"*")</f>
        <v>0</v>
      </c>
      <c r="AX8" s="37">
        <f>COUNTIFS(Wine1!$AA:$AA,Sheet1!AX$2,Wine1!$E:$E,"*" &amp; Sheet1!$A8 &amp;"*")</f>
        <v>0</v>
      </c>
      <c r="AY8" s="37">
        <f>COUNTIFS(Wine1!$AA:$AA,Sheet1!AY$2,Wine1!$E:$E,"*" &amp; Sheet1!$A8 &amp;"*")</f>
        <v>0</v>
      </c>
      <c r="AZ8" s="37">
        <f>COUNTIFS(Wine1!$AA:$AA,Sheet1!AZ$2,Wine1!$E:$E,"*" &amp; Sheet1!$A8 &amp;"*")</f>
        <v>0</v>
      </c>
      <c r="BA8" s="37">
        <f>COUNTIFS(Wine1!$AA:$AA,Sheet1!BA$2,Wine1!$E:$E,"*" &amp; Sheet1!$A8 &amp;"*")</f>
        <v>0</v>
      </c>
      <c r="BB8" s="37">
        <f>COUNTIFS(Wine1!$AA:$AA,Sheet1!BB$2,Wine1!$E:$E,"*" &amp; Sheet1!$A8 &amp;"*")</f>
        <v>0</v>
      </c>
      <c r="BC8" s="37">
        <f>COUNTIFS(Wine1!$AA:$AA,Sheet1!BC$2,Wine1!$E:$E,"*" &amp; Sheet1!$A8 &amp;"*")</f>
        <v>0</v>
      </c>
      <c r="BD8" s="37">
        <f>COUNTIFS(Wine1!$AA:$AA,Sheet1!BD$2,Wine1!$E:$E,"*" &amp; Sheet1!$A8 &amp;"*")</f>
        <v>0</v>
      </c>
      <c r="BE8" s="37">
        <f>COUNTIFS(Wine1!$AA:$AA,Sheet1!BE$2,Wine1!$E:$E,"*" &amp; Sheet1!$A8 &amp;"*")</f>
        <v>0</v>
      </c>
      <c r="BF8" s="37">
        <f>COUNTIFS(Wine1!$AA:$AA,Sheet1!BF$2,Wine1!$E:$E,"*" &amp; Sheet1!$A8 &amp;"*")</f>
        <v>0</v>
      </c>
      <c r="BG8" s="37">
        <f>COUNTIFS(Wine1!$AA:$AA,Sheet1!BG$2,Wine1!$E:$E,"*" &amp; Sheet1!$A8 &amp;"*")</f>
        <v>0</v>
      </c>
      <c r="BH8" s="37">
        <f>COUNTIFS(Wine1!$AA:$AA,Sheet1!BH$2,Wine1!$E:$E,"*" &amp; Sheet1!$A8 &amp;"*")</f>
        <v>0</v>
      </c>
      <c r="BI8" s="37">
        <f>COUNTIFS(Wine1!$AA:$AA,Sheet1!BI$2,Wine1!$E:$E,"*" &amp; Sheet1!$A8 &amp;"*")</f>
        <v>0</v>
      </c>
      <c r="BJ8" s="37">
        <f>COUNTIFS(Wine1!$AA:$AA,Sheet1!BJ$2,Wine1!$E:$E,"*" &amp; Sheet1!$A8 &amp;"*")</f>
        <v>0</v>
      </c>
      <c r="BK8" s="37">
        <f>COUNTIFS(Wine1!$AA:$AA,Sheet1!BK$2,Wine1!$E:$E,"*" &amp; Sheet1!$A8 &amp;"*")</f>
        <v>0</v>
      </c>
      <c r="BL8" s="37">
        <f>COUNTIFS(Wine1!$AA:$AA,Sheet1!BL$2,Wine1!$E:$E,"*" &amp; Sheet1!$A8 &amp;"*")</f>
        <v>0</v>
      </c>
    </row>
    <row r="9" spans="1:64" x14ac:dyDescent="0.25">
      <c r="A9" t="s">
        <v>132</v>
      </c>
      <c r="B9" s="95">
        <f>COUNTIFS(Wine1!$AF:$AF,Sheet1!B$2,Wine1!$E:$E,"*" &amp; Sheet1!$A9 &amp;"*")</f>
        <v>0</v>
      </c>
      <c r="C9" s="9">
        <f>COUNTIFS(Wine1!$AF:$AF,Sheet1!C$2,Wine1!$E:$E,"*" &amp; Sheet1!$A9 &amp;"*")</f>
        <v>0</v>
      </c>
      <c r="D9" s="96">
        <f>COUNTIFS(Wine1!$AF:$AF,Sheet1!D$2,Wine1!$E:$E,"*" &amp; Sheet1!$A9 &amp;"*")</f>
        <v>1</v>
      </c>
      <c r="E9" s="9">
        <f>COUNTIFS(Wine1!$AF:$AF,Sheet1!E$2,Wine1!$E:$E,"*" &amp; Sheet1!$A9 &amp;"*")</f>
        <v>3</v>
      </c>
      <c r="F9" s="99">
        <f t="shared" si="0"/>
        <v>4</v>
      </c>
      <c r="G9" s="37">
        <f>COUNTIFS(Wine1!$AA:$AA,Sheet1!G$2,Wine1!$E:$E,"*" &amp; Sheet1!$A9 &amp;"*")</f>
        <v>1</v>
      </c>
      <c r="H9" s="37">
        <f>COUNTIFS(Wine1!$AA:$AA,Sheet1!H$2,Wine1!$E:$E,"*" &amp; Sheet1!$A9 &amp;"*")</f>
        <v>2</v>
      </c>
      <c r="I9" s="37">
        <f>COUNTIFS(Wine1!$AA:$AA,Sheet1!I$2,Wine1!$E:$E,"*" &amp; Sheet1!$A9 &amp;"*")</f>
        <v>0</v>
      </c>
      <c r="J9" s="37">
        <f>COUNTIFS(Wine1!$AA:$AA,Sheet1!J$2,Wine1!$E:$E,"*" &amp; Sheet1!$A9 &amp;"*")</f>
        <v>0</v>
      </c>
      <c r="K9" s="37">
        <f>COUNTIFS(Wine1!$AA:$AA,Sheet1!K$2,Wine1!$E:$E,"*" &amp; Sheet1!$A9 &amp;"*")</f>
        <v>0</v>
      </c>
      <c r="L9" s="37">
        <f>COUNTIFS(Wine1!$AA:$AA,Sheet1!L$2,Wine1!$E:$E,"*" &amp; Sheet1!$A9 &amp;"*")</f>
        <v>0</v>
      </c>
      <c r="M9" s="37">
        <f>COUNTIFS(Wine1!$AA:$AA,Sheet1!M$2,Wine1!$E:$E,"*" &amp; Sheet1!$A9 &amp;"*")</f>
        <v>0</v>
      </c>
      <c r="N9" s="37">
        <f>COUNTIFS(Wine1!$AA:$AA,Sheet1!N$2,Wine1!$E:$E,"*" &amp; Sheet1!$A9 &amp;"*")</f>
        <v>0</v>
      </c>
      <c r="O9" s="37">
        <f>COUNTIFS(Wine1!$AA:$AA,Sheet1!O$2,Wine1!$E:$E,"*" &amp; Sheet1!$A9 &amp;"*")</f>
        <v>0</v>
      </c>
      <c r="P9" s="37">
        <f>COUNTIFS(Wine1!$AA:$AA,Sheet1!P$2,Wine1!$E:$E,"*" &amp; Sheet1!$A9 &amp;"*")</f>
        <v>0</v>
      </c>
      <c r="Q9" s="37">
        <f>COUNTIFS(Wine1!$AA:$AA,Sheet1!Q$2,Wine1!$E:$E,"*" &amp; Sheet1!$A9 &amp;"*")</f>
        <v>0</v>
      </c>
      <c r="R9" s="37">
        <f>COUNTIFS(Wine1!$AA:$AA,Sheet1!R$2,Wine1!$E:$E,"*" &amp; Sheet1!$A9 &amp;"*")</f>
        <v>0</v>
      </c>
      <c r="S9" s="37">
        <f>COUNTIFS(Wine1!$AA:$AA,Sheet1!S$2,Wine1!$E:$E,"*" &amp; Sheet1!$A9 &amp;"*")</f>
        <v>0</v>
      </c>
      <c r="T9" s="37">
        <f>COUNTIFS(Wine1!$AA:$AA,Sheet1!T$2,Wine1!$E:$E,"*" &amp; Sheet1!$A9 &amp;"*")</f>
        <v>0</v>
      </c>
      <c r="U9" s="37">
        <f>COUNTIFS(Wine1!$AA:$AA,Sheet1!U$2,Wine1!$E:$E,"*" &amp; Sheet1!$A9 &amp;"*")</f>
        <v>0</v>
      </c>
      <c r="V9" s="37">
        <f>COUNTIFS(Wine1!$AA:$AA,Sheet1!V$2,Wine1!$E:$E,"*" &amp; Sheet1!$A9 &amp;"*")</f>
        <v>0</v>
      </c>
      <c r="W9" s="37">
        <f>COUNTIFS(Wine1!$AA:$AA,Sheet1!W$2,Wine1!$E:$E,"*" &amp; Sheet1!$A9 &amp;"*")</f>
        <v>0</v>
      </c>
      <c r="X9" s="37">
        <f>COUNTIFS(Wine1!$AA:$AA,Sheet1!X$2,Wine1!$E:$E,"*" &amp; Sheet1!$A9 &amp;"*")</f>
        <v>0</v>
      </c>
      <c r="Y9" s="37">
        <f>COUNTIFS(Wine1!$AA:$AA,Sheet1!Y$2,Wine1!$E:$E,"*" &amp; Sheet1!$A9 &amp;"*")</f>
        <v>0</v>
      </c>
      <c r="Z9" s="37">
        <f>COUNTIFS(Wine1!$AA:$AA,Sheet1!Z$2,Wine1!$E:$E,"*" &amp; Sheet1!$A9 &amp;"*")</f>
        <v>0</v>
      </c>
      <c r="AA9" s="37">
        <f>COUNTIFS(Wine1!$AA:$AA,Sheet1!AA$2,Wine1!$E:$E,"*" &amp; Sheet1!$A9 &amp;"*")</f>
        <v>0</v>
      </c>
      <c r="AB9" s="37">
        <f>COUNTIFS(Wine1!$AA:$AA,Sheet1!AB$2,Wine1!$E:$E,"*" &amp; Sheet1!$A9 &amp;"*")</f>
        <v>0</v>
      </c>
      <c r="AC9" s="37">
        <f>COUNTIFS(Wine1!$AA:$AA,Sheet1!AC$2,Wine1!$E:$E,"*" &amp; Sheet1!$A9 &amp;"*")</f>
        <v>1</v>
      </c>
      <c r="AD9" s="37">
        <f>COUNTIFS(Wine1!$AA:$AA,Sheet1!AD$2,Wine1!$E:$E,"*" &amp; Sheet1!$A9 &amp;"*")</f>
        <v>0</v>
      </c>
      <c r="AE9" s="37">
        <f>COUNTIFS(Wine1!$AA:$AA,Sheet1!AE$2,Wine1!$E:$E,"*" &amp; Sheet1!$A9 &amp;"*")</f>
        <v>0</v>
      </c>
      <c r="AF9" s="37">
        <f>COUNTIFS(Wine1!$AA:$AA,Sheet1!AF$2,Wine1!$E:$E,"*" &amp; Sheet1!$A9 &amp;"*")</f>
        <v>0</v>
      </c>
      <c r="AG9" s="37">
        <f>COUNTIFS(Wine1!$AA:$AA,Sheet1!AG$2,Wine1!$E:$E,"*" &amp; Sheet1!$A9 &amp;"*")</f>
        <v>0</v>
      </c>
      <c r="AH9" s="37">
        <f>COUNTIFS(Wine1!$AA:$AA,Sheet1!AH$2,Wine1!$E:$E,"*" &amp; Sheet1!$A9 &amp;"*")</f>
        <v>0</v>
      </c>
      <c r="AI9" s="37">
        <f>COUNTIFS(Wine1!$AA:$AA,Sheet1!AI$2,Wine1!$E:$E,"*" &amp; Sheet1!$A9 &amp;"*")</f>
        <v>0</v>
      </c>
      <c r="AJ9" s="37">
        <f>COUNTIFS(Wine1!$AA:$AA,Sheet1!AJ$2,Wine1!$E:$E,"*" &amp; Sheet1!$A9 &amp;"*")</f>
        <v>0</v>
      </c>
      <c r="AK9" s="37">
        <f>COUNTIFS(Wine1!$AA:$AA,Sheet1!AK$2,Wine1!$E:$E,"*" &amp; Sheet1!$A9 &amp;"*")</f>
        <v>0</v>
      </c>
      <c r="AL9" s="37">
        <f>COUNTIFS(Wine1!$AA:$AA,Sheet1!AL$2,Wine1!$E:$E,"*" &amp; Sheet1!$A9 &amp;"*")</f>
        <v>0</v>
      </c>
      <c r="AM9" s="37">
        <f>COUNTIFS(Wine1!$AA:$AA,Sheet1!AM$2,Wine1!$E:$E,"*" &amp; Sheet1!$A9 &amp;"*")</f>
        <v>0</v>
      </c>
      <c r="AN9" s="37">
        <f>COUNTIFS(Wine1!$AA:$AA,Sheet1!AN$2,Wine1!$E:$E,"*" &amp; Sheet1!$A9 &amp;"*")</f>
        <v>0</v>
      </c>
      <c r="AO9" s="37">
        <f>COUNTIFS(Wine1!$AA:$AA,Sheet1!AO$2,Wine1!$E:$E,"*" &amp; Sheet1!$A9 &amp;"*")</f>
        <v>0</v>
      </c>
      <c r="AP9" s="37">
        <f>COUNTIFS(Wine1!$AA:$AA,Sheet1!AP$2,Wine1!$E:$E,"*" &amp; Sheet1!$A9 &amp;"*")</f>
        <v>0</v>
      </c>
      <c r="AQ9" s="37">
        <f>COUNTIFS(Wine1!$AA:$AA,Sheet1!AQ$2,Wine1!$E:$E,"*" &amp; Sheet1!$A9 &amp;"*")</f>
        <v>0</v>
      </c>
      <c r="AR9" s="37">
        <f>COUNTIFS(Wine1!$AA:$AA,Sheet1!AR$2,Wine1!$E:$E,"*" &amp; Sheet1!$A9 &amp;"*")</f>
        <v>0</v>
      </c>
      <c r="AS9" s="37">
        <f>COUNTIFS(Wine1!$AA:$AA,Sheet1!AS$2,Wine1!$E:$E,"*" &amp; Sheet1!$A9 &amp;"*")</f>
        <v>0</v>
      </c>
      <c r="AT9" s="37">
        <f>COUNTIFS(Wine1!$AA:$AA,Sheet1!AT$2,Wine1!$E:$E,"*" &amp; Sheet1!$A9 &amp;"*")</f>
        <v>0</v>
      </c>
      <c r="AU9" s="37">
        <f>COUNTIFS(Wine1!$AA:$AA,Sheet1!AU$2,Wine1!$E:$E,"*" &amp; Sheet1!$A9 &amp;"*")</f>
        <v>0</v>
      </c>
      <c r="AV9" s="37">
        <f>COUNTIFS(Wine1!$AA:$AA,Sheet1!AV$2,Wine1!$E:$E,"*" &amp; Sheet1!$A9 &amp;"*")</f>
        <v>0</v>
      </c>
      <c r="AW9" s="37">
        <f>COUNTIFS(Wine1!$AA:$AA,Sheet1!AW$2,Wine1!$E:$E,"*" &amp; Sheet1!$A9 &amp;"*")</f>
        <v>0</v>
      </c>
      <c r="AX9" s="37">
        <f>COUNTIFS(Wine1!$AA:$AA,Sheet1!AX$2,Wine1!$E:$E,"*" &amp; Sheet1!$A9 &amp;"*")</f>
        <v>0</v>
      </c>
      <c r="AY9" s="37">
        <f>COUNTIFS(Wine1!$AA:$AA,Sheet1!AY$2,Wine1!$E:$E,"*" &amp; Sheet1!$A9 &amp;"*")</f>
        <v>0</v>
      </c>
      <c r="AZ9" s="37">
        <f>COUNTIFS(Wine1!$AA:$AA,Sheet1!AZ$2,Wine1!$E:$E,"*" &amp; Sheet1!$A9 &amp;"*")</f>
        <v>0</v>
      </c>
      <c r="BA9" s="37">
        <f>COUNTIFS(Wine1!$AA:$AA,Sheet1!BA$2,Wine1!$E:$E,"*" &amp; Sheet1!$A9 &amp;"*")</f>
        <v>0</v>
      </c>
      <c r="BB9" s="37">
        <f>COUNTIFS(Wine1!$AA:$AA,Sheet1!BB$2,Wine1!$E:$E,"*" &amp; Sheet1!$A9 &amp;"*")</f>
        <v>0</v>
      </c>
      <c r="BC9" s="37">
        <f>COUNTIFS(Wine1!$AA:$AA,Sheet1!BC$2,Wine1!$E:$E,"*" &amp; Sheet1!$A9 &amp;"*")</f>
        <v>0</v>
      </c>
      <c r="BD9" s="37">
        <f>COUNTIFS(Wine1!$AA:$AA,Sheet1!BD$2,Wine1!$E:$E,"*" &amp; Sheet1!$A9 &amp;"*")</f>
        <v>0</v>
      </c>
      <c r="BE9" s="37">
        <f>COUNTIFS(Wine1!$AA:$AA,Sheet1!BE$2,Wine1!$E:$E,"*" &amp; Sheet1!$A9 &amp;"*")</f>
        <v>0</v>
      </c>
      <c r="BF9" s="37">
        <f>COUNTIFS(Wine1!$AA:$AA,Sheet1!BF$2,Wine1!$E:$E,"*" &amp; Sheet1!$A9 &amp;"*")</f>
        <v>0</v>
      </c>
      <c r="BG9" s="37">
        <f>COUNTIFS(Wine1!$AA:$AA,Sheet1!BG$2,Wine1!$E:$E,"*" &amp; Sheet1!$A9 &amp;"*")</f>
        <v>0</v>
      </c>
      <c r="BH9" s="37">
        <f>COUNTIFS(Wine1!$AA:$AA,Sheet1!BH$2,Wine1!$E:$E,"*" &amp; Sheet1!$A9 &amp;"*")</f>
        <v>0</v>
      </c>
      <c r="BI9" s="37">
        <f>COUNTIFS(Wine1!$AA:$AA,Sheet1!BI$2,Wine1!$E:$E,"*" &amp; Sheet1!$A9 &amp;"*")</f>
        <v>0</v>
      </c>
      <c r="BJ9" s="37">
        <f>COUNTIFS(Wine1!$AA:$AA,Sheet1!BJ$2,Wine1!$E:$E,"*" &amp; Sheet1!$A9 &amp;"*")</f>
        <v>0</v>
      </c>
      <c r="BK9" s="37">
        <f>COUNTIFS(Wine1!$AA:$AA,Sheet1!BK$2,Wine1!$E:$E,"*" &amp; Sheet1!$A9 &amp;"*")</f>
        <v>0</v>
      </c>
      <c r="BL9" s="37">
        <f>COUNTIFS(Wine1!$AA:$AA,Sheet1!BL$2,Wine1!$E:$E,"*" &amp; Sheet1!$A9 &amp;"*")</f>
        <v>0</v>
      </c>
    </row>
    <row r="10" spans="1:64" x14ac:dyDescent="0.25">
      <c r="A10" t="s">
        <v>1448</v>
      </c>
      <c r="B10" s="95">
        <f>COUNTIFS(Wine1!$AF:$AF,Sheet1!B$2,Wine1!$E:$E,"*" &amp; Sheet1!$A10 &amp;"*")</f>
        <v>4</v>
      </c>
      <c r="C10" s="9">
        <f>COUNTIFS(Wine1!$AF:$AF,Sheet1!C$2,Wine1!$E:$E,"*" &amp; Sheet1!$A10 &amp;"*")</f>
        <v>1</v>
      </c>
      <c r="D10" s="9">
        <f>COUNTIFS(Wine1!$AF:$AF,Sheet1!D$2,Wine1!$E:$E,"*" &amp; Sheet1!$A10 &amp;"*")</f>
        <v>7</v>
      </c>
      <c r="E10" s="9">
        <f>COUNTIFS(Wine1!$AF:$AF,Sheet1!E$2,Wine1!$E:$E,"*" &amp; Sheet1!$A10 &amp;"*")</f>
        <v>1</v>
      </c>
      <c r="F10" s="43">
        <f t="shared" si="0"/>
        <v>13</v>
      </c>
      <c r="G10" s="37">
        <f>COUNTIFS(Wine1!$AA:$AA,Sheet1!G$2,Wine1!$E:$E,"*" &amp; Sheet1!$A10 &amp;"*")</f>
        <v>2</v>
      </c>
      <c r="H10" s="37">
        <f>COUNTIFS(Wine1!$AA:$AA,Sheet1!H$2,Wine1!$E:$E,"*" &amp; Sheet1!$A10 &amp;"*")</f>
        <v>4</v>
      </c>
      <c r="I10" s="37">
        <f>COUNTIFS(Wine1!$AA:$AA,Sheet1!I$2,Wine1!$E:$E,"*" &amp; Sheet1!$A10 &amp;"*")</f>
        <v>2</v>
      </c>
      <c r="J10" s="37">
        <f>COUNTIFS(Wine1!$AA:$AA,Sheet1!J$2,Wine1!$E:$E,"*" &amp; Sheet1!$A10 &amp;"*")</f>
        <v>1</v>
      </c>
      <c r="K10" s="37">
        <f>COUNTIFS(Wine1!$AA:$AA,Sheet1!K$2,Wine1!$E:$E,"*" &amp; Sheet1!$A10 &amp;"*")</f>
        <v>2</v>
      </c>
      <c r="L10" s="37">
        <f>COUNTIFS(Wine1!$AA:$AA,Sheet1!L$2,Wine1!$E:$E,"*" &amp; Sheet1!$A10 &amp;"*")</f>
        <v>1</v>
      </c>
      <c r="M10" s="37">
        <f>COUNTIFS(Wine1!$AA:$AA,Sheet1!M$2,Wine1!$E:$E,"*" &amp; Sheet1!$A10 &amp;"*")</f>
        <v>1</v>
      </c>
      <c r="N10" s="37">
        <f>COUNTIFS(Wine1!$AA:$AA,Sheet1!N$2,Wine1!$E:$E,"*" &amp; Sheet1!$A10 &amp;"*")</f>
        <v>0</v>
      </c>
      <c r="O10" s="37">
        <f>COUNTIFS(Wine1!$AA:$AA,Sheet1!O$2,Wine1!$E:$E,"*" &amp; Sheet1!$A10 &amp;"*")</f>
        <v>0</v>
      </c>
      <c r="P10" s="37">
        <f>COUNTIFS(Wine1!$AA:$AA,Sheet1!P$2,Wine1!$E:$E,"*" &amp; Sheet1!$A10 &amp;"*")</f>
        <v>0</v>
      </c>
      <c r="Q10" s="37">
        <f>COUNTIFS(Wine1!$AA:$AA,Sheet1!Q$2,Wine1!$E:$E,"*" &amp; Sheet1!$A10 &amp;"*")</f>
        <v>0</v>
      </c>
      <c r="R10" s="37">
        <f>COUNTIFS(Wine1!$AA:$AA,Sheet1!R$2,Wine1!$E:$E,"*" &amp; Sheet1!$A10 &amp;"*")</f>
        <v>0</v>
      </c>
      <c r="S10" s="37">
        <f>COUNTIFS(Wine1!$AA:$AA,Sheet1!S$2,Wine1!$E:$E,"*" &amp; Sheet1!$A10 &amp;"*")</f>
        <v>0</v>
      </c>
      <c r="T10" s="37">
        <f>COUNTIFS(Wine1!$AA:$AA,Sheet1!T$2,Wine1!$E:$E,"*" &amp; Sheet1!$A10 &amp;"*")</f>
        <v>0</v>
      </c>
      <c r="U10" s="37">
        <f>COUNTIFS(Wine1!$AA:$AA,Sheet1!U$2,Wine1!$E:$E,"*" &amp; Sheet1!$A10 &amp;"*")</f>
        <v>0</v>
      </c>
      <c r="V10" s="37">
        <f>COUNTIFS(Wine1!$AA:$AA,Sheet1!V$2,Wine1!$E:$E,"*" &amp; Sheet1!$A10 &amp;"*")</f>
        <v>0</v>
      </c>
      <c r="W10" s="37">
        <f>COUNTIFS(Wine1!$AA:$AA,Sheet1!W$2,Wine1!$E:$E,"*" &amp; Sheet1!$A10 &amp;"*")</f>
        <v>0</v>
      </c>
      <c r="X10" s="37">
        <f>COUNTIFS(Wine1!$AA:$AA,Sheet1!X$2,Wine1!$E:$E,"*" &amp; Sheet1!$A10 &amp;"*")</f>
        <v>0</v>
      </c>
      <c r="Y10" s="37">
        <f>COUNTIFS(Wine1!$AA:$AA,Sheet1!Y$2,Wine1!$E:$E,"*" &amp; Sheet1!$A10 &amp;"*")</f>
        <v>0</v>
      </c>
      <c r="Z10" s="37">
        <f>COUNTIFS(Wine1!$AA:$AA,Sheet1!Z$2,Wine1!$E:$E,"*" &amp; Sheet1!$A10 &amp;"*")</f>
        <v>0</v>
      </c>
      <c r="AA10" s="37">
        <f>COUNTIFS(Wine1!$AA:$AA,Sheet1!AA$2,Wine1!$E:$E,"*" &amp; Sheet1!$A10 &amp;"*")</f>
        <v>0</v>
      </c>
      <c r="AB10" s="37">
        <f>COUNTIFS(Wine1!$AA:$AA,Sheet1!AB$2,Wine1!$E:$E,"*" &amp; Sheet1!$A10 &amp;"*")</f>
        <v>0</v>
      </c>
      <c r="AC10" s="37">
        <f>COUNTIFS(Wine1!$AA:$AA,Sheet1!AC$2,Wine1!$E:$E,"*" &amp; Sheet1!$A10 &amp;"*")</f>
        <v>0</v>
      </c>
      <c r="AD10" s="37">
        <f>COUNTIFS(Wine1!$AA:$AA,Sheet1!AD$2,Wine1!$E:$E,"*" &amp; Sheet1!$A10 &amp;"*")</f>
        <v>0</v>
      </c>
      <c r="AE10" s="37">
        <f>COUNTIFS(Wine1!$AA:$AA,Sheet1!AE$2,Wine1!$E:$E,"*" &amp; Sheet1!$A10 &amp;"*")</f>
        <v>0</v>
      </c>
      <c r="AF10" s="37">
        <f>COUNTIFS(Wine1!$AA:$AA,Sheet1!AF$2,Wine1!$E:$E,"*" &amp; Sheet1!$A10 &amp;"*")</f>
        <v>0</v>
      </c>
      <c r="AG10" s="37">
        <f>COUNTIFS(Wine1!$AA:$AA,Sheet1!AG$2,Wine1!$E:$E,"*" &amp; Sheet1!$A10 &amp;"*")</f>
        <v>0</v>
      </c>
      <c r="AH10" s="37">
        <f>COUNTIFS(Wine1!$AA:$AA,Sheet1!AH$2,Wine1!$E:$E,"*" &amp; Sheet1!$A10 &amp;"*")</f>
        <v>0</v>
      </c>
      <c r="AI10" s="37">
        <f>COUNTIFS(Wine1!$AA:$AA,Sheet1!AI$2,Wine1!$E:$E,"*" &amp; Sheet1!$A10 &amp;"*")</f>
        <v>0</v>
      </c>
      <c r="AJ10" s="37">
        <f>COUNTIFS(Wine1!$AA:$AA,Sheet1!AJ$2,Wine1!$E:$E,"*" &amp; Sheet1!$A10 &amp;"*")</f>
        <v>0</v>
      </c>
      <c r="AK10" s="37">
        <f>COUNTIFS(Wine1!$AA:$AA,Sheet1!AK$2,Wine1!$E:$E,"*" &amp; Sheet1!$A10 &amp;"*")</f>
        <v>0</v>
      </c>
      <c r="AL10" s="37">
        <f>COUNTIFS(Wine1!$AA:$AA,Sheet1!AL$2,Wine1!$E:$E,"*" &amp; Sheet1!$A10 &amp;"*")</f>
        <v>0</v>
      </c>
      <c r="AM10" s="37">
        <f>COUNTIFS(Wine1!$AA:$AA,Sheet1!AM$2,Wine1!$E:$E,"*" &amp; Sheet1!$A10 &amp;"*")</f>
        <v>0</v>
      </c>
      <c r="AN10" s="37">
        <f>COUNTIFS(Wine1!$AA:$AA,Sheet1!AN$2,Wine1!$E:$E,"*" &amp; Sheet1!$A10 &amp;"*")</f>
        <v>0</v>
      </c>
      <c r="AO10" s="37">
        <f>COUNTIFS(Wine1!$AA:$AA,Sheet1!AO$2,Wine1!$E:$E,"*" &amp; Sheet1!$A10 &amp;"*")</f>
        <v>0</v>
      </c>
      <c r="AP10" s="37">
        <f>COUNTIFS(Wine1!$AA:$AA,Sheet1!AP$2,Wine1!$E:$E,"*" &amp; Sheet1!$A10 &amp;"*")</f>
        <v>0</v>
      </c>
      <c r="AQ10" s="37">
        <f>COUNTIFS(Wine1!$AA:$AA,Sheet1!AQ$2,Wine1!$E:$E,"*" &amp; Sheet1!$A10 &amp;"*")</f>
        <v>0</v>
      </c>
      <c r="AR10" s="37">
        <f>COUNTIFS(Wine1!$AA:$AA,Sheet1!AR$2,Wine1!$E:$E,"*" &amp; Sheet1!$A10 &amp;"*")</f>
        <v>0</v>
      </c>
      <c r="AS10" s="37">
        <f>COUNTIFS(Wine1!$AA:$AA,Sheet1!AS$2,Wine1!$E:$E,"*" &amp; Sheet1!$A10 &amp;"*")</f>
        <v>0</v>
      </c>
      <c r="AT10" s="37">
        <f>COUNTIFS(Wine1!$AA:$AA,Sheet1!AT$2,Wine1!$E:$E,"*" &amp; Sheet1!$A10 &amp;"*")</f>
        <v>0</v>
      </c>
      <c r="AU10" s="37">
        <f>COUNTIFS(Wine1!$AA:$AA,Sheet1!AU$2,Wine1!$E:$E,"*" &amp; Sheet1!$A10 &amp;"*")</f>
        <v>0</v>
      </c>
      <c r="AV10" s="37">
        <f>COUNTIFS(Wine1!$AA:$AA,Sheet1!AV$2,Wine1!$E:$E,"*" &amp; Sheet1!$A10 &amp;"*")</f>
        <v>0</v>
      </c>
      <c r="AW10" s="37">
        <f>COUNTIFS(Wine1!$AA:$AA,Sheet1!AW$2,Wine1!$E:$E,"*" &amp; Sheet1!$A10 &amp;"*")</f>
        <v>0</v>
      </c>
      <c r="AX10" s="37">
        <f>COUNTIFS(Wine1!$AA:$AA,Sheet1!AX$2,Wine1!$E:$E,"*" &amp; Sheet1!$A10 &amp;"*")</f>
        <v>0</v>
      </c>
      <c r="AY10" s="37">
        <f>COUNTIFS(Wine1!$AA:$AA,Sheet1!AY$2,Wine1!$E:$E,"*" &amp; Sheet1!$A10 &amp;"*")</f>
        <v>0</v>
      </c>
      <c r="AZ10" s="37">
        <f>COUNTIFS(Wine1!$AA:$AA,Sheet1!AZ$2,Wine1!$E:$E,"*" &amp; Sheet1!$A10 &amp;"*")</f>
        <v>0</v>
      </c>
      <c r="BA10" s="37">
        <f>COUNTIFS(Wine1!$AA:$AA,Sheet1!BA$2,Wine1!$E:$E,"*" &amp; Sheet1!$A10 &amp;"*")</f>
        <v>0</v>
      </c>
      <c r="BB10" s="37">
        <f>COUNTIFS(Wine1!$AA:$AA,Sheet1!BB$2,Wine1!$E:$E,"*" &amp; Sheet1!$A10 &amp;"*")</f>
        <v>0</v>
      </c>
      <c r="BC10" s="37">
        <f>COUNTIFS(Wine1!$AA:$AA,Sheet1!BC$2,Wine1!$E:$E,"*" &amp; Sheet1!$A10 &amp;"*")</f>
        <v>0</v>
      </c>
      <c r="BD10" s="37">
        <f>COUNTIFS(Wine1!$AA:$AA,Sheet1!BD$2,Wine1!$E:$E,"*" &amp; Sheet1!$A10 &amp;"*")</f>
        <v>0</v>
      </c>
      <c r="BE10" s="37">
        <f>COUNTIFS(Wine1!$AA:$AA,Sheet1!BE$2,Wine1!$E:$E,"*" &amp; Sheet1!$A10 &amp;"*")</f>
        <v>0</v>
      </c>
      <c r="BF10" s="37">
        <f>COUNTIFS(Wine1!$AA:$AA,Sheet1!BF$2,Wine1!$E:$E,"*" &amp; Sheet1!$A10 &amp;"*")</f>
        <v>0</v>
      </c>
      <c r="BG10" s="37">
        <f>COUNTIFS(Wine1!$AA:$AA,Sheet1!BG$2,Wine1!$E:$E,"*" &amp; Sheet1!$A10 &amp;"*")</f>
        <v>0</v>
      </c>
      <c r="BH10" s="37">
        <f>COUNTIFS(Wine1!$AA:$AA,Sheet1!BH$2,Wine1!$E:$E,"*" &amp; Sheet1!$A10 &amp;"*")</f>
        <v>0</v>
      </c>
      <c r="BI10" s="37">
        <f>COUNTIFS(Wine1!$AA:$AA,Sheet1!BI$2,Wine1!$E:$E,"*" &amp; Sheet1!$A10 &amp;"*")</f>
        <v>0</v>
      </c>
      <c r="BJ10" s="37">
        <f>COUNTIFS(Wine1!$AA:$AA,Sheet1!BJ$2,Wine1!$E:$E,"*" &amp; Sheet1!$A10 &amp;"*")</f>
        <v>0</v>
      </c>
      <c r="BK10" s="37">
        <f>COUNTIFS(Wine1!$AA:$AA,Sheet1!BK$2,Wine1!$E:$E,"*" &amp; Sheet1!$A10 &amp;"*")</f>
        <v>0</v>
      </c>
      <c r="BL10" s="37">
        <f>COUNTIFS(Wine1!$AA:$AA,Sheet1!BL$2,Wine1!$E:$E,"*" &amp; Sheet1!$A10 &amp;"*")</f>
        <v>0</v>
      </c>
    </row>
    <row r="11" spans="1:64" x14ac:dyDescent="0.25">
      <c r="A11" t="s">
        <v>1435</v>
      </c>
      <c r="B11" s="97">
        <f>COUNTIFS(Wine1!$AF:$AF,Sheet1!B$2,Wine1!$E:$E,"*" &amp; Sheet1!$A11 &amp;"*")</f>
        <v>5</v>
      </c>
      <c r="C11" s="9">
        <f>COUNTIFS(Wine1!$AF:$AF,Sheet1!C$2,Wine1!$E:$E,"*" &amp; Sheet1!$A11 &amp;"*")</f>
        <v>8</v>
      </c>
      <c r="D11" s="96">
        <f>COUNTIFS(Wine1!$AF:$AF,Sheet1!D$2,Wine1!$E:$E,"*" &amp; Sheet1!$A11 &amp;"*")</f>
        <v>8</v>
      </c>
      <c r="E11" s="96">
        <f>COUNTIFS(Wine1!$AF:$AF,Sheet1!E$2,Wine1!$E:$E,"*" &amp; Sheet1!$A11 &amp;"*")</f>
        <v>3</v>
      </c>
      <c r="F11" s="99">
        <f t="shared" si="0"/>
        <v>24</v>
      </c>
      <c r="G11" s="37">
        <f>COUNTIFS(Wine1!$AA:$AA,Sheet1!G$2,Wine1!$E:$E,"*" &amp; Sheet1!$A11 &amp;"*")</f>
        <v>7</v>
      </c>
      <c r="H11" s="37">
        <f>COUNTIFS(Wine1!$AA:$AA,Sheet1!H$2,Wine1!$E:$E,"*" &amp; Sheet1!$A11 &amp;"*")</f>
        <v>5</v>
      </c>
      <c r="I11" s="37">
        <f>COUNTIFS(Wine1!$AA:$AA,Sheet1!I$2,Wine1!$E:$E,"*" &amp; Sheet1!$A11 &amp;"*")</f>
        <v>1</v>
      </c>
      <c r="J11" s="37">
        <f>COUNTIFS(Wine1!$AA:$AA,Sheet1!J$2,Wine1!$E:$E,"*" &amp; Sheet1!$A11 &amp;"*")</f>
        <v>3</v>
      </c>
      <c r="K11" s="37">
        <f>COUNTIFS(Wine1!$AA:$AA,Sheet1!K$2,Wine1!$E:$E,"*" &amp; Sheet1!$A11 &amp;"*")</f>
        <v>0</v>
      </c>
      <c r="L11" s="37">
        <f>COUNTIFS(Wine1!$AA:$AA,Sheet1!L$2,Wine1!$E:$E,"*" &amp; Sheet1!$A11 &amp;"*")</f>
        <v>1</v>
      </c>
      <c r="M11" s="37">
        <f>COUNTIFS(Wine1!$AA:$AA,Sheet1!M$2,Wine1!$E:$E,"*" &amp; Sheet1!$A11 &amp;"*")</f>
        <v>2</v>
      </c>
      <c r="N11" s="37">
        <f>COUNTIFS(Wine1!$AA:$AA,Sheet1!N$2,Wine1!$E:$E,"*" &amp; Sheet1!$A11 &amp;"*")</f>
        <v>1</v>
      </c>
      <c r="O11" s="37">
        <f>COUNTIFS(Wine1!$AA:$AA,Sheet1!O$2,Wine1!$E:$E,"*" &amp; Sheet1!$A11 &amp;"*")</f>
        <v>2</v>
      </c>
      <c r="P11" s="37">
        <f>COUNTIFS(Wine1!$AA:$AA,Sheet1!P$2,Wine1!$E:$E,"*" &amp; Sheet1!$A11 &amp;"*")</f>
        <v>0</v>
      </c>
      <c r="Q11" s="37">
        <f>COUNTIFS(Wine1!$AA:$AA,Sheet1!Q$2,Wine1!$E:$E,"*" &amp; Sheet1!$A11 &amp;"*")</f>
        <v>1</v>
      </c>
      <c r="R11" s="37">
        <f>COUNTIFS(Wine1!$AA:$AA,Sheet1!R$2,Wine1!$E:$E,"*" &amp; Sheet1!$A11 &amp;"*")</f>
        <v>1</v>
      </c>
      <c r="S11" s="37">
        <f>COUNTIFS(Wine1!$AA:$AA,Sheet1!S$2,Wine1!$E:$E,"*" &amp; Sheet1!$A11 &amp;"*")</f>
        <v>0</v>
      </c>
      <c r="T11" s="37">
        <f>COUNTIFS(Wine1!$AA:$AA,Sheet1!T$2,Wine1!$E:$E,"*" &amp; Sheet1!$A11 &amp;"*")</f>
        <v>0</v>
      </c>
      <c r="U11" s="37">
        <f>COUNTIFS(Wine1!$AA:$AA,Sheet1!U$2,Wine1!$E:$E,"*" &amp; Sheet1!$A11 &amp;"*")</f>
        <v>0</v>
      </c>
      <c r="V11" s="37">
        <f>COUNTIFS(Wine1!$AA:$AA,Sheet1!V$2,Wine1!$E:$E,"*" &amp; Sheet1!$A11 &amp;"*")</f>
        <v>0</v>
      </c>
      <c r="W11" s="37">
        <f>COUNTIFS(Wine1!$AA:$AA,Sheet1!W$2,Wine1!$E:$E,"*" &amp; Sheet1!$A11 &amp;"*")</f>
        <v>0</v>
      </c>
      <c r="X11" s="37">
        <f>COUNTIFS(Wine1!$AA:$AA,Sheet1!X$2,Wine1!$E:$E,"*" &amp; Sheet1!$A11 &amp;"*")</f>
        <v>0</v>
      </c>
      <c r="Y11" s="37">
        <f>COUNTIFS(Wine1!$AA:$AA,Sheet1!Y$2,Wine1!$E:$E,"*" &amp; Sheet1!$A11 &amp;"*")</f>
        <v>0</v>
      </c>
      <c r="Z11" s="37">
        <f>COUNTIFS(Wine1!$AA:$AA,Sheet1!Z$2,Wine1!$E:$E,"*" &amp; Sheet1!$A11 &amp;"*")</f>
        <v>0</v>
      </c>
      <c r="AA11" s="37">
        <f>COUNTIFS(Wine1!$AA:$AA,Sheet1!AA$2,Wine1!$E:$E,"*" &amp; Sheet1!$A11 &amp;"*")</f>
        <v>0</v>
      </c>
      <c r="AB11" s="37">
        <f>COUNTIFS(Wine1!$AA:$AA,Sheet1!AB$2,Wine1!$E:$E,"*" &amp; Sheet1!$A11 &amp;"*")</f>
        <v>0</v>
      </c>
      <c r="AC11" s="37">
        <f>COUNTIFS(Wine1!$AA:$AA,Sheet1!AC$2,Wine1!$E:$E,"*" &amp; Sheet1!$A11 &amp;"*")</f>
        <v>0</v>
      </c>
      <c r="AD11" s="37">
        <f>COUNTIFS(Wine1!$AA:$AA,Sheet1!AD$2,Wine1!$E:$E,"*" &amp; Sheet1!$A11 &amp;"*")</f>
        <v>0</v>
      </c>
      <c r="AE11" s="37">
        <f>COUNTIFS(Wine1!$AA:$AA,Sheet1!AE$2,Wine1!$E:$E,"*" &amp; Sheet1!$A11 &amp;"*")</f>
        <v>0</v>
      </c>
      <c r="AF11" s="37">
        <f>COUNTIFS(Wine1!$AA:$AA,Sheet1!AF$2,Wine1!$E:$E,"*" &amp; Sheet1!$A11 &amp;"*")</f>
        <v>0</v>
      </c>
      <c r="AG11" s="37">
        <f>COUNTIFS(Wine1!$AA:$AA,Sheet1!AG$2,Wine1!$E:$E,"*" &amp; Sheet1!$A11 &amp;"*")</f>
        <v>0</v>
      </c>
      <c r="AH11" s="37">
        <f>COUNTIFS(Wine1!$AA:$AA,Sheet1!AH$2,Wine1!$E:$E,"*" &amp; Sheet1!$A11 &amp;"*")</f>
        <v>0</v>
      </c>
      <c r="AI11" s="37">
        <f>COUNTIFS(Wine1!$AA:$AA,Sheet1!AI$2,Wine1!$E:$E,"*" &amp; Sheet1!$A11 &amp;"*")</f>
        <v>0</v>
      </c>
      <c r="AJ11" s="37">
        <f>COUNTIFS(Wine1!$AA:$AA,Sheet1!AJ$2,Wine1!$E:$E,"*" &amp; Sheet1!$A11 &amp;"*")</f>
        <v>0</v>
      </c>
      <c r="AK11" s="37">
        <f>COUNTIFS(Wine1!$AA:$AA,Sheet1!AK$2,Wine1!$E:$E,"*" &amp; Sheet1!$A11 &amp;"*")</f>
        <v>0</v>
      </c>
      <c r="AL11" s="37">
        <f>COUNTIFS(Wine1!$AA:$AA,Sheet1!AL$2,Wine1!$E:$E,"*" &amp; Sheet1!$A11 &amp;"*")</f>
        <v>0</v>
      </c>
      <c r="AM11" s="37">
        <f>COUNTIFS(Wine1!$AA:$AA,Sheet1!AM$2,Wine1!$E:$E,"*" &amp; Sheet1!$A11 &amp;"*")</f>
        <v>0</v>
      </c>
      <c r="AN11" s="37">
        <f>COUNTIFS(Wine1!$AA:$AA,Sheet1!AN$2,Wine1!$E:$E,"*" &amp; Sheet1!$A11 &amp;"*")</f>
        <v>0</v>
      </c>
      <c r="AO11" s="37">
        <f>COUNTIFS(Wine1!$AA:$AA,Sheet1!AO$2,Wine1!$E:$E,"*" &amp; Sheet1!$A11 &amp;"*")</f>
        <v>0</v>
      </c>
      <c r="AP11" s="37">
        <f>COUNTIFS(Wine1!$AA:$AA,Sheet1!AP$2,Wine1!$E:$E,"*" &amp; Sheet1!$A11 &amp;"*")</f>
        <v>0</v>
      </c>
      <c r="AQ11" s="37">
        <f>COUNTIFS(Wine1!$AA:$AA,Sheet1!AQ$2,Wine1!$E:$E,"*" &amp; Sheet1!$A11 &amp;"*")</f>
        <v>0</v>
      </c>
      <c r="AR11" s="37">
        <f>COUNTIFS(Wine1!$AA:$AA,Sheet1!AR$2,Wine1!$E:$E,"*" &amp; Sheet1!$A11 &amp;"*")</f>
        <v>0</v>
      </c>
      <c r="AS11" s="37">
        <f>COUNTIFS(Wine1!$AA:$AA,Sheet1!AS$2,Wine1!$E:$E,"*" &amp; Sheet1!$A11 &amp;"*")</f>
        <v>0</v>
      </c>
      <c r="AT11" s="37">
        <f>COUNTIFS(Wine1!$AA:$AA,Sheet1!AT$2,Wine1!$E:$E,"*" &amp; Sheet1!$A11 &amp;"*")</f>
        <v>0</v>
      </c>
      <c r="AU11" s="37">
        <f>COUNTIFS(Wine1!$AA:$AA,Sheet1!AU$2,Wine1!$E:$E,"*" &amp; Sheet1!$A11 &amp;"*")</f>
        <v>0</v>
      </c>
      <c r="AV11" s="37">
        <f>COUNTIFS(Wine1!$AA:$AA,Sheet1!AV$2,Wine1!$E:$E,"*" &amp; Sheet1!$A11 &amp;"*")</f>
        <v>0</v>
      </c>
      <c r="AW11" s="37">
        <f>COUNTIFS(Wine1!$AA:$AA,Sheet1!AW$2,Wine1!$E:$E,"*" &amp; Sheet1!$A11 &amp;"*")</f>
        <v>0</v>
      </c>
      <c r="AX11" s="37">
        <f>COUNTIFS(Wine1!$AA:$AA,Sheet1!AX$2,Wine1!$E:$E,"*" &amp; Sheet1!$A11 &amp;"*")</f>
        <v>0</v>
      </c>
      <c r="AY11" s="37">
        <f>COUNTIFS(Wine1!$AA:$AA,Sheet1!AY$2,Wine1!$E:$E,"*" &amp; Sheet1!$A11 &amp;"*")</f>
        <v>0</v>
      </c>
      <c r="AZ11" s="37">
        <f>COUNTIFS(Wine1!$AA:$AA,Sheet1!AZ$2,Wine1!$E:$E,"*" &amp; Sheet1!$A11 &amp;"*")</f>
        <v>0</v>
      </c>
      <c r="BA11" s="37">
        <f>COUNTIFS(Wine1!$AA:$AA,Sheet1!BA$2,Wine1!$E:$E,"*" &amp; Sheet1!$A11 &amp;"*")</f>
        <v>0</v>
      </c>
      <c r="BB11" s="37">
        <f>COUNTIFS(Wine1!$AA:$AA,Sheet1!BB$2,Wine1!$E:$E,"*" &amp; Sheet1!$A11 &amp;"*")</f>
        <v>0</v>
      </c>
      <c r="BC11" s="37">
        <f>COUNTIFS(Wine1!$AA:$AA,Sheet1!BC$2,Wine1!$E:$E,"*" &amp; Sheet1!$A11 &amp;"*")</f>
        <v>0</v>
      </c>
      <c r="BD11" s="37">
        <f>COUNTIFS(Wine1!$AA:$AA,Sheet1!BD$2,Wine1!$E:$E,"*" &amp; Sheet1!$A11 &amp;"*")</f>
        <v>0</v>
      </c>
      <c r="BE11" s="37">
        <f>COUNTIFS(Wine1!$AA:$AA,Sheet1!BE$2,Wine1!$E:$E,"*" &amp; Sheet1!$A11 &amp;"*")</f>
        <v>0</v>
      </c>
      <c r="BF11" s="37">
        <f>COUNTIFS(Wine1!$AA:$AA,Sheet1!BF$2,Wine1!$E:$E,"*" &amp; Sheet1!$A11 &amp;"*")</f>
        <v>0</v>
      </c>
      <c r="BG11" s="37">
        <f>COUNTIFS(Wine1!$AA:$AA,Sheet1!BG$2,Wine1!$E:$E,"*" &amp; Sheet1!$A11 &amp;"*")</f>
        <v>0</v>
      </c>
      <c r="BH11" s="37">
        <f>COUNTIFS(Wine1!$AA:$AA,Sheet1!BH$2,Wine1!$E:$E,"*" &amp; Sheet1!$A11 &amp;"*")</f>
        <v>0</v>
      </c>
      <c r="BI11" s="37">
        <f>COUNTIFS(Wine1!$AA:$AA,Sheet1!BI$2,Wine1!$E:$E,"*" &amp; Sheet1!$A11 &amp;"*")</f>
        <v>0</v>
      </c>
      <c r="BJ11" s="37">
        <f>COUNTIFS(Wine1!$AA:$AA,Sheet1!BJ$2,Wine1!$E:$E,"*" &amp; Sheet1!$A11 &amp;"*")</f>
        <v>0</v>
      </c>
      <c r="BK11" s="37">
        <f>COUNTIFS(Wine1!$AA:$AA,Sheet1!BK$2,Wine1!$E:$E,"*" &amp; Sheet1!$A11 &amp;"*")</f>
        <v>0</v>
      </c>
      <c r="BL11" s="37">
        <f>COUNTIFS(Wine1!$AA:$AA,Sheet1!BL$2,Wine1!$E:$E,"*" &amp; Sheet1!$A11 &amp;"*")</f>
        <v>0</v>
      </c>
    </row>
    <row r="12" spans="1:64" x14ac:dyDescent="0.25">
      <c r="A12" t="s">
        <v>1442</v>
      </c>
      <c r="B12" s="95">
        <f>COUNTIFS(Wine1!$AF:$AF,Sheet1!B$2,Wine1!$E:$E,"*" &amp; Sheet1!$A12 &amp;"*")</f>
        <v>0</v>
      </c>
      <c r="C12" s="9">
        <f>COUNTIFS(Wine1!$AF:$AF,Sheet1!C$2,Wine1!$E:$E,"*" &amp; Sheet1!$A12 &amp;"*")</f>
        <v>7</v>
      </c>
      <c r="D12" s="9">
        <f>COUNTIFS(Wine1!$AF:$AF,Sheet1!D$2,Wine1!$E:$E,"*" &amp; Sheet1!$A12 &amp;"*")</f>
        <v>7</v>
      </c>
      <c r="E12" s="9">
        <f>COUNTIFS(Wine1!$AF:$AF,Sheet1!E$2,Wine1!$E:$E,"*" &amp; Sheet1!$A12 &amp;"*")</f>
        <v>3</v>
      </c>
      <c r="F12" s="43">
        <f t="shared" si="0"/>
        <v>17</v>
      </c>
      <c r="G12" s="37">
        <f>COUNTIFS(Wine1!$AA:$AA,Sheet1!G$2,Wine1!$E:$E,"*" &amp; Sheet1!$A12 &amp;"*")</f>
        <v>4</v>
      </c>
      <c r="H12" s="37">
        <f>COUNTIFS(Wine1!$AA:$AA,Sheet1!H$2,Wine1!$E:$E,"*" &amp; Sheet1!$A12 &amp;"*")</f>
        <v>2</v>
      </c>
      <c r="I12" s="37">
        <f>COUNTIFS(Wine1!$AA:$AA,Sheet1!I$2,Wine1!$E:$E,"*" &amp; Sheet1!$A12 &amp;"*")</f>
        <v>1</v>
      </c>
      <c r="J12" s="37">
        <f>COUNTIFS(Wine1!$AA:$AA,Sheet1!J$2,Wine1!$E:$E,"*" &amp; Sheet1!$A12 &amp;"*")</f>
        <v>2</v>
      </c>
      <c r="K12" s="37">
        <f>COUNTIFS(Wine1!$AA:$AA,Sheet1!K$2,Wine1!$E:$E,"*" &amp; Sheet1!$A12 &amp;"*")</f>
        <v>0</v>
      </c>
      <c r="L12" s="37">
        <f>COUNTIFS(Wine1!$AA:$AA,Sheet1!L$2,Wine1!$E:$E,"*" &amp; Sheet1!$A12 &amp;"*")</f>
        <v>1</v>
      </c>
      <c r="M12" s="37">
        <f>COUNTIFS(Wine1!$AA:$AA,Sheet1!M$2,Wine1!$E:$E,"*" &amp; Sheet1!$A12 &amp;"*")</f>
        <v>2</v>
      </c>
      <c r="N12" s="37">
        <f>COUNTIFS(Wine1!$AA:$AA,Sheet1!N$2,Wine1!$E:$E,"*" &amp; Sheet1!$A12 &amp;"*")</f>
        <v>1</v>
      </c>
      <c r="O12" s="37">
        <f>COUNTIFS(Wine1!$AA:$AA,Sheet1!O$2,Wine1!$E:$E,"*" &amp; Sheet1!$A12 &amp;"*")</f>
        <v>2</v>
      </c>
      <c r="P12" s="37">
        <f>COUNTIFS(Wine1!$AA:$AA,Sheet1!P$2,Wine1!$E:$E,"*" &amp; Sheet1!$A12 &amp;"*")</f>
        <v>0</v>
      </c>
      <c r="Q12" s="37">
        <f>COUNTIFS(Wine1!$AA:$AA,Sheet1!Q$2,Wine1!$E:$E,"*" &amp; Sheet1!$A12 &amp;"*")</f>
        <v>1</v>
      </c>
      <c r="R12" s="37">
        <f>COUNTIFS(Wine1!$AA:$AA,Sheet1!R$2,Wine1!$E:$E,"*" &amp; Sheet1!$A12 &amp;"*")</f>
        <v>1</v>
      </c>
      <c r="S12" s="37">
        <f>COUNTIFS(Wine1!$AA:$AA,Sheet1!S$2,Wine1!$E:$E,"*" &amp; Sheet1!$A12 &amp;"*")</f>
        <v>0</v>
      </c>
      <c r="T12" s="37">
        <f>COUNTIFS(Wine1!$AA:$AA,Sheet1!T$2,Wine1!$E:$E,"*" &amp; Sheet1!$A12 &amp;"*")</f>
        <v>0</v>
      </c>
      <c r="U12" s="37">
        <f>COUNTIFS(Wine1!$AA:$AA,Sheet1!U$2,Wine1!$E:$E,"*" &amp; Sheet1!$A12 &amp;"*")</f>
        <v>0</v>
      </c>
      <c r="V12" s="37">
        <f>COUNTIFS(Wine1!$AA:$AA,Sheet1!V$2,Wine1!$E:$E,"*" &amp; Sheet1!$A12 &amp;"*")</f>
        <v>0</v>
      </c>
      <c r="W12" s="37">
        <f>COUNTIFS(Wine1!$AA:$AA,Sheet1!W$2,Wine1!$E:$E,"*" &amp; Sheet1!$A12 &amp;"*")</f>
        <v>0</v>
      </c>
      <c r="X12" s="37">
        <f>COUNTIFS(Wine1!$AA:$AA,Sheet1!X$2,Wine1!$E:$E,"*" &amp; Sheet1!$A12 &amp;"*")</f>
        <v>0</v>
      </c>
      <c r="Y12" s="37">
        <f>COUNTIFS(Wine1!$AA:$AA,Sheet1!Y$2,Wine1!$E:$E,"*" &amp; Sheet1!$A12 &amp;"*")</f>
        <v>0</v>
      </c>
      <c r="Z12" s="37">
        <f>COUNTIFS(Wine1!$AA:$AA,Sheet1!Z$2,Wine1!$E:$E,"*" &amp; Sheet1!$A12 &amp;"*")</f>
        <v>0</v>
      </c>
      <c r="AA12" s="37">
        <f>COUNTIFS(Wine1!$AA:$AA,Sheet1!AA$2,Wine1!$E:$E,"*" &amp; Sheet1!$A12 &amp;"*")</f>
        <v>0</v>
      </c>
      <c r="AB12" s="37">
        <f>COUNTIFS(Wine1!$AA:$AA,Sheet1!AB$2,Wine1!$E:$E,"*" &amp; Sheet1!$A12 &amp;"*")</f>
        <v>0</v>
      </c>
      <c r="AC12" s="37">
        <f>COUNTIFS(Wine1!$AA:$AA,Sheet1!AC$2,Wine1!$E:$E,"*" &amp; Sheet1!$A12 &amp;"*")</f>
        <v>0</v>
      </c>
      <c r="AD12" s="37">
        <f>COUNTIFS(Wine1!$AA:$AA,Sheet1!AD$2,Wine1!$E:$E,"*" &amp; Sheet1!$A12 &amp;"*")</f>
        <v>0</v>
      </c>
      <c r="AE12" s="37">
        <f>COUNTIFS(Wine1!$AA:$AA,Sheet1!AE$2,Wine1!$E:$E,"*" &amp; Sheet1!$A12 &amp;"*")</f>
        <v>0</v>
      </c>
      <c r="AF12" s="37">
        <f>COUNTIFS(Wine1!$AA:$AA,Sheet1!AF$2,Wine1!$E:$E,"*" &amp; Sheet1!$A12 &amp;"*")</f>
        <v>0</v>
      </c>
      <c r="AG12" s="37">
        <f>COUNTIFS(Wine1!$AA:$AA,Sheet1!AG$2,Wine1!$E:$E,"*" &amp; Sheet1!$A12 &amp;"*")</f>
        <v>0</v>
      </c>
      <c r="AH12" s="37">
        <f>COUNTIFS(Wine1!$AA:$AA,Sheet1!AH$2,Wine1!$E:$E,"*" &amp; Sheet1!$A12 &amp;"*")</f>
        <v>0</v>
      </c>
      <c r="AI12" s="37">
        <f>COUNTIFS(Wine1!$AA:$AA,Sheet1!AI$2,Wine1!$E:$E,"*" &amp; Sheet1!$A12 &amp;"*")</f>
        <v>0</v>
      </c>
      <c r="AJ12" s="37">
        <f>COUNTIFS(Wine1!$AA:$AA,Sheet1!AJ$2,Wine1!$E:$E,"*" &amp; Sheet1!$A12 &amp;"*")</f>
        <v>0</v>
      </c>
      <c r="AK12" s="37">
        <f>COUNTIFS(Wine1!$AA:$AA,Sheet1!AK$2,Wine1!$E:$E,"*" &amp; Sheet1!$A12 &amp;"*")</f>
        <v>0</v>
      </c>
      <c r="AL12" s="37">
        <f>COUNTIFS(Wine1!$AA:$AA,Sheet1!AL$2,Wine1!$E:$E,"*" &amp; Sheet1!$A12 &amp;"*")</f>
        <v>0</v>
      </c>
      <c r="AM12" s="37">
        <f>COUNTIFS(Wine1!$AA:$AA,Sheet1!AM$2,Wine1!$E:$E,"*" &amp; Sheet1!$A12 &amp;"*")</f>
        <v>0</v>
      </c>
      <c r="AN12" s="37">
        <f>COUNTIFS(Wine1!$AA:$AA,Sheet1!AN$2,Wine1!$E:$E,"*" &amp; Sheet1!$A12 &amp;"*")</f>
        <v>0</v>
      </c>
      <c r="AO12" s="37">
        <f>COUNTIFS(Wine1!$AA:$AA,Sheet1!AO$2,Wine1!$E:$E,"*" &amp; Sheet1!$A12 &amp;"*")</f>
        <v>0</v>
      </c>
      <c r="AP12" s="37">
        <f>COUNTIFS(Wine1!$AA:$AA,Sheet1!AP$2,Wine1!$E:$E,"*" &amp; Sheet1!$A12 &amp;"*")</f>
        <v>0</v>
      </c>
      <c r="AQ12" s="37">
        <f>COUNTIFS(Wine1!$AA:$AA,Sheet1!AQ$2,Wine1!$E:$E,"*" &amp; Sheet1!$A12 &amp;"*")</f>
        <v>0</v>
      </c>
      <c r="AR12" s="37">
        <f>COUNTIFS(Wine1!$AA:$AA,Sheet1!AR$2,Wine1!$E:$E,"*" &amp; Sheet1!$A12 &amp;"*")</f>
        <v>0</v>
      </c>
      <c r="AS12" s="37">
        <f>COUNTIFS(Wine1!$AA:$AA,Sheet1!AS$2,Wine1!$E:$E,"*" &amp; Sheet1!$A12 &amp;"*")</f>
        <v>0</v>
      </c>
      <c r="AT12" s="37">
        <f>COUNTIFS(Wine1!$AA:$AA,Sheet1!AT$2,Wine1!$E:$E,"*" &amp; Sheet1!$A12 &amp;"*")</f>
        <v>0</v>
      </c>
      <c r="AU12" s="37">
        <f>COUNTIFS(Wine1!$AA:$AA,Sheet1!AU$2,Wine1!$E:$E,"*" &amp; Sheet1!$A12 &amp;"*")</f>
        <v>0</v>
      </c>
      <c r="AV12" s="37">
        <f>COUNTIFS(Wine1!$AA:$AA,Sheet1!AV$2,Wine1!$E:$E,"*" &amp; Sheet1!$A12 &amp;"*")</f>
        <v>0</v>
      </c>
      <c r="AW12" s="37">
        <f>COUNTIFS(Wine1!$AA:$AA,Sheet1!AW$2,Wine1!$E:$E,"*" &amp; Sheet1!$A12 &amp;"*")</f>
        <v>0</v>
      </c>
      <c r="AX12" s="37">
        <f>COUNTIFS(Wine1!$AA:$AA,Sheet1!AX$2,Wine1!$E:$E,"*" &amp; Sheet1!$A12 &amp;"*")</f>
        <v>0</v>
      </c>
      <c r="AY12" s="37">
        <f>COUNTIFS(Wine1!$AA:$AA,Sheet1!AY$2,Wine1!$E:$E,"*" &amp; Sheet1!$A12 &amp;"*")</f>
        <v>0</v>
      </c>
      <c r="AZ12" s="37">
        <f>COUNTIFS(Wine1!$AA:$AA,Sheet1!AZ$2,Wine1!$E:$E,"*" &amp; Sheet1!$A12 &amp;"*")</f>
        <v>0</v>
      </c>
      <c r="BA12" s="37">
        <f>COUNTIFS(Wine1!$AA:$AA,Sheet1!BA$2,Wine1!$E:$E,"*" &amp; Sheet1!$A12 &amp;"*")</f>
        <v>0</v>
      </c>
      <c r="BB12" s="37">
        <f>COUNTIFS(Wine1!$AA:$AA,Sheet1!BB$2,Wine1!$E:$E,"*" &amp; Sheet1!$A12 &amp;"*")</f>
        <v>0</v>
      </c>
      <c r="BC12" s="37">
        <f>COUNTIFS(Wine1!$AA:$AA,Sheet1!BC$2,Wine1!$E:$E,"*" &amp; Sheet1!$A12 &amp;"*")</f>
        <v>0</v>
      </c>
      <c r="BD12" s="37">
        <f>COUNTIFS(Wine1!$AA:$AA,Sheet1!BD$2,Wine1!$E:$E,"*" &amp; Sheet1!$A12 &amp;"*")</f>
        <v>0</v>
      </c>
      <c r="BE12" s="37">
        <f>COUNTIFS(Wine1!$AA:$AA,Sheet1!BE$2,Wine1!$E:$E,"*" &amp; Sheet1!$A12 &amp;"*")</f>
        <v>0</v>
      </c>
      <c r="BF12" s="37">
        <f>COUNTIFS(Wine1!$AA:$AA,Sheet1!BF$2,Wine1!$E:$E,"*" &amp; Sheet1!$A12 &amp;"*")</f>
        <v>0</v>
      </c>
      <c r="BG12" s="37">
        <f>COUNTIFS(Wine1!$AA:$AA,Sheet1!BG$2,Wine1!$E:$E,"*" &amp; Sheet1!$A12 &amp;"*")</f>
        <v>0</v>
      </c>
      <c r="BH12" s="37">
        <f>COUNTIFS(Wine1!$AA:$AA,Sheet1!BH$2,Wine1!$E:$E,"*" &amp; Sheet1!$A12 &amp;"*")</f>
        <v>0</v>
      </c>
      <c r="BI12" s="37">
        <f>COUNTIFS(Wine1!$AA:$AA,Sheet1!BI$2,Wine1!$E:$E,"*" &amp; Sheet1!$A12 &amp;"*")</f>
        <v>0</v>
      </c>
      <c r="BJ12" s="37">
        <f>COUNTIFS(Wine1!$AA:$AA,Sheet1!BJ$2,Wine1!$E:$E,"*" &amp; Sheet1!$A12 &amp;"*")</f>
        <v>0</v>
      </c>
      <c r="BK12" s="37">
        <f>COUNTIFS(Wine1!$AA:$AA,Sheet1!BK$2,Wine1!$E:$E,"*" &amp; Sheet1!$A12 &amp;"*")</f>
        <v>0</v>
      </c>
      <c r="BL12" s="37">
        <f>COUNTIFS(Wine1!$AA:$AA,Sheet1!BL$2,Wine1!$E:$E,"*" &amp; Sheet1!$A12 &amp;"*")</f>
        <v>0</v>
      </c>
    </row>
    <row r="13" spans="1:64" x14ac:dyDescent="0.25">
      <c r="A13" t="s">
        <v>1452</v>
      </c>
      <c r="B13" s="95">
        <f>COUNTIFS(Wine1!$AF:$AF,Sheet1!B$2,Wine1!$E:$E,"*" &amp; Sheet1!$A13 &amp;"*")</f>
        <v>0</v>
      </c>
      <c r="C13" s="9">
        <f>COUNTIFS(Wine1!$AF:$AF,Sheet1!C$2,Wine1!$E:$E,"*" &amp; Sheet1!$A13 &amp;"*")</f>
        <v>0</v>
      </c>
      <c r="D13" s="9">
        <f>COUNTIFS(Wine1!$AF:$AF,Sheet1!D$2,Wine1!$E:$E,"*" &amp; Sheet1!$A13 &amp;"*")</f>
        <v>4</v>
      </c>
      <c r="E13" s="9">
        <f>COUNTIFS(Wine1!$AF:$AF,Sheet1!E$2,Wine1!$E:$E,"*" &amp; Sheet1!$A13 &amp;"*")</f>
        <v>1</v>
      </c>
      <c r="F13" s="43">
        <f t="shared" si="0"/>
        <v>5</v>
      </c>
      <c r="G13" s="37">
        <f>COUNTIFS(Wine1!$AA:$AA,Sheet1!G$2,Wine1!$E:$E,"*" &amp; Sheet1!$A13 &amp;"*")</f>
        <v>1</v>
      </c>
      <c r="H13" s="37">
        <f>COUNTIFS(Wine1!$AA:$AA,Sheet1!H$2,Wine1!$E:$E,"*" &amp; Sheet1!$A13 &amp;"*")</f>
        <v>0</v>
      </c>
      <c r="I13" s="37">
        <f>COUNTIFS(Wine1!$AA:$AA,Sheet1!I$2,Wine1!$E:$E,"*" &amp; Sheet1!$A13 &amp;"*")</f>
        <v>0</v>
      </c>
      <c r="J13" s="37">
        <f>COUNTIFS(Wine1!$AA:$AA,Sheet1!J$2,Wine1!$E:$E,"*" &amp; Sheet1!$A13 &amp;"*")</f>
        <v>0</v>
      </c>
      <c r="K13" s="37">
        <f>COUNTIFS(Wine1!$AA:$AA,Sheet1!K$2,Wine1!$E:$E,"*" &amp; Sheet1!$A13 &amp;"*")</f>
        <v>0</v>
      </c>
      <c r="L13" s="37">
        <f>COUNTIFS(Wine1!$AA:$AA,Sheet1!L$2,Wine1!$E:$E,"*" &amp; Sheet1!$A13 &amp;"*")</f>
        <v>0</v>
      </c>
      <c r="M13" s="37">
        <f>COUNTIFS(Wine1!$AA:$AA,Sheet1!M$2,Wine1!$E:$E,"*" &amp; Sheet1!$A13 &amp;"*")</f>
        <v>1</v>
      </c>
      <c r="N13" s="37">
        <f>COUNTIFS(Wine1!$AA:$AA,Sheet1!N$2,Wine1!$E:$E,"*" &amp; Sheet1!$A13 &amp;"*")</f>
        <v>1</v>
      </c>
      <c r="O13" s="37">
        <f>COUNTIFS(Wine1!$AA:$AA,Sheet1!O$2,Wine1!$E:$E,"*" &amp; Sheet1!$A13 &amp;"*")</f>
        <v>1</v>
      </c>
      <c r="P13" s="37">
        <f>COUNTIFS(Wine1!$AA:$AA,Sheet1!P$2,Wine1!$E:$E,"*" &amp; Sheet1!$A13 &amp;"*")</f>
        <v>0</v>
      </c>
      <c r="Q13" s="37">
        <f>COUNTIFS(Wine1!$AA:$AA,Sheet1!Q$2,Wine1!$E:$E,"*" &amp; Sheet1!$A13 &amp;"*")</f>
        <v>1</v>
      </c>
      <c r="R13" s="37">
        <f>COUNTIFS(Wine1!$AA:$AA,Sheet1!R$2,Wine1!$E:$E,"*" &amp; Sheet1!$A13 &amp;"*")</f>
        <v>0</v>
      </c>
      <c r="S13" s="37">
        <f>COUNTIFS(Wine1!$AA:$AA,Sheet1!S$2,Wine1!$E:$E,"*" &amp; Sheet1!$A13 &amp;"*")</f>
        <v>0</v>
      </c>
      <c r="T13" s="37">
        <f>COUNTIFS(Wine1!$AA:$AA,Sheet1!T$2,Wine1!$E:$E,"*" &amp; Sheet1!$A13 &amp;"*")</f>
        <v>0</v>
      </c>
      <c r="U13" s="37">
        <f>COUNTIFS(Wine1!$AA:$AA,Sheet1!U$2,Wine1!$E:$E,"*" &amp; Sheet1!$A13 &amp;"*")</f>
        <v>0</v>
      </c>
      <c r="V13" s="37">
        <f>COUNTIFS(Wine1!$AA:$AA,Sheet1!V$2,Wine1!$E:$E,"*" &amp; Sheet1!$A13 &amp;"*")</f>
        <v>0</v>
      </c>
      <c r="W13" s="37">
        <f>COUNTIFS(Wine1!$AA:$AA,Sheet1!W$2,Wine1!$E:$E,"*" &amp; Sheet1!$A13 &amp;"*")</f>
        <v>0</v>
      </c>
      <c r="X13" s="37">
        <f>COUNTIFS(Wine1!$AA:$AA,Sheet1!X$2,Wine1!$E:$E,"*" &amp; Sheet1!$A13 &amp;"*")</f>
        <v>0</v>
      </c>
      <c r="Y13" s="37">
        <f>COUNTIFS(Wine1!$AA:$AA,Sheet1!Y$2,Wine1!$E:$E,"*" &amp; Sheet1!$A13 &amp;"*")</f>
        <v>0</v>
      </c>
      <c r="Z13" s="37">
        <f>COUNTIFS(Wine1!$AA:$AA,Sheet1!Z$2,Wine1!$E:$E,"*" &amp; Sheet1!$A13 &amp;"*")</f>
        <v>0</v>
      </c>
      <c r="AA13" s="37">
        <f>COUNTIFS(Wine1!$AA:$AA,Sheet1!AA$2,Wine1!$E:$E,"*" &amp; Sheet1!$A13 &amp;"*")</f>
        <v>0</v>
      </c>
      <c r="AB13" s="37">
        <f>COUNTIFS(Wine1!$AA:$AA,Sheet1!AB$2,Wine1!$E:$E,"*" &amp; Sheet1!$A13 &amp;"*")</f>
        <v>0</v>
      </c>
      <c r="AC13" s="37">
        <f>COUNTIFS(Wine1!$AA:$AA,Sheet1!AC$2,Wine1!$E:$E,"*" &amp; Sheet1!$A13 &amp;"*")</f>
        <v>0</v>
      </c>
      <c r="AD13" s="37">
        <f>COUNTIFS(Wine1!$AA:$AA,Sheet1!AD$2,Wine1!$E:$E,"*" &amp; Sheet1!$A13 &amp;"*")</f>
        <v>0</v>
      </c>
      <c r="AE13" s="37">
        <f>COUNTIFS(Wine1!$AA:$AA,Sheet1!AE$2,Wine1!$E:$E,"*" &amp; Sheet1!$A13 &amp;"*")</f>
        <v>0</v>
      </c>
      <c r="AF13" s="37">
        <f>COUNTIFS(Wine1!$AA:$AA,Sheet1!AF$2,Wine1!$E:$E,"*" &amp; Sheet1!$A13 &amp;"*")</f>
        <v>0</v>
      </c>
      <c r="AG13" s="37">
        <f>COUNTIFS(Wine1!$AA:$AA,Sheet1!AG$2,Wine1!$E:$E,"*" &amp; Sheet1!$A13 &amp;"*")</f>
        <v>0</v>
      </c>
      <c r="AH13" s="37">
        <f>COUNTIFS(Wine1!$AA:$AA,Sheet1!AH$2,Wine1!$E:$E,"*" &amp; Sheet1!$A13 &amp;"*")</f>
        <v>0</v>
      </c>
      <c r="AI13" s="37">
        <f>COUNTIFS(Wine1!$AA:$AA,Sheet1!AI$2,Wine1!$E:$E,"*" &amp; Sheet1!$A13 &amp;"*")</f>
        <v>0</v>
      </c>
      <c r="AJ13" s="37">
        <f>COUNTIFS(Wine1!$AA:$AA,Sheet1!AJ$2,Wine1!$E:$E,"*" &amp; Sheet1!$A13 &amp;"*")</f>
        <v>0</v>
      </c>
      <c r="AK13" s="37">
        <f>COUNTIFS(Wine1!$AA:$AA,Sheet1!AK$2,Wine1!$E:$E,"*" &amp; Sheet1!$A13 &amp;"*")</f>
        <v>0</v>
      </c>
      <c r="AL13" s="37">
        <f>COUNTIFS(Wine1!$AA:$AA,Sheet1!AL$2,Wine1!$E:$E,"*" &amp; Sheet1!$A13 &amp;"*")</f>
        <v>0</v>
      </c>
      <c r="AM13" s="37">
        <f>COUNTIFS(Wine1!$AA:$AA,Sheet1!AM$2,Wine1!$E:$E,"*" &amp; Sheet1!$A13 &amp;"*")</f>
        <v>0</v>
      </c>
      <c r="AN13" s="37">
        <f>COUNTIFS(Wine1!$AA:$AA,Sheet1!AN$2,Wine1!$E:$E,"*" &amp; Sheet1!$A13 &amp;"*")</f>
        <v>0</v>
      </c>
      <c r="AO13" s="37">
        <f>COUNTIFS(Wine1!$AA:$AA,Sheet1!AO$2,Wine1!$E:$E,"*" &amp; Sheet1!$A13 &amp;"*")</f>
        <v>0</v>
      </c>
      <c r="AP13" s="37">
        <f>COUNTIFS(Wine1!$AA:$AA,Sheet1!AP$2,Wine1!$E:$E,"*" &amp; Sheet1!$A13 &amp;"*")</f>
        <v>0</v>
      </c>
      <c r="AQ13" s="37">
        <f>COUNTIFS(Wine1!$AA:$AA,Sheet1!AQ$2,Wine1!$E:$E,"*" &amp; Sheet1!$A13 &amp;"*")</f>
        <v>0</v>
      </c>
      <c r="AR13" s="37">
        <f>COUNTIFS(Wine1!$AA:$AA,Sheet1!AR$2,Wine1!$E:$E,"*" &amp; Sheet1!$A13 &amp;"*")</f>
        <v>0</v>
      </c>
      <c r="AS13" s="37">
        <f>COUNTIFS(Wine1!$AA:$AA,Sheet1!AS$2,Wine1!$E:$E,"*" &amp; Sheet1!$A13 &amp;"*")</f>
        <v>0</v>
      </c>
      <c r="AT13" s="37">
        <f>COUNTIFS(Wine1!$AA:$AA,Sheet1!AT$2,Wine1!$E:$E,"*" &amp; Sheet1!$A13 &amp;"*")</f>
        <v>0</v>
      </c>
      <c r="AU13" s="37">
        <f>COUNTIFS(Wine1!$AA:$AA,Sheet1!AU$2,Wine1!$E:$E,"*" &amp; Sheet1!$A13 &amp;"*")</f>
        <v>0</v>
      </c>
      <c r="AV13" s="37">
        <f>COUNTIFS(Wine1!$AA:$AA,Sheet1!AV$2,Wine1!$E:$E,"*" &amp; Sheet1!$A13 &amp;"*")</f>
        <v>0</v>
      </c>
      <c r="AW13" s="37">
        <f>COUNTIFS(Wine1!$AA:$AA,Sheet1!AW$2,Wine1!$E:$E,"*" &amp; Sheet1!$A13 &amp;"*")</f>
        <v>0</v>
      </c>
      <c r="AX13" s="37">
        <f>COUNTIFS(Wine1!$AA:$AA,Sheet1!AX$2,Wine1!$E:$E,"*" &amp; Sheet1!$A13 &amp;"*")</f>
        <v>0</v>
      </c>
      <c r="AY13" s="37">
        <f>COUNTIFS(Wine1!$AA:$AA,Sheet1!AY$2,Wine1!$E:$E,"*" &amp; Sheet1!$A13 &amp;"*")</f>
        <v>0</v>
      </c>
      <c r="AZ13" s="37">
        <f>COUNTIFS(Wine1!$AA:$AA,Sheet1!AZ$2,Wine1!$E:$E,"*" &amp; Sheet1!$A13 &amp;"*")</f>
        <v>0</v>
      </c>
      <c r="BA13" s="37">
        <f>COUNTIFS(Wine1!$AA:$AA,Sheet1!BA$2,Wine1!$E:$E,"*" &amp; Sheet1!$A13 &amp;"*")</f>
        <v>0</v>
      </c>
      <c r="BB13" s="37">
        <f>COUNTIFS(Wine1!$AA:$AA,Sheet1!BB$2,Wine1!$E:$E,"*" &amp; Sheet1!$A13 &amp;"*")</f>
        <v>0</v>
      </c>
      <c r="BC13" s="37">
        <f>COUNTIFS(Wine1!$AA:$AA,Sheet1!BC$2,Wine1!$E:$E,"*" &amp; Sheet1!$A13 &amp;"*")</f>
        <v>0</v>
      </c>
      <c r="BD13" s="37">
        <f>COUNTIFS(Wine1!$AA:$AA,Sheet1!BD$2,Wine1!$E:$E,"*" &amp; Sheet1!$A13 &amp;"*")</f>
        <v>0</v>
      </c>
      <c r="BE13" s="37">
        <f>COUNTIFS(Wine1!$AA:$AA,Sheet1!BE$2,Wine1!$E:$E,"*" &amp; Sheet1!$A13 &amp;"*")</f>
        <v>0</v>
      </c>
      <c r="BF13" s="37">
        <f>COUNTIFS(Wine1!$AA:$AA,Sheet1!BF$2,Wine1!$E:$E,"*" &amp; Sheet1!$A13 &amp;"*")</f>
        <v>0</v>
      </c>
      <c r="BG13" s="37">
        <f>COUNTIFS(Wine1!$AA:$AA,Sheet1!BG$2,Wine1!$E:$E,"*" &amp; Sheet1!$A13 &amp;"*")</f>
        <v>0</v>
      </c>
      <c r="BH13" s="37">
        <f>COUNTIFS(Wine1!$AA:$AA,Sheet1!BH$2,Wine1!$E:$E,"*" &amp; Sheet1!$A13 &amp;"*")</f>
        <v>0</v>
      </c>
      <c r="BI13" s="37">
        <f>COUNTIFS(Wine1!$AA:$AA,Sheet1!BI$2,Wine1!$E:$E,"*" &amp; Sheet1!$A13 &amp;"*")</f>
        <v>0</v>
      </c>
      <c r="BJ13" s="37">
        <f>COUNTIFS(Wine1!$AA:$AA,Sheet1!BJ$2,Wine1!$E:$E,"*" &amp; Sheet1!$A13 &amp;"*")</f>
        <v>0</v>
      </c>
      <c r="BK13" s="37">
        <f>COUNTIFS(Wine1!$AA:$AA,Sheet1!BK$2,Wine1!$E:$E,"*" &amp; Sheet1!$A13 &amp;"*")</f>
        <v>0</v>
      </c>
      <c r="BL13" s="37">
        <f>COUNTIFS(Wine1!$AA:$AA,Sheet1!BL$2,Wine1!$E:$E,"*" &amp; Sheet1!$A13 &amp;"*")</f>
        <v>0</v>
      </c>
    </row>
    <row r="14" spans="1:64" x14ac:dyDescent="0.25">
      <c r="A14" t="s">
        <v>1437</v>
      </c>
      <c r="B14" s="95">
        <f>COUNTIFS(Wine1!$AF:$AF,Sheet1!B$2,Wine1!$E:$E,"*" &amp; Sheet1!$A14 &amp;"*")</f>
        <v>0</v>
      </c>
      <c r="C14" s="9">
        <f>COUNTIFS(Wine1!$AF:$AF,Sheet1!C$2,Wine1!$E:$E,"*" &amp; Sheet1!$A14 &amp;"*")</f>
        <v>2</v>
      </c>
      <c r="D14" s="9">
        <f>COUNTIFS(Wine1!$AF:$AF,Sheet1!D$2,Wine1!$E:$E,"*" &amp; Sheet1!$A14 &amp;"*")</f>
        <v>0</v>
      </c>
      <c r="E14" s="9">
        <f>COUNTIFS(Wine1!$AF:$AF,Sheet1!E$2,Wine1!$E:$E,"*" &amp; Sheet1!$A14 &amp;"*")</f>
        <v>0</v>
      </c>
      <c r="F14" s="43">
        <f t="shared" si="0"/>
        <v>2</v>
      </c>
      <c r="G14" s="37">
        <f>COUNTIFS(Wine1!$AA:$AA,Sheet1!G$2,Wine1!$E:$E,"*" &amp; Sheet1!$A14 &amp;"*")</f>
        <v>0</v>
      </c>
      <c r="H14" s="37">
        <f>COUNTIFS(Wine1!$AA:$AA,Sheet1!H$2,Wine1!$E:$E,"*" &amp; Sheet1!$A14 &amp;"*")</f>
        <v>1</v>
      </c>
      <c r="I14" s="37">
        <f>COUNTIFS(Wine1!$AA:$AA,Sheet1!I$2,Wine1!$E:$E,"*" &amp; Sheet1!$A14 &amp;"*")</f>
        <v>1</v>
      </c>
      <c r="J14" s="37">
        <f>COUNTIFS(Wine1!$AA:$AA,Sheet1!J$2,Wine1!$E:$E,"*" &amp; Sheet1!$A14 &amp;"*")</f>
        <v>0</v>
      </c>
      <c r="K14" s="37">
        <f>COUNTIFS(Wine1!$AA:$AA,Sheet1!K$2,Wine1!$E:$E,"*" &amp; Sheet1!$A14 &amp;"*")</f>
        <v>0</v>
      </c>
      <c r="L14" s="37">
        <f>COUNTIFS(Wine1!$AA:$AA,Sheet1!L$2,Wine1!$E:$E,"*" &amp; Sheet1!$A14 &amp;"*")</f>
        <v>0</v>
      </c>
      <c r="M14" s="37">
        <f>COUNTIFS(Wine1!$AA:$AA,Sheet1!M$2,Wine1!$E:$E,"*" &amp; Sheet1!$A14 &amp;"*")</f>
        <v>0</v>
      </c>
      <c r="N14" s="37">
        <f>COUNTIFS(Wine1!$AA:$AA,Sheet1!N$2,Wine1!$E:$E,"*" &amp; Sheet1!$A14 &amp;"*")</f>
        <v>0</v>
      </c>
      <c r="O14" s="37">
        <f>COUNTIFS(Wine1!$AA:$AA,Sheet1!O$2,Wine1!$E:$E,"*" &amp; Sheet1!$A14 &amp;"*")</f>
        <v>0</v>
      </c>
      <c r="P14" s="37">
        <f>COUNTIFS(Wine1!$AA:$AA,Sheet1!P$2,Wine1!$E:$E,"*" &amp; Sheet1!$A14 &amp;"*")</f>
        <v>0</v>
      </c>
      <c r="Q14" s="37">
        <f>COUNTIFS(Wine1!$AA:$AA,Sheet1!Q$2,Wine1!$E:$E,"*" &amp; Sheet1!$A14 &amp;"*")</f>
        <v>0</v>
      </c>
      <c r="R14" s="37">
        <f>COUNTIFS(Wine1!$AA:$AA,Sheet1!R$2,Wine1!$E:$E,"*" &amp; Sheet1!$A14 &amp;"*")</f>
        <v>0</v>
      </c>
      <c r="S14" s="37">
        <f>COUNTIFS(Wine1!$AA:$AA,Sheet1!S$2,Wine1!$E:$E,"*" &amp; Sheet1!$A14 &amp;"*")</f>
        <v>0</v>
      </c>
      <c r="T14" s="37">
        <f>COUNTIFS(Wine1!$AA:$AA,Sheet1!T$2,Wine1!$E:$E,"*" &amp; Sheet1!$A14 &amp;"*")</f>
        <v>0</v>
      </c>
      <c r="U14" s="37">
        <f>COUNTIFS(Wine1!$AA:$AA,Sheet1!U$2,Wine1!$E:$E,"*" &amp; Sheet1!$A14 &amp;"*")</f>
        <v>0</v>
      </c>
      <c r="V14" s="37">
        <f>COUNTIFS(Wine1!$AA:$AA,Sheet1!V$2,Wine1!$E:$E,"*" &amp; Sheet1!$A14 &amp;"*")</f>
        <v>0</v>
      </c>
      <c r="W14" s="37">
        <f>COUNTIFS(Wine1!$AA:$AA,Sheet1!W$2,Wine1!$E:$E,"*" &amp; Sheet1!$A14 &amp;"*")</f>
        <v>0</v>
      </c>
      <c r="X14" s="37">
        <f>COUNTIFS(Wine1!$AA:$AA,Sheet1!X$2,Wine1!$E:$E,"*" &amp; Sheet1!$A14 &amp;"*")</f>
        <v>0</v>
      </c>
      <c r="Y14" s="37">
        <f>COUNTIFS(Wine1!$AA:$AA,Sheet1!Y$2,Wine1!$E:$E,"*" &amp; Sheet1!$A14 &amp;"*")</f>
        <v>0</v>
      </c>
      <c r="Z14" s="37">
        <f>COUNTIFS(Wine1!$AA:$AA,Sheet1!Z$2,Wine1!$E:$E,"*" &amp; Sheet1!$A14 &amp;"*")</f>
        <v>0</v>
      </c>
      <c r="AA14" s="37">
        <f>COUNTIFS(Wine1!$AA:$AA,Sheet1!AA$2,Wine1!$E:$E,"*" &amp; Sheet1!$A14 &amp;"*")</f>
        <v>0</v>
      </c>
      <c r="AB14" s="37">
        <f>COUNTIFS(Wine1!$AA:$AA,Sheet1!AB$2,Wine1!$E:$E,"*" &amp; Sheet1!$A14 &amp;"*")</f>
        <v>0</v>
      </c>
      <c r="AC14" s="37">
        <f>COUNTIFS(Wine1!$AA:$AA,Sheet1!AC$2,Wine1!$E:$E,"*" &amp; Sheet1!$A14 &amp;"*")</f>
        <v>0</v>
      </c>
      <c r="AD14" s="37">
        <f>COUNTIFS(Wine1!$AA:$AA,Sheet1!AD$2,Wine1!$E:$E,"*" &amp; Sheet1!$A14 &amp;"*")</f>
        <v>0</v>
      </c>
      <c r="AE14" s="37">
        <f>COUNTIFS(Wine1!$AA:$AA,Sheet1!AE$2,Wine1!$E:$E,"*" &amp; Sheet1!$A14 &amp;"*")</f>
        <v>0</v>
      </c>
      <c r="AF14" s="37">
        <f>COUNTIFS(Wine1!$AA:$AA,Sheet1!AF$2,Wine1!$E:$E,"*" &amp; Sheet1!$A14 &amp;"*")</f>
        <v>0</v>
      </c>
      <c r="AG14" s="37">
        <f>COUNTIFS(Wine1!$AA:$AA,Sheet1!AG$2,Wine1!$E:$E,"*" &amp; Sheet1!$A14 &amp;"*")</f>
        <v>0</v>
      </c>
      <c r="AH14" s="37">
        <f>COUNTIFS(Wine1!$AA:$AA,Sheet1!AH$2,Wine1!$E:$E,"*" &amp; Sheet1!$A14 &amp;"*")</f>
        <v>0</v>
      </c>
      <c r="AI14" s="37">
        <f>COUNTIFS(Wine1!$AA:$AA,Sheet1!AI$2,Wine1!$E:$E,"*" &amp; Sheet1!$A14 &amp;"*")</f>
        <v>0</v>
      </c>
      <c r="AJ14" s="37">
        <f>COUNTIFS(Wine1!$AA:$AA,Sheet1!AJ$2,Wine1!$E:$E,"*" &amp; Sheet1!$A14 &amp;"*")</f>
        <v>0</v>
      </c>
      <c r="AK14" s="37">
        <f>COUNTIFS(Wine1!$AA:$AA,Sheet1!AK$2,Wine1!$E:$E,"*" &amp; Sheet1!$A14 &amp;"*")</f>
        <v>0</v>
      </c>
      <c r="AL14" s="37">
        <f>COUNTIFS(Wine1!$AA:$AA,Sheet1!AL$2,Wine1!$E:$E,"*" &amp; Sheet1!$A14 &amp;"*")</f>
        <v>0</v>
      </c>
      <c r="AM14" s="37">
        <f>COUNTIFS(Wine1!$AA:$AA,Sheet1!AM$2,Wine1!$E:$E,"*" &amp; Sheet1!$A14 &amp;"*")</f>
        <v>0</v>
      </c>
      <c r="AN14" s="37">
        <f>COUNTIFS(Wine1!$AA:$AA,Sheet1!AN$2,Wine1!$E:$E,"*" &amp; Sheet1!$A14 &amp;"*")</f>
        <v>0</v>
      </c>
      <c r="AO14" s="37">
        <f>COUNTIFS(Wine1!$AA:$AA,Sheet1!AO$2,Wine1!$E:$E,"*" &amp; Sheet1!$A14 &amp;"*")</f>
        <v>0</v>
      </c>
      <c r="AP14" s="37">
        <f>COUNTIFS(Wine1!$AA:$AA,Sheet1!AP$2,Wine1!$E:$E,"*" &amp; Sheet1!$A14 &amp;"*")</f>
        <v>0</v>
      </c>
      <c r="AQ14" s="37">
        <f>COUNTIFS(Wine1!$AA:$AA,Sheet1!AQ$2,Wine1!$E:$E,"*" &amp; Sheet1!$A14 &amp;"*")</f>
        <v>0</v>
      </c>
      <c r="AR14" s="37">
        <f>COUNTIFS(Wine1!$AA:$AA,Sheet1!AR$2,Wine1!$E:$E,"*" &amp; Sheet1!$A14 &amp;"*")</f>
        <v>0</v>
      </c>
      <c r="AS14" s="37">
        <f>COUNTIFS(Wine1!$AA:$AA,Sheet1!AS$2,Wine1!$E:$E,"*" &amp; Sheet1!$A14 &amp;"*")</f>
        <v>0</v>
      </c>
      <c r="AT14" s="37">
        <f>COUNTIFS(Wine1!$AA:$AA,Sheet1!AT$2,Wine1!$E:$E,"*" &amp; Sheet1!$A14 &amp;"*")</f>
        <v>0</v>
      </c>
      <c r="AU14" s="37">
        <f>COUNTIFS(Wine1!$AA:$AA,Sheet1!AU$2,Wine1!$E:$E,"*" &amp; Sheet1!$A14 &amp;"*")</f>
        <v>0</v>
      </c>
      <c r="AV14" s="37">
        <f>COUNTIFS(Wine1!$AA:$AA,Sheet1!AV$2,Wine1!$E:$E,"*" &amp; Sheet1!$A14 &amp;"*")</f>
        <v>0</v>
      </c>
      <c r="AW14" s="37">
        <f>COUNTIFS(Wine1!$AA:$AA,Sheet1!AW$2,Wine1!$E:$E,"*" &amp; Sheet1!$A14 &amp;"*")</f>
        <v>0</v>
      </c>
      <c r="AX14" s="37">
        <f>COUNTIFS(Wine1!$AA:$AA,Sheet1!AX$2,Wine1!$E:$E,"*" &amp; Sheet1!$A14 &amp;"*")</f>
        <v>0</v>
      </c>
      <c r="AY14" s="37">
        <f>COUNTIFS(Wine1!$AA:$AA,Sheet1!AY$2,Wine1!$E:$E,"*" &amp; Sheet1!$A14 &amp;"*")</f>
        <v>0</v>
      </c>
      <c r="AZ14" s="37">
        <f>COUNTIFS(Wine1!$AA:$AA,Sheet1!AZ$2,Wine1!$E:$E,"*" &amp; Sheet1!$A14 &amp;"*")</f>
        <v>0</v>
      </c>
      <c r="BA14" s="37">
        <f>COUNTIFS(Wine1!$AA:$AA,Sheet1!BA$2,Wine1!$E:$E,"*" &amp; Sheet1!$A14 &amp;"*")</f>
        <v>0</v>
      </c>
      <c r="BB14" s="37">
        <f>COUNTIFS(Wine1!$AA:$AA,Sheet1!BB$2,Wine1!$E:$E,"*" &amp; Sheet1!$A14 &amp;"*")</f>
        <v>0</v>
      </c>
      <c r="BC14" s="37">
        <f>COUNTIFS(Wine1!$AA:$AA,Sheet1!BC$2,Wine1!$E:$E,"*" &amp; Sheet1!$A14 &amp;"*")</f>
        <v>0</v>
      </c>
      <c r="BD14" s="37">
        <f>COUNTIFS(Wine1!$AA:$AA,Sheet1!BD$2,Wine1!$E:$E,"*" &amp; Sheet1!$A14 &amp;"*")</f>
        <v>0</v>
      </c>
      <c r="BE14" s="37">
        <f>COUNTIFS(Wine1!$AA:$AA,Sheet1!BE$2,Wine1!$E:$E,"*" &amp; Sheet1!$A14 &amp;"*")</f>
        <v>0</v>
      </c>
      <c r="BF14" s="37">
        <f>COUNTIFS(Wine1!$AA:$AA,Sheet1!BF$2,Wine1!$E:$E,"*" &amp; Sheet1!$A14 &amp;"*")</f>
        <v>0</v>
      </c>
      <c r="BG14" s="37">
        <f>COUNTIFS(Wine1!$AA:$AA,Sheet1!BG$2,Wine1!$E:$E,"*" &amp; Sheet1!$A14 &amp;"*")</f>
        <v>0</v>
      </c>
      <c r="BH14" s="37">
        <f>COUNTIFS(Wine1!$AA:$AA,Sheet1!BH$2,Wine1!$E:$E,"*" &amp; Sheet1!$A14 &amp;"*")</f>
        <v>0</v>
      </c>
      <c r="BI14" s="37">
        <f>COUNTIFS(Wine1!$AA:$AA,Sheet1!BI$2,Wine1!$E:$E,"*" &amp; Sheet1!$A14 &amp;"*")</f>
        <v>0</v>
      </c>
      <c r="BJ14" s="37">
        <f>COUNTIFS(Wine1!$AA:$AA,Sheet1!BJ$2,Wine1!$E:$E,"*" &amp; Sheet1!$A14 &amp;"*")</f>
        <v>0</v>
      </c>
      <c r="BK14" s="37">
        <f>COUNTIFS(Wine1!$AA:$AA,Sheet1!BK$2,Wine1!$E:$E,"*" &amp; Sheet1!$A14 &amp;"*")</f>
        <v>0</v>
      </c>
      <c r="BL14" s="37">
        <f>COUNTIFS(Wine1!$AA:$AA,Sheet1!BL$2,Wine1!$E:$E,"*" &amp; Sheet1!$A14 &amp;"*")</f>
        <v>0</v>
      </c>
    </row>
    <row r="15" spans="1:64" x14ac:dyDescent="0.25">
      <c r="A15" s="37" t="s">
        <v>336</v>
      </c>
      <c r="B15" s="95">
        <f>COUNTIFS(Wine1!$AF:$AF,Sheet1!B$2,Wine1!$E:$E,"*" &amp; Sheet1!$A15 &amp;"*")</f>
        <v>10</v>
      </c>
      <c r="C15" s="9">
        <f>COUNTIFS(Wine1!$AF:$AF,Sheet1!C$2,Wine1!$E:$E,"*" &amp; Sheet1!$A15 &amp;"*")</f>
        <v>4</v>
      </c>
      <c r="D15" s="9">
        <f>COUNTIFS(Wine1!$AF:$AF,Sheet1!D$2,Wine1!$E:$E,"*" &amp; Sheet1!$A15 &amp;"*")</f>
        <v>0</v>
      </c>
      <c r="E15" s="9">
        <f>COUNTIFS(Wine1!$AF:$AF,Sheet1!E$2,Wine1!$E:$E,"*" &amp; Sheet1!$A15 &amp;"*")</f>
        <v>0</v>
      </c>
      <c r="F15" s="43">
        <f t="shared" si="0"/>
        <v>14</v>
      </c>
      <c r="G15" s="37">
        <f>COUNTIFS(Wine1!$AA:$AA,Sheet1!G$2,Wine1!$E:$E,"*" &amp; Sheet1!$A15 &amp;"*")</f>
        <v>2</v>
      </c>
      <c r="H15" s="37">
        <f>COUNTIFS(Wine1!$AA:$AA,Sheet1!H$2,Wine1!$E:$E,"*" &amp; Sheet1!$A15 &amp;"*")</f>
        <v>2</v>
      </c>
      <c r="I15" s="37">
        <f>COUNTIFS(Wine1!$AA:$AA,Sheet1!I$2,Wine1!$E:$E,"*" &amp; Sheet1!$A15 &amp;"*")</f>
        <v>1</v>
      </c>
      <c r="J15" s="37">
        <f>COUNTIFS(Wine1!$AA:$AA,Sheet1!J$2,Wine1!$E:$E,"*" &amp; Sheet1!$A15 &amp;"*")</f>
        <v>2</v>
      </c>
      <c r="K15" s="37">
        <f>COUNTIFS(Wine1!$AA:$AA,Sheet1!K$2,Wine1!$E:$E,"*" &amp; Sheet1!$A15 &amp;"*")</f>
        <v>1</v>
      </c>
      <c r="L15" s="37">
        <f>COUNTIFS(Wine1!$AA:$AA,Sheet1!L$2,Wine1!$E:$E,"*" &amp; Sheet1!$A15 &amp;"*")</f>
        <v>2</v>
      </c>
      <c r="M15" s="37">
        <f>COUNTIFS(Wine1!$AA:$AA,Sheet1!M$2,Wine1!$E:$E,"*" &amp; Sheet1!$A15 &amp;"*")</f>
        <v>1</v>
      </c>
      <c r="N15" s="37">
        <f>COUNTIFS(Wine1!$AA:$AA,Sheet1!N$2,Wine1!$E:$E,"*" &amp; Sheet1!$A15 &amp;"*")</f>
        <v>1</v>
      </c>
      <c r="O15" s="37">
        <f>COUNTIFS(Wine1!$AA:$AA,Sheet1!O$2,Wine1!$E:$E,"*" &amp; Sheet1!$A15 &amp;"*")</f>
        <v>1</v>
      </c>
      <c r="P15" s="37">
        <f>COUNTIFS(Wine1!$AA:$AA,Sheet1!P$2,Wine1!$E:$E,"*" &amp; Sheet1!$A15 &amp;"*")</f>
        <v>1</v>
      </c>
      <c r="Q15" s="37">
        <f>COUNTIFS(Wine1!$AA:$AA,Sheet1!Q$2,Wine1!$E:$E,"*" &amp; Sheet1!$A15 &amp;"*")</f>
        <v>0</v>
      </c>
      <c r="R15" s="37">
        <f>COUNTIFS(Wine1!$AA:$AA,Sheet1!R$2,Wine1!$E:$E,"*" &amp; Sheet1!$A15 &amp;"*")</f>
        <v>0</v>
      </c>
      <c r="S15" s="37">
        <f>COUNTIFS(Wine1!$AA:$AA,Sheet1!S$2,Wine1!$E:$E,"*" &amp; Sheet1!$A15 &amp;"*")</f>
        <v>0</v>
      </c>
      <c r="T15" s="37">
        <f>COUNTIFS(Wine1!$AA:$AA,Sheet1!T$2,Wine1!$E:$E,"*" &amp; Sheet1!$A15 &amp;"*")</f>
        <v>0</v>
      </c>
      <c r="U15" s="37">
        <f>COUNTIFS(Wine1!$AA:$AA,Sheet1!U$2,Wine1!$E:$E,"*" &amp; Sheet1!$A15 &amp;"*")</f>
        <v>0</v>
      </c>
      <c r="V15" s="37">
        <f>COUNTIFS(Wine1!$AA:$AA,Sheet1!V$2,Wine1!$E:$E,"*" &amp; Sheet1!$A15 &amp;"*")</f>
        <v>0</v>
      </c>
      <c r="W15" s="37">
        <f>COUNTIFS(Wine1!$AA:$AA,Sheet1!W$2,Wine1!$E:$E,"*" &amp; Sheet1!$A15 &amp;"*")</f>
        <v>0</v>
      </c>
      <c r="X15" s="37">
        <f>COUNTIFS(Wine1!$AA:$AA,Sheet1!X$2,Wine1!$E:$E,"*" &amp; Sheet1!$A15 &amp;"*")</f>
        <v>0</v>
      </c>
      <c r="Y15" s="37">
        <f>COUNTIFS(Wine1!$AA:$AA,Sheet1!Y$2,Wine1!$E:$E,"*" &amp; Sheet1!$A15 &amp;"*")</f>
        <v>0</v>
      </c>
      <c r="Z15" s="37">
        <f>COUNTIFS(Wine1!$AA:$AA,Sheet1!Z$2,Wine1!$E:$E,"*" &amp; Sheet1!$A15 &amp;"*")</f>
        <v>0</v>
      </c>
      <c r="AA15" s="37">
        <f>COUNTIFS(Wine1!$AA:$AA,Sheet1!AA$2,Wine1!$E:$E,"*" &amp; Sheet1!$A15 &amp;"*")</f>
        <v>0</v>
      </c>
      <c r="AB15" s="37">
        <f>COUNTIFS(Wine1!$AA:$AA,Sheet1!AB$2,Wine1!$E:$E,"*" &amp; Sheet1!$A15 &amp;"*")</f>
        <v>0</v>
      </c>
      <c r="AC15" s="37">
        <f>COUNTIFS(Wine1!$AA:$AA,Sheet1!AC$2,Wine1!$E:$E,"*" &amp; Sheet1!$A15 &amp;"*")</f>
        <v>0</v>
      </c>
      <c r="AD15" s="37">
        <f>COUNTIFS(Wine1!$AA:$AA,Sheet1!AD$2,Wine1!$E:$E,"*" &amp; Sheet1!$A15 &amp;"*")</f>
        <v>0</v>
      </c>
      <c r="AE15" s="37">
        <f>COUNTIFS(Wine1!$AA:$AA,Sheet1!AE$2,Wine1!$E:$E,"*" &amp; Sheet1!$A15 &amp;"*")</f>
        <v>0</v>
      </c>
      <c r="AF15" s="37">
        <f>COUNTIFS(Wine1!$AA:$AA,Sheet1!AF$2,Wine1!$E:$E,"*" &amp; Sheet1!$A15 &amp;"*")</f>
        <v>0</v>
      </c>
      <c r="AG15" s="37">
        <f>COUNTIFS(Wine1!$AA:$AA,Sheet1!AG$2,Wine1!$E:$E,"*" &amp; Sheet1!$A15 &amp;"*")</f>
        <v>0</v>
      </c>
      <c r="AH15" s="37">
        <f>COUNTIFS(Wine1!$AA:$AA,Sheet1!AH$2,Wine1!$E:$E,"*" &amp; Sheet1!$A15 &amp;"*")</f>
        <v>0</v>
      </c>
      <c r="AI15" s="37">
        <f>COUNTIFS(Wine1!$AA:$AA,Sheet1!AI$2,Wine1!$E:$E,"*" &amp; Sheet1!$A15 &amp;"*")</f>
        <v>0</v>
      </c>
      <c r="AJ15" s="37">
        <f>COUNTIFS(Wine1!$AA:$AA,Sheet1!AJ$2,Wine1!$E:$E,"*" &amp; Sheet1!$A15 &amp;"*")</f>
        <v>0</v>
      </c>
      <c r="AK15" s="37">
        <f>COUNTIFS(Wine1!$AA:$AA,Sheet1!AK$2,Wine1!$E:$E,"*" &amp; Sheet1!$A15 &amp;"*")</f>
        <v>0</v>
      </c>
      <c r="AL15" s="37">
        <f>COUNTIFS(Wine1!$AA:$AA,Sheet1!AL$2,Wine1!$E:$E,"*" &amp; Sheet1!$A15 &amp;"*")</f>
        <v>0</v>
      </c>
      <c r="AM15" s="37">
        <f>COUNTIFS(Wine1!$AA:$AA,Sheet1!AM$2,Wine1!$E:$E,"*" &amp; Sheet1!$A15 &amp;"*")</f>
        <v>0</v>
      </c>
      <c r="AN15" s="37">
        <f>COUNTIFS(Wine1!$AA:$AA,Sheet1!AN$2,Wine1!$E:$E,"*" &amp; Sheet1!$A15 &amp;"*")</f>
        <v>0</v>
      </c>
      <c r="AO15" s="37">
        <f>COUNTIFS(Wine1!$AA:$AA,Sheet1!AO$2,Wine1!$E:$E,"*" &amp; Sheet1!$A15 &amp;"*")</f>
        <v>0</v>
      </c>
      <c r="AP15" s="37">
        <f>COUNTIFS(Wine1!$AA:$AA,Sheet1!AP$2,Wine1!$E:$E,"*" &amp; Sheet1!$A15 &amp;"*")</f>
        <v>0</v>
      </c>
      <c r="AQ15" s="37">
        <f>COUNTIFS(Wine1!$AA:$AA,Sheet1!AQ$2,Wine1!$E:$E,"*" &amp; Sheet1!$A15 &amp;"*")</f>
        <v>0</v>
      </c>
      <c r="AR15" s="37">
        <f>COUNTIFS(Wine1!$AA:$AA,Sheet1!AR$2,Wine1!$E:$E,"*" &amp; Sheet1!$A15 &amp;"*")</f>
        <v>0</v>
      </c>
      <c r="AS15" s="37">
        <f>COUNTIFS(Wine1!$AA:$AA,Sheet1!AS$2,Wine1!$E:$E,"*" &amp; Sheet1!$A15 &amp;"*")</f>
        <v>0</v>
      </c>
      <c r="AT15" s="37">
        <f>COUNTIFS(Wine1!$AA:$AA,Sheet1!AT$2,Wine1!$E:$E,"*" &amp; Sheet1!$A15 &amp;"*")</f>
        <v>0</v>
      </c>
      <c r="AU15" s="37">
        <f>COUNTIFS(Wine1!$AA:$AA,Sheet1!AU$2,Wine1!$E:$E,"*" &amp; Sheet1!$A15 &amp;"*")</f>
        <v>0</v>
      </c>
      <c r="AV15" s="37">
        <f>COUNTIFS(Wine1!$AA:$AA,Sheet1!AV$2,Wine1!$E:$E,"*" &amp; Sheet1!$A15 &amp;"*")</f>
        <v>0</v>
      </c>
      <c r="AW15" s="37">
        <f>COUNTIFS(Wine1!$AA:$AA,Sheet1!AW$2,Wine1!$E:$E,"*" &amp; Sheet1!$A15 &amp;"*")</f>
        <v>0</v>
      </c>
      <c r="AX15" s="37">
        <f>COUNTIFS(Wine1!$AA:$AA,Sheet1!AX$2,Wine1!$E:$E,"*" &amp; Sheet1!$A15 &amp;"*")</f>
        <v>0</v>
      </c>
      <c r="AY15" s="37">
        <f>COUNTIFS(Wine1!$AA:$AA,Sheet1!AY$2,Wine1!$E:$E,"*" &amp; Sheet1!$A15 &amp;"*")</f>
        <v>0</v>
      </c>
      <c r="AZ15" s="37">
        <f>COUNTIFS(Wine1!$AA:$AA,Sheet1!AZ$2,Wine1!$E:$E,"*" &amp; Sheet1!$A15 &amp;"*")</f>
        <v>0</v>
      </c>
      <c r="BA15" s="37">
        <f>COUNTIFS(Wine1!$AA:$AA,Sheet1!BA$2,Wine1!$E:$E,"*" &amp; Sheet1!$A15 &amp;"*")</f>
        <v>0</v>
      </c>
      <c r="BB15" s="37">
        <f>COUNTIFS(Wine1!$AA:$AA,Sheet1!BB$2,Wine1!$E:$E,"*" &amp; Sheet1!$A15 &amp;"*")</f>
        <v>0</v>
      </c>
      <c r="BC15" s="37">
        <f>COUNTIFS(Wine1!$AA:$AA,Sheet1!BC$2,Wine1!$E:$E,"*" &amp; Sheet1!$A15 &amp;"*")</f>
        <v>0</v>
      </c>
      <c r="BD15" s="37">
        <f>COUNTIFS(Wine1!$AA:$AA,Sheet1!BD$2,Wine1!$E:$E,"*" &amp; Sheet1!$A15 &amp;"*")</f>
        <v>0</v>
      </c>
      <c r="BE15" s="37">
        <f>COUNTIFS(Wine1!$AA:$AA,Sheet1!BE$2,Wine1!$E:$E,"*" &amp; Sheet1!$A15 &amp;"*")</f>
        <v>0</v>
      </c>
      <c r="BF15" s="37">
        <f>COUNTIFS(Wine1!$AA:$AA,Sheet1!BF$2,Wine1!$E:$E,"*" &amp; Sheet1!$A15 &amp;"*")</f>
        <v>0</v>
      </c>
      <c r="BG15" s="37">
        <f>COUNTIFS(Wine1!$AA:$AA,Sheet1!BG$2,Wine1!$E:$E,"*" &amp; Sheet1!$A15 &amp;"*")</f>
        <v>0</v>
      </c>
      <c r="BH15" s="37">
        <f>COUNTIFS(Wine1!$AA:$AA,Sheet1!BH$2,Wine1!$E:$E,"*" &amp; Sheet1!$A15 &amp;"*")</f>
        <v>0</v>
      </c>
      <c r="BI15" s="37">
        <f>COUNTIFS(Wine1!$AA:$AA,Sheet1!BI$2,Wine1!$E:$E,"*" &amp; Sheet1!$A15 &amp;"*")</f>
        <v>0</v>
      </c>
      <c r="BJ15" s="37">
        <f>COUNTIFS(Wine1!$AA:$AA,Sheet1!BJ$2,Wine1!$E:$E,"*" &amp; Sheet1!$A15 &amp;"*")</f>
        <v>0</v>
      </c>
      <c r="BK15" s="37">
        <f>COUNTIFS(Wine1!$AA:$AA,Sheet1!BK$2,Wine1!$E:$E,"*" &amp; Sheet1!$A15 &amp;"*")</f>
        <v>0</v>
      </c>
      <c r="BL15" s="37">
        <f>COUNTIFS(Wine1!$AA:$AA,Sheet1!BL$2,Wine1!$E:$E,"*" &amp; Sheet1!$A15 &amp;"*")</f>
        <v>0</v>
      </c>
    </row>
    <row r="16" spans="1:64" x14ac:dyDescent="0.25">
      <c r="A16" t="s">
        <v>110</v>
      </c>
      <c r="B16" s="95">
        <f>COUNTIFS(Wine1!$AF:$AF,Sheet1!B$2,Wine1!$E:$E,"*" &amp; Sheet1!$A16 &amp;"*")</f>
        <v>0</v>
      </c>
      <c r="C16" s="9">
        <f>COUNTIFS(Wine1!$AF:$AF,Sheet1!C$2,Wine1!$E:$E,"*" &amp; Sheet1!$A16 &amp;"*")</f>
        <v>1</v>
      </c>
      <c r="D16" s="9">
        <f>COUNTIFS(Wine1!$AF:$AF,Sheet1!D$2,Wine1!$E:$E,"*" &amp; Sheet1!$A16 &amp;"*")</f>
        <v>0</v>
      </c>
      <c r="E16" s="9">
        <f>COUNTIFS(Wine1!$AF:$AF,Sheet1!E$2,Wine1!$E:$E,"*" &amp; Sheet1!$A16 &amp;"*")</f>
        <v>0</v>
      </c>
      <c r="F16" s="43">
        <f t="shared" si="0"/>
        <v>1</v>
      </c>
      <c r="G16" s="37">
        <f>COUNTIFS(Wine1!$AA:$AA,Sheet1!G$2,Wine1!$E:$E,"*" &amp; Sheet1!$A16 &amp;"*")</f>
        <v>0</v>
      </c>
      <c r="H16" s="37">
        <f>COUNTIFS(Wine1!$AA:$AA,Sheet1!H$2,Wine1!$E:$E,"*" &amp; Sheet1!$A16 &amp;"*")</f>
        <v>0</v>
      </c>
      <c r="I16" s="37">
        <f>COUNTIFS(Wine1!$AA:$AA,Sheet1!I$2,Wine1!$E:$E,"*" &amp; Sheet1!$A16 &amp;"*")</f>
        <v>0</v>
      </c>
      <c r="J16" s="37">
        <f>COUNTIFS(Wine1!$AA:$AA,Sheet1!J$2,Wine1!$E:$E,"*" &amp; Sheet1!$A16 &amp;"*")</f>
        <v>1</v>
      </c>
      <c r="K16" s="37">
        <f>COUNTIFS(Wine1!$AA:$AA,Sheet1!K$2,Wine1!$E:$E,"*" &amp; Sheet1!$A16 &amp;"*")</f>
        <v>0</v>
      </c>
      <c r="L16" s="37">
        <f>COUNTIFS(Wine1!$AA:$AA,Sheet1!L$2,Wine1!$E:$E,"*" &amp; Sheet1!$A16 &amp;"*")</f>
        <v>0</v>
      </c>
      <c r="M16" s="37">
        <f>COUNTIFS(Wine1!$AA:$AA,Sheet1!M$2,Wine1!$E:$E,"*" &amp; Sheet1!$A16 &amp;"*")</f>
        <v>0</v>
      </c>
      <c r="N16" s="37">
        <f>COUNTIFS(Wine1!$AA:$AA,Sheet1!N$2,Wine1!$E:$E,"*" &amp; Sheet1!$A16 &amp;"*")</f>
        <v>0</v>
      </c>
      <c r="O16" s="37">
        <f>COUNTIFS(Wine1!$AA:$AA,Sheet1!O$2,Wine1!$E:$E,"*" &amp; Sheet1!$A16 &amp;"*")</f>
        <v>0</v>
      </c>
      <c r="P16" s="37">
        <f>COUNTIFS(Wine1!$AA:$AA,Sheet1!P$2,Wine1!$E:$E,"*" &amp; Sheet1!$A16 &amp;"*")</f>
        <v>0</v>
      </c>
      <c r="Q16" s="37">
        <f>COUNTIFS(Wine1!$AA:$AA,Sheet1!Q$2,Wine1!$E:$E,"*" &amp; Sheet1!$A16 &amp;"*")</f>
        <v>0</v>
      </c>
      <c r="R16" s="37">
        <f>COUNTIFS(Wine1!$AA:$AA,Sheet1!R$2,Wine1!$E:$E,"*" &amp; Sheet1!$A16 &amp;"*")</f>
        <v>0</v>
      </c>
      <c r="S16" s="37">
        <f>COUNTIFS(Wine1!$AA:$AA,Sheet1!S$2,Wine1!$E:$E,"*" &amp; Sheet1!$A16 &amp;"*")</f>
        <v>0</v>
      </c>
      <c r="T16" s="37">
        <f>COUNTIFS(Wine1!$AA:$AA,Sheet1!T$2,Wine1!$E:$E,"*" &amp; Sheet1!$A16 &amp;"*")</f>
        <v>0</v>
      </c>
      <c r="U16" s="37">
        <f>COUNTIFS(Wine1!$AA:$AA,Sheet1!U$2,Wine1!$E:$E,"*" &amp; Sheet1!$A16 &amp;"*")</f>
        <v>0</v>
      </c>
      <c r="V16" s="37">
        <f>COUNTIFS(Wine1!$AA:$AA,Sheet1!V$2,Wine1!$E:$E,"*" &amp; Sheet1!$A16 &amp;"*")</f>
        <v>0</v>
      </c>
      <c r="W16" s="37">
        <f>COUNTIFS(Wine1!$AA:$AA,Sheet1!W$2,Wine1!$E:$E,"*" &amp; Sheet1!$A16 &amp;"*")</f>
        <v>0</v>
      </c>
      <c r="X16" s="37">
        <f>COUNTIFS(Wine1!$AA:$AA,Sheet1!X$2,Wine1!$E:$E,"*" &amp; Sheet1!$A16 &amp;"*")</f>
        <v>0</v>
      </c>
      <c r="Y16" s="37">
        <f>COUNTIFS(Wine1!$AA:$AA,Sheet1!Y$2,Wine1!$E:$E,"*" &amp; Sheet1!$A16 &amp;"*")</f>
        <v>0</v>
      </c>
      <c r="Z16" s="37">
        <f>COUNTIFS(Wine1!$AA:$AA,Sheet1!Z$2,Wine1!$E:$E,"*" &amp; Sheet1!$A16 &amp;"*")</f>
        <v>0</v>
      </c>
      <c r="AA16" s="37">
        <f>COUNTIFS(Wine1!$AA:$AA,Sheet1!AA$2,Wine1!$E:$E,"*" &amp; Sheet1!$A16 &amp;"*")</f>
        <v>0</v>
      </c>
      <c r="AB16" s="37">
        <f>COUNTIFS(Wine1!$AA:$AA,Sheet1!AB$2,Wine1!$E:$E,"*" &amp; Sheet1!$A16 &amp;"*")</f>
        <v>0</v>
      </c>
      <c r="AC16" s="37">
        <f>COUNTIFS(Wine1!$AA:$AA,Sheet1!AC$2,Wine1!$E:$E,"*" &amp; Sheet1!$A16 &amp;"*")</f>
        <v>0</v>
      </c>
      <c r="AD16" s="37">
        <f>COUNTIFS(Wine1!$AA:$AA,Sheet1!AD$2,Wine1!$E:$E,"*" &amp; Sheet1!$A16 &amp;"*")</f>
        <v>0</v>
      </c>
      <c r="AE16" s="37">
        <f>COUNTIFS(Wine1!$AA:$AA,Sheet1!AE$2,Wine1!$E:$E,"*" &amp; Sheet1!$A16 &amp;"*")</f>
        <v>0</v>
      </c>
      <c r="AF16" s="37">
        <f>COUNTIFS(Wine1!$AA:$AA,Sheet1!AF$2,Wine1!$E:$E,"*" &amp; Sheet1!$A16 &amp;"*")</f>
        <v>0</v>
      </c>
      <c r="AG16" s="37">
        <f>COUNTIFS(Wine1!$AA:$AA,Sheet1!AG$2,Wine1!$E:$E,"*" &amp; Sheet1!$A16 &amp;"*")</f>
        <v>0</v>
      </c>
      <c r="AH16" s="37">
        <f>COUNTIFS(Wine1!$AA:$AA,Sheet1!AH$2,Wine1!$E:$E,"*" &amp; Sheet1!$A16 &amp;"*")</f>
        <v>0</v>
      </c>
      <c r="AI16" s="37">
        <f>COUNTIFS(Wine1!$AA:$AA,Sheet1!AI$2,Wine1!$E:$E,"*" &amp; Sheet1!$A16 &amp;"*")</f>
        <v>0</v>
      </c>
      <c r="AJ16" s="37">
        <f>COUNTIFS(Wine1!$AA:$AA,Sheet1!AJ$2,Wine1!$E:$E,"*" &amp; Sheet1!$A16 &amp;"*")</f>
        <v>0</v>
      </c>
      <c r="AK16" s="37">
        <f>COUNTIFS(Wine1!$AA:$AA,Sheet1!AK$2,Wine1!$E:$E,"*" &amp; Sheet1!$A16 &amp;"*")</f>
        <v>0</v>
      </c>
      <c r="AL16" s="37">
        <f>COUNTIFS(Wine1!$AA:$AA,Sheet1!AL$2,Wine1!$E:$E,"*" &amp; Sheet1!$A16 &amp;"*")</f>
        <v>0</v>
      </c>
      <c r="AM16" s="37">
        <f>COUNTIFS(Wine1!$AA:$AA,Sheet1!AM$2,Wine1!$E:$E,"*" &amp; Sheet1!$A16 &amp;"*")</f>
        <v>0</v>
      </c>
      <c r="AN16" s="37">
        <f>COUNTIFS(Wine1!$AA:$AA,Sheet1!AN$2,Wine1!$E:$E,"*" &amp; Sheet1!$A16 &amp;"*")</f>
        <v>0</v>
      </c>
      <c r="AO16" s="37">
        <f>COUNTIFS(Wine1!$AA:$AA,Sheet1!AO$2,Wine1!$E:$E,"*" &amp; Sheet1!$A16 &amp;"*")</f>
        <v>0</v>
      </c>
      <c r="AP16" s="37">
        <f>COUNTIFS(Wine1!$AA:$AA,Sheet1!AP$2,Wine1!$E:$E,"*" &amp; Sheet1!$A16 &amp;"*")</f>
        <v>0</v>
      </c>
      <c r="AQ16" s="37">
        <f>COUNTIFS(Wine1!$AA:$AA,Sheet1!AQ$2,Wine1!$E:$E,"*" &amp; Sheet1!$A16 &amp;"*")</f>
        <v>0</v>
      </c>
      <c r="AR16" s="37">
        <f>COUNTIFS(Wine1!$AA:$AA,Sheet1!AR$2,Wine1!$E:$E,"*" &amp; Sheet1!$A16 &amp;"*")</f>
        <v>0</v>
      </c>
      <c r="AS16" s="37">
        <f>COUNTIFS(Wine1!$AA:$AA,Sheet1!AS$2,Wine1!$E:$E,"*" &amp; Sheet1!$A16 &amp;"*")</f>
        <v>0</v>
      </c>
      <c r="AT16" s="37">
        <f>COUNTIFS(Wine1!$AA:$AA,Sheet1!AT$2,Wine1!$E:$E,"*" &amp; Sheet1!$A16 &amp;"*")</f>
        <v>0</v>
      </c>
      <c r="AU16" s="37">
        <f>COUNTIFS(Wine1!$AA:$AA,Sheet1!AU$2,Wine1!$E:$E,"*" &amp; Sheet1!$A16 &amp;"*")</f>
        <v>0</v>
      </c>
      <c r="AV16" s="37">
        <f>COUNTIFS(Wine1!$AA:$AA,Sheet1!AV$2,Wine1!$E:$E,"*" &amp; Sheet1!$A16 &amp;"*")</f>
        <v>0</v>
      </c>
      <c r="AW16" s="37">
        <f>COUNTIFS(Wine1!$AA:$AA,Sheet1!AW$2,Wine1!$E:$E,"*" &amp; Sheet1!$A16 &amp;"*")</f>
        <v>0</v>
      </c>
      <c r="AX16" s="37">
        <f>COUNTIFS(Wine1!$AA:$AA,Sheet1!AX$2,Wine1!$E:$E,"*" &amp; Sheet1!$A16 &amp;"*")</f>
        <v>0</v>
      </c>
      <c r="AY16" s="37">
        <f>COUNTIFS(Wine1!$AA:$AA,Sheet1!AY$2,Wine1!$E:$E,"*" &amp; Sheet1!$A16 &amp;"*")</f>
        <v>0</v>
      </c>
      <c r="AZ16" s="37">
        <f>COUNTIFS(Wine1!$AA:$AA,Sheet1!AZ$2,Wine1!$E:$E,"*" &amp; Sheet1!$A16 &amp;"*")</f>
        <v>0</v>
      </c>
      <c r="BA16" s="37">
        <f>COUNTIFS(Wine1!$AA:$AA,Sheet1!BA$2,Wine1!$E:$E,"*" &amp; Sheet1!$A16 &amp;"*")</f>
        <v>0</v>
      </c>
      <c r="BB16" s="37">
        <f>COUNTIFS(Wine1!$AA:$AA,Sheet1!BB$2,Wine1!$E:$E,"*" &amp; Sheet1!$A16 &amp;"*")</f>
        <v>0</v>
      </c>
      <c r="BC16" s="37">
        <f>COUNTIFS(Wine1!$AA:$AA,Sheet1!BC$2,Wine1!$E:$E,"*" &amp; Sheet1!$A16 &amp;"*")</f>
        <v>0</v>
      </c>
      <c r="BD16" s="37">
        <f>COUNTIFS(Wine1!$AA:$AA,Sheet1!BD$2,Wine1!$E:$E,"*" &amp; Sheet1!$A16 &amp;"*")</f>
        <v>0</v>
      </c>
      <c r="BE16" s="37">
        <f>COUNTIFS(Wine1!$AA:$AA,Sheet1!BE$2,Wine1!$E:$E,"*" &amp; Sheet1!$A16 &amp;"*")</f>
        <v>0</v>
      </c>
      <c r="BF16" s="37">
        <f>COUNTIFS(Wine1!$AA:$AA,Sheet1!BF$2,Wine1!$E:$E,"*" &amp; Sheet1!$A16 &amp;"*")</f>
        <v>0</v>
      </c>
      <c r="BG16" s="37">
        <f>COUNTIFS(Wine1!$AA:$AA,Sheet1!BG$2,Wine1!$E:$E,"*" &amp; Sheet1!$A16 &amp;"*")</f>
        <v>0</v>
      </c>
      <c r="BH16" s="37">
        <f>COUNTIFS(Wine1!$AA:$AA,Sheet1!BH$2,Wine1!$E:$E,"*" &amp; Sheet1!$A16 &amp;"*")</f>
        <v>0</v>
      </c>
      <c r="BI16" s="37">
        <f>COUNTIFS(Wine1!$AA:$AA,Sheet1!BI$2,Wine1!$E:$E,"*" &amp; Sheet1!$A16 &amp;"*")</f>
        <v>0</v>
      </c>
      <c r="BJ16" s="37">
        <f>COUNTIFS(Wine1!$AA:$AA,Sheet1!BJ$2,Wine1!$E:$E,"*" &amp; Sheet1!$A16 &amp;"*")</f>
        <v>0</v>
      </c>
      <c r="BK16" s="37">
        <f>COUNTIFS(Wine1!$AA:$AA,Sheet1!BK$2,Wine1!$E:$E,"*" &amp; Sheet1!$A16 &amp;"*")</f>
        <v>0</v>
      </c>
      <c r="BL16" s="37">
        <f>COUNTIFS(Wine1!$AA:$AA,Sheet1!BL$2,Wine1!$E:$E,"*" &amp; Sheet1!$A16 &amp;"*")</f>
        <v>0</v>
      </c>
    </row>
    <row r="17" spans="1:64" x14ac:dyDescent="0.25">
      <c r="A17" s="37" t="s">
        <v>227</v>
      </c>
      <c r="B17" s="95">
        <f>COUNTIFS(Wine1!$AF:$AF,Sheet1!B$2,Wine1!$E:$E,"*" &amp; Sheet1!$A17 &amp;"*")</f>
        <v>0</v>
      </c>
      <c r="C17" s="9">
        <f>COUNTIFS(Wine1!$AF:$AF,Sheet1!C$2,Wine1!$E:$E,"*" &amp; Sheet1!$A17 &amp;"*")</f>
        <v>3</v>
      </c>
      <c r="D17" s="9">
        <f>COUNTIFS(Wine1!$AF:$AF,Sheet1!D$2,Wine1!$E:$E,"*" &amp; Sheet1!$A17 &amp;"*")</f>
        <v>0</v>
      </c>
      <c r="E17" s="9">
        <f>COUNTIFS(Wine1!$AF:$AF,Sheet1!E$2,Wine1!$E:$E,"*" &amp; Sheet1!$A17 &amp;"*")</f>
        <v>0</v>
      </c>
      <c r="F17" s="43">
        <f t="shared" si="0"/>
        <v>3</v>
      </c>
      <c r="G17" s="37">
        <f>COUNTIFS(Wine1!$AA:$AA,Sheet1!G$2,Wine1!$E:$E,"*" &amp; Sheet1!$A17 &amp;"*")</f>
        <v>0</v>
      </c>
      <c r="H17" s="37">
        <f>COUNTIFS(Wine1!$AA:$AA,Sheet1!H$2,Wine1!$E:$E,"*" &amp; Sheet1!$A17 &amp;"*")</f>
        <v>1</v>
      </c>
      <c r="I17" s="37">
        <f>COUNTIFS(Wine1!$AA:$AA,Sheet1!I$2,Wine1!$E:$E,"*" &amp; Sheet1!$A17 &amp;"*")</f>
        <v>0</v>
      </c>
      <c r="J17" s="37">
        <f>COUNTIFS(Wine1!$AA:$AA,Sheet1!J$2,Wine1!$E:$E,"*" &amp; Sheet1!$A17 &amp;"*")</f>
        <v>1</v>
      </c>
      <c r="K17" s="37">
        <f>COUNTIFS(Wine1!$AA:$AA,Sheet1!K$2,Wine1!$E:$E,"*" &amp; Sheet1!$A17 &amp;"*")</f>
        <v>0</v>
      </c>
      <c r="L17" s="37">
        <f>COUNTIFS(Wine1!$AA:$AA,Sheet1!L$2,Wine1!$E:$E,"*" &amp; Sheet1!$A17 &amp;"*")</f>
        <v>1</v>
      </c>
      <c r="M17" s="37">
        <f>COUNTIFS(Wine1!$AA:$AA,Sheet1!M$2,Wine1!$E:$E,"*" &amp; Sheet1!$A17 &amp;"*")</f>
        <v>0</v>
      </c>
      <c r="N17" s="37">
        <f>COUNTIFS(Wine1!$AA:$AA,Sheet1!N$2,Wine1!$E:$E,"*" &amp; Sheet1!$A17 &amp;"*")</f>
        <v>0</v>
      </c>
      <c r="O17" s="37">
        <f>COUNTIFS(Wine1!$AA:$AA,Sheet1!O$2,Wine1!$E:$E,"*" &amp; Sheet1!$A17 &amp;"*")</f>
        <v>0</v>
      </c>
      <c r="P17" s="37">
        <f>COUNTIFS(Wine1!$AA:$AA,Sheet1!P$2,Wine1!$E:$E,"*" &amp; Sheet1!$A17 &amp;"*")</f>
        <v>0</v>
      </c>
      <c r="Q17" s="37">
        <f>COUNTIFS(Wine1!$AA:$AA,Sheet1!Q$2,Wine1!$E:$E,"*" &amp; Sheet1!$A17 &amp;"*")</f>
        <v>0</v>
      </c>
      <c r="R17" s="37">
        <f>COUNTIFS(Wine1!$AA:$AA,Sheet1!R$2,Wine1!$E:$E,"*" &amp; Sheet1!$A17 &amp;"*")</f>
        <v>0</v>
      </c>
      <c r="S17" s="37">
        <f>COUNTIFS(Wine1!$AA:$AA,Sheet1!S$2,Wine1!$E:$E,"*" &amp; Sheet1!$A17 &amp;"*")</f>
        <v>0</v>
      </c>
      <c r="T17" s="37">
        <f>COUNTIFS(Wine1!$AA:$AA,Sheet1!T$2,Wine1!$E:$E,"*" &amp; Sheet1!$A17 &amp;"*")</f>
        <v>0</v>
      </c>
      <c r="U17" s="37">
        <f>COUNTIFS(Wine1!$AA:$AA,Sheet1!U$2,Wine1!$E:$E,"*" &amp; Sheet1!$A17 &amp;"*")</f>
        <v>0</v>
      </c>
      <c r="V17" s="37">
        <f>COUNTIFS(Wine1!$AA:$AA,Sheet1!V$2,Wine1!$E:$E,"*" &amp; Sheet1!$A17 &amp;"*")</f>
        <v>0</v>
      </c>
      <c r="W17" s="37">
        <f>COUNTIFS(Wine1!$AA:$AA,Sheet1!W$2,Wine1!$E:$E,"*" &amp; Sheet1!$A17 &amp;"*")</f>
        <v>0</v>
      </c>
      <c r="X17" s="37">
        <f>COUNTIFS(Wine1!$AA:$AA,Sheet1!X$2,Wine1!$E:$E,"*" &amp; Sheet1!$A17 &amp;"*")</f>
        <v>0</v>
      </c>
      <c r="Y17" s="37">
        <f>COUNTIFS(Wine1!$AA:$AA,Sheet1!Y$2,Wine1!$E:$E,"*" &amp; Sheet1!$A17 &amp;"*")</f>
        <v>0</v>
      </c>
      <c r="Z17" s="37">
        <f>COUNTIFS(Wine1!$AA:$AA,Sheet1!Z$2,Wine1!$E:$E,"*" &amp; Sheet1!$A17 &amp;"*")</f>
        <v>0</v>
      </c>
      <c r="AA17" s="37">
        <f>COUNTIFS(Wine1!$AA:$AA,Sheet1!AA$2,Wine1!$E:$E,"*" &amp; Sheet1!$A17 &amp;"*")</f>
        <v>0</v>
      </c>
      <c r="AB17" s="37">
        <f>COUNTIFS(Wine1!$AA:$AA,Sheet1!AB$2,Wine1!$E:$E,"*" &amp; Sheet1!$A17 &amp;"*")</f>
        <v>0</v>
      </c>
      <c r="AC17" s="37">
        <f>COUNTIFS(Wine1!$AA:$AA,Sheet1!AC$2,Wine1!$E:$E,"*" &amp; Sheet1!$A17 &amp;"*")</f>
        <v>0</v>
      </c>
      <c r="AD17" s="37">
        <f>COUNTIFS(Wine1!$AA:$AA,Sheet1!AD$2,Wine1!$E:$E,"*" &amp; Sheet1!$A17 &amp;"*")</f>
        <v>0</v>
      </c>
      <c r="AE17" s="37">
        <f>COUNTIFS(Wine1!$AA:$AA,Sheet1!AE$2,Wine1!$E:$E,"*" &amp; Sheet1!$A17 &amp;"*")</f>
        <v>0</v>
      </c>
      <c r="AF17" s="37">
        <f>COUNTIFS(Wine1!$AA:$AA,Sheet1!AF$2,Wine1!$E:$E,"*" &amp; Sheet1!$A17 &amp;"*")</f>
        <v>0</v>
      </c>
      <c r="AG17" s="37">
        <f>COUNTIFS(Wine1!$AA:$AA,Sheet1!AG$2,Wine1!$E:$E,"*" &amp; Sheet1!$A17 &amp;"*")</f>
        <v>0</v>
      </c>
      <c r="AH17" s="37">
        <f>COUNTIFS(Wine1!$AA:$AA,Sheet1!AH$2,Wine1!$E:$E,"*" &amp; Sheet1!$A17 &amp;"*")</f>
        <v>0</v>
      </c>
      <c r="AI17" s="37">
        <f>COUNTIFS(Wine1!$AA:$AA,Sheet1!AI$2,Wine1!$E:$E,"*" &amp; Sheet1!$A17 &amp;"*")</f>
        <v>0</v>
      </c>
      <c r="AJ17" s="37">
        <f>COUNTIFS(Wine1!$AA:$AA,Sheet1!AJ$2,Wine1!$E:$E,"*" &amp; Sheet1!$A17 &amp;"*")</f>
        <v>0</v>
      </c>
      <c r="AK17" s="37">
        <f>COUNTIFS(Wine1!$AA:$AA,Sheet1!AK$2,Wine1!$E:$E,"*" &amp; Sheet1!$A17 &amp;"*")</f>
        <v>0</v>
      </c>
      <c r="AL17" s="37">
        <f>COUNTIFS(Wine1!$AA:$AA,Sheet1!AL$2,Wine1!$E:$E,"*" &amp; Sheet1!$A17 &amp;"*")</f>
        <v>0</v>
      </c>
      <c r="AM17" s="37">
        <f>COUNTIFS(Wine1!$AA:$AA,Sheet1!AM$2,Wine1!$E:$E,"*" &amp; Sheet1!$A17 &amp;"*")</f>
        <v>0</v>
      </c>
      <c r="AN17" s="37">
        <f>COUNTIFS(Wine1!$AA:$AA,Sheet1!AN$2,Wine1!$E:$E,"*" &amp; Sheet1!$A17 &amp;"*")</f>
        <v>0</v>
      </c>
      <c r="AO17" s="37">
        <f>COUNTIFS(Wine1!$AA:$AA,Sheet1!AO$2,Wine1!$E:$E,"*" &amp; Sheet1!$A17 &amp;"*")</f>
        <v>0</v>
      </c>
      <c r="AP17" s="37">
        <f>COUNTIFS(Wine1!$AA:$AA,Sheet1!AP$2,Wine1!$E:$E,"*" &amp; Sheet1!$A17 &amp;"*")</f>
        <v>0</v>
      </c>
      <c r="AQ17" s="37">
        <f>COUNTIFS(Wine1!$AA:$AA,Sheet1!AQ$2,Wine1!$E:$E,"*" &amp; Sheet1!$A17 &amp;"*")</f>
        <v>0</v>
      </c>
      <c r="AR17" s="37">
        <f>COUNTIFS(Wine1!$AA:$AA,Sheet1!AR$2,Wine1!$E:$E,"*" &amp; Sheet1!$A17 &amp;"*")</f>
        <v>0</v>
      </c>
      <c r="AS17" s="37">
        <f>COUNTIFS(Wine1!$AA:$AA,Sheet1!AS$2,Wine1!$E:$E,"*" &amp; Sheet1!$A17 &amp;"*")</f>
        <v>0</v>
      </c>
      <c r="AT17" s="37">
        <f>COUNTIFS(Wine1!$AA:$AA,Sheet1!AT$2,Wine1!$E:$E,"*" &amp; Sheet1!$A17 &amp;"*")</f>
        <v>0</v>
      </c>
      <c r="AU17" s="37">
        <f>COUNTIFS(Wine1!$AA:$AA,Sheet1!AU$2,Wine1!$E:$E,"*" &amp; Sheet1!$A17 &amp;"*")</f>
        <v>0</v>
      </c>
      <c r="AV17" s="37">
        <f>COUNTIFS(Wine1!$AA:$AA,Sheet1!AV$2,Wine1!$E:$E,"*" &amp; Sheet1!$A17 &amp;"*")</f>
        <v>0</v>
      </c>
      <c r="AW17" s="37">
        <f>COUNTIFS(Wine1!$AA:$AA,Sheet1!AW$2,Wine1!$E:$E,"*" &amp; Sheet1!$A17 &amp;"*")</f>
        <v>0</v>
      </c>
      <c r="AX17" s="37">
        <f>COUNTIFS(Wine1!$AA:$AA,Sheet1!AX$2,Wine1!$E:$E,"*" &amp; Sheet1!$A17 &amp;"*")</f>
        <v>0</v>
      </c>
      <c r="AY17" s="37">
        <f>COUNTIFS(Wine1!$AA:$AA,Sheet1!AY$2,Wine1!$E:$E,"*" &amp; Sheet1!$A17 &amp;"*")</f>
        <v>0</v>
      </c>
      <c r="AZ17" s="37">
        <f>COUNTIFS(Wine1!$AA:$AA,Sheet1!AZ$2,Wine1!$E:$E,"*" &amp; Sheet1!$A17 &amp;"*")</f>
        <v>0</v>
      </c>
      <c r="BA17" s="37">
        <f>COUNTIFS(Wine1!$AA:$AA,Sheet1!BA$2,Wine1!$E:$E,"*" &amp; Sheet1!$A17 &amp;"*")</f>
        <v>0</v>
      </c>
      <c r="BB17" s="37">
        <f>COUNTIFS(Wine1!$AA:$AA,Sheet1!BB$2,Wine1!$E:$E,"*" &amp; Sheet1!$A17 &amp;"*")</f>
        <v>0</v>
      </c>
      <c r="BC17" s="37">
        <f>COUNTIFS(Wine1!$AA:$AA,Sheet1!BC$2,Wine1!$E:$E,"*" &amp; Sheet1!$A17 &amp;"*")</f>
        <v>0</v>
      </c>
      <c r="BD17" s="37">
        <f>COUNTIFS(Wine1!$AA:$AA,Sheet1!BD$2,Wine1!$E:$E,"*" &amp; Sheet1!$A17 &amp;"*")</f>
        <v>0</v>
      </c>
      <c r="BE17" s="37">
        <f>COUNTIFS(Wine1!$AA:$AA,Sheet1!BE$2,Wine1!$E:$E,"*" &amp; Sheet1!$A17 &amp;"*")</f>
        <v>0</v>
      </c>
      <c r="BF17" s="37">
        <f>COUNTIFS(Wine1!$AA:$AA,Sheet1!BF$2,Wine1!$E:$E,"*" &amp; Sheet1!$A17 &amp;"*")</f>
        <v>0</v>
      </c>
      <c r="BG17" s="37">
        <f>COUNTIFS(Wine1!$AA:$AA,Sheet1!BG$2,Wine1!$E:$E,"*" &amp; Sheet1!$A17 &amp;"*")</f>
        <v>0</v>
      </c>
      <c r="BH17" s="37">
        <f>COUNTIFS(Wine1!$AA:$AA,Sheet1!BH$2,Wine1!$E:$E,"*" &amp; Sheet1!$A17 &amp;"*")</f>
        <v>0</v>
      </c>
      <c r="BI17" s="37">
        <f>COUNTIFS(Wine1!$AA:$AA,Sheet1!BI$2,Wine1!$E:$E,"*" &amp; Sheet1!$A17 &amp;"*")</f>
        <v>0</v>
      </c>
      <c r="BJ17" s="37">
        <f>COUNTIFS(Wine1!$AA:$AA,Sheet1!BJ$2,Wine1!$E:$E,"*" &amp; Sheet1!$A17 &amp;"*")</f>
        <v>0</v>
      </c>
      <c r="BK17" s="37">
        <f>COUNTIFS(Wine1!$AA:$AA,Sheet1!BK$2,Wine1!$E:$E,"*" &amp; Sheet1!$A17 &amp;"*")</f>
        <v>0</v>
      </c>
      <c r="BL17" s="37">
        <f>COUNTIFS(Wine1!$AA:$AA,Sheet1!BL$2,Wine1!$E:$E,"*" &amp; Sheet1!$A17 &amp;"*")</f>
        <v>0</v>
      </c>
    </row>
    <row r="18" spans="1:64" x14ac:dyDescent="0.25">
      <c r="A18" s="37" t="s">
        <v>1434</v>
      </c>
      <c r="B18" s="95">
        <f>COUNTIFS(Wine1!$AF:$AF,Sheet1!B$2,Wine1!$E:$E,"*" &amp; Sheet1!$A18 &amp;"*")</f>
        <v>0</v>
      </c>
      <c r="C18" s="9">
        <f>COUNTIFS(Wine1!$AF:$AF,Sheet1!C$2,Wine1!$E:$E,"*" &amp; Sheet1!$A18 &amp;"*")</f>
        <v>14</v>
      </c>
      <c r="D18" s="9">
        <f>COUNTIFS(Wine1!$AF:$AF,Sheet1!D$2,Wine1!$E:$E,"*" &amp; Sheet1!$A18 &amp;"*")</f>
        <v>17</v>
      </c>
      <c r="E18" s="9">
        <f>COUNTIFS(Wine1!$AF:$AF,Sheet1!E$2,Wine1!$E:$E,"*" &amp; Sheet1!$A18 &amp;"*")</f>
        <v>6</v>
      </c>
      <c r="F18" s="43">
        <f t="shared" si="0"/>
        <v>37</v>
      </c>
      <c r="G18" s="37">
        <f>COUNTIFS(Wine1!$AA:$AA,Sheet1!G$2,Wine1!$E:$E,"*" &amp; Sheet1!$A18 &amp;"*")</f>
        <v>3</v>
      </c>
      <c r="H18" s="37">
        <f>COUNTIFS(Wine1!$AA:$AA,Sheet1!H$2,Wine1!$E:$E,"*" &amp; Sheet1!$A18 &amp;"*")</f>
        <v>6</v>
      </c>
      <c r="I18" s="37">
        <f>COUNTIFS(Wine1!$AA:$AA,Sheet1!I$2,Wine1!$E:$E,"*" &amp; Sheet1!$A18 &amp;"*")</f>
        <v>3</v>
      </c>
      <c r="J18" s="37">
        <f>COUNTIFS(Wine1!$AA:$AA,Sheet1!J$2,Wine1!$E:$E,"*" &amp; Sheet1!$A18 &amp;"*")</f>
        <v>4</v>
      </c>
      <c r="K18" s="37">
        <f>COUNTIFS(Wine1!$AA:$AA,Sheet1!K$2,Wine1!$E:$E,"*" &amp; Sheet1!$A18 &amp;"*")</f>
        <v>4</v>
      </c>
      <c r="L18" s="37">
        <f>COUNTIFS(Wine1!$AA:$AA,Sheet1!L$2,Wine1!$E:$E,"*" &amp; Sheet1!$A18 &amp;"*")</f>
        <v>1</v>
      </c>
      <c r="M18" s="37">
        <f>COUNTIFS(Wine1!$AA:$AA,Sheet1!M$2,Wine1!$E:$E,"*" &amp; Sheet1!$A18 &amp;"*")</f>
        <v>0</v>
      </c>
      <c r="N18" s="37">
        <f>COUNTIFS(Wine1!$AA:$AA,Sheet1!N$2,Wine1!$E:$E,"*" &amp; Sheet1!$A18 &amp;"*")</f>
        <v>1</v>
      </c>
      <c r="O18" s="37">
        <f>COUNTIFS(Wine1!$AA:$AA,Sheet1!O$2,Wine1!$E:$E,"*" &amp; Sheet1!$A18 &amp;"*")</f>
        <v>2</v>
      </c>
      <c r="P18" s="37">
        <f>COUNTIFS(Wine1!$AA:$AA,Sheet1!P$2,Wine1!$E:$E,"*" &amp; Sheet1!$A18 &amp;"*")</f>
        <v>1</v>
      </c>
      <c r="Q18" s="37">
        <f>COUNTIFS(Wine1!$AA:$AA,Sheet1!Q$2,Wine1!$E:$E,"*" &amp; Sheet1!$A18 &amp;"*")</f>
        <v>2</v>
      </c>
      <c r="R18" s="37">
        <f>COUNTIFS(Wine1!$AA:$AA,Sheet1!R$2,Wine1!$E:$E,"*" &amp; Sheet1!$A18 &amp;"*")</f>
        <v>3</v>
      </c>
      <c r="S18" s="37">
        <f>COUNTIFS(Wine1!$AA:$AA,Sheet1!S$2,Wine1!$E:$E,"*" &amp; Sheet1!$A18 &amp;"*")</f>
        <v>1</v>
      </c>
      <c r="T18" s="37">
        <f>COUNTIFS(Wine1!$AA:$AA,Sheet1!T$2,Wine1!$E:$E,"*" &amp; Sheet1!$A18 &amp;"*")</f>
        <v>1</v>
      </c>
      <c r="U18" s="37">
        <f>COUNTIFS(Wine1!$AA:$AA,Sheet1!U$2,Wine1!$E:$E,"*" &amp; Sheet1!$A18 &amp;"*")</f>
        <v>0</v>
      </c>
      <c r="V18" s="37">
        <f>COUNTIFS(Wine1!$AA:$AA,Sheet1!V$2,Wine1!$E:$E,"*" &amp; Sheet1!$A18 &amp;"*")</f>
        <v>1</v>
      </c>
      <c r="W18" s="37">
        <f>COUNTIFS(Wine1!$AA:$AA,Sheet1!W$2,Wine1!$E:$E,"*" &amp; Sheet1!$A18 &amp;"*")</f>
        <v>0</v>
      </c>
      <c r="X18" s="37">
        <f>COUNTIFS(Wine1!$AA:$AA,Sheet1!X$2,Wine1!$E:$E,"*" &amp; Sheet1!$A18 &amp;"*")</f>
        <v>1</v>
      </c>
      <c r="Y18" s="37">
        <f>COUNTIFS(Wine1!$AA:$AA,Sheet1!Y$2,Wine1!$E:$E,"*" &amp; Sheet1!$A18 &amp;"*")</f>
        <v>1</v>
      </c>
      <c r="Z18" s="37">
        <f>COUNTIFS(Wine1!$AA:$AA,Sheet1!Z$2,Wine1!$E:$E,"*" &amp; Sheet1!$A18 &amp;"*")</f>
        <v>0</v>
      </c>
      <c r="AA18" s="37">
        <f>COUNTIFS(Wine1!$AA:$AA,Sheet1!AA$2,Wine1!$E:$E,"*" &amp; Sheet1!$A18 &amp;"*")</f>
        <v>1</v>
      </c>
      <c r="AB18" s="37">
        <f>COUNTIFS(Wine1!$AA:$AA,Sheet1!AB$2,Wine1!$E:$E,"*" &amp; Sheet1!$A18 &amp;"*")</f>
        <v>0</v>
      </c>
      <c r="AC18" s="37">
        <f>COUNTIFS(Wine1!$AA:$AA,Sheet1!AC$2,Wine1!$E:$E,"*" &amp; Sheet1!$A18 &amp;"*")</f>
        <v>1</v>
      </c>
      <c r="AD18" s="37">
        <f>COUNTIFS(Wine1!$AA:$AA,Sheet1!AD$2,Wine1!$E:$E,"*" &amp; Sheet1!$A18 &amp;"*")</f>
        <v>0</v>
      </c>
      <c r="AE18" s="37">
        <f>COUNTIFS(Wine1!$AA:$AA,Sheet1!AE$2,Wine1!$E:$E,"*" &amp; Sheet1!$A18 &amp;"*")</f>
        <v>0</v>
      </c>
      <c r="AF18" s="37">
        <f>COUNTIFS(Wine1!$AA:$AA,Sheet1!AF$2,Wine1!$E:$E,"*" &amp; Sheet1!$A18 &amp;"*")</f>
        <v>0</v>
      </c>
      <c r="AG18" s="37">
        <f>COUNTIFS(Wine1!$AA:$AA,Sheet1!AG$2,Wine1!$E:$E,"*" &amp; Sheet1!$A18 &amp;"*")</f>
        <v>0</v>
      </c>
      <c r="AH18" s="37">
        <f>COUNTIFS(Wine1!$AA:$AA,Sheet1!AH$2,Wine1!$E:$E,"*" &amp; Sheet1!$A18 &amp;"*")</f>
        <v>0</v>
      </c>
      <c r="AI18" s="37">
        <f>COUNTIFS(Wine1!$AA:$AA,Sheet1!AI$2,Wine1!$E:$E,"*" &amp; Sheet1!$A18 &amp;"*")</f>
        <v>0</v>
      </c>
      <c r="AJ18" s="37">
        <f>COUNTIFS(Wine1!$AA:$AA,Sheet1!AJ$2,Wine1!$E:$E,"*" &amp; Sheet1!$A18 &amp;"*")</f>
        <v>0</v>
      </c>
      <c r="AK18" s="37">
        <f>COUNTIFS(Wine1!$AA:$AA,Sheet1!AK$2,Wine1!$E:$E,"*" &amp; Sheet1!$A18 &amp;"*")</f>
        <v>0</v>
      </c>
      <c r="AL18" s="37">
        <f>COUNTIFS(Wine1!$AA:$AA,Sheet1!AL$2,Wine1!$E:$E,"*" &amp; Sheet1!$A18 &amp;"*")</f>
        <v>0</v>
      </c>
      <c r="AM18" s="37">
        <f>COUNTIFS(Wine1!$AA:$AA,Sheet1!AM$2,Wine1!$E:$E,"*" &amp; Sheet1!$A18 &amp;"*")</f>
        <v>0</v>
      </c>
      <c r="AN18" s="37">
        <f>COUNTIFS(Wine1!$AA:$AA,Sheet1!AN$2,Wine1!$E:$E,"*" &amp; Sheet1!$A18 &amp;"*")</f>
        <v>0</v>
      </c>
      <c r="AO18" s="37">
        <f>COUNTIFS(Wine1!$AA:$AA,Sheet1!AO$2,Wine1!$E:$E,"*" &amp; Sheet1!$A18 &amp;"*")</f>
        <v>0</v>
      </c>
      <c r="AP18" s="37">
        <f>COUNTIFS(Wine1!$AA:$AA,Sheet1!AP$2,Wine1!$E:$E,"*" &amp; Sheet1!$A18 &amp;"*")</f>
        <v>0</v>
      </c>
      <c r="AQ18" s="37">
        <f>COUNTIFS(Wine1!$AA:$AA,Sheet1!AQ$2,Wine1!$E:$E,"*" &amp; Sheet1!$A18 &amp;"*")</f>
        <v>0</v>
      </c>
      <c r="AR18" s="37">
        <f>COUNTIFS(Wine1!$AA:$AA,Sheet1!AR$2,Wine1!$E:$E,"*" &amp; Sheet1!$A18 &amp;"*")</f>
        <v>0</v>
      </c>
      <c r="AS18" s="37">
        <f>COUNTIFS(Wine1!$AA:$AA,Sheet1!AS$2,Wine1!$E:$E,"*" &amp; Sheet1!$A18 &amp;"*")</f>
        <v>0</v>
      </c>
      <c r="AT18" s="37">
        <f>COUNTIFS(Wine1!$AA:$AA,Sheet1!AT$2,Wine1!$E:$E,"*" &amp; Sheet1!$A18 &amp;"*")</f>
        <v>0</v>
      </c>
      <c r="AU18" s="37">
        <f>COUNTIFS(Wine1!$AA:$AA,Sheet1!AU$2,Wine1!$E:$E,"*" &amp; Sheet1!$A18 &amp;"*")</f>
        <v>0</v>
      </c>
      <c r="AV18" s="37">
        <f>COUNTIFS(Wine1!$AA:$AA,Sheet1!AV$2,Wine1!$E:$E,"*" &amp; Sheet1!$A18 &amp;"*")</f>
        <v>0</v>
      </c>
      <c r="AW18" s="37">
        <f>COUNTIFS(Wine1!$AA:$AA,Sheet1!AW$2,Wine1!$E:$E,"*" &amp; Sheet1!$A18 &amp;"*")</f>
        <v>0</v>
      </c>
      <c r="AX18" s="37">
        <f>COUNTIFS(Wine1!$AA:$AA,Sheet1!AX$2,Wine1!$E:$E,"*" &amp; Sheet1!$A18 &amp;"*")</f>
        <v>0</v>
      </c>
      <c r="AY18" s="37">
        <f>COUNTIFS(Wine1!$AA:$AA,Sheet1!AY$2,Wine1!$E:$E,"*" &amp; Sheet1!$A18 &amp;"*")</f>
        <v>0</v>
      </c>
      <c r="AZ18" s="37">
        <f>COUNTIFS(Wine1!$AA:$AA,Sheet1!AZ$2,Wine1!$E:$E,"*" &amp; Sheet1!$A18 &amp;"*")</f>
        <v>0</v>
      </c>
      <c r="BA18" s="37">
        <f>COUNTIFS(Wine1!$AA:$AA,Sheet1!BA$2,Wine1!$E:$E,"*" &amp; Sheet1!$A18 &amp;"*")</f>
        <v>0</v>
      </c>
      <c r="BB18" s="37">
        <f>COUNTIFS(Wine1!$AA:$AA,Sheet1!BB$2,Wine1!$E:$E,"*" &amp; Sheet1!$A18 &amp;"*")</f>
        <v>0</v>
      </c>
      <c r="BC18" s="37">
        <f>COUNTIFS(Wine1!$AA:$AA,Sheet1!BC$2,Wine1!$E:$E,"*" &amp; Sheet1!$A18 &amp;"*")</f>
        <v>0</v>
      </c>
      <c r="BD18" s="37">
        <f>COUNTIFS(Wine1!$AA:$AA,Sheet1!BD$2,Wine1!$E:$E,"*" &amp; Sheet1!$A18 &amp;"*")</f>
        <v>0</v>
      </c>
      <c r="BE18" s="37">
        <f>COUNTIFS(Wine1!$AA:$AA,Sheet1!BE$2,Wine1!$E:$E,"*" &amp; Sheet1!$A18 &amp;"*")</f>
        <v>0</v>
      </c>
      <c r="BF18" s="37">
        <f>COUNTIFS(Wine1!$AA:$AA,Sheet1!BF$2,Wine1!$E:$E,"*" &amp; Sheet1!$A18 &amp;"*")</f>
        <v>0</v>
      </c>
      <c r="BG18" s="37">
        <f>COUNTIFS(Wine1!$AA:$AA,Sheet1!BG$2,Wine1!$E:$E,"*" &amp; Sheet1!$A18 &amp;"*")</f>
        <v>0</v>
      </c>
      <c r="BH18" s="37">
        <f>COUNTIFS(Wine1!$AA:$AA,Sheet1!BH$2,Wine1!$E:$E,"*" &amp; Sheet1!$A18 &amp;"*")</f>
        <v>0</v>
      </c>
      <c r="BI18" s="37">
        <f>COUNTIFS(Wine1!$AA:$AA,Sheet1!BI$2,Wine1!$E:$E,"*" &amp; Sheet1!$A18 &amp;"*")</f>
        <v>0</v>
      </c>
      <c r="BJ18" s="37">
        <f>COUNTIFS(Wine1!$AA:$AA,Sheet1!BJ$2,Wine1!$E:$E,"*" &amp; Sheet1!$A18 &amp;"*")</f>
        <v>0</v>
      </c>
      <c r="BK18" s="37">
        <f>COUNTIFS(Wine1!$AA:$AA,Sheet1!BK$2,Wine1!$E:$E,"*" &amp; Sheet1!$A18 &amp;"*")</f>
        <v>0</v>
      </c>
      <c r="BL18" s="37">
        <f>COUNTIFS(Wine1!$AA:$AA,Sheet1!BL$2,Wine1!$E:$E,"*" &amp; Sheet1!$A18 &amp;"*")</f>
        <v>0</v>
      </c>
    </row>
    <row r="19" spans="1:64" x14ac:dyDescent="0.25">
      <c r="A19" s="37" t="s">
        <v>284</v>
      </c>
      <c r="B19" s="95">
        <f>COUNTIFS(Wine1!$AF:$AF,Sheet1!B$2,Wine1!$E:$E,"*" &amp; Sheet1!$A19 &amp;"*")</f>
        <v>87</v>
      </c>
      <c r="C19" s="9">
        <f>COUNTIFS(Wine1!$AF:$AF,Sheet1!C$2,Wine1!$E:$E,"*" &amp; Sheet1!$A19 &amp;"*")</f>
        <v>72</v>
      </c>
      <c r="D19" s="9">
        <f>COUNTIFS(Wine1!$AF:$AF,Sheet1!D$2,Wine1!$E:$E,"*" &amp; Sheet1!$A19 &amp;"*")</f>
        <v>51</v>
      </c>
      <c r="E19" s="96">
        <f>COUNTIFS(Wine1!$AF:$AF,Sheet1!E$2,Wine1!$E:$E,"*" &amp; Sheet1!$A19 &amp;"*")</f>
        <v>8</v>
      </c>
      <c r="F19" s="99">
        <f t="shared" si="0"/>
        <v>218</v>
      </c>
      <c r="G19" s="37">
        <f>COUNTIFS(Wine1!$AA:$AA,Sheet1!G$2,Wine1!$E:$E,"*" &amp; Sheet1!$A19 &amp;"*")</f>
        <v>24</v>
      </c>
      <c r="H19" s="37">
        <f>COUNTIFS(Wine1!$AA:$AA,Sheet1!H$2,Wine1!$E:$E,"*" &amp; Sheet1!$A19 &amp;"*")</f>
        <v>36</v>
      </c>
      <c r="I19" s="37">
        <f>COUNTIFS(Wine1!$AA:$AA,Sheet1!I$2,Wine1!$E:$E,"*" &amp; Sheet1!$A19 &amp;"*")</f>
        <v>31</v>
      </c>
      <c r="J19" s="37">
        <f>COUNTIFS(Wine1!$AA:$AA,Sheet1!J$2,Wine1!$E:$E,"*" &amp; Sheet1!$A19 &amp;"*")</f>
        <v>20</v>
      </c>
      <c r="K19" s="37">
        <f>COUNTIFS(Wine1!$AA:$AA,Sheet1!K$2,Wine1!$E:$E,"*" &amp; Sheet1!$A19 &amp;"*")</f>
        <v>26</v>
      </c>
      <c r="L19" s="37">
        <f>COUNTIFS(Wine1!$AA:$AA,Sheet1!L$2,Wine1!$E:$E,"*" &amp; Sheet1!$A19 &amp;"*")</f>
        <v>14</v>
      </c>
      <c r="M19" s="37">
        <f>COUNTIFS(Wine1!$AA:$AA,Sheet1!M$2,Wine1!$E:$E,"*" &amp; Sheet1!$A19 &amp;"*")</f>
        <v>10</v>
      </c>
      <c r="N19" s="37">
        <f>COUNTIFS(Wine1!$AA:$AA,Sheet1!N$2,Wine1!$E:$E,"*" &amp; Sheet1!$A19 &amp;"*")</f>
        <v>13</v>
      </c>
      <c r="O19" s="37">
        <f>COUNTIFS(Wine1!$AA:$AA,Sheet1!O$2,Wine1!$E:$E,"*" &amp; Sheet1!$A19 &amp;"*")</f>
        <v>13</v>
      </c>
      <c r="P19" s="37">
        <f>COUNTIFS(Wine1!$AA:$AA,Sheet1!P$2,Wine1!$E:$E,"*" &amp; Sheet1!$A19 &amp;"*")</f>
        <v>9</v>
      </c>
      <c r="Q19" s="37">
        <f>COUNTIFS(Wine1!$AA:$AA,Sheet1!Q$2,Wine1!$E:$E,"*" &amp; Sheet1!$A19 &amp;"*")</f>
        <v>11</v>
      </c>
      <c r="R19" s="37">
        <f>COUNTIFS(Wine1!$AA:$AA,Sheet1!R$2,Wine1!$E:$E,"*" &amp; Sheet1!$A19 &amp;"*")</f>
        <v>3</v>
      </c>
      <c r="S19" s="37">
        <f>COUNTIFS(Wine1!$AA:$AA,Sheet1!S$2,Wine1!$E:$E,"*" &amp; Sheet1!$A19 &amp;"*")</f>
        <v>3</v>
      </c>
      <c r="T19" s="37">
        <f>COUNTIFS(Wine1!$AA:$AA,Sheet1!T$2,Wine1!$E:$E,"*" &amp; Sheet1!$A19 &amp;"*")</f>
        <v>2</v>
      </c>
      <c r="U19" s="37">
        <f>COUNTIFS(Wine1!$AA:$AA,Sheet1!U$2,Wine1!$E:$E,"*" &amp; Sheet1!$A19 &amp;"*")</f>
        <v>2</v>
      </c>
      <c r="V19" s="37">
        <f>COUNTIFS(Wine1!$AA:$AA,Sheet1!V$2,Wine1!$E:$E,"*" &amp; Sheet1!$A19 &amp;"*")</f>
        <v>0</v>
      </c>
      <c r="W19" s="37">
        <f>COUNTIFS(Wine1!$AA:$AA,Sheet1!W$2,Wine1!$E:$E,"*" &amp; Sheet1!$A19 &amp;"*")</f>
        <v>0</v>
      </c>
      <c r="X19" s="37">
        <f>COUNTIFS(Wine1!$AA:$AA,Sheet1!X$2,Wine1!$E:$E,"*" &amp; Sheet1!$A19 &amp;"*")</f>
        <v>0</v>
      </c>
      <c r="Y19" s="37">
        <f>COUNTIFS(Wine1!$AA:$AA,Sheet1!Y$2,Wine1!$E:$E,"*" &amp; Sheet1!$A19 &amp;"*")</f>
        <v>0</v>
      </c>
      <c r="Z19" s="37">
        <f>COUNTIFS(Wine1!$AA:$AA,Sheet1!Z$2,Wine1!$E:$E,"*" &amp; Sheet1!$A19 &amp;"*")</f>
        <v>1</v>
      </c>
      <c r="AA19" s="37">
        <f>COUNTIFS(Wine1!$AA:$AA,Sheet1!AA$2,Wine1!$E:$E,"*" &amp; Sheet1!$A19 &amp;"*")</f>
        <v>0</v>
      </c>
      <c r="AB19" s="37">
        <f>COUNTIFS(Wine1!$AA:$AA,Sheet1!AB$2,Wine1!$E:$E,"*" &amp; Sheet1!$A19 &amp;"*")</f>
        <v>0</v>
      </c>
      <c r="AC19" s="37">
        <f>COUNTIFS(Wine1!$AA:$AA,Sheet1!AC$2,Wine1!$E:$E,"*" &amp; Sheet1!$A19 &amp;"*")</f>
        <v>0</v>
      </c>
      <c r="AD19" s="37">
        <f>COUNTIFS(Wine1!$AA:$AA,Sheet1!AD$2,Wine1!$E:$E,"*" &amp; Sheet1!$A19 &amp;"*")</f>
        <v>0</v>
      </c>
      <c r="AE19" s="37">
        <f>COUNTIFS(Wine1!$AA:$AA,Sheet1!AE$2,Wine1!$E:$E,"*" &amp; Sheet1!$A19 &amp;"*")</f>
        <v>0</v>
      </c>
      <c r="AF19" s="37">
        <f>COUNTIFS(Wine1!$AA:$AA,Sheet1!AF$2,Wine1!$E:$E,"*" &amp; Sheet1!$A19 &amp;"*")</f>
        <v>0</v>
      </c>
      <c r="AG19" s="37">
        <f>COUNTIFS(Wine1!$AA:$AA,Sheet1!AG$2,Wine1!$E:$E,"*" &amp; Sheet1!$A19 &amp;"*")</f>
        <v>0</v>
      </c>
      <c r="AH19" s="37">
        <f>COUNTIFS(Wine1!$AA:$AA,Sheet1!AH$2,Wine1!$E:$E,"*" &amp; Sheet1!$A19 &amp;"*")</f>
        <v>0</v>
      </c>
      <c r="AI19" s="37">
        <f>COUNTIFS(Wine1!$AA:$AA,Sheet1!AI$2,Wine1!$E:$E,"*" &amp; Sheet1!$A19 &amp;"*")</f>
        <v>0</v>
      </c>
      <c r="AJ19" s="37">
        <f>COUNTIFS(Wine1!$AA:$AA,Sheet1!AJ$2,Wine1!$E:$E,"*" &amp; Sheet1!$A19 &amp;"*")</f>
        <v>0</v>
      </c>
      <c r="AK19" s="37">
        <f>COUNTIFS(Wine1!$AA:$AA,Sheet1!AK$2,Wine1!$E:$E,"*" &amp; Sheet1!$A19 &amp;"*")</f>
        <v>0</v>
      </c>
      <c r="AL19" s="37">
        <f>COUNTIFS(Wine1!$AA:$AA,Sheet1!AL$2,Wine1!$E:$E,"*" &amp; Sheet1!$A19 &amp;"*")</f>
        <v>0</v>
      </c>
      <c r="AM19" s="37">
        <f>COUNTIFS(Wine1!$AA:$AA,Sheet1!AM$2,Wine1!$E:$E,"*" &amp; Sheet1!$A19 &amp;"*")</f>
        <v>0</v>
      </c>
      <c r="AN19" s="37">
        <f>COUNTIFS(Wine1!$AA:$AA,Sheet1!AN$2,Wine1!$E:$E,"*" &amp; Sheet1!$A19 &amp;"*")</f>
        <v>0</v>
      </c>
      <c r="AO19" s="37">
        <f>COUNTIFS(Wine1!$AA:$AA,Sheet1!AO$2,Wine1!$E:$E,"*" &amp; Sheet1!$A19 &amp;"*")</f>
        <v>0</v>
      </c>
      <c r="AP19" s="37">
        <f>COUNTIFS(Wine1!$AA:$AA,Sheet1!AP$2,Wine1!$E:$E,"*" &amp; Sheet1!$A19 &amp;"*")</f>
        <v>0</v>
      </c>
      <c r="AQ19" s="37">
        <f>COUNTIFS(Wine1!$AA:$AA,Sheet1!AQ$2,Wine1!$E:$E,"*" &amp; Sheet1!$A19 &amp;"*")</f>
        <v>0</v>
      </c>
      <c r="AR19" s="37">
        <f>COUNTIFS(Wine1!$AA:$AA,Sheet1!AR$2,Wine1!$E:$E,"*" &amp; Sheet1!$A19 &amp;"*")</f>
        <v>0</v>
      </c>
      <c r="AS19" s="37">
        <f>COUNTIFS(Wine1!$AA:$AA,Sheet1!AS$2,Wine1!$E:$E,"*" &amp; Sheet1!$A19 &amp;"*")</f>
        <v>0</v>
      </c>
      <c r="AT19" s="37">
        <f>COUNTIFS(Wine1!$AA:$AA,Sheet1!AT$2,Wine1!$E:$E,"*" &amp; Sheet1!$A19 &amp;"*")</f>
        <v>0</v>
      </c>
      <c r="AU19" s="37">
        <f>COUNTIFS(Wine1!$AA:$AA,Sheet1!AU$2,Wine1!$E:$E,"*" &amp; Sheet1!$A19 &amp;"*")</f>
        <v>0</v>
      </c>
      <c r="AV19" s="37">
        <f>COUNTIFS(Wine1!$AA:$AA,Sheet1!AV$2,Wine1!$E:$E,"*" &amp; Sheet1!$A19 &amp;"*")</f>
        <v>0</v>
      </c>
      <c r="AW19" s="37">
        <f>COUNTIFS(Wine1!$AA:$AA,Sheet1!AW$2,Wine1!$E:$E,"*" &amp; Sheet1!$A19 &amp;"*")</f>
        <v>0</v>
      </c>
      <c r="AX19" s="37">
        <f>COUNTIFS(Wine1!$AA:$AA,Sheet1!AX$2,Wine1!$E:$E,"*" &amp; Sheet1!$A19 &amp;"*")</f>
        <v>0</v>
      </c>
      <c r="AY19" s="37">
        <f>COUNTIFS(Wine1!$AA:$AA,Sheet1!AY$2,Wine1!$E:$E,"*" &amp; Sheet1!$A19 &amp;"*")</f>
        <v>0</v>
      </c>
      <c r="AZ19" s="37">
        <f>COUNTIFS(Wine1!$AA:$AA,Sheet1!AZ$2,Wine1!$E:$E,"*" &amp; Sheet1!$A19 &amp;"*")</f>
        <v>0</v>
      </c>
      <c r="BA19" s="37">
        <f>COUNTIFS(Wine1!$AA:$AA,Sheet1!BA$2,Wine1!$E:$E,"*" &amp; Sheet1!$A19 &amp;"*")</f>
        <v>0</v>
      </c>
      <c r="BB19" s="37">
        <f>COUNTIFS(Wine1!$AA:$AA,Sheet1!BB$2,Wine1!$E:$E,"*" &amp; Sheet1!$A19 &amp;"*")</f>
        <v>0</v>
      </c>
      <c r="BC19" s="37">
        <f>COUNTIFS(Wine1!$AA:$AA,Sheet1!BC$2,Wine1!$E:$E,"*" &amp; Sheet1!$A19 &amp;"*")</f>
        <v>0</v>
      </c>
      <c r="BD19" s="37">
        <f>COUNTIFS(Wine1!$AA:$AA,Sheet1!BD$2,Wine1!$E:$E,"*" &amp; Sheet1!$A19 &amp;"*")</f>
        <v>0</v>
      </c>
      <c r="BE19" s="37">
        <f>COUNTIFS(Wine1!$AA:$AA,Sheet1!BE$2,Wine1!$E:$E,"*" &amp; Sheet1!$A19 &amp;"*")</f>
        <v>0</v>
      </c>
      <c r="BF19" s="37">
        <f>COUNTIFS(Wine1!$AA:$AA,Sheet1!BF$2,Wine1!$E:$E,"*" &amp; Sheet1!$A19 &amp;"*")</f>
        <v>0</v>
      </c>
      <c r="BG19" s="37">
        <f>COUNTIFS(Wine1!$AA:$AA,Sheet1!BG$2,Wine1!$E:$E,"*" &amp; Sheet1!$A19 &amp;"*")</f>
        <v>0</v>
      </c>
      <c r="BH19" s="37">
        <f>COUNTIFS(Wine1!$AA:$AA,Sheet1!BH$2,Wine1!$E:$E,"*" &amp; Sheet1!$A19 &amp;"*")</f>
        <v>0</v>
      </c>
      <c r="BI19" s="37">
        <f>COUNTIFS(Wine1!$AA:$AA,Sheet1!BI$2,Wine1!$E:$E,"*" &amp; Sheet1!$A19 &amp;"*")</f>
        <v>0</v>
      </c>
      <c r="BJ19" s="37">
        <f>COUNTIFS(Wine1!$AA:$AA,Sheet1!BJ$2,Wine1!$E:$E,"*" &amp; Sheet1!$A19 &amp;"*")</f>
        <v>0</v>
      </c>
      <c r="BK19" s="37">
        <f>COUNTIFS(Wine1!$AA:$AA,Sheet1!BK$2,Wine1!$E:$E,"*" &amp; Sheet1!$A19 &amp;"*")</f>
        <v>0</v>
      </c>
      <c r="BL19" s="37">
        <f>COUNTIFS(Wine1!$AA:$AA,Sheet1!BL$2,Wine1!$E:$E,"*" &amp; Sheet1!$A19 &amp;"*")</f>
        <v>0</v>
      </c>
    </row>
    <row r="20" spans="1:64" x14ac:dyDescent="0.25">
      <c r="A20" t="s">
        <v>281</v>
      </c>
      <c r="B20" s="95">
        <f>COUNTIFS(Wine1!$AF:$AF,Sheet1!B$2,Wine1!$E:$E,"*" &amp; Sheet1!$A20 &amp;"*")</f>
        <v>4</v>
      </c>
      <c r="C20" s="9">
        <f>COUNTIFS(Wine1!$AF:$AF,Sheet1!C$2,Wine1!$E:$E,"*" &amp; Sheet1!$A20 &amp;"*")</f>
        <v>5</v>
      </c>
      <c r="D20" s="9">
        <f>COUNTIFS(Wine1!$AF:$AF,Sheet1!D$2,Wine1!$E:$E,"*" &amp; Sheet1!$A20 &amp;"*")</f>
        <v>47</v>
      </c>
      <c r="E20" s="9">
        <f>COUNTIFS(Wine1!$AF:$AF,Sheet1!E$2,Wine1!$E:$E,"*" &amp; Sheet1!$A20 &amp;"*")</f>
        <v>0</v>
      </c>
      <c r="F20" s="43">
        <f t="shared" si="0"/>
        <v>56</v>
      </c>
      <c r="G20" s="37">
        <f>COUNTIFS(Wine1!$AA:$AA,Sheet1!G$2,Wine1!$E:$E,"*" &amp; Sheet1!$A20 &amp;"*")</f>
        <v>5</v>
      </c>
      <c r="H20" s="37">
        <f>COUNTIFS(Wine1!$AA:$AA,Sheet1!H$2,Wine1!$E:$E,"*" &amp; Sheet1!$A20 &amp;"*")</f>
        <v>5</v>
      </c>
      <c r="I20" s="37">
        <f>COUNTIFS(Wine1!$AA:$AA,Sheet1!I$2,Wine1!$E:$E,"*" &amp; Sheet1!$A20 &amp;"*")</f>
        <v>6</v>
      </c>
      <c r="J20" s="37">
        <f>COUNTIFS(Wine1!$AA:$AA,Sheet1!J$2,Wine1!$E:$E,"*" &amp; Sheet1!$A20 &amp;"*")</f>
        <v>5</v>
      </c>
      <c r="K20" s="37">
        <f>COUNTIFS(Wine1!$AA:$AA,Sheet1!K$2,Wine1!$E:$E,"*" &amp; Sheet1!$A20 &amp;"*")</f>
        <v>4</v>
      </c>
      <c r="L20" s="37">
        <f>COUNTIFS(Wine1!$AA:$AA,Sheet1!L$2,Wine1!$E:$E,"*" &amp; Sheet1!$A20 &amp;"*")</f>
        <v>5</v>
      </c>
      <c r="M20" s="37">
        <f>COUNTIFS(Wine1!$AA:$AA,Sheet1!M$2,Wine1!$E:$E,"*" &amp; Sheet1!$A20 &amp;"*")</f>
        <v>4</v>
      </c>
      <c r="N20" s="37">
        <f>COUNTIFS(Wine1!$AA:$AA,Sheet1!N$2,Wine1!$E:$E,"*" &amp; Sheet1!$A20 &amp;"*")</f>
        <v>4</v>
      </c>
      <c r="O20" s="37">
        <f>COUNTIFS(Wine1!$AA:$AA,Sheet1!O$2,Wine1!$E:$E,"*" &amp; Sheet1!$A20 &amp;"*")</f>
        <v>3</v>
      </c>
      <c r="P20" s="37">
        <f>COUNTIFS(Wine1!$AA:$AA,Sheet1!P$2,Wine1!$E:$E,"*" &amp; Sheet1!$A20 &amp;"*")</f>
        <v>4</v>
      </c>
      <c r="Q20" s="37">
        <f>COUNTIFS(Wine1!$AA:$AA,Sheet1!Q$2,Wine1!$E:$E,"*" &amp; Sheet1!$A20 &amp;"*")</f>
        <v>3</v>
      </c>
      <c r="R20" s="37">
        <f>COUNTIFS(Wine1!$AA:$AA,Sheet1!R$2,Wine1!$E:$E,"*" &amp; Sheet1!$A20 &amp;"*")</f>
        <v>2</v>
      </c>
      <c r="S20" s="37">
        <f>COUNTIFS(Wine1!$AA:$AA,Sheet1!S$2,Wine1!$E:$E,"*" &amp; Sheet1!$A20 &amp;"*")</f>
        <v>2</v>
      </c>
      <c r="T20" s="37">
        <f>COUNTIFS(Wine1!$AA:$AA,Sheet1!T$2,Wine1!$E:$E,"*" &amp; Sheet1!$A20 &amp;"*")</f>
        <v>2</v>
      </c>
      <c r="U20" s="37">
        <f>COUNTIFS(Wine1!$AA:$AA,Sheet1!U$2,Wine1!$E:$E,"*" &amp; Sheet1!$A20 &amp;"*")</f>
        <v>2</v>
      </c>
      <c r="V20" s="37">
        <f>COUNTIFS(Wine1!$AA:$AA,Sheet1!V$2,Wine1!$E:$E,"*" &amp; Sheet1!$A20 &amp;"*")</f>
        <v>0</v>
      </c>
      <c r="W20" s="37">
        <f>COUNTIFS(Wine1!$AA:$AA,Sheet1!W$2,Wine1!$E:$E,"*" &amp; Sheet1!$A20 &amp;"*")</f>
        <v>0</v>
      </c>
      <c r="X20" s="37">
        <f>COUNTIFS(Wine1!$AA:$AA,Sheet1!X$2,Wine1!$E:$E,"*" &amp; Sheet1!$A20 &amp;"*")</f>
        <v>0</v>
      </c>
      <c r="Y20" s="37">
        <f>COUNTIFS(Wine1!$AA:$AA,Sheet1!Y$2,Wine1!$E:$E,"*" &amp; Sheet1!$A20 &amp;"*")</f>
        <v>0</v>
      </c>
      <c r="Z20" s="37">
        <f>COUNTIFS(Wine1!$AA:$AA,Sheet1!Z$2,Wine1!$E:$E,"*" &amp; Sheet1!$A20 &amp;"*")</f>
        <v>0</v>
      </c>
      <c r="AA20" s="37">
        <f>COUNTIFS(Wine1!$AA:$AA,Sheet1!AA$2,Wine1!$E:$E,"*" &amp; Sheet1!$A20 &amp;"*")</f>
        <v>0</v>
      </c>
      <c r="AB20" s="37">
        <f>COUNTIFS(Wine1!$AA:$AA,Sheet1!AB$2,Wine1!$E:$E,"*" &amp; Sheet1!$A20 &amp;"*")</f>
        <v>0</v>
      </c>
      <c r="AC20" s="37">
        <f>COUNTIFS(Wine1!$AA:$AA,Sheet1!AC$2,Wine1!$E:$E,"*" &amp; Sheet1!$A20 &amp;"*")</f>
        <v>0</v>
      </c>
      <c r="AD20" s="37">
        <f>COUNTIFS(Wine1!$AA:$AA,Sheet1!AD$2,Wine1!$E:$E,"*" &amp; Sheet1!$A20 &amp;"*")</f>
        <v>0</v>
      </c>
      <c r="AE20" s="37">
        <f>COUNTIFS(Wine1!$AA:$AA,Sheet1!AE$2,Wine1!$E:$E,"*" &amp; Sheet1!$A20 &amp;"*")</f>
        <v>0</v>
      </c>
      <c r="AF20" s="37">
        <f>COUNTIFS(Wine1!$AA:$AA,Sheet1!AF$2,Wine1!$E:$E,"*" &amp; Sheet1!$A20 &amp;"*")</f>
        <v>0</v>
      </c>
      <c r="AG20" s="37">
        <f>COUNTIFS(Wine1!$AA:$AA,Sheet1!AG$2,Wine1!$E:$E,"*" &amp; Sheet1!$A20 &amp;"*")</f>
        <v>0</v>
      </c>
      <c r="AH20" s="37">
        <f>COUNTIFS(Wine1!$AA:$AA,Sheet1!AH$2,Wine1!$E:$E,"*" &amp; Sheet1!$A20 &amp;"*")</f>
        <v>0</v>
      </c>
      <c r="AI20" s="37">
        <f>COUNTIFS(Wine1!$AA:$AA,Sheet1!AI$2,Wine1!$E:$E,"*" &amp; Sheet1!$A20 &amp;"*")</f>
        <v>0</v>
      </c>
      <c r="AJ20" s="37">
        <f>COUNTIFS(Wine1!$AA:$AA,Sheet1!AJ$2,Wine1!$E:$E,"*" &amp; Sheet1!$A20 &amp;"*")</f>
        <v>0</v>
      </c>
      <c r="AK20" s="37">
        <f>COUNTIFS(Wine1!$AA:$AA,Sheet1!AK$2,Wine1!$E:$E,"*" &amp; Sheet1!$A20 &amp;"*")</f>
        <v>0</v>
      </c>
      <c r="AL20" s="37">
        <f>COUNTIFS(Wine1!$AA:$AA,Sheet1!AL$2,Wine1!$E:$E,"*" &amp; Sheet1!$A20 &amp;"*")</f>
        <v>0</v>
      </c>
      <c r="AM20" s="37">
        <f>COUNTIFS(Wine1!$AA:$AA,Sheet1!AM$2,Wine1!$E:$E,"*" &amp; Sheet1!$A20 &amp;"*")</f>
        <v>0</v>
      </c>
      <c r="AN20" s="37">
        <f>COUNTIFS(Wine1!$AA:$AA,Sheet1!AN$2,Wine1!$E:$E,"*" &amp; Sheet1!$A20 &amp;"*")</f>
        <v>0</v>
      </c>
      <c r="AO20" s="37">
        <f>COUNTIFS(Wine1!$AA:$AA,Sheet1!AO$2,Wine1!$E:$E,"*" &amp; Sheet1!$A20 &amp;"*")</f>
        <v>0</v>
      </c>
      <c r="AP20" s="37">
        <f>COUNTIFS(Wine1!$AA:$AA,Sheet1!AP$2,Wine1!$E:$E,"*" &amp; Sheet1!$A20 &amp;"*")</f>
        <v>0</v>
      </c>
      <c r="AQ20" s="37">
        <f>COUNTIFS(Wine1!$AA:$AA,Sheet1!AQ$2,Wine1!$E:$E,"*" &amp; Sheet1!$A20 &amp;"*")</f>
        <v>0</v>
      </c>
      <c r="AR20" s="37">
        <f>COUNTIFS(Wine1!$AA:$AA,Sheet1!AR$2,Wine1!$E:$E,"*" &amp; Sheet1!$A20 &amp;"*")</f>
        <v>0</v>
      </c>
      <c r="AS20" s="37">
        <f>COUNTIFS(Wine1!$AA:$AA,Sheet1!AS$2,Wine1!$E:$E,"*" &amp; Sheet1!$A20 &amp;"*")</f>
        <v>0</v>
      </c>
      <c r="AT20" s="37">
        <f>COUNTIFS(Wine1!$AA:$AA,Sheet1!AT$2,Wine1!$E:$E,"*" &amp; Sheet1!$A20 &amp;"*")</f>
        <v>0</v>
      </c>
      <c r="AU20" s="37">
        <f>COUNTIFS(Wine1!$AA:$AA,Sheet1!AU$2,Wine1!$E:$E,"*" &amp; Sheet1!$A20 &amp;"*")</f>
        <v>0</v>
      </c>
      <c r="AV20" s="37">
        <f>COUNTIFS(Wine1!$AA:$AA,Sheet1!AV$2,Wine1!$E:$E,"*" &amp; Sheet1!$A20 &amp;"*")</f>
        <v>0</v>
      </c>
      <c r="AW20" s="37">
        <f>COUNTIFS(Wine1!$AA:$AA,Sheet1!AW$2,Wine1!$E:$E,"*" &amp; Sheet1!$A20 &amp;"*")</f>
        <v>0</v>
      </c>
      <c r="AX20" s="37">
        <f>COUNTIFS(Wine1!$AA:$AA,Sheet1!AX$2,Wine1!$E:$E,"*" &amp; Sheet1!$A20 &amp;"*")</f>
        <v>0</v>
      </c>
      <c r="AY20" s="37">
        <f>COUNTIFS(Wine1!$AA:$AA,Sheet1!AY$2,Wine1!$E:$E,"*" &amp; Sheet1!$A20 &amp;"*")</f>
        <v>0</v>
      </c>
      <c r="AZ20" s="37">
        <f>COUNTIFS(Wine1!$AA:$AA,Sheet1!AZ$2,Wine1!$E:$E,"*" &amp; Sheet1!$A20 &amp;"*")</f>
        <v>0</v>
      </c>
      <c r="BA20" s="37">
        <f>COUNTIFS(Wine1!$AA:$AA,Sheet1!BA$2,Wine1!$E:$E,"*" &amp; Sheet1!$A20 &amp;"*")</f>
        <v>0</v>
      </c>
      <c r="BB20" s="37">
        <f>COUNTIFS(Wine1!$AA:$AA,Sheet1!BB$2,Wine1!$E:$E,"*" &amp; Sheet1!$A20 &amp;"*")</f>
        <v>0</v>
      </c>
      <c r="BC20" s="37">
        <f>COUNTIFS(Wine1!$AA:$AA,Sheet1!BC$2,Wine1!$E:$E,"*" &amp; Sheet1!$A20 &amp;"*")</f>
        <v>0</v>
      </c>
      <c r="BD20" s="37">
        <f>COUNTIFS(Wine1!$AA:$AA,Sheet1!BD$2,Wine1!$E:$E,"*" &amp; Sheet1!$A20 &amp;"*")</f>
        <v>0</v>
      </c>
      <c r="BE20" s="37">
        <f>COUNTIFS(Wine1!$AA:$AA,Sheet1!BE$2,Wine1!$E:$E,"*" &amp; Sheet1!$A20 &amp;"*")</f>
        <v>0</v>
      </c>
      <c r="BF20" s="37">
        <f>COUNTIFS(Wine1!$AA:$AA,Sheet1!BF$2,Wine1!$E:$E,"*" &amp; Sheet1!$A20 &amp;"*")</f>
        <v>0</v>
      </c>
      <c r="BG20" s="37">
        <f>COUNTIFS(Wine1!$AA:$AA,Sheet1!BG$2,Wine1!$E:$E,"*" &amp; Sheet1!$A20 &amp;"*")</f>
        <v>0</v>
      </c>
      <c r="BH20" s="37">
        <f>COUNTIFS(Wine1!$AA:$AA,Sheet1!BH$2,Wine1!$E:$E,"*" &amp; Sheet1!$A20 &amp;"*")</f>
        <v>0</v>
      </c>
      <c r="BI20" s="37">
        <f>COUNTIFS(Wine1!$AA:$AA,Sheet1!BI$2,Wine1!$E:$E,"*" &amp; Sheet1!$A20 &amp;"*")</f>
        <v>0</v>
      </c>
      <c r="BJ20" s="37">
        <f>COUNTIFS(Wine1!$AA:$AA,Sheet1!BJ$2,Wine1!$E:$E,"*" &amp; Sheet1!$A20 &amp;"*")</f>
        <v>0</v>
      </c>
      <c r="BK20" s="37">
        <f>COUNTIFS(Wine1!$AA:$AA,Sheet1!BK$2,Wine1!$E:$E,"*" &amp; Sheet1!$A20 &amp;"*")</f>
        <v>0</v>
      </c>
      <c r="BL20" s="37">
        <f>COUNTIFS(Wine1!$AA:$AA,Sheet1!BL$2,Wine1!$E:$E,"*" &amp; Sheet1!$A20 &amp;"*")</f>
        <v>0</v>
      </c>
    </row>
    <row r="21" spans="1:64" x14ac:dyDescent="0.25">
      <c r="A21" t="s">
        <v>1441</v>
      </c>
      <c r="B21" s="95">
        <f>COUNTIFS(Wine1!$AF:$AF,Sheet1!B$2,Wine1!$E:$E,"*" &amp; Sheet1!$A21 &amp;"*")</f>
        <v>19</v>
      </c>
      <c r="C21" s="9">
        <f>COUNTIFS(Wine1!$AF:$AF,Sheet1!C$2,Wine1!$E:$E,"*" &amp; Sheet1!$A21 &amp;"*")</f>
        <v>0</v>
      </c>
      <c r="D21" s="9">
        <f>COUNTIFS(Wine1!$AF:$AF,Sheet1!D$2,Wine1!$E:$E,"*" &amp; Sheet1!$A21 &amp;"*")</f>
        <v>19</v>
      </c>
      <c r="E21" s="9">
        <f>COUNTIFS(Wine1!$AF:$AF,Sheet1!E$2,Wine1!$E:$E,"*" &amp; Sheet1!$A21 &amp;"*")</f>
        <v>0</v>
      </c>
      <c r="F21" s="43">
        <f t="shared" si="0"/>
        <v>38</v>
      </c>
      <c r="G21" s="37">
        <f>COUNTIFS(Wine1!$AA:$AA,Sheet1!G$2,Wine1!$E:$E,"*" &amp; Sheet1!$A21 &amp;"*")</f>
        <v>4</v>
      </c>
      <c r="H21" s="37">
        <f>COUNTIFS(Wine1!$AA:$AA,Sheet1!H$2,Wine1!$E:$E,"*" &amp; Sheet1!$A21 &amp;"*")</f>
        <v>11</v>
      </c>
      <c r="I21" s="37">
        <f>COUNTIFS(Wine1!$AA:$AA,Sheet1!I$2,Wine1!$E:$E,"*" &amp; Sheet1!$A21 &amp;"*")</f>
        <v>3</v>
      </c>
      <c r="J21" s="37">
        <f>COUNTIFS(Wine1!$AA:$AA,Sheet1!J$2,Wine1!$E:$E,"*" &amp; Sheet1!$A21 &amp;"*")</f>
        <v>3</v>
      </c>
      <c r="K21" s="37">
        <f>COUNTIFS(Wine1!$AA:$AA,Sheet1!K$2,Wine1!$E:$E,"*" &amp; Sheet1!$A21 &amp;"*")</f>
        <v>0</v>
      </c>
      <c r="L21" s="37">
        <f>COUNTIFS(Wine1!$AA:$AA,Sheet1!L$2,Wine1!$E:$E,"*" &amp; Sheet1!$A21 &amp;"*")</f>
        <v>1</v>
      </c>
      <c r="M21" s="37">
        <f>COUNTIFS(Wine1!$AA:$AA,Sheet1!M$2,Wine1!$E:$E,"*" &amp; Sheet1!$A21 &amp;"*")</f>
        <v>1</v>
      </c>
      <c r="N21" s="37">
        <f>COUNTIFS(Wine1!$AA:$AA,Sheet1!N$2,Wine1!$E:$E,"*" &amp; Sheet1!$A21 &amp;"*")</f>
        <v>0</v>
      </c>
      <c r="O21" s="37">
        <f>COUNTIFS(Wine1!$AA:$AA,Sheet1!O$2,Wine1!$E:$E,"*" &amp; Sheet1!$A21 &amp;"*")</f>
        <v>2</v>
      </c>
      <c r="P21" s="37">
        <f>COUNTIFS(Wine1!$AA:$AA,Sheet1!P$2,Wine1!$E:$E,"*" &amp; Sheet1!$A21 &amp;"*")</f>
        <v>3</v>
      </c>
      <c r="Q21" s="37">
        <f>COUNTIFS(Wine1!$AA:$AA,Sheet1!Q$2,Wine1!$E:$E,"*" &amp; Sheet1!$A21 &amp;"*")</f>
        <v>1</v>
      </c>
      <c r="R21" s="37">
        <f>COUNTIFS(Wine1!$AA:$AA,Sheet1!R$2,Wine1!$E:$E,"*" &amp; Sheet1!$A21 &amp;"*")</f>
        <v>1</v>
      </c>
      <c r="S21" s="37">
        <f>COUNTIFS(Wine1!$AA:$AA,Sheet1!S$2,Wine1!$E:$E,"*" &amp; Sheet1!$A21 &amp;"*")</f>
        <v>3</v>
      </c>
      <c r="T21" s="37">
        <f>COUNTIFS(Wine1!$AA:$AA,Sheet1!T$2,Wine1!$E:$E,"*" &amp; Sheet1!$A21 &amp;"*")</f>
        <v>2</v>
      </c>
      <c r="U21" s="37">
        <f>COUNTIFS(Wine1!$AA:$AA,Sheet1!U$2,Wine1!$E:$E,"*" &amp; Sheet1!$A21 &amp;"*")</f>
        <v>2</v>
      </c>
      <c r="V21" s="37">
        <f>COUNTIFS(Wine1!$AA:$AA,Sheet1!V$2,Wine1!$E:$E,"*" &amp; Sheet1!$A21 &amp;"*")</f>
        <v>1</v>
      </c>
      <c r="W21" s="37">
        <f>COUNTIFS(Wine1!$AA:$AA,Sheet1!W$2,Wine1!$E:$E,"*" &amp; Sheet1!$A21 &amp;"*")</f>
        <v>0</v>
      </c>
      <c r="X21" s="37">
        <f>COUNTIFS(Wine1!$AA:$AA,Sheet1!X$2,Wine1!$E:$E,"*" &amp; Sheet1!$A21 &amp;"*")</f>
        <v>0</v>
      </c>
      <c r="Y21" s="37">
        <f>COUNTIFS(Wine1!$AA:$AA,Sheet1!Y$2,Wine1!$E:$E,"*" &amp; Sheet1!$A21 &amp;"*")</f>
        <v>0</v>
      </c>
      <c r="Z21" s="37">
        <f>COUNTIFS(Wine1!$AA:$AA,Sheet1!Z$2,Wine1!$E:$E,"*" &amp; Sheet1!$A21 &amp;"*")</f>
        <v>0</v>
      </c>
      <c r="AA21" s="37">
        <f>COUNTIFS(Wine1!$AA:$AA,Sheet1!AA$2,Wine1!$E:$E,"*" &amp; Sheet1!$A21 &amp;"*")</f>
        <v>0</v>
      </c>
      <c r="AB21" s="37">
        <f>COUNTIFS(Wine1!$AA:$AA,Sheet1!AB$2,Wine1!$E:$E,"*" &amp; Sheet1!$A21 &amp;"*")</f>
        <v>0</v>
      </c>
      <c r="AC21" s="37">
        <f>COUNTIFS(Wine1!$AA:$AA,Sheet1!AC$2,Wine1!$E:$E,"*" &amp; Sheet1!$A21 &amp;"*")</f>
        <v>0</v>
      </c>
      <c r="AD21" s="37">
        <f>COUNTIFS(Wine1!$AA:$AA,Sheet1!AD$2,Wine1!$E:$E,"*" &amp; Sheet1!$A21 &amp;"*")</f>
        <v>0</v>
      </c>
      <c r="AE21" s="37">
        <f>COUNTIFS(Wine1!$AA:$AA,Sheet1!AE$2,Wine1!$E:$E,"*" &amp; Sheet1!$A21 &amp;"*")</f>
        <v>0</v>
      </c>
      <c r="AF21" s="37">
        <f>COUNTIFS(Wine1!$AA:$AA,Sheet1!AF$2,Wine1!$E:$E,"*" &amp; Sheet1!$A21 &amp;"*")</f>
        <v>0</v>
      </c>
      <c r="AG21" s="37">
        <f>COUNTIFS(Wine1!$AA:$AA,Sheet1!AG$2,Wine1!$E:$E,"*" &amp; Sheet1!$A21 &amp;"*")</f>
        <v>0</v>
      </c>
      <c r="AH21" s="37">
        <f>COUNTIFS(Wine1!$AA:$AA,Sheet1!AH$2,Wine1!$E:$E,"*" &amp; Sheet1!$A21 &amp;"*")</f>
        <v>0</v>
      </c>
      <c r="AI21" s="37">
        <f>COUNTIFS(Wine1!$AA:$AA,Sheet1!AI$2,Wine1!$E:$E,"*" &amp; Sheet1!$A21 &amp;"*")</f>
        <v>0</v>
      </c>
      <c r="AJ21" s="37">
        <f>COUNTIFS(Wine1!$AA:$AA,Sheet1!AJ$2,Wine1!$E:$E,"*" &amp; Sheet1!$A21 &amp;"*")</f>
        <v>0</v>
      </c>
      <c r="AK21" s="37">
        <f>COUNTIFS(Wine1!$AA:$AA,Sheet1!AK$2,Wine1!$E:$E,"*" &amp; Sheet1!$A21 &amp;"*")</f>
        <v>0</v>
      </c>
      <c r="AL21" s="37">
        <f>COUNTIFS(Wine1!$AA:$AA,Sheet1!AL$2,Wine1!$E:$E,"*" &amp; Sheet1!$A21 &amp;"*")</f>
        <v>0</v>
      </c>
      <c r="AM21" s="37">
        <f>COUNTIFS(Wine1!$AA:$AA,Sheet1!AM$2,Wine1!$E:$E,"*" &amp; Sheet1!$A21 &amp;"*")</f>
        <v>0</v>
      </c>
      <c r="AN21" s="37">
        <f>COUNTIFS(Wine1!$AA:$AA,Sheet1!AN$2,Wine1!$E:$E,"*" &amp; Sheet1!$A21 &amp;"*")</f>
        <v>0</v>
      </c>
      <c r="AO21" s="37">
        <f>COUNTIFS(Wine1!$AA:$AA,Sheet1!AO$2,Wine1!$E:$E,"*" &amp; Sheet1!$A21 &amp;"*")</f>
        <v>0</v>
      </c>
      <c r="AP21" s="37">
        <f>COUNTIFS(Wine1!$AA:$AA,Sheet1!AP$2,Wine1!$E:$E,"*" &amp; Sheet1!$A21 &amp;"*")</f>
        <v>0</v>
      </c>
      <c r="AQ21" s="37">
        <f>COUNTIFS(Wine1!$AA:$AA,Sheet1!AQ$2,Wine1!$E:$E,"*" &amp; Sheet1!$A21 &amp;"*")</f>
        <v>0</v>
      </c>
      <c r="AR21" s="37">
        <f>COUNTIFS(Wine1!$AA:$AA,Sheet1!AR$2,Wine1!$E:$E,"*" &amp; Sheet1!$A21 &amp;"*")</f>
        <v>0</v>
      </c>
      <c r="AS21" s="37">
        <f>COUNTIFS(Wine1!$AA:$AA,Sheet1!AS$2,Wine1!$E:$E,"*" &amp; Sheet1!$A21 &amp;"*")</f>
        <v>0</v>
      </c>
      <c r="AT21" s="37">
        <f>COUNTIFS(Wine1!$AA:$AA,Sheet1!AT$2,Wine1!$E:$E,"*" &amp; Sheet1!$A21 &amp;"*")</f>
        <v>0</v>
      </c>
      <c r="AU21" s="37">
        <f>COUNTIFS(Wine1!$AA:$AA,Sheet1!AU$2,Wine1!$E:$E,"*" &amp; Sheet1!$A21 &amp;"*")</f>
        <v>0</v>
      </c>
      <c r="AV21" s="37">
        <f>COUNTIFS(Wine1!$AA:$AA,Sheet1!AV$2,Wine1!$E:$E,"*" &amp; Sheet1!$A21 &amp;"*")</f>
        <v>0</v>
      </c>
      <c r="AW21" s="37">
        <f>COUNTIFS(Wine1!$AA:$AA,Sheet1!AW$2,Wine1!$E:$E,"*" &amp; Sheet1!$A21 &amp;"*")</f>
        <v>0</v>
      </c>
      <c r="AX21" s="37">
        <f>COUNTIFS(Wine1!$AA:$AA,Sheet1!AX$2,Wine1!$E:$E,"*" &amp; Sheet1!$A21 &amp;"*")</f>
        <v>0</v>
      </c>
      <c r="AY21" s="37">
        <f>COUNTIFS(Wine1!$AA:$AA,Sheet1!AY$2,Wine1!$E:$E,"*" &amp; Sheet1!$A21 &amp;"*")</f>
        <v>0</v>
      </c>
      <c r="AZ21" s="37">
        <f>COUNTIFS(Wine1!$AA:$AA,Sheet1!AZ$2,Wine1!$E:$E,"*" &amp; Sheet1!$A21 &amp;"*")</f>
        <v>0</v>
      </c>
      <c r="BA21" s="37">
        <f>COUNTIFS(Wine1!$AA:$AA,Sheet1!BA$2,Wine1!$E:$E,"*" &amp; Sheet1!$A21 &amp;"*")</f>
        <v>0</v>
      </c>
      <c r="BB21" s="37">
        <f>COUNTIFS(Wine1!$AA:$AA,Sheet1!BB$2,Wine1!$E:$E,"*" &amp; Sheet1!$A21 &amp;"*")</f>
        <v>0</v>
      </c>
      <c r="BC21" s="37">
        <f>COUNTIFS(Wine1!$AA:$AA,Sheet1!BC$2,Wine1!$E:$E,"*" &amp; Sheet1!$A21 &amp;"*")</f>
        <v>0</v>
      </c>
      <c r="BD21" s="37">
        <f>COUNTIFS(Wine1!$AA:$AA,Sheet1!BD$2,Wine1!$E:$E,"*" &amp; Sheet1!$A21 &amp;"*")</f>
        <v>0</v>
      </c>
      <c r="BE21" s="37">
        <f>COUNTIFS(Wine1!$AA:$AA,Sheet1!BE$2,Wine1!$E:$E,"*" &amp; Sheet1!$A21 &amp;"*")</f>
        <v>0</v>
      </c>
      <c r="BF21" s="37">
        <f>COUNTIFS(Wine1!$AA:$AA,Sheet1!BF$2,Wine1!$E:$E,"*" &amp; Sheet1!$A21 &amp;"*")</f>
        <v>0</v>
      </c>
      <c r="BG21" s="37">
        <f>COUNTIFS(Wine1!$AA:$AA,Sheet1!BG$2,Wine1!$E:$E,"*" &amp; Sheet1!$A21 &amp;"*")</f>
        <v>0</v>
      </c>
      <c r="BH21" s="37">
        <f>COUNTIFS(Wine1!$AA:$AA,Sheet1!BH$2,Wine1!$E:$E,"*" &amp; Sheet1!$A21 &amp;"*")</f>
        <v>0</v>
      </c>
      <c r="BI21" s="37">
        <f>COUNTIFS(Wine1!$AA:$AA,Sheet1!BI$2,Wine1!$E:$E,"*" &amp; Sheet1!$A21 &amp;"*")</f>
        <v>0</v>
      </c>
      <c r="BJ21" s="37">
        <f>COUNTIFS(Wine1!$AA:$AA,Sheet1!BJ$2,Wine1!$E:$E,"*" &amp; Sheet1!$A21 &amp;"*")</f>
        <v>0</v>
      </c>
      <c r="BK21" s="37">
        <f>COUNTIFS(Wine1!$AA:$AA,Sheet1!BK$2,Wine1!$E:$E,"*" &amp; Sheet1!$A21 &amp;"*")</f>
        <v>0</v>
      </c>
      <c r="BL21" s="37">
        <f>COUNTIFS(Wine1!$AA:$AA,Sheet1!BL$2,Wine1!$E:$E,"*" &amp; Sheet1!$A21 &amp;"*")</f>
        <v>0</v>
      </c>
    </row>
    <row r="22" spans="1:64" x14ac:dyDescent="0.25">
      <c r="A22" t="s">
        <v>1450</v>
      </c>
      <c r="B22" s="95">
        <f>COUNTIFS(Wine1!$AF:$AF,Sheet1!B$2,Wine1!$E:$E,"*" &amp; Sheet1!$A22 &amp;"*")</f>
        <v>0</v>
      </c>
      <c r="C22" s="9">
        <f>COUNTIFS(Wine1!$AF:$AF,Sheet1!C$2,Wine1!$E:$E,"*" &amp; Sheet1!$A22 &amp;"*")</f>
        <v>11</v>
      </c>
      <c r="D22" s="9">
        <f>COUNTIFS(Wine1!$AF:$AF,Sheet1!D$2,Wine1!$E:$E,"*" &amp; Sheet1!$A22 &amp;"*")</f>
        <v>10</v>
      </c>
      <c r="E22" s="9">
        <f>COUNTIFS(Wine1!$AF:$AF,Sheet1!E$2,Wine1!$E:$E,"*" &amp; Sheet1!$A22 &amp;"*")</f>
        <v>2</v>
      </c>
      <c r="F22" s="43">
        <f t="shared" si="0"/>
        <v>23</v>
      </c>
      <c r="G22" s="37">
        <f>COUNTIFS(Wine1!$AA:$AA,Sheet1!G$2,Wine1!$E:$E,"*" &amp; Sheet1!$A22 &amp;"*")</f>
        <v>1</v>
      </c>
      <c r="H22" s="37">
        <f>COUNTIFS(Wine1!$AA:$AA,Sheet1!H$2,Wine1!$E:$E,"*" &amp; Sheet1!$A22 &amp;"*")</f>
        <v>6</v>
      </c>
      <c r="I22" s="37">
        <f>COUNTIFS(Wine1!$AA:$AA,Sheet1!I$2,Wine1!$E:$E,"*" &amp; Sheet1!$A22 &amp;"*")</f>
        <v>3</v>
      </c>
      <c r="J22" s="37">
        <f>COUNTIFS(Wine1!$AA:$AA,Sheet1!J$2,Wine1!$E:$E,"*" &amp; Sheet1!$A22 &amp;"*")</f>
        <v>3</v>
      </c>
      <c r="K22" s="37">
        <f>COUNTIFS(Wine1!$AA:$AA,Sheet1!K$2,Wine1!$E:$E,"*" &amp; Sheet1!$A22 &amp;"*")</f>
        <v>4</v>
      </c>
      <c r="L22" s="37">
        <f>COUNTIFS(Wine1!$AA:$AA,Sheet1!L$2,Wine1!$E:$E,"*" &amp; Sheet1!$A22 &amp;"*")</f>
        <v>1</v>
      </c>
      <c r="M22" s="37">
        <f>COUNTIFS(Wine1!$AA:$AA,Sheet1!M$2,Wine1!$E:$E,"*" &amp; Sheet1!$A22 &amp;"*")</f>
        <v>0</v>
      </c>
      <c r="N22" s="37">
        <f>COUNTIFS(Wine1!$AA:$AA,Sheet1!N$2,Wine1!$E:$E,"*" &amp; Sheet1!$A22 &amp;"*")</f>
        <v>1</v>
      </c>
      <c r="O22" s="37">
        <f>COUNTIFS(Wine1!$AA:$AA,Sheet1!O$2,Wine1!$E:$E,"*" &amp; Sheet1!$A22 &amp;"*")</f>
        <v>1</v>
      </c>
      <c r="P22" s="37">
        <f>COUNTIFS(Wine1!$AA:$AA,Sheet1!P$2,Wine1!$E:$E,"*" &amp; Sheet1!$A22 &amp;"*")</f>
        <v>0</v>
      </c>
      <c r="Q22" s="37">
        <f>COUNTIFS(Wine1!$AA:$AA,Sheet1!Q$2,Wine1!$E:$E,"*" &amp; Sheet1!$A22 &amp;"*")</f>
        <v>1</v>
      </c>
      <c r="R22" s="37">
        <f>COUNTIFS(Wine1!$AA:$AA,Sheet1!R$2,Wine1!$E:$E,"*" &amp; Sheet1!$A22 &amp;"*")</f>
        <v>1</v>
      </c>
      <c r="S22" s="37">
        <f>COUNTIFS(Wine1!$AA:$AA,Sheet1!S$2,Wine1!$E:$E,"*" &amp; Sheet1!$A22 &amp;"*")</f>
        <v>1</v>
      </c>
      <c r="T22" s="37">
        <f>COUNTIFS(Wine1!$AA:$AA,Sheet1!T$2,Wine1!$E:$E,"*" &amp; Sheet1!$A22 &amp;"*")</f>
        <v>0</v>
      </c>
      <c r="U22" s="37">
        <f>COUNTIFS(Wine1!$AA:$AA,Sheet1!U$2,Wine1!$E:$E,"*" &amp; Sheet1!$A22 &amp;"*")</f>
        <v>0</v>
      </c>
      <c r="V22" s="37">
        <f>COUNTIFS(Wine1!$AA:$AA,Sheet1!V$2,Wine1!$E:$E,"*" &amp; Sheet1!$A22 &amp;"*")</f>
        <v>0</v>
      </c>
      <c r="W22" s="37">
        <f>COUNTIFS(Wine1!$AA:$AA,Sheet1!W$2,Wine1!$E:$E,"*" &amp; Sheet1!$A22 &amp;"*")</f>
        <v>0</v>
      </c>
      <c r="X22" s="37">
        <f>COUNTIFS(Wine1!$AA:$AA,Sheet1!X$2,Wine1!$E:$E,"*" &amp; Sheet1!$A22 &amp;"*")</f>
        <v>0</v>
      </c>
      <c r="Y22" s="37">
        <f>COUNTIFS(Wine1!$AA:$AA,Sheet1!Y$2,Wine1!$E:$E,"*" &amp; Sheet1!$A22 &amp;"*")</f>
        <v>0</v>
      </c>
      <c r="Z22" s="37">
        <f>COUNTIFS(Wine1!$AA:$AA,Sheet1!Z$2,Wine1!$E:$E,"*" &amp; Sheet1!$A22 &amp;"*")</f>
        <v>0</v>
      </c>
      <c r="AA22" s="37">
        <f>COUNTIFS(Wine1!$AA:$AA,Sheet1!AA$2,Wine1!$E:$E,"*" &amp; Sheet1!$A22 &amp;"*")</f>
        <v>0</v>
      </c>
      <c r="AB22" s="37">
        <f>COUNTIFS(Wine1!$AA:$AA,Sheet1!AB$2,Wine1!$E:$E,"*" &amp; Sheet1!$A22 &amp;"*")</f>
        <v>0</v>
      </c>
      <c r="AC22" s="37">
        <f>COUNTIFS(Wine1!$AA:$AA,Sheet1!AC$2,Wine1!$E:$E,"*" &amp; Sheet1!$A22 &amp;"*")</f>
        <v>0</v>
      </c>
      <c r="AD22" s="37">
        <f>COUNTIFS(Wine1!$AA:$AA,Sheet1!AD$2,Wine1!$E:$E,"*" &amp; Sheet1!$A22 &amp;"*")</f>
        <v>0</v>
      </c>
      <c r="AE22" s="37">
        <f>COUNTIFS(Wine1!$AA:$AA,Sheet1!AE$2,Wine1!$E:$E,"*" &amp; Sheet1!$A22 &amp;"*")</f>
        <v>0</v>
      </c>
      <c r="AF22" s="37">
        <f>COUNTIFS(Wine1!$AA:$AA,Sheet1!AF$2,Wine1!$E:$E,"*" &amp; Sheet1!$A22 &amp;"*")</f>
        <v>0</v>
      </c>
      <c r="AG22" s="37">
        <f>COUNTIFS(Wine1!$AA:$AA,Sheet1!AG$2,Wine1!$E:$E,"*" &amp; Sheet1!$A22 &amp;"*")</f>
        <v>0</v>
      </c>
      <c r="AH22" s="37">
        <f>COUNTIFS(Wine1!$AA:$AA,Sheet1!AH$2,Wine1!$E:$E,"*" &amp; Sheet1!$A22 &amp;"*")</f>
        <v>0</v>
      </c>
      <c r="AI22" s="37">
        <f>COUNTIFS(Wine1!$AA:$AA,Sheet1!AI$2,Wine1!$E:$E,"*" &amp; Sheet1!$A22 &amp;"*")</f>
        <v>0</v>
      </c>
      <c r="AJ22" s="37">
        <f>COUNTIFS(Wine1!$AA:$AA,Sheet1!AJ$2,Wine1!$E:$E,"*" &amp; Sheet1!$A22 &amp;"*")</f>
        <v>0</v>
      </c>
      <c r="AK22" s="37">
        <f>COUNTIFS(Wine1!$AA:$AA,Sheet1!AK$2,Wine1!$E:$E,"*" &amp; Sheet1!$A22 &amp;"*")</f>
        <v>0</v>
      </c>
      <c r="AL22" s="37">
        <f>COUNTIFS(Wine1!$AA:$AA,Sheet1!AL$2,Wine1!$E:$E,"*" &amp; Sheet1!$A22 &amp;"*")</f>
        <v>0</v>
      </c>
      <c r="AM22" s="37">
        <f>COUNTIFS(Wine1!$AA:$AA,Sheet1!AM$2,Wine1!$E:$E,"*" &amp; Sheet1!$A22 &amp;"*")</f>
        <v>0</v>
      </c>
      <c r="AN22" s="37">
        <f>COUNTIFS(Wine1!$AA:$AA,Sheet1!AN$2,Wine1!$E:$E,"*" &amp; Sheet1!$A22 &amp;"*")</f>
        <v>0</v>
      </c>
      <c r="AO22" s="37">
        <f>COUNTIFS(Wine1!$AA:$AA,Sheet1!AO$2,Wine1!$E:$E,"*" &amp; Sheet1!$A22 &amp;"*")</f>
        <v>0</v>
      </c>
      <c r="AP22" s="37">
        <f>COUNTIFS(Wine1!$AA:$AA,Sheet1!AP$2,Wine1!$E:$E,"*" &amp; Sheet1!$A22 &amp;"*")</f>
        <v>0</v>
      </c>
      <c r="AQ22" s="37">
        <f>COUNTIFS(Wine1!$AA:$AA,Sheet1!AQ$2,Wine1!$E:$E,"*" &amp; Sheet1!$A22 &amp;"*")</f>
        <v>0</v>
      </c>
      <c r="AR22" s="37">
        <f>COUNTIFS(Wine1!$AA:$AA,Sheet1!AR$2,Wine1!$E:$E,"*" &amp; Sheet1!$A22 &amp;"*")</f>
        <v>0</v>
      </c>
      <c r="AS22" s="37">
        <f>COUNTIFS(Wine1!$AA:$AA,Sheet1!AS$2,Wine1!$E:$E,"*" &amp; Sheet1!$A22 &amp;"*")</f>
        <v>0</v>
      </c>
      <c r="AT22" s="37">
        <f>COUNTIFS(Wine1!$AA:$AA,Sheet1!AT$2,Wine1!$E:$E,"*" &amp; Sheet1!$A22 &amp;"*")</f>
        <v>0</v>
      </c>
      <c r="AU22" s="37">
        <f>COUNTIFS(Wine1!$AA:$AA,Sheet1!AU$2,Wine1!$E:$E,"*" &amp; Sheet1!$A22 &amp;"*")</f>
        <v>0</v>
      </c>
      <c r="AV22" s="37">
        <f>COUNTIFS(Wine1!$AA:$AA,Sheet1!AV$2,Wine1!$E:$E,"*" &amp; Sheet1!$A22 &amp;"*")</f>
        <v>0</v>
      </c>
      <c r="AW22" s="37">
        <f>COUNTIFS(Wine1!$AA:$AA,Sheet1!AW$2,Wine1!$E:$E,"*" &amp; Sheet1!$A22 &amp;"*")</f>
        <v>0</v>
      </c>
      <c r="AX22" s="37">
        <f>COUNTIFS(Wine1!$AA:$AA,Sheet1!AX$2,Wine1!$E:$E,"*" &amp; Sheet1!$A22 &amp;"*")</f>
        <v>0</v>
      </c>
      <c r="AY22" s="37">
        <f>COUNTIFS(Wine1!$AA:$AA,Sheet1!AY$2,Wine1!$E:$E,"*" &amp; Sheet1!$A22 &amp;"*")</f>
        <v>0</v>
      </c>
      <c r="AZ22" s="37">
        <f>COUNTIFS(Wine1!$AA:$AA,Sheet1!AZ$2,Wine1!$E:$E,"*" &amp; Sheet1!$A22 &amp;"*")</f>
        <v>0</v>
      </c>
      <c r="BA22" s="37">
        <f>COUNTIFS(Wine1!$AA:$AA,Sheet1!BA$2,Wine1!$E:$E,"*" &amp; Sheet1!$A22 &amp;"*")</f>
        <v>0</v>
      </c>
      <c r="BB22" s="37">
        <f>COUNTIFS(Wine1!$AA:$AA,Sheet1!BB$2,Wine1!$E:$E,"*" &amp; Sheet1!$A22 &amp;"*")</f>
        <v>0</v>
      </c>
      <c r="BC22" s="37">
        <f>COUNTIFS(Wine1!$AA:$AA,Sheet1!BC$2,Wine1!$E:$E,"*" &amp; Sheet1!$A22 &amp;"*")</f>
        <v>0</v>
      </c>
      <c r="BD22" s="37">
        <f>COUNTIFS(Wine1!$AA:$AA,Sheet1!BD$2,Wine1!$E:$E,"*" &amp; Sheet1!$A22 &amp;"*")</f>
        <v>0</v>
      </c>
      <c r="BE22" s="37">
        <f>COUNTIFS(Wine1!$AA:$AA,Sheet1!BE$2,Wine1!$E:$E,"*" &amp; Sheet1!$A22 &amp;"*")</f>
        <v>0</v>
      </c>
      <c r="BF22" s="37">
        <f>COUNTIFS(Wine1!$AA:$AA,Sheet1!BF$2,Wine1!$E:$E,"*" &amp; Sheet1!$A22 &amp;"*")</f>
        <v>0</v>
      </c>
      <c r="BG22" s="37">
        <f>COUNTIFS(Wine1!$AA:$AA,Sheet1!BG$2,Wine1!$E:$E,"*" &amp; Sheet1!$A22 &amp;"*")</f>
        <v>0</v>
      </c>
      <c r="BH22" s="37">
        <f>COUNTIFS(Wine1!$AA:$AA,Sheet1!BH$2,Wine1!$E:$E,"*" &amp; Sheet1!$A22 &amp;"*")</f>
        <v>0</v>
      </c>
      <c r="BI22" s="37">
        <f>COUNTIFS(Wine1!$AA:$AA,Sheet1!BI$2,Wine1!$E:$E,"*" &amp; Sheet1!$A22 &amp;"*")</f>
        <v>0</v>
      </c>
      <c r="BJ22" s="37">
        <f>COUNTIFS(Wine1!$AA:$AA,Sheet1!BJ$2,Wine1!$E:$E,"*" &amp; Sheet1!$A22 &amp;"*")</f>
        <v>0</v>
      </c>
      <c r="BK22" s="37">
        <f>COUNTIFS(Wine1!$AA:$AA,Sheet1!BK$2,Wine1!$E:$E,"*" &amp; Sheet1!$A22 &amp;"*")</f>
        <v>0</v>
      </c>
      <c r="BL22" s="37">
        <f>COUNTIFS(Wine1!$AA:$AA,Sheet1!BL$2,Wine1!$E:$E,"*" &amp; Sheet1!$A22 &amp;"*")</f>
        <v>0</v>
      </c>
    </row>
    <row r="23" spans="1:64" x14ac:dyDescent="0.25">
      <c r="A23" t="s">
        <v>363</v>
      </c>
      <c r="B23" s="97">
        <f>COUNTIFS(Wine1!$AF:$AF,Sheet1!B$2,Wine1!$E:$E,"*" &amp; Sheet1!$A23 &amp;"*")</f>
        <v>1</v>
      </c>
      <c r="C23" s="9">
        <f>COUNTIFS(Wine1!$AF:$AF,Sheet1!C$2,Wine1!$E:$E,"*" &amp; Sheet1!$A23 &amp;"*")</f>
        <v>2</v>
      </c>
      <c r="D23" s="9">
        <f>COUNTIFS(Wine1!$AF:$AF,Sheet1!D$2,Wine1!$E:$E,"*" &amp; Sheet1!$A23 &amp;"*")</f>
        <v>5</v>
      </c>
      <c r="E23" s="96">
        <f>COUNTIFS(Wine1!$AF:$AF,Sheet1!E$2,Wine1!$E:$E,"*" &amp; Sheet1!$A23 &amp;"*")</f>
        <v>0</v>
      </c>
      <c r="F23" s="99">
        <f t="shared" si="0"/>
        <v>8</v>
      </c>
      <c r="G23" s="37">
        <f>COUNTIFS(Wine1!$AA:$AA,Sheet1!G$2,Wine1!$E:$E,"*" &amp; Sheet1!$A23 &amp;"*")</f>
        <v>3</v>
      </c>
      <c r="H23" s="37">
        <f>COUNTIFS(Wine1!$AA:$AA,Sheet1!H$2,Wine1!$E:$E,"*" &amp; Sheet1!$A23 &amp;"*")</f>
        <v>0</v>
      </c>
      <c r="I23" s="37">
        <f>COUNTIFS(Wine1!$AA:$AA,Sheet1!I$2,Wine1!$E:$E,"*" &amp; Sheet1!$A23 &amp;"*")</f>
        <v>1</v>
      </c>
      <c r="J23" s="37">
        <f>COUNTIFS(Wine1!$AA:$AA,Sheet1!J$2,Wine1!$E:$E,"*" &amp; Sheet1!$A23 &amp;"*")</f>
        <v>0</v>
      </c>
      <c r="K23" s="37">
        <f>COUNTIFS(Wine1!$AA:$AA,Sheet1!K$2,Wine1!$E:$E,"*" &amp; Sheet1!$A23 &amp;"*")</f>
        <v>0</v>
      </c>
      <c r="L23" s="37">
        <f>COUNTIFS(Wine1!$AA:$AA,Sheet1!L$2,Wine1!$E:$E,"*" &amp; Sheet1!$A23 &amp;"*")</f>
        <v>1</v>
      </c>
      <c r="M23" s="37">
        <f>COUNTIFS(Wine1!$AA:$AA,Sheet1!M$2,Wine1!$E:$E,"*" &amp; Sheet1!$A23 &amp;"*")</f>
        <v>1</v>
      </c>
      <c r="N23" s="37">
        <f>COUNTIFS(Wine1!$AA:$AA,Sheet1!N$2,Wine1!$E:$E,"*" &amp; Sheet1!$A23 &amp;"*")</f>
        <v>0</v>
      </c>
      <c r="O23" s="37">
        <f>COUNTIFS(Wine1!$AA:$AA,Sheet1!O$2,Wine1!$E:$E,"*" &amp; Sheet1!$A23 &amp;"*")</f>
        <v>1</v>
      </c>
      <c r="P23" s="37">
        <f>COUNTIFS(Wine1!$AA:$AA,Sheet1!P$2,Wine1!$E:$E,"*" &amp; Sheet1!$A23 &amp;"*")</f>
        <v>0</v>
      </c>
      <c r="Q23" s="37">
        <f>COUNTIFS(Wine1!$AA:$AA,Sheet1!Q$2,Wine1!$E:$E,"*" &amp; Sheet1!$A23 &amp;"*")</f>
        <v>1</v>
      </c>
      <c r="R23" s="37">
        <f>COUNTIFS(Wine1!$AA:$AA,Sheet1!R$2,Wine1!$E:$E,"*" &amp; Sheet1!$A23 &amp;"*")</f>
        <v>0</v>
      </c>
      <c r="S23" s="37">
        <f>COUNTIFS(Wine1!$AA:$AA,Sheet1!S$2,Wine1!$E:$E,"*" &amp; Sheet1!$A23 &amp;"*")</f>
        <v>0</v>
      </c>
      <c r="T23" s="37">
        <f>COUNTIFS(Wine1!$AA:$AA,Sheet1!T$2,Wine1!$E:$E,"*" &amp; Sheet1!$A23 &amp;"*")</f>
        <v>0</v>
      </c>
      <c r="U23" s="37">
        <f>COUNTIFS(Wine1!$AA:$AA,Sheet1!U$2,Wine1!$E:$E,"*" &amp; Sheet1!$A23 &amp;"*")</f>
        <v>0</v>
      </c>
      <c r="V23" s="37">
        <f>COUNTIFS(Wine1!$AA:$AA,Sheet1!V$2,Wine1!$E:$E,"*" &amp; Sheet1!$A23 &amp;"*")</f>
        <v>0</v>
      </c>
      <c r="W23" s="37">
        <f>COUNTIFS(Wine1!$AA:$AA,Sheet1!W$2,Wine1!$E:$E,"*" &amp; Sheet1!$A23 &amp;"*")</f>
        <v>0</v>
      </c>
      <c r="X23" s="37">
        <f>COUNTIFS(Wine1!$AA:$AA,Sheet1!X$2,Wine1!$E:$E,"*" &amp; Sheet1!$A23 &amp;"*")</f>
        <v>0</v>
      </c>
      <c r="Y23" s="37">
        <f>COUNTIFS(Wine1!$AA:$AA,Sheet1!Y$2,Wine1!$E:$E,"*" &amp; Sheet1!$A23 &amp;"*")</f>
        <v>0</v>
      </c>
      <c r="Z23" s="37">
        <f>COUNTIFS(Wine1!$AA:$AA,Sheet1!Z$2,Wine1!$E:$E,"*" &amp; Sheet1!$A23 &amp;"*")</f>
        <v>0</v>
      </c>
      <c r="AA23" s="37">
        <f>COUNTIFS(Wine1!$AA:$AA,Sheet1!AA$2,Wine1!$E:$E,"*" &amp; Sheet1!$A23 &amp;"*")</f>
        <v>0</v>
      </c>
      <c r="AB23" s="37">
        <f>COUNTIFS(Wine1!$AA:$AA,Sheet1!AB$2,Wine1!$E:$E,"*" &amp; Sheet1!$A23 &amp;"*")</f>
        <v>0</v>
      </c>
      <c r="AC23" s="37">
        <f>COUNTIFS(Wine1!$AA:$AA,Sheet1!AC$2,Wine1!$E:$E,"*" &amp; Sheet1!$A23 &amp;"*")</f>
        <v>0</v>
      </c>
      <c r="AD23" s="37">
        <f>COUNTIFS(Wine1!$AA:$AA,Sheet1!AD$2,Wine1!$E:$E,"*" &amp; Sheet1!$A23 &amp;"*")</f>
        <v>0</v>
      </c>
      <c r="AE23" s="37">
        <f>COUNTIFS(Wine1!$AA:$AA,Sheet1!AE$2,Wine1!$E:$E,"*" &amp; Sheet1!$A23 &amp;"*")</f>
        <v>0</v>
      </c>
      <c r="AF23" s="37">
        <f>COUNTIFS(Wine1!$AA:$AA,Sheet1!AF$2,Wine1!$E:$E,"*" &amp; Sheet1!$A23 &amp;"*")</f>
        <v>0</v>
      </c>
      <c r="AG23" s="37">
        <f>COUNTIFS(Wine1!$AA:$AA,Sheet1!AG$2,Wine1!$E:$E,"*" &amp; Sheet1!$A23 &amp;"*")</f>
        <v>0</v>
      </c>
      <c r="AH23" s="37">
        <f>COUNTIFS(Wine1!$AA:$AA,Sheet1!AH$2,Wine1!$E:$E,"*" &amp; Sheet1!$A23 &amp;"*")</f>
        <v>0</v>
      </c>
      <c r="AI23" s="37">
        <f>COUNTIFS(Wine1!$AA:$AA,Sheet1!AI$2,Wine1!$E:$E,"*" &amp; Sheet1!$A23 &amp;"*")</f>
        <v>0</v>
      </c>
      <c r="AJ23" s="37">
        <f>COUNTIFS(Wine1!$AA:$AA,Sheet1!AJ$2,Wine1!$E:$E,"*" &amp; Sheet1!$A23 &amp;"*")</f>
        <v>0</v>
      </c>
      <c r="AK23" s="37">
        <f>COUNTIFS(Wine1!$AA:$AA,Sheet1!AK$2,Wine1!$E:$E,"*" &amp; Sheet1!$A23 &amp;"*")</f>
        <v>0</v>
      </c>
      <c r="AL23" s="37">
        <f>COUNTIFS(Wine1!$AA:$AA,Sheet1!AL$2,Wine1!$E:$E,"*" &amp; Sheet1!$A23 &amp;"*")</f>
        <v>0</v>
      </c>
      <c r="AM23" s="37">
        <f>COUNTIFS(Wine1!$AA:$AA,Sheet1!AM$2,Wine1!$E:$E,"*" &amp; Sheet1!$A23 &amp;"*")</f>
        <v>0</v>
      </c>
      <c r="AN23" s="37">
        <f>COUNTIFS(Wine1!$AA:$AA,Sheet1!AN$2,Wine1!$E:$E,"*" &amp; Sheet1!$A23 &amp;"*")</f>
        <v>0</v>
      </c>
      <c r="AO23" s="37">
        <f>COUNTIFS(Wine1!$AA:$AA,Sheet1!AO$2,Wine1!$E:$E,"*" &amp; Sheet1!$A23 &amp;"*")</f>
        <v>0</v>
      </c>
      <c r="AP23" s="37">
        <f>COUNTIFS(Wine1!$AA:$AA,Sheet1!AP$2,Wine1!$E:$E,"*" &amp; Sheet1!$A23 &amp;"*")</f>
        <v>0</v>
      </c>
      <c r="AQ23" s="37">
        <f>COUNTIFS(Wine1!$AA:$AA,Sheet1!AQ$2,Wine1!$E:$E,"*" &amp; Sheet1!$A23 &amp;"*")</f>
        <v>0</v>
      </c>
      <c r="AR23" s="37">
        <f>COUNTIFS(Wine1!$AA:$AA,Sheet1!AR$2,Wine1!$E:$E,"*" &amp; Sheet1!$A23 &amp;"*")</f>
        <v>0</v>
      </c>
      <c r="AS23" s="37">
        <f>COUNTIFS(Wine1!$AA:$AA,Sheet1!AS$2,Wine1!$E:$E,"*" &amp; Sheet1!$A23 &amp;"*")</f>
        <v>0</v>
      </c>
      <c r="AT23" s="37">
        <f>COUNTIFS(Wine1!$AA:$AA,Sheet1!AT$2,Wine1!$E:$E,"*" &amp; Sheet1!$A23 &amp;"*")</f>
        <v>0</v>
      </c>
      <c r="AU23" s="37">
        <f>COUNTIFS(Wine1!$AA:$AA,Sheet1!AU$2,Wine1!$E:$E,"*" &amp; Sheet1!$A23 &amp;"*")</f>
        <v>0</v>
      </c>
      <c r="AV23" s="37">
        <f>COUNTIFS(Wine1!$AA:$AA,Sheet1!AV$2,Wine1!$E:$E,"*" &amp; Sheet1!$A23 &amp;"*")</f>
        <v>0</v>
      </c>
      <c r="AW23" s="37">
        <f>COUNTIFS(Wine1!$AA:$AA,Sheet1!AW$2,Wine1!$E:$E,"*" &amp; Sheet1!$A23 &amp;"*")</f>
        <v>0</v>
      </c>
      <c r="AX23" s="37">
        <f>COUNTIFS(Wine1!$AA:$AA,Sheet1!AX$2,Wine1!$E:$E,"*" &amp; Sheet1!$A23 &amp;"*")</f>
        <v>0</v>
      </c>
      <c r="AY23" s="37">
        <f>COUNTIFS(Wine1!$AA:$AA,Sheet1!AY$2,Wine1!$E:$E,"*" &amp; Sheet1!$A23 &amp;"*")</f>
        <v>0</v>
      </c>
      <c r="AZ23" s="37">
        <f>COUNTIFS(Wine1!$AA:$AA,Sheet1!AZ$2,Wine1!$E:$E,"*" &amp; Sheet1!$A23 &amp;"*")</f>
        <v>0</v>
      </c>
      <c r="BA23" s="37">
        <f>COUNTIFS(Wine1!$AA:$AA,Sheet1!BA$2,Wine1!$E:$E,"*" &amp; Sheet1!$A23 &amp;"*")</f>
        <v>0</v>
      </c>
      <c r="BB23" s="37">
        <f>COUNTIFS(Wine1!$AA:$AA,Sheet1!BB$2,Wine1!$E:$E,"*" &amp; Sheet1!$A23 &amp;"*")</f>
        <v>0</v>
      </c>
      <c r="BC23" s="37">
        <f>COUNTIFS(Wine1!$AA:$AA,Sheet1!BC$2,Wine1!$E:$E,"*" &amp; Sheet1!$A23 &amp;"*")</f>
        <v>0</v>
      </c>
      <c r="BD23" s="37">
        <f>COUNTIFS(Wine1!$AA:$AA,Sheet1!BD$2,Wine1!$E:$E,"*" &amp; Sheet1!$A23 &amp;"*")</f>
        <v>0</v>
      </c>
      <c r="BE23" s="37">
        <f>COUNTIFS(Wine1!$AA:$AA,Sheet1!BE$2,Wine1!$E:$E,"*" &amp; Sheet1!$A23 &amp;"*")</f>
        <v>0</v>
      </c>
      <c r="BF23" s="37">
        <f>COUNTIFS(Wine1!$AA:$AA,Sheet1!BF$2,Wine1!$E:$E,"*" &amp; Sheet1!$A23 &amp;"*")</f>
        <v>0</v>
      </c>
      <c r="BG23" s="37">
        <f>COUNTIFS(Wine1!$AA:$AA,Sheet1!BG$2,Wine1!$E:$E,"*" &amp; Sheet1!$A23 &amp;"*")</f>
        <v>0</v>
      </c>
      <c r="BH23" s="37">
        <f>COUNTIFS(Wine1!$AA:$AA,Sheet1!BH$2,Wine1!$E:$E,"*" &amp; Sheet1!$A23 &amp;"*")</f>
        <v>0</v>
      </c>
      <c r="BI23" s="37">
        <f>COUNTIFS(Wine1!$AA:$AA,Sheet1!BI$2,Wine1!$E:$E,"*" &amp; Sheet1!$A23 &amp;"*")</f>
        <v>0</v>
      </c>
      <c r="BJ23" s="37">
        <f>COUNTIFS(Wine1!$AA:$AA,Sheet1!BJ$2,Wine1!$E:$E,"*" &amp; Sheet1!$A23 &amp;"*")</f>
        <v>0</v>
      </c>
      <c r="BK23" s="37">
        <f>COUNTIFS(Wine1!$AA:$AA,Sheet1!BK$2,Wine1!$E:$E,"*" &amp; Sheet1!$A23 &amp;"*")</f>
        <v>0</v>
      </c>
      <c r="BL23" s="37">
        <f>COUNTIFS(Wine1!$AA:$AA,Sheet1!BL$2,Wine1!$E:$E,"*" &amp; Sheet1!$A23 &amp;"*")</f>
        <v>0</v>
      </c>
    </row>
    <row r="24" spans="1:64" x14ac:dyDescent="0.25">
      <c r="A24" t="s">
        <v>275</v>
      </c>
      <c r="B24" s="97">
        <f>COUNTIFS(Wine1!$AF:$AF,Sheet1!B$2,Wine1!$E:$E,"*" &amp; Sheet1!$A24 &amp;"*")</f>
        <v>5</v>
      </c>
      <c r="C24" s="9">
        <f>COUNTIFS(Wine1!$AF:$AF,Sheet1!C$2,Wine1!$E:$E,"*" &amp; Sheet1!$A24 &amp;"*")</f>
        <v>17</v>
      </c>
      <c r="D24" s="9">
        <f>COUNTIFS(Wine1!$AF:$AF,Sheet1!D$2,Wine1!$E:$E,"*" &amp; Sheet1!$A24 &amp;"*")</f>
        <v>50</v>
      </c>
      <c r="E24" s="9">
        <f>COUNTIFS(Wine1!$AF:$AF,Sheet1!E$2,Wine1!$E:$E,"*" &amp; Sheet1!$A24 &amp;"*")</f>
        <v>13</v>
      </c>
      <c r="F24" s="99">
        <f t="shared" si="0"/>
        <v>85</v>
      </c>
      <c r="G24" s="37">
        <f>COUNTIFS(Wine1!$AA:$AA,Sheet1!G$2,Wine1!$E:$E,"*" &amp; Sheet1!$A24 &amp;"*")</f>
        <v>4</v>
      </c>
      <c r="H24" s="37">
        <f>COUNTIFS(Wine1!$AA:$AA,Sheet1!H$2,Wine1!$E:$E,"*" &amp; Sheet1!$A24 &amp;"*")</f>
        <v>3</v>
      </c>
      <c r="I24" s="37">
        <f>COUNTIFS(Wine1!$AA:$AA,Sheet1!I$2,Wine1!$E:$E,"*" &amp; Sheet1!$A24 &amp;"*")</f>
        <v>5</v>
      </c>
      <c r="J24" s="37">
        <f>COUNTIFS(Wine1!$AA:$AA,Sheet1!J$2,Wine1!$E:$E,"*" &amp; Sheet1!$A24 &amp;"*")</f>
        <v>6</v>
      </c>
      <c r="K24" s="37">
        <f>COUNTIFS(Wine1!$AA:$AA,Sheet1!K$2,Wine1!$E:$E,"*" &amp; Sheet1!$A24 &amp;"*")</f>
        <v>5</v>
      </c>
      <c r="L24" s="37">
        <f>COUNTIFS(Wine1!$AA:$AA,Sheet1!L$2,Wine1!$E:$E,"*" &amp; Sheet1!$A24 &amp;"*")</f>
        <v>6</v>
      </c>
      <c r="M24" s="37">
        <f>COUNTIFS(Wine1!$AA:$AA,Sheet1!M$2,Wine1!$E:$E,"*" &amp; Sheet1!$A24 &amp;"*")</f>
        <v>4</v>
      </c>
      <c r="N24" s="37">
        <f>COUNTIFS(Wine1!$AA:$AA,Sheet1!N$2,Wine1!$E:$E,"*" &amp; Sheet1!$A24 &amp;"*")</f>
        <v>6</v>
      </c>
      <c r="O24" s="37">
        <f>COUNTIFS(Wine1!$AA:$AA,Sheet1!O$2,Wine1!$E:$E,"*" &amp; Sheet1!$A24 &amp;"*")</f>
        <v>8</v>
      </c>
      <c r="P24" s="37">
        <f>COUNTIFS(Wine1!$AA:$AA,Sheet1!P$2,Wine1!$E:$E,"*" &amp; Sheet1!$A24 &amp;"*")</f>
        <v>4</v>
      </c>
      <c r="Q24" s="37">
        <f>COUNTIFS(Wine1!$AA:$AA,Sheet1!Q$2,Wine1!$E:$E,"*" &amp; Sheet1!$A24 &amp;"*")</f>
        <v>5</v>
      </c>
      <c r="R24" s="37">
        <f>COUNTIFS(Wine1!$AA:$AA,Sheet1!R$2,Wine1!$E:$E,"*" &amp; Sheet1!$A24 &amp;"*")</f>
        <v>4</v>
      </c>
      <c r="S24" s="37">
        <f>COUNTIFS(Wine1!$AA:$AA,Sheet1!S$2,Wine1!$E:$E,"*" &amp; Sheet1!$A24 &amp;"*")</f>
        <v>3</v>
      </c>
      <c r="T24" s="37">
        <f>COUNTIFS(Wine1!$AA:$AA,Sheet1!T$2,Wine1!$E:$E,"*" &amp; Sheet1!$A24 &amp;"*")</f>
        <v>3</v>
      </c>
      <c r="U24" s="37">
        <f>COUNTIFS(Wine1!$AA:$AA,Sheet1!U$2,Wine1!$E:$E,"*" &amp; Sheet1!$A24 &amp;"*")</f>
        <v>2</v>
      </c>
      <c r="V24" s="37">
        <f>COUNTIFS(Wine1!$AA:$AA,Sheet1!V$2,Wine1!$E:$E,"*" &amp; Sheet1!$A24 &amp;"*")</f>
        <v>5</v>
      </c>
      <c r="W24" s="37">
        <f>COUNTIFS(Wine1!$AA:$AA,Sheet1!W$2,Wine1!$E:$E,"*" &amp; Sheet1!$A24 &amp;"*")</f>
        <v>3</v>
      </c>
      <c r="X24" s="37">
        <f>COUNTIFS(Wine1!$AA:$AA,Sheet1!X$2,Wine1!$E:$E,"*" &amp; Sheet1!$A24 &amp;"*")</f>
        <v>2</v>
      </c>
      <c r="Y24" s="37">
        <f>COUNTIFS(Wine1!$AA:$AA,Sheet1!Y$2,Wine1!$E:$E,"*" &amp; Sheet1!$A24 &amp;"*")</f>
        <v>1</v>
      </c>
      <c r="Z24" s="37">
        <f>COUNTIFS(Wine1!$AA:$AA,Sheet1!Z$2,Wine1!$E:$E,"*" &amp; Sheet1!$A24 &amp;"*")</f>
        <v>1</v>
      </c>
      <c r="AA24" s="37">
        <f>COUNTIFS(Wine1!$AA:$AA,Sheet1!AA$2,Wine1!$E:$E,"*" &amp; Sheet1!$A24 &amp;"*")</f>
        <v>2</v>
      </c>
      <c r="AB24" s="37">
        <f>COUNTIFS(Wine1!$AA:$AA,Sheet1!AB$2,Wine1!$E:$E,"*" &amp; Sheet1!$A24 &amp;"*")</f>
        <v>1</v>
      </c>
      <c r="AC24" s="37">
        <f>COUNTIFS(Wine1!$AA:$AA,Sheet1!AC$2,Wine1!$E:$E,"*" &amp; Sheet1!$A24 &amp;"*")</f>
        <v>0</v>
      </c>
      <c r="AD24" s="37">
        <f>COUNTIFS(Wine1!$AA:$AA,Sheet1!AD$2,Wine1!$E:$E,"*" &amp; Sheet1!$A24 &amp;"*")</f>
        <v>1</v>
      </c>
      <c r="AE24" s="37">
        <f>COUNTIFS(Wine1!$AA:$AA,Sheet1!AE$2,Wine1!$E:$E,"*" &amp; Sheet1!$A24 &amp;"*")</f>
        <v>0</v>
      </c>
      <c r="AF24" s="37">
        <f>COUNTIFS(Wine1!$AA:$AA,Sheet1!AF$2,Wine1!$E:$E,"*" &amp; Sheet1!$A24 &amp;"*")</f>
        <v>1</v>
      </c>
      <c r="AG24" s="37">
        <f>COUNTIFS(Wine1!$AA:$AA,Sheet1!AG$2,Wine1!$E:$E,"*" &amp; Sheet1!$A24 &amp;"*")</f>
        <v>0</v>
      </c>
      <c r="AH24" s="37">
        <f>COUNTIFS(Wine1!$AA:$AA,Sheet1!AH$2,Wine1!$E:$E,"*" &amp; Sheet1!$A24 &amp;"*")</f>
        <v>0</v>
      </c>
      <c r="AI24" s="37">
        <f>COUNTIFS(Wine1!$AA:$AA,Sheet1!AI$2,Wine1!$E:$E,"*" &amp; Sheet1!$A24 &amp;"*")</f>
        <v>0</v>
      </c>
      <c r="AJ24" s="37">
        <f>COUNTIFS(Wine1!$AA:$AA,Sheet1!AJ$2,Wine1!$E:$E,"*" &amp; Sheet1!$A24 &amp;"*")</f>
        <v>0</v>
      </c>
      <c r="AK24" s="37">
        <f>COUNTIFS(Wine1!$AA:$AA,Sheet1!AK$2,Wine1!$E:$E,"*" &amp; Sheet1!$A24 &amp;"*")</f>
        <v>0</v>
      </c>
      <c r="AL24" s="37">
        <f>COUNTIFS(Wine1!$AA:$AA,Sheet1!AL$2,Wine1!$E:$E,"*" &amp; Sheet1!$A24 &amp;"*")</f>
        <v>0</v>
      </c>
      <c r="AM24" s="37">
        <f>COUNTIFS(Wine1!$AA:$AA,Sheet1!AM$2,Wine1!$E:$E,"*" &amp; Sheet1!$A24 &amp;"*")</f>
        <v>0</v>
      </c>
      <c r="AN24" s="37">
        <f>COUNTIFS(Wine1!$AA:$AA,Sheet1!AN$2,Wine1!$E:$E,"*" &amp; Sheet1!$A24 &amp;"*")</f>
        <v>0</v>
      </c>
      <c r="AO24" s="37">
        <f>COUNTIFS(Wine1!$AA:$AA,Sheet1!AO$2,Wine1!$E:$E,"*" &amp; Sheet1!$A24 &amp;"*")</f>
        <v>0</v>
      </c>
      <c r="AP24" s="37">
        <f>COUNTIFS(Wine1!$AA:$AA,Sheet1!AP$2,Wine1!$E:$E,"*" &amp; Sheet1!$A24 &amp;"*")</f>
        <v>0</v>
      </c>
      <c r="AQ24" s="37">
        <f>COUNTIFS(Wine1!$AA:$AA,Sheet1!AQ$2,Wine1!$E:$E,"*" &amp; Sheet1!$A24 &amp;"*")</f>
        <v>0</v>
      </c>
      <c r="AR24" s="37">
        <f>COUNTIFS(Wine1!$AA:$AA,Sheet1!AR$2,Wine1!$E:$E,"*" &amp; Sheet1!$A24 &amp;"*")</f>
        <v>0</v>
      </c>
      <c r="AS24" s="37">
        <f>COUNTIFS(Wine1!$AA:$AA,Sheet1!AS$2,Wine1!$E:$E,"*" &amp; Sheet1!$A24 &amp;"*")</f>
        <v>0</v>
      </c>
      <c r="AT24" s="37">
        <f>COUNTIFS(Wine1!$AA:$AA,Sheet1!AT$2,Wine1!$E:$E,"*" &amp; Sheet1!$A24 &amp;"*")</f>
        <v>0</v>
      </c>
      <c r="AU24" s="37">
        <f>COUNTIFS(Wine1!$AA:$AA,Sheet1!AU$2,Wine1!$E:$E,"*" &amp; Sheet1!$A24 &amp;"*")</f>
        <v>0</v>
      </c>
      <c r="AV24" s="37">
        <f>COUNTIFS(Wine1!$AA:$AA,Sheet1!AV$2,Wine1!$E:$E,"*" &amp; Sheet1!$A24 &amp;"*")</f>
        <v>0</v>
      </c>
      <c r="AW24" s="37">
        <f>COUNTIFS(Wine1!$AA:$AA,Sheet1!AW$2,Wine1!$E:$E,"*" &amp; Sheet1!$A24 &amp;"*")</f>
        <v>0</v>
      </c>
      <c r="AX24" s="37">
        <f>COUNTIFS(Wine1!$AA:$AA,Sheet1!AX$2,Wine1!$E:$E,"*" &amp; Sheet1!$A24 &amp;"*")</f>
        <v>0</v>
      </c>
      <c r="AY24" s="37">
        <f>COUNTIFS(Wine1!$AA:$AA,Sheet1!AY$2,Wine1!$E:$E,"*" &amp; Sheet1!$A24 &amp;"*")</f>
        <v>0</v>
      </c>
      <c r="AZ24" s="37">
        <f>COUNTIFS(Wine1!$AA:$AA,Sheet1!AZ$2,Wine1!$E:$E,"*" &amp; Sheet1!$A24 &amp;"*")</f>
        <v>0</v>
      </c>
      <c r="BA24" s="37">
        <f>COUNTIFS(Wine1!$AA:$AA,Sheet1!BA$2,Wine1!$E:$E,"*" &amp; Sheet1!$A24 &amp;"*")</f>
        <v>0</v>
      </c>
      <c r="BB24" s="37">
        <f>COUNTIFS(Wine1!$AA:$AA,Sheet1!BB$2,Wine1!$E:$E,"*" &amp; Sheet1!$A24 &amp;"*")</f>
        <v>0</v>
      </c>
      <c r="BC24" s="37">
        <f>COUNTIFS(Wine1!$AA:$AA,Sheet1!BC$2,Wine1!$E:$E,"*" &amp; Sheet1!$A24 &amp;"*")</f>
        <v>0</v>
      </c>
      <c r="BD24" s="37">
        <f>COUNTIFS(Wine1!$AA:$AA,Sheet1!BD$2,Wine1!$E:$E,"*" &amp; Sheet1!$A24 &amp;"*")</f>
        <v>0</v>
      </c>
      <c r="BE24" s="37">
        <f>COUNTIFS(Wine1!$AA:$AA,Sheet1!BE$2,Wine1!$E:$E,"*" &amp; Sheet1!$A24 &amp;"*")</f>
        <v>0</v>
      </c>
      <c r="BF24" s="37">
        <f>COUNTIFS(Wine1!$AA:$AA,Sheet1!BF$2,Wine1!$E:$E,"*" &amp; Sheet1!$A24 &amp;"*")</f>
        <v>0</v>
      </c>
      <c r="BG24" s="37">
        <f>COUNTIFS(Wine1!$AA:$AA,Sheet1!BG$2,Wine1!$E:$E,"*" &amp; Sheet1!$A24 &amp;"*")</f>
        <v>0</v>
      </c>
      <c r="BH24" s="37">
        <f>COUNTIFS(Wine1!$AA:$AA,Sheet1!BH$2,Wine1!$E:$E,"*" &amp; Sheet1!$A24 &amp;"*")</f>
        <v>0</v>
      </c>
      <c r="BI24" s="37">
        <f>COUNTIFS(Wine1!$AA:$AA,Sheet1!BI$2,Wine1!$E:$E,"*" &amp; Sheet1!$A24 &amp;"*")</f>
        <v>0</v>
      </c>
      <c r="BJ24" s="37">
        <f>COUNTIFS(Wine1!$AA:$AA,Sheet1!BJ$2,Wine1!$E:$E,"*" &amp; Sheet1!$A24 &amp;"*")</f>
        <v>0</v>
      </c>
      <c r="BK24" s="37">
        <f>COUNTIFS(Wine1!$AA:$AA,Sheet1!BK$2,Wine1!$E:$E,"*" &amp; Sheet1!$A24 &amp;"*")</f>
        <v>0</v>
      </c>
      <c r="BL24" s="37">
        <f>COUNTIFS(Wine1!$AA:$AA,Sheet1!BL$2,Wine1!$E:$E,"*" &amp; Sheet1!$A24 &amp;"*")</f>
        <v>0</v>
      </c>
    </row>
    <row r="25" spans="1:64" x14ac:dyDescent="0.25">
      <c r="A25" t="s">
        <v>1449</v>
      </c>
      <c r="B25" s="95">
        <f>COUNTIFS(Wine1!$AF:$AF,Sheet1!B$2,Wine1!$E:$E,"*" &amp; Sheet1!$A25 &amp;"*")</f>
        <v>4</v>
      </c>
      <c r="C25" s="9">
        <f>COUNTIFS(Wine1!$AF:$AF,Sheet1!C$2,Wine1!$E:$E,"*" &amp; Sheet1!$A25 &amp;"*")</f>
        <v>5</v>
      </c>
      <c r="D25" s="9">
        <f>COUNTIFS(Wine1!$AF:$AF,Sheet1!D$2,Wine1!$E:$E,"*" &amp; Sheet1!$A25 &amp;"*")</f>
        <v>0</v>
      </c>
      <c r="E25" s="9">
        <f>COUNTIFS(Wine1!$AF:$AF,Sheet1!E$2,Wine1!$E:$E,"*" &amp; Sheet1!$A25 &amp;"*")</f>
        <v>0</v>
      </c>
      <c r="F25" s="43">
        <f t="shared" si="0"/>
        <v>9</v>
      </c>
      <c r="G25" s="37">
        <f>COUNTIFS(Wine1!$AA:$AA,Sheet1!G$2,Wine1!$E:$E,"*" &amp; Sheet1!$A25 &amp;"*")</f>
        <v>1</v>
      </c>
      <c r="H25" s="37">
        <f>COUNTIFS(Wine1!$AA:$AA,Sheet1!H$2,Wine1!$E:$E,"*" &amp; Sheet1!$A25 &amp;"*")</f>
        <v>3</v>
      </c>
      <c r="I25" s="37">
        <f>COUNTIFS(Wine1!$AA:$AA,Sheet1!I$2,Wine1!$E:$E,"*" &amp; Sheet1!$A25 &amp;"*")</f>
        <v>1</v>
      </c>
      <c r="J25" s="37">
        <f>COUNTIFS(Wine1!$AA:$AA,Sheet1!J$2,Wine1!$E:$E,"*" &amp; Sheet1!$A25 &amp;"*")</f>
        <v>0</v>
      </c>
      <c r="K25" s="37">
        <f>COUNTIFS(Wine1!$AA:$AA,Sheet1!K$2,Wine1!$E:$E,"*" &amp; Sheet1!$A25 &amp;"*")</f>
        <v>1</v>
      </c>
      <c r="L25" s="37">
        <f>COUNTIFS(Wine1!$AA:$AA,Sheet1!L$2,Wine1!$E:$E,"*" &amp; Sheet1!$A25 &amp;"*")</f>
        <v>0</v>
      </c>
      <c r="M25" s="37">
        <f>COUNTIFS(Wine1!$AA:$AA,Sheet1!M$2,Wine1!$E:$E,"*" &amp; Sheet1!$A25 &amp;"*")</f>
        <v>1</v>
      </c>
      <c r="N25" s="37">
        <f>COUNTIFS(Wine1!$AA:$AA,Sheet1!N$2,Wine1!$E:$E,"*" &amp; Sheet1!$A25 &amp;"*")</f>
        <v>0</v>
      </c>
      <c r="O25" s="37">
        <f>COUNTIFS(Wine1!$AA:$AA,Sheet1!O$2,Wine1!$E:$E,"*" &amp; Sheet1!$A25 &amp;"*")</f>
        <v>1</v>
      </c>
      <c r="P25" s="37">
        <f>COUNTIFS(Wine1!$AA:$AA,Sheet1!P$2,Wine1!$E:$E,"*" &amp; Sheet1!$A25 &amp;"*")</f>
        <v>0</v>
      </c>
      <c r="Q25" s="37">
        <f>COUNTIFS(Wine1!$AA:$AA,Sheet1!Q$2,Wine1!$E:$E,"*" &amp; Sheet1!$A25 &amp;"*")</f>
        <v>1</v>
      </c>
      <c r="R25" s="37">
        <f>COUNTIFS(Wine1!$AA:$AA,Sheet1!R$2,Wine1!$E:$E,"*" &amp; Sheet1!$A25 &amp;"*")</f>
        <v>0</v>
      </c>
      <c r="S25" s="37">
        <f>COUNTIFS(Wine1!$AA:$AA,Sheet1!S$2,Wine1!$E:$E,"*" &amp; Sheet1!$A25 &amp;"*")</f>
        <v>0</v>
      </c>
      <c r="T25" s="37">
        <f>COUNTIFS(Wine1!$AA:$AA,Sheet1!T$2,Wine1!$E:$E,"*" &amp; Sheet1!$A25 &amp;"*")</f>
        <v>0</v>
      </c>
      <c r="U25" s="37">
        <f>COUNTIFS(Wine1!$AA:$AA,Sheet1!U$2,Wine1!$E:$E,"*" &amp; Sheet1!$A25 &amp;"*")</f>
        <v>0</v>
      </c>
      <c r="V25" s="37">
        <f>COUNTIFS(Wine1!$AA:$AA,Sheet1!V$2,Wine1!$E:$E,"*" &amp; Sheet1!$A25 &amp;"*")</f>
        <v>0</v>
      </c>
      <c r="W25" s="37">
        <f>COUNTIFS(Wine1!$AA:$AA,Sheet1!W$2,Wine1!$E:$E,"*" &amp; Sheet1!$A25 &amp;"*")</f>
        <v>0</v>
      </c>
      <c r="X25" s="37">
        <f>COUNTIFS(Wine1!$AA:$AA,Sheet1!X$2,Wine1!$E:$E,"*" &amp; Sheet1!$A25 &amp;"*")</f>
        <v>0</v>
      </c>
      <c r="Y25" s="37">
        <f>COUNTIFS(Wine1!$AA:$AA,Sheet1!Y$2,Wine1!$E:$E,"*" &amp; Sheet1!$A25 &amp;"*")</f>
        <v>0</v>
      </c>
      <c r="Z25" s="37">
        <f>COUNTIFS(Wine1!$AA:$AA,Sheet1!Z$2,Wine1!$E:$E,"*" &amp; Sheet1!$A25 &amp;"*")</f>
        <v>0</v>
      </c>
      <c r="AA25" s="37">
        <f>COUNTIFS(Wine1!$AA:$AA,Sheet1!AA$2,Wine1!$E:$E,"*" &amp; Sheet1!$A25 &amp;"*")</f>
        <v>0</v>
      </c>
      <c r="AB25" s="37">
        <f>COUNTIFS(Wine1!$AA:$AA,Sheet1!AB$2,Wine1!$E:$E,"*" &amp; Sheet1!$A25 &amp;"*")</f>
        <v>0</v>
      </c>
      <c r="AC25" s="37">
        <f>COUNTIFS(Wine1!$AA:$AA,Sheet1!AC$2,Wine1!$E:$E,"*" &amp; Sheet1!$A25 &amp;"*")</f>
        <v>0</v>
      </c>
      <c r="AD25" s="37">
        <f>COUNTIFS(Wine1!$AA:$AA,Sheet1!AD$2,Wine1!$E:$E,"*" &amp; Sheet1!$A25 &amp;"*")</f>
        <v>0</v>
      </c>
      <c r="AE25" s="37">
        <f>COUNTIFS(Wine1!$AA:$AA,Sheet1!AE$2,Wine1!$E:$E,"*" &amp; Sheet1!$A25 &amp;"*")</f>
        <v>0</v>
      </c>
      <c r="AF25" s="37">
        <f>COUNTIFS(Wine1!$AA:$AA,Sheet1!AF$2,Wine1!$E:$E,"*" &amp; Sheet1!$A25 &amp;"*")</f>
        <v>0</v>
      </c>
      <c r="AG25" s="37">
        <f>COUNTIFS(Wine1!$AA:$AA,Sheet1!AG$2,Wine1!$E:$E,"*" &amp; Sheet1!$A25 &amp;"*")</f>
        <v>0</v>
      </c>
      <c r="AH25" s="37">
        <f>COUNTIFS(Wine1!$AA:$AA,Sheet1!AH$2,Wine1!$E:$E,"*" &amp; Sheet1!$A25 &amp;"*")</f>
        <v>0</v>
      </c>
      <c r="AI25" s="37">
        <f>COUNTIFS(Wine1!$AA:$AA,Sheet1!AI$2,Wine1!$E:$E,"*" &amp; Sheet1!$A25 &amp;"*")</f>
        <v>0</v>
      </c>
      <c r="AJ25" s="37">
        <f>COUNTIFS(Wine1!$AA:$AA,Sheet1!AJ$2,Wine1!$E:$E,"*" &amp; Sheet1!$A25 &amp;"*")</f>
        <v>0</v>
      </c>
      <c r="AK25" s="37">
        <f>COUNTIFS(Wine1!$AA:$AA,Sheet1!AK$2,Wine1!$E:$E,"*" &amp; Sheet1!$A25 &amp;"*")</f>
        <v>0</v>
      </c>
      <c r="AL25" s="37">
        <f>COUNTIFS(Wine1!$AA:$AA,Sheet1!AL$2,Wine1!$E:$E,"*" &amp; Sheet1!$A25 &amp;"*")</f>
        <v>0</v>
      </c>
      <c r="AM25" s="37">
        <f>COUNTIFS(Wine1!$AA:$AA,Sheet1!AM$2,Wine1!$E:$E,"*" &amp; Sheet1!$A25 &amp;"*")</f>
        <v>0</v>
      </c>
      <c r="AN25" s="37">
        <f>COUNTIFS(Wine1!$AA:$AA,Sheet1!AN$2,Wine1!$E:$E,"*" &amp; Sheet1!$A25 &amp;"*")</f>
        <v>0</v>
      </c>
      <c r="AO25" s="37">
        <f>COUNTIFS(Wine1!$AA:$AA,Sheet1!AO$2,Wine1!$E:$E,"*" &amp; Sheet1!$A25 &amp;"*")</f>
        <v>0</v>
      </c>
      <c r="AP25" s="37">
        <f>COUNTIFS(Wine1!$AA:$AA,Sheet1!AP$2,Wine1!$E:$E,"*" &amp; Sheet1!$A25 &amp;"*")</f>
        <v>0</v>
      </c>
      <c r="AQ25" s="37">
        <f>COUNTIFS(Wine1!$AA:$AA,Sheet1!AQ$2,Wine1!$E:$E,"*" &amp; Sheet1!$A25 &amp;"*")</f>
        <v>0</v>
      </c>
      <c r="AR25" s="37">
        <f>COUNTIFS(Wine1!$AA:$AA,Sheet1!AR$2,Wine1!$E:$E,"*" &amp; Sheet1!$A25 &amp;"*")</f>
        <v>0</v>
      </c>
      <c r="AS25" s="37">
        <f>COUNTIFS(Wine1!$AA:$AA,Sheet1!AS$2,Wine1!$E:$E,"*" &amp; Sheet1!$A25 &amp;"*")</f>
        <v>0</v>
      </c>
      <c r="AT25" s="37">
        <f>COUNTIFS(Wine1!$AA:$AA,Sheet1!AT$2,Wine1!$E:$E,"*" &amp; Sheet1!$A25 &amp;"*")</f>
        <v>0</v>
      </c>
      <c r="AU25" s="37">
        <f>COUNTIFS(Wine1!$AA:$AA,Sheet1!AU$2,Wine1!$E:$E,"*" &amp; Sheet1!$A25 &amp;"*")</f>
        <v>0</v>
      </c>
      <c r="AV25" s="37">
        <f>COUNTIFS(Wine1!$AA:$AA,Sheet1!AV$2,Wine1!$E:$E,"*" &amp; Sheet1!$A25 &amp;"*")</f>
        <v>0</v>
      </c>
      <c r="AW25" s="37">
        <f>COUNTIFS(Wine1!$AA:$AA,Sheet1!AW$2,Wine1!$E:$E,"*" &amp; Sheet1!$A25 &amp;"*")</f>
        <v>0</v>
      </c>
      <c r="AX25" s="37">
        <f>COUNTIFS(Wine1!$AA:$AA,Sheet1!AX$2,Wine1!$E:$E,"*" &amp; Sheet1!$A25 &amp;"*")</f>
        <v>0</v>
      </c>
      <c r="AY25" s="37">
        <f>COUNTIFS(Wine1!$AA:$AA,Sheet1!AY$2,Wine1!$E:$E,"*" &amp; Sheet1!$A25 &amp;"*")</f>
        <v>0</v>
      </c>
      <c r="AZ25" s="37">
        <f>COUNTIFS(Wine1!$AA:$AA,Sheet1!AZ$2,Wine1!$E:$E,"*" &amp; Sheet1!$A25 &amp;"*")</f>
        <v>0</v>
      </c>
      <c r="BA25" s="37">
        <f>COUNTIFS(Wine1!$AA:$AA,Sheet1!BA$2,Wine1!$E:$E,"*" &amp; Sheet1!$A25 &amp;"*")</f>
        <v>0</v>
      </c>
      <c r="BB25" s="37">
        <f>COUNTIFS(Wine1!$AA:$AA,Sheet1!BB$2,Wine1!$E:$E,"*" &amp; Sheet1!$A25 &amp;"*")</f>
        <v>0</v>
      </c>
      <c r="BC25" s="37">
        <f>COUNTIFS(Wine1!$AA:$AA,Sheet1!BC$2,Wine1!$E:$E,"*" &amp; Sheet1!$A25 &amp;"*")</f>
        <v>0</v>
      </c>
      <c r="BD25" s="37">
        <f>COUNTIFS(Wine1!$AA:$AA,Sheet1!BD$2,Wine1!$E:$E,"*" &amp; Sheet1!$A25 &amp;"*")</f>
        <v>0</v>
      </c>
      <c r="BE25" s="37">
        <f>COUNTIFS(Wine1!$AA:$AA,Sheet1!BE$2,Wine1!$E:$E,"*" &amp; Sheet1!$A25 &amp;"*")</f>
        <v>0</v>
      </c>
      <c r="BF25" s="37">
        <f>COUNTIFS(Wine1!$AA:$AA,Sheet1!BF$2,Wine1!$E:$E,"*" &amp; Sheet1!$A25 &amp;"*")</f>
        <v>0</v>
      </c>
      <c r="BG25" s="37">
        <f>COUNTIFS(Wine1!$AA:$AA,Sheet1!BG$2,Wine1!$E:$E,"*" &amp; Sheet1!$A25 &amp;"*")</f>
        <v>0</v>
      </c>
      <c r="BH25" s="37">
        <f>COUNTIFS(Wine1!$AA:$AA,Sheet1!BH$2,Wine1!$E:$E,"*" &amp; Sheet1!$A25 &amp;"*")</f>
        <v>0</v>
      </c>
      <c r="BI25" s="37">
        <f>COUNTIFS(Wine1!$AA:$AA,Sheet1!BI$2,Wine1!$E:$E,"*" &amp; Sheet1!$A25 &amp;"*")</f>
        <v>0</v>
      </c>
      <c r="BJ25" s="37">
        <f>COUNTIFS(Wine1!$AA:$AA,Sheet1!BJ$2,Wine1!$E:$E,"*" &amp; Sheet1!$A25 &amp;"*")</f>
        <v>0</v>
      </c>
      <c r="BK25" s="37">
        <f>COUNTIFS(Wine1!$AA:$AA,Sheet1!BK$2,Wine1!$E:$E,"*" &amp; Sheet1!$A25 &amp;"*")</f>
        <v>0</v>
      </c>
      <c r="BL25" s="37">
        <f>COUNTIFS(Wine1!$AA:$AA,Sheet1!BL$2,Wine1!$E:$E,"*" &amp; Sheet1!$A25 &amp;"*")</f>
        <v>0</v>
      </c>
    </row>
    <row r="26" spans="1:64" x14ac:dyDescent="0.25">
      <c r="A26" t="s">
        <v>1226</v>
      </c>
      <c r="B26" s="95">
        <f>COUNTIFS(Wine1!$AF:$AF,Sheet1!B$2,Wine1!$E:$E,"*" &amp; Sheet1!$A26 &amp;"*")</f>
        <v>40</v>
      </c>
      <c r="C26" s="9">
        <f>COUNTIFS(Wine1!$AF:$AF,Sheet1!C$2,Wine1!$E:$E,"*" &amp; Sheet1!$A26 &amp;"*")</f>
        <v>53</v>
      </c>
      <c r="D26" s="9">
        <f>COUNTIFS(Wine1!$AF:$AF,Sheet1!D$2,Wine1!$E:$E,"*" &amp; Sheet1!$A26 &amp;"*")</f>
        <v>22</v>
      </c>
      <c r="E26" s="96">
        <f>COUNTIFS(Wine1!$AF:$AF,Sheet1!E$2,Wine1!$E:$E,"*" &amp; Sheet1!$A26 &amp;"*")</f>
        <v>0</v>
      </c>
      <c r="F26" s="99">
        <f t="shared" si="0"/>
        <v>115</v>
      </c>
      <c r="G26" s="37">
        <f>COUNTIFS(Wine1!$AA:$AA,Sheet1!G$2,Wine1!$E:$E,"*" &amp; Sheet1!$A26 &amp;"*")</f>
        <v>6</v>
      </c>
      <c r="H26" s="37">
        <f>COUNTIFS(Wine1!$AA:$AA,Sheet1!H$2,Wine1!$E:$E,"*" &amp; Sheet1!$A26 &amp;"*")</f>
        <v>19</v>
      </c>
      <c r="I26" s="37">
        <f>COUNTIFS(Wine1!$AA:$AA,Sheet1!I$2,Wine1!$E:$E,"*" &amp; Sheet1!$A26 &amp;"*")</f>
        <v>19</v>
      </c>
      <c r="J26" s="37">
        <f>COUNTIFS(Wine1!$AA:$AA,Sheet1!J$2,Wine1!$E:$E,"*" &amp; Sheet1!$A26 &amp;"*")</f>
        <v>14</v>
      </c>
      <c r="K26" s="37">
        <f>COUNTIFS(Wine1!$AA:$AA,Sheet1!K$2,Wine1!$E:$E,"*" &amp; Sheet1!$A26 &amp;"*")</f>
        <v>15</v>
      </c>
      <c r="L26" s="37">
        <f>COUNTIFS(Wine1!$AA:$AA,Sheet1!L$2,Wine1!$E:$E,"*" &amp; Sheet1!$A26 &amp;"*")</f>
        <v>9</v>
      </c>
      <c r="M26" s="37">
        <f>COUNTIFS(Wine1!$AA:$AA,Sheet1!M$2,Wine1!$E:$E,"*" &amp; Sheet1!$A26 &amp;"*")</f>
        <v>6</v>
      </c>
      <c r="N26" s="37">
        <f>COUNTIFS(Wine1!$AA:$AA,Sheet1!N$2,Wine1!$E:$E,"*" &amp; Sheet1!$A26 &amp;"*")</f>
        <v>7</v>
      </c>
      <c r="O26" s="37">
        <f>COUNTIFS(Wine1!$AA:$AA,Sheet1!O$2,Wine1!$E:$E,"*" &amp; Sheet1!$A26 &amp;"*")</f>
        <v>6</v>
      </c>
      <c r="P26" s="37">
        <f>COUNTIFS(Wine1!$AA:$AA,Sheet1!P$2,Wine1!$E:$E,"*" &amp; Sheet1!$A26 &amp;"*")</f>
        <v>5</v>
      </c>
      <c r="Q26" s="37">
        <f>COUNTIFS(Wine1!$AA:$AA,Sheet1!Q$2,Wine1!$E:$E,"*" &amp; Sheet1!$A26 &amp;"*")</f>
        <v>5</v>
      </c>
      <c r="R26" s="37">
        <f>COUNTIFS(Wine1!$AA:$AA,Sheet1!R$2,Wine1!$E:$E,"*" &amp; Sheet1!$A26 &amp;"*")</f>
        <v>1</v>
      </c>
      <c r="S26" s="37">
        <f>COUNTIFS(Wine1!$AA:$AA,Sheet1!S$2,Wine1!$E:$E,"*" &amp; Sheet1!$A26 &amp;"*")</f>
        <v>0</v>
      </c>
      <c r="T26" s="37">
        <f>COUNTIFS(Wine1!$AA:$AA,Sheet1!T$2,Wine1!$E:$E,"*" &amp; Sheet1!$A26 &amp;"*")</f>
        <v>1</v>
      </c>
      <c r="U26" s="37">
        <f>COUNTIFS(Wine1!$AA:$AA,Sheet1!U$2,Wine1!$E:$E,"*" &amp; Sheet1!$A26 &amp;"*")</f>
        <v>1</v>
      </c>
      <c r="V26" s="37">
        <f>COUNTIFS(Wine1!$AA:$AA,Sheet1!V$2,Wine1!$E:$E,"*" &amp; Sheet1!$A26 &amp;"*")</f>
        <v>0</v>
      </c>
      <c r="W26" s="37">
        <f>COUNTIFS(Wine1!$AA:$AA,Sheet1!W$2,Wine1!$E:$E,"*" &amp; Sheet1!$A26 &amp;"*")</f>
        <v>0</v>
      </c>
      <c r="X26" s="37">
        <f>COUNTIFS(Wine1!$AA:$AA,Sheet1!X$2,Wine1!$E:$E,"*" &amp; Sheet1!$A26 &amp;"*")</f>
        <v>0</v>
      </c>
      <c r="Y26" s="37">
        <f>COUNTIFS(Wine1!$AA:$AA,Sheet1!Y$2,Wine1!$E:$E,"*" &amp; Sheet1!$A26 &amp;"*")</f>
        <v>0</v>
      </c>
      <c r="Z26" s="37">
        <f>COUNTIFS(Wine1!$AA:$AA,Sheet1!Z$2,Wine1!$E:$E,"*" &amp; Sheet1!$A26 &amp;"*")</f>
        <v>1</v>
      </c>
      <c r="AA26" s="37">
        <f>COUNTIFS(Wine1!$AA:$AA,Sheet1!AA$2,Wine1!$E:$E,"*" &amp; Sheet1!$A26 &amp;"*")</f>
        <v>0</v>
      </c>
      <c r="AB26" s="37">
        <f>COUNTIFS(Wine1!$AA:$AA,Sheet1!AB$2,Wine1!$E:$E,"*" &amp; Sheet1!$A26 &amp;"*")</f>
        <v>0</v>
      </c>
      <c r="AC26" s="37">
        <f>COUNTIFS(Wine1!$AA:$AA,Sheet1!AC$2,Wine1!$E:$E,"*" &amp; Sheet1!$A26 &amp;"*")</f>
        <v>0</v>
      </c>
      <c r="AD26" s="37">
        <f>COUNTIFS(Wine1!$AA:$AA,Sheet1!AD$2,Wine1!$E:$E,"*" &amp; Sheet1!$A26 &amp;"*")</f>
        <v>0</v>
      </c>
      <c r="AE26" s="37">
        <f>COUNTIFS(Wine1!$AA:$AA,Sheet1!AE$2,Wine1!$E:$E,"*" &amp; Sheet1!$A26 &amp;"*")</f>
        <v>0</v>
      </c>
      <c r="AF26" s="37">
        <f>COUNTIFS(Wine1!$AA:$AA,Sheet1!AF$2,Wine1!$E:$E,"*" &amp; Sheet1!$A26 &amp;"*")</f>
        <v>0</v>
      </c>
      <c r="AG26" s="37">
        <f>COUNTIFS(Wine1!$AA:$AA,Sheet1!AG$2,Wine1!$E:$E,"*" &amp; Sheet1!$A26 &amp;"*")</f>
        <v>0</v>
      </c>
      <c r="AH26" s="37">
        <f>COUNTIFS(Wine1!$AA:$AA,Sheet1!AH$2,Wine1!$E:$E,"*" &amp; Sheet1!$A26 &amp;"*")</f>
        <v>0</v>
      </c>
      <c r="AI26" s="37">
        <f>COUNTIFS(Wine1!$AA:$AA,Sheet1!AI$2,Wine1!$E:$E,"*" &amp; Sheet1!$A26 &amp;"*")</f>
        <v>0</v>
      </c>
      <c r="AJ26" s="37">
        <f>COUNTIFS(Wine1!$AA:$AA,Sheet1!AJ$2,Wine1!$E:$E,"*" &amp; Sheet1!$A26 &amp;"*")</f>
        <v>0</v>
      </c>
      <c r="AK26" s="37">
        <f>COUNTIFS(Wine1!$AA:$AA,Sheet1!AK$2,Wine1!$E:$E,"*" &amp; Sheet1!$A26 &amp;"*")</f>
        <v>0</v>
      </c>
      <c r="AL26" s="37">
        <f>COUNTIFS(Wine1!$AA:$AA,Sheet1!AL$2,Wine1!$E:$E,"*" &amp; Sheet1!$A26 &amp;"*")</f>
        <v>0</v>
      </c>
      <c r="AM26" s="37">
        <f>COUNTIFS(Wine1!$AA:$AA,Sheet1!AM$2,Wine1!$E:$E,"*" &amp; Sheet1!$A26 &amp;"*")</f>
        <v>0</v>
      </c>
      <c r="AN26" s="37">
        <f>COUNTIFS(Wine1!$AA:$AA,Sheet1!AN$2,Wine1!$E:$E,"*" &amp; Sheet1!$A26 &amp;"*")</f>
        <v>0</v>
      </c>
      <c r="AO26" s="37">
        <f>COUNTIFS(Wine1!$AA:$AA,Sheet1!AO$2,Wine1!$E:$E,"*" &amp; Sheet1!$A26 &amp;"*")</f>
        <v>0</v>
      </c>
      <c r="AP26" s="37">
        <f>COUNTIFS(Wine1!$AA:$AA,Sheet1!AP$2,Wine1!$E:$E,"*" &amp; Sheet1!$A26 &amp;"*")</f>
        <v>0</v>
      </c>
      <c r="AQ26" s="37">
        <f>COUNTIFS(Wine1!$AA:$AA,Sheet1!AQ$2,Wine1!$E:$E,"*" &amp; Sheet1!$A26 &amp;"*")</f>
        <v>0</v>
      </c>
      <c r="AR26" s="37">
        <f>COUNTIFS(Wine1!$AA:$AA,Sheet1!AR$2,Wine1!$E:$E,"*" &amp; Sheet1!$A26 &amp;"*")</f>
        <v>0</v>
      </c>
      <c r="AS26" s="37">
        <f>COUNTIFS(Wine1!$AA:$AA,Sheet1!AS$2,Wine1!$E:$E,"*" &amp; Sheet1!$A26 &amp;"*")</f>
        <v>0</v>
      </c>
      <c r="AT26" s="37">
        <f>COUNTIFS(Wine1!$AA:$AA,Sheet1!AT$2,Wine1!$E:$E,"*" &amp; Sheet1!$A26 &amp;"*")</f>
        <v>0</v>
      </c>
      <c r="AU26" s="37">
        <f>COUNTIFS(Wine1!$AA:$AA,Sheet1!AU$2,Wine1!$E:$E,"*" &amp; Sheet1!$A26 &amp;"*")</f>
        <v>0</v>
      </c>
      <c r="AV26" s="37">
        <f>COUNTIFS(Wine1!$AA:$AA,Sheet1!AV$2,Wine1!$E:$E,"*" &amp; Sheet1!$A26 &amp;"*")</f>
        <v>0</v>
      </c>
      <c r="AW26" s="37">
        <f>COUNTIFS(Wine1!$AA:$AA,Sheet1!AW$2,Wine1!$E:$E,"*" &amp; Sheet1!$A26 &amp;"*")</f>
        <v>0</v>
      </c>
      <c r="AX26" s="37">
        <f>COUNTIFS(Wine1!$AA:$AA,Sheet1!AX$2,Wine1!$E:$E,"*" &amp; Sheet1!$A26 &amp;"*")</f>
        <v>0</v>
      </c>
      <c r="AY26" s="37">
        <f>COUNTIFS(Wine1!$AA:$AA,Sheet1!AY$2,Wine1!$E:$E,"*" &amp; Sheet1!$A26 &amp;"*")</f>
        <v>0</v>
      </c>
      <c r="AZ26" s="37">
        <f>COUNTIFS(Wine1!$AA:$AA,Sheet1!AZ$2,Wine1!$E:$E,"*" &amp; Sheet1!$A26 &amp;"*")</f>
        <v>0</v>
      </c>
      <c r="BA26" s="37">
        <f>COUNTIFS(Wine1!$AA:$AA,Sheet1!BA$2,Wine1!$E:$E,"*" &amp; Sheet1!$A26 &amp;"*")</f>
        <v>0</v>
      </c>
      <c r="BB26" s="37">
        <f>COUNTIFS(Wine1!$AA:$AA,Sheet1!BB$2,Wine1!$E:$E,"*" &amp; Sheet1!$A26 &amp;"*")</f>
        <v>0</v>
      </c>
      <c r="BC26" s="37">
        <f>COUNTIFS(Wine1!$AA:$AA,Sheet1!BC$2,Wine1!$E:$E,"*" &amp; Sheet1!$A26 &amp;"*")</f>
        <v>0</v>
      </c>
      <c r="BD26" s="37">
        <f>COUNTIFS(Wine1!$AA:$AA,Sheet1!BD$2,Wine1!$E:$E,"*" &amp; Sheet1!$A26 &amp;"*")</f>
        <v>0</v>
      </c>
      <c r="BE26" s="37">
        <f>COUNTIFS(Wine1!$AA:$AA,Sheet1!BE$2,Wine1!$E:$E,"*" &amp; Sheet1!$A26 &amp;"*")</f>
        <v>0</v>
      </c>
      <c r="BF26" s="37">
        <f>COUNTIFS(Wine1!$AA:$AA,Sheet1!BF$2,Wine1!$E:$E,"*" &amp; Sheet1!$A26 &amp;"*")</f>
        <v>0</v>
      </c>
      <c r="BG26" s="37">
        <f>COUNTIFS(Wine1!$AA:$AA,Sheet1!BG$2,Wine1!$E:$E,"*" &amp; Sheet1!$A26 &amp;"*")</f>
        <v>0</v>
      </c>
      <c r="BH26" s="37">
        <f>COUNTIFS(Wine1!$AA:$AA,Sheet1!BH$2,Wine1!$E:$E,"*" &amp; Sheet1!$A26 &amp;"*")</f>
        <v>0</v>
      </c>
      <c r="BI26" s="37">
        <f>COUNTIFS(Wine1!$AA:$AA,Sheet1!BI$2,Wine1!$E:$E,"*" &amp; Sheet1!$A26 &amp;"*")</f>
        <v>0</v>
      </c>
      <c r="BJ26" s="37">
        <f>COUNTIFS(Wine1!$AA:$AA,Sheet1!BJ$2,Wine1!$E:$E,"*" &amp; Sheet1!$A26 &amp;"*")</f>
        <v>0</v>
      </c>
      <c r="BK26" s="37">
        <f>COUNTIFS(Wine1!$AA:$AA,Sheet1!BK$2,Wine1!$E:$E,"*" &amp; Sheet1!$A26 &amp;"*")</f>
        <v>0</v>
      </c>
      <c r="BL26" s="37">
        <f>COUNTIFS(Wine1!$AA:$AA,Sheet1!BL$2,Wine1!$E:$E,"*" &amp; Sheet1!$A26 &amp;"*")</f>
        <v>0</v>
      </c>
    </row>
    <row r="27" spans="1:64" x14ac:dyDescent="0.25">
      <c r="A27" t="s">
        <v>1446</v>
      </c>
      <c r="B27" s="95">
        <f>COUNTIFS(Wine1!$AF:$AF,Sheet1!B$2,Wine1!$E:$E,"*" &amp; Sheet1!$A27 &amp;"*")</f>
        <v>0</v>
      </c>
      <c r="C27" s="9">
        <f>COUNTIFS(Wine1!$AF:$AF,Sheet1!C$2,Wine1!$E:$E,"*" &amp; Sheet1!$A27 &amp;"*")</f>
        <v>1</v>
      </c>
      <c r="D27" s="9">
        <f>COUNTIFS(Wine1!$AF:$AF,Sheet1!D$2,Wine1!$E:$E,"*" &amp; Sheet1!$A27 &amp;"*")</f>
        <v>0</v>
      </c>
      <c r="E27" s="9">
        <f>COUNTIFS(Wine1!$AF:$AF,Sheet1!E$2,Wine1!$E:$E,"*" &amp; Sheet1!$A27 &amp;"*")</f>
        <v>0</v>
      </c>
      <c r="F27" s="43">
        <f t="shared" si="0"/>
        <v>1</v>
      </c>
      <c r="G27" s="37">
        <f>COUNTIFS(Wine1!$AA:$AA,Sheet1!G$2,Wine1!$E:$E,"*" &amp; Sheet1!$A27 &amp;"*")</f>
        <v>1</v>
      </c>
      <c r="H27" s="37">
        <f>COUNTIFS(Wine1!$AA:$AA,Sheet1!H$2,Wine1!$E:$E,"*" &amp; Sheet1!$A27 &amp;"*")</f>
        <v>0</v>
      </c>
      <c r="I27" s="37">
        <f>COUNTIFS(Wine1!$AA:$AA,Sheet1!I$2,Wine1!$E:$E,"*" &amp; Sheet1!$A27 &amp;"*")</f>
        <v>0</v>
      </c>
      <c r="J27" s="37">
        <f>COUNTIFS(Wine1!$AA:$AA,Sheet1!J$2,Wine1!$E:$E,"*" &amp; Sheet1!$A27 &amp;"*")</f>
        <v>0</v>
      </c>
      <c r="K27" s="37">
        <f>COUNTIFS(Wine1!$AA:$AA,Sheet1!K$2,Wine1!$E:$E,"*" &amp; Sheet1!$A27 &amp;"*")</f>
        <v>0</v>
      </c>
      <c r="L27" s="37">
        <f>COUNTIFS(Wine1!$AA:$AA,Sheet1!L$2,Wine1!$E:$E,"*" &amp; Sheet1!$A27 &amp;"*")</f>
        <v>0</v>
      </c>
      <c r="M27" s="37">
        <f>COUNTIFS(Wine1!$AA:$AA,Sheet1!M$2,Wine1!$E:$E,"*" &amp; Sheet1!$A27 &amp;"*")</f>
        <v>0</v>
      </c>
      <c r="N27" s="37">
        <f>COUNTIFS(Wine1!$AA:$AA,Sheet1!N$2,Wine1!$E:$E,"*" &amp; Sheet1!$A27 &amp;"*")</f>
        <v>0</v>
      </c>
      <c r="O27" s="37">
        <f>COUNTIFS(Wine1!$AA:$AA,Sheet1!O$2,Wine1!$E:$E,"*" &amp; Sheet1!$A27 &amp;"*")</f>
        <v>0</v>
      </c>
      <c r="P27" s="37">
        <f>COUNTIFS(Wine1!$AA:$AA,Sheet1!P$2,Wine1!$E:$E,"*" &amp; Sheet1!$A27 &amp;"*")</f>
        <v>0</v>
      </c>
      <c r="Q27" s="37">
        <f>COUNTIFS(Wine1!$AA:$AA,Sheet1!Q$2,Wine1!$E:$E,"*" &amp; Sheet1!$A27 &amp;"*")</f>
        <v>0</v>
      </c>
      <c r="R27" s="37">
        <f>COUNTIFS(Wine1!$AA:$AA,Sheet1!R$2,Wine1!$E:$E,"*" &amp; Sheet1!$A27 &amp;"*")</f>
        <v>0</v>
      </c>
      <c r="S27" s="37">
        <f>COUNTIFS(Wine1!$AA:$AA,Sheet1!S$2,Wine1!$E:$E,"*" &amp; Sheet1!$A27 &amp;"*")</f>
        <v>0</v>
      </c>
      <c r="T27" s="37">
        <f>COUNTIFS(Wine1!$AA:$AA,Sheet1!T$2,Wine1!$E:$E,"*" &amp; Sheet1!$A27 &amp;"*")</f>
        <v>0</v>
      </c>
      <c r="U27" s="37">
        <f>COUNTIFS(Wine1!$AA:$AA,Sheet1!U$2,Wine1!$E:$E,"*" &amp; Sheet1!$A27 &amp;"*")</f>
        <v>0</v>
      </c>
      <c r="V27" s="37">
        <f>COUNTIFS(Wine1!$AA:$AA,Sheet1!V$2,Wine1!$E:$E,"*" &amp; Sheet1!$A27 &amp;"*")</f>
        <v>0</v>
      </c>
      <c r="W27" s="37">
        <f>COUNTIFS(Wine1!$AA:$AA,Sheet1!W$2,Wine1!$E:$E,"*" &amp; Sheet1!$A27 &amp;"*")</f>
        <v>0</v>
      </c>
      <c r="X27" s="37">
        <f>COUNTIFS(Wine1!$AA:$AA,Sheet1!X$2,Wine1!$E:$E,"*" &amp; Sheet1!$A27 &amp;"*")</f>
        <v>0</v>
      </c>
      <c r="Y27" s="37">
        <f>COUNTIFS(Wine1!$AA:$AA,Sheet1!Y$2,Wine1!$E:$E,"*" &amp; Sheet1!$A27 &amp;"*")</f>
        <v>0</v>
      </c>
      <c r="Z27" s="37">
        <f>COUNTIFS(Wine1!$AA:$AA,Sheet1!Z$2,Wine1!$E:$E,"*" &amp; Sheet1!$A27 &amp;"*")</f>
        <v>0</v>
      </c>
      <c r="AA27" s="37">
        <f>COUNTIFS(Wine1!$AA:$AA,Sheet1!AA$2,Wine1!$E:$E,"*" &amp; Sheet1!$A27 &amp;"*")</f>
        <v>0</v>
      </c>
      <c r="AB27" s="37">
        <f>COUNTIFS(Wine1!$AA:$AA,Sheet1!AB$2,Wine1!$E:$E,"*" &amp; Sheet1!$A27 &amp;"*")</f>
        <v>0</v>
      </c>
      <c r="AC27" s="37">
        <f>COUNTIFS(Wine1!$AA:$AA,Sheet1!AC$2,Wine1!$E:$E,"*" &amp; Sheet1!$A27 &amp;"*")</f>
        <v>0</v>
      </c>
      <c r="AD27" s="37">
        <f>COUNTIFS(Wine1!$AA:$AA,Sheet1!AD$2,Wine1!$E:$E,"*" &amp; Sheet1!$A27 &amp;"*")</f>
        <v>0</v>
      </c>
      <c r="AE27" s="37">
        <f>COUNTIFS(Wine1!$AA:$AA,Sheet1!AE$2,Wine1!$E:$E,"*" &amp; Sheet1!$A27 &amp;"*")</f>
        <v>0</v>
      </c>
      <c r="AF27" s="37">
        <f>COUNTIFS(Wine1!$AA:$AA,Sheet1!AF$2,Wine1!$E:$E,"*" &amp; Sheet1!$A27 &amp;"*")</f>
        <v>0</v>
      </c>
      <c r="AG27" s="37">
        <f>COUNTIFS(Wine1!$AA:$AA,Sheet1!AG$2,Wine1!$E:$E,"*" &amp; Sheet1!$A27 &amp;"*")</f>
        <v>0</v>
      </c>
      <c r="AH27" s="37">
        <f>COUNTIFS(Wine1!$AA:$AA,Sheet1!AH$2,Wine1!$E:$E,"*" &amp; Sheet1!$A27 &amp;"*")</f>
        <v>0</v>
      </c>
      <c r="AI27" s="37">
        <f>COUNTIFS(Wine1!$AA:$AA,Sheet1!AI$2,Wine1!$E:$E,"*" &amp; Sheet1!$A27 &amp;"*")</f>
        <v>0</v>
      </c>
      <c r="AJ27" s="37">
        <f>COUNTIFS(Wine1!$AA:$AA,Sheet1!AJ$2,Wine1!$E:$E,"*" &amp; Sheet1!$A27 &amp;"*")</f>
        <v>0</v>
      </c>
      <c r="AK27" s="37">
        <f>COUNTIFS(Wine1!$AA:$AA,Sheet1!AK$2,Wine1!$E:$E,"*" &amp; Sheet1!$A27 &amp;"*")</f>
        <v>0</v>
      </c>
      <c r="AL27" s="37">
        <f>COUNTIFS(Wine1!$AA:$AA,Sheet1!AL$2,Wine1!$E:$E,"*" &amp; Sheet1!$A27 &amp;"*")</f>
        <v>0</v>
      </c>
      <c r="AM27" s="37">
        <f>COUNTIFS(Wine1!$AA:$AA,Sheet1!AM$2,Wine1!$E:$E,"*" &amp; Sheet1!$A27 &amp;"*")</f>
        <v>0</v>
      </c>
      <c r="AN27" s="37">
        <f>COUNTIFS(Wine1!$AA:$AA,Sheet1!AN$2,Wine1!$E:$E,"*" &amp; Sheet1!$A27 &amp;"*")</f>
        <v>0</v>
      </c>
      <c r="AO27" s="37">
        <f>COUNTIFS(Wine1!$AA:$AA,Sheet1!AO$2,Wine1!$E:$E,"*" &amp; Sheet1!$A27 &amp;"*")</f>
        <v>0</v>
      </c>
      <c r="AP27" s="37">
        <f>COUNTIFS(Wine1!$AA:$AA,Sheet1!AP$2,Wine1!$E:$E,"*" &amp; Sheet1!$A27 &amp;"*")</f>
        <v>0</v>
      </c>
      <c r="AQ27" s="37">
        <f>COUNTIFS(Wine1!$AA:$AA,Sheet1!AQ$2,Wine1!$E:$E,"*" &amp; Sheet1!$A27 &amp;"*")</f>
        <v>0</v>
      </c>
      <c r="AR27" s="37">
        <f>COUNTIFS(Wine1!$AA:$AA,Sheet1!AR$2,Wine1!$E:$E,"*" &amp; Sheet1!$A27 &amp;"*")</f>
        <v>0</v>
      </c>
      <c r="AS27" s="37">
        <f>COUNTIFS(Wine1!$AA:$AA,Sheet1!AS$2,Wine1!$E:$E,"*" &amp; Sheet1!$A27 &amp;"*")</f>
        <v>0</v>
      </c>
      <c r="AT27" s="37">
        <f>COUNTIFS(Wine1!$AA:$AA,Sheet1!AT$2,Wine1!$E:$E,"*" &amp; Sheet1!$A27 &amp;"*")</f>
        <v>0</v>
      </c>
      <c r="AU27" s="37">
        <f>COUNTIFS(Wine1!$AA:$AA,Sheet1!AU$2,Wine1!$E:$E,"*" &amp; Sheet1!$A27 &amp;"*")</f>
        <v>0</v>
      </c>
      <c r="AV27" s="37">
        <f>COUNTIFS(Wine1!$AA:$AA,Sheet1!AV$2,Wine1!$E:$E,"*" &amp; Sheet1!$A27 &amp;"*")</f>
        <v>0</v>
      </c>
      <c r="AW27" s="37">
        <f>COUNTIFS(Wine1!$AA:$AA,Sheet1!AW$2,Wine1!$E:$E,"*" &amp; Sheet1!$A27 &amp;"*")</f>
        <v>0</v>
      </c>
      <c r="AX27" s="37">
        <f>COUNTIFS(Wine1!$AA:$AA,Sheet1!AX$2,Wine1!$E:$E,"*" &amp; Sheet1!$A27 &amp;"*")</f>
        <v>0</v>
      </c>
      <c r="AY27" s="37">
        <f>COUNTIFS(Wine1!$AA:$AA,Sheet1!AY$2,Wine1!$E:$E,"*" &amp; Sheet1!$A27 &amp;"*")</f>
        <v>0</v>
      </c>
      <c r="AZ27" s="37">
        <f>COUNTIFS(Wine1!$AA:$AA,Sheet1!AZ$2,Wine1!$E:$E,"*" &amp; Sheet1!$A27 &amp;"*")</f>
        <v>0</v>
      </c>
      <c r="BA27" s="37">
        <f>COUNTIFS(Wine1!$AA:$AA,Sheet1!BA$2,Wine1!$E:$E,"*" &amp; Sheet1!$A27 &amp;"*")</f>
        <v>0</v>
      </c>
      <c r="BB27" s="37">
        <f>COUNTIFS(Wine1!$AA:$AA,Sheet1!BB$2,Wine1!$E:$E,"*" &amp; Sheet1!$A27 &amp;"*")</f>
        <v>0</v>
      </c>
      <c r="BC27" s="37">
        <f>COUNTIFS(Wine1!$AA:$AA,Sheet1!BC$2,Wine1!$E:$E,"*" &amp; Sheet1!$A27 &amp;"*")</f>
        <v>0</v>
      </c>
      <c r="BD27" s="37">
        <f>COUNTIFS(Wine1!$AA:$AA,Sheet1!BD$2,Wine1!$E:$E,"*" &amp; Sheet1!$A27 &amp;"*")</f>
        <v>0</v>
      </c>
      <c r="BE27" s="37">
        <f>COUNTIFS(Wine1!$AA:$AA,Sheet1!BE$2,Wine1!$E:$E,"*" &amp; Sheet1!$A27 &amp;"*")</f>
        <v>0</v>
      </c>
      <c r="BF27" s="37">
        <f>COUNTIFS(Wine1!$AA:$AA,Sheet1!BF$2,Wine1!$E:$E,"*" &amp; Sheet1!$A27 &amp;"*")</f>
        <v>0</v>
      </c>
      <c r="BG27" s="37">
        <f>COUNTIFS(Wine1!$AA:$AA,Sheet1!BG$2,Wine1!$E:$E,"*" &amp; Sheet1!$A27 &amp;"*")</f>
        <v>0</v>
      </c>
      <c r="BH27" s="37">
        <f>COUNTIFS(Wine1!$AA:$AA,Sheet1!BH$2,Wine1!$E:$E,"*" &amp; Sheet1!$A27 &amp;"*")</f>
        <v>0</v>
      </c>
      <c r="BI27" s="37">
        <f>COUNTIFS(Wine1!$AA:$AA,Sheet1!BI$2,Wine1!$E:$E,"*" &amp; Sheet1!$A27 &amp;"*")</f>
        <v>0</v>
      </c>
      <c r="BJ27" s="37">
        <f>COUNTIFS(Wine1!$AA:$AA,Sheet1!BJ$2,Wine1!$E:$E,"*" &amp; Sheet1!$A27 &amp;"*")</f>
        <v>0</v>
      </c>
      <c r="BK27" s="37">
        <f>COUNTIFS(Wine1!$AA:$AA,Sheet1!BK$2,Wine1!$E:$E,"*" &amp; Sheet1!$A27 &amp;"*")</f>
        <v>0</v>
      </c>
      <c r="BL27" s="37">
        <f>COUNTIFS(Wine1!$AA:$AA,Sheet1!BL$2,Wine1!$E:$E,"*" &amp; Sheet1!$A27 &amp;"*")</f>
        <v>0</v>
      </c>
    </row>
    <row r="28" spans="1:64" x14ac:dyDescent="0.25">
      <c r="A28" s="37" t="s">
        <v>288</v>
      </c>
      <c r="B28" s="95">
        <f>COUNTIFS(Wine1!$AF:$AF,Sheet1!B$2,Wine1!$E:$E,"*" &amp; Sheet1!$A28 &amp;"*")</f>
        <v>0</v>
      </c>
      <c r="C28" s="9">
        <f>COUNTIFS(Wine1!$AF:$AF,Sheet1!C$2,Wine1!$E:$E,"*" &amp; Sheet1!$A28 &amp;"*")</f>
        <v>21</v>
      </c>
      <c r="D28" s="9">
        <f>COUNTIFS(Wine1!$AF:$AF,Sheet1!D$2,Wine1!$E:$E,"*" &amp; Sheet1!$A28 &amp;"*")</f>
        <v>127</v>
      </c>
      <c r="E28" s="96">
        <f>COUNTIFS(Wine1!$AF:$AF,Sheet1!E$2,Wine1!$E:$E,"*" &amp; Sheet1!$A28 &amp;"*")</f>
        <v>17</v>
      </c>
      <c r="F28" s="99">
        <f t="shared" si="0"/>
        <v>165</v>
      </c>
      <c r="G28" s="37">
        <f>COUNTIFS(Wine1!$AA:$AA,Sheet1!G$2,Wine1!$E:$E,"*" &amp; Sheet1!$A28 &amp;"*")</f>
        <v>3</v>
      </c>
      <c r="H28" s="37">
        <f>COUNTIFS(Wine1!$AA:$AA,Sheet1!H$2,Wine1!$E:$E,"*" &amp; Sheet1!$A28 &amp;"*")</f>
        <v>6</v>
      </c>
      <c r="I28" s="37">
        <f>COUNTIFS(Wine1!$AA:$AA,Sheet1!I$2,Wine1!$E:$E,"*" &amp; Sheet1!$A28 &amp;"*")</f>
        <v>9</v>
      </c>
      <c r="J28" s="37">
        <f>COUNTIFS(Wine1!$AA:$AA,Sheet1!J$2,Wine1!$E:$E,"*" &amp; Sheet1!$A28 &amp;"*")</f>
        <v>9</v>
      </c>
      <c r="K28" s="37">
        <f>COUNTIFS(Wine1!$AA:$AA,Sheet1!K$2,Wine1!$E:$E,"*" &amp; Sheet1!$A28 &amp;"*")</f>
        <v>4</v>
      </c>
      <c r="L28" s="37">
        <f>COUNTIFS(Wine1!$AA:$AA,Sheet1!L$2,Wine1!$E:$E,"*" &amp; Sheet1!$A28 &amp;"*")</f>
        <v>5</v>
      </c>
      <c r="M28" s="37">
        <f>COUNTIFS(Wine1!$AA:$AA,Sheet1!M$2,Wine1!$E:$E,"*" &amp; Sheet1!$A28 &amp;"*")</f>
        <v>6</v>
      </c>
      <c r="N28" s="37">
        <f>COUNTIFS(Wine1!$AA:$AA,Sheet1!N$2,Wine1!$E:$E,"*" &amp; Sheet1!$A28 &amp;"*")</f>
        <v>4</v>
      </c>
      <c r="O28" s="37">
        <f>COUNTIFS(Wine1!$AA:$AA,Sheet1!O$2,Wine1!$E:$E,"*" &amp; Sheet1!$A28 &amp;"*")</f>
        <v>12</v>
      </c>
      <c r="P28" s="37">
        <f>COUNTIFS(Wine1!$AA:$AA,Sheet1!P$2,Wine1!$E:$E,"*" &amp; Sheet1!$A28 &amp;"*")</f>
        <v>9</v>
      </c>
      <c r="Q28" s="37">
        <f>COUNTIFS(Wine1!$AA:$AA,Sheet1!Q$2,Wine1!$E:$E,"*" &amp; Sheet1!$A28 &amp;"*")</f>
        <v>9</v>
      </c>
      <c r="R28" s="37">
        <f>COUNTIFS(Wine1!$AA:$AA,Sheet1!R$2,Wine1!$E:$E,"*" &amp; Sheet1!$A28 &amp;"*")</f>
        <v>9</v>
      </c>
      <c r="S28" s="37">
        <f>COUNTIFS(Wine1!$AA:$AA,Sheet1!S$2,Wine1!$E:$E,"*" &amp; Sheet1!$A28 &amp;"*")</f>
        <v>11</v>
      </c>
      <c r="T28" s="37">
        <f>COUNTIFS(Wine1!$AA:$AA,Sheet1!T$2,Wine1!$E:$E,"*" &amp; Sheet1!$A28 &amp;"*")</f>
        <v>8</v>
      </c>
      <c r="U28" s="37">
        <f>COUNTIFS(Wine1!$AA:$AA,Sheet1!U$2,Wine1!$E:$E,"*" &amp; Sheet1!$A28 &amp;"*")</f>
        <v>8</v>
      </c>
      <c r="V28" s="37">
        <f>COUNTIFS(Wine1!$AA:$AA,Sheet1!V$2,Wine1!$E:$E,"*" &amp; Sheet1!$A28 &amp;"*")</f>
        <v>6</v>
      </c>
      <c r="W28" s="37">
        <f>COUNTIFS(Wine1!$AA:$AA,Sheet1!W$2,Wine1!$E:$E,"*" &amp; Sheet1!$A28 &amp;"*")</f>
        <v>8</v>
      </c>
      <c r="X28" s="37">
        <f>COUNTIFS(Wine1!$AA:$AA,Sheet1!X$2,Wine1!$E:$E,"*" &amp; Sheet1!$A28 &amp;"*")</f>
        <v>7</v>
      </c>
      <c r="Y28" s="37">
        <f>COUNTIFS(Wine1!$AA:$AA,Sheet1!Y$2,Wine1!$E:$E,"*" &amp; Sheet1!$A28 &amp;"*")</f>
        <v>8</v>
      </c>
      <c r="Z28" s="37">
        <f>COUNTIFS(Wine1!$AA:$AA,Sheet1!Z$2,Wine1!$E:$E,"*" &amp; Sheet1!$A28 &amp;"*")</f>
        <v>5</v>
      </c>
      <c r="AA28" s="37">
        <f>COUNTIFS(Wine1!$AA:$AA,Sheet1!AA$2,Wine1!$E:$E,"*" &amp; Sheet1!$A28 &amp;"*")</f>
        <v>9</v>
      </c>
      <c r="AB28" s="37">
        <f>COUNTIFS(Wine1!$AA:$AA,Sheet1!AB$2,Wine1!$E:$E,"*" &amp; Sheet1!$A28 &amp;"*")</f>
        <v>0</v>
      </c>
      <c r="AC28" s="37">
        <f>COUNTIFS(Wine1!$AA:$AA,Sheet1!AC$2,Wine1!$E:$E,"*" &amp; Sheet1!$A28 &amp;"*")</f>
        <v>5</v>
      </c>
      <c r="AD28" s="37">
        <f>COUNTIFS(Wine1!$AA:$AA,Sheet1!AD$2,Wine1!$E:$E,"*" &amp; Sheet1!$A28 &amp;"*")</f>
        <v>0</v>
      </c>
      <c r="AE28" s="37">
        <f>COUNTIFS(Wine1!$AA:$AA,Sheet1!AE$2,Wine1!$E:$E,"*" &amp; Sheet1!$A28 &amp;"*")</f>
        <v>2</v>
      </c>
      <c r="AF28" s="37">
        <f>COUNTIFS(Wine1!$AA:$AA,Sheet1!AF$2,Wine1!$E:$E,"*" &amp; Sheet1!$A28 &amp;"*")</f>
        <v>2</v>
      </c>
      <c r="AG28" s="37">
        <f>COUNTIFS(Wine1!$AA:$AA,Sheet1!AG$2,Wine1!$E:$E,"*" &amp; Sheet1!$A28 &amp;"*")</f>
        <v>0</v>
      </c>
      <c r="AH28" s="37">
        <f>COUNTIFS(Wine1!$AA:$AA,Sheet1!AH$2,Wine1!$E:$E,"*" &amp; Sheet1!$A28 &amp;"*")</f>
        <v>0</v>
      </c>
      <c r="AI28" s="37">
        <f>COUNTIFS(Wine1!$AA:$AA,Sheet1!AI$2,Wine1!$E:$E,"*" &amp; Sheet1!$A28 &amp;"*")</f>
        <v>0</v>
      </c>
      <c r="AJ28" s="37">
        <f>COUNTIFS(Wine1!$AA:$AA,Sheet1!AJ$2,Wine1!$E:$E,"*" &amp; Sheet1!$A28 &amp;"*")</f>
        <v>0</v>
      </c>
      <c r="AK28" s="37">
        <f>COUNTIFS(Wine1!$AA:$AA,Sheet1!AK$2,Wine1!$E:$E,"*" &amp; Sheet1!$A28 &amp;"*")</f>
        <v>1</v>
      </c>
      <c r="AL28" s="37">
        <f>COUNTIFS(Wine1!$AA:$AA,Sheet1!AL$2,Wine1!$E:$E,"*" &amp; Sheet1!$A28 &amp;"*")</f>
        <v>0</v>
      </c>
      <c r="AM28" s="37">
        <f>COUNTIFS(Wine1!$AA:$AA,Sheet1!AM$2,Wine1!$E:$E,"*" &amp; Sheet1!$A28 &amp;"*")</f>
        <v>0</v>
      </c>
      <c r="AN28" s="37">
        <f>COUNTIFS(Wine1!$AA:$AA,Sheet1!AN$2,Wine1!$E:$E,"*" &amp; Sheet1!$A28 &amp;"*")</f>
        <v>0</v>
      </c>
      <c r="AO28" s="37">
        <f>COUNTIFS(Wine1!$AA:$AA,Sheet1!AO$2,Wine1!$E:$E,"*" &amp; Sheet1!$A28 &amp;"*")</f>
        <v>0</v>
      </c>
      <c r="AP28" s="37">
        <f>COUNTIFS(Wine1!$AA:$AA,Sheet1!AP$2,Wine1!$E:$E,"*" &amp; Sheet1!$A28 &amp;"*")</f>
        <v>0</v>
      </c>
      <c r="AQ28" s="37">
        <f>COUNTIFS(Wine1!$AA:$AA,Sheet1!AQ$2,Wine1!$E:$E,"*" &amp; Sheet1!$A28 &amp;"*")</f>
        <v>0</v>
      </c>
      <c r="AR28" s="37">
        <f>COUNTIFS(Wine1!$AA:$AA,Sheet1!AR$2,Wine1!$E:$E,"*" &amp; Sheet1!$A28 &amp;"*")</f>
        <v>0</v>
      </c>
      <c r="AS28" s="37">
        <f>COUNTIFS(Wine1!$AA:$AA,Sheet1!AS$2,Wine1!$E:$E,"*" &amp; Sheet1!$A28 &amp;"*")</f>
        <v>0</v>
      </c>
      <c r="AT28" s="37">
        <f>COUNTIFS(Wine1!$AA:$AA,Sheet1!AT$2,Wine1!$E:$E,"*" &amp; Sheet1!$A28 &amp;"*")</f>
        <v>0</v>
      </c>
      <c r="AU28" s="37">
        <f>COUNTIFS(Wine1!$AA:$AA,Sheet1!AU$2,Wine1!$E:$E,"*" &amp; Sheet1!$A28 &amp;"*")</f>
        <v>0</v>
      </c>
      <c r="AV28" s="37">
        <f>COUNTIFS(Wine1!$AA:$AA,Sheet1!AV$2,Wine1!$E:$E,"*" &amp; Sheet1!$A28 &amp;"*")</f>
        <v>0</v>
      </c>
      <c r="AW28" s="37">
        <f>COUNTIFS(Wine1!$AA:$AA,Sheet1!AW$2,Wine1!$E:$E,"*" &amp; Sheet1!$A28 &amp;"*")</f>
        <v>0</v>
      </c>
      <c r="AX28" s="37">
        <f>COUNTIFS(Wine1!$AA:$AA,Sheet1!AX$2,Wine1!$E:$E,"*" &amp; Sheet1!$A28 &amp;"*")</f>
        <v>0</v>
      </c>
      <c r="AY28" s="37">
        <f>COUNTIFS(Wine1!$AA:$AA,Sheet1!AY$2,Wine1!$E:$E,"*" &amp; Sheet1!$A28 &amp;"*")</f>
        <v>0</v>
      </c>
      <c r="AZ28" s="37">
        <f>COUNTIFS(Wine1!$AA:$AA,Sheet1!AZ$2,Wine1!$E:$E,"*" &amp; Sheet1!$A28 &amp;"*")</f>
        <v>0</v>
      </c>
      <c r="BA28" s="37">
        <f>COUNTIFS(Wine1!$AA:$AA,Sheet1!BA$2,Wine1!$E:$E,"*" &amp; Sheet1!$A28 &amp;"*")</f>
        <v>0</v>
      </c>
      <c r="BB28" s="37">
        <f>COUNTIFS(Wine1!$AA:$AA,Sheet1!BB$2,Wine1!$E:$E,"*" &amp; Sheet1!$A28 &amp;"*")</f>
        <v>0</v>
      </c>
      <c r="BC28" s="37">
        <f>COUNTIFS(Wine1!$AA:$AA,Sheet1!BC$2,Wine1!$E:$E,"*" &amp; Sheet1!$A28 &amp;"*")</f>
        <v>0</v>
      </c>
      <c r="BD28" s="37">
        <f>COUNTIFS(Wine1!$AA:$AA,Sheet1!BD$2,Wine1!$E:$E,"*" &amp; Sheet1!$A28 &amp;"*")</f>
        <v>0</v>
      </c>
      <c r="BE28" s="37">
        <f>COUNTIFS(Wine1!$AA:$AA,Sheet1!BE$2,Wine1!$E:$E,"*" &amp; Sheet1!$A28 &amp;"*")</f>
        <v>0</v>
      </c>
      <c r="BF28" s="37">
        <f>COUNTIFS(Wine1!$AA:$AA,Sheet1!BF$2,Wine1!$E:$E,"*" &amp; Sheet1!$A28 &amp;"*")</f>
        <v>0</v>
      </c>
      <c r="BG28" s="37">
        <f>COUNTIFS(Wine1!$AA:$AA,Sheet1!BG$2,Wine1!$E:$E,"*" &amp; Sheet1!$A28 &amp;"*")</f>
        <v>0</v>
      </c>
      <c r="BH28" s="37">
        <f>COUNTIFS(Wine1!$AA:$AA,Sheet1!BH$2,Wine1!$E:$E,"*" &amp; Sheet1!$A28 &amp;"*")</f>
        <v>0</v>
      </c>
      <c r="BI28" s="37">
        <f>COUNTIFS(Wine1!$AA:$AA,Sheet1!BI$2,Wine1!$E:$E,"*" &amp; Sheet1!$A28 &amp;"*")</f>
        <v>0</v>
      </c>
      <c r="BJ28" s="37">
        <f>COUNTIFS(Wine1!$AA:$AA,Sheet1!BJ$2,Wine1!$E:$E,"*" &amp; Sheet1!$A28 &amp;"*")</f>
        <v>0</v>
      </c>
      <c r="BK28" s="37">
        <f>COUNTIFS(Wine1!$AA:$AA,Sheet1!BK$2,Wine1!$E:$E,"*" &amp; Sheet1!$A28 &amp;"*")</f>
        <v>0</v>
      </c>
      <c r="BL28" s="37">
        <f>COUNTIFS(Wine1!$AA:$AA,Sheet1!BL$2,Wine1!$E:$E,"*" &amp; Sheet1!$A28 &amp;"*")</f>
        <v>0</v>
      </c>
    </row>
    <row r="29" spans="1:64" x14ac:dyDescent="0.25">
      <c r="A29" s="37" t="s">
        <v>1438</v>
      </c>
      <c r="B29" s="95">
        <f>COUNTIFS(Wine1!$AF:$AF,Sheet1!B$2,Wine1!$E:$E,"*" &amp; Sheet1!$A29 &amp;"*")</f>
        <v>1</v>
      </c>
      <c r="C29" s="9">
        <f>COUNTIFS(Wine1!$AF:$AF,Sheet1!C$2,Wine1!$E:$E,"*" &amp; Sheet1!$A29 &amp;"*")</f>
        <v>0</v>
      </c>
      <c r="D29" s="9">
        <f>COUNTIFS(Wine1!$AF:$AF,Sheet1!D$2,Wine1!$E:$E,"*" &amp; Sheet1!$A29 &amp;"*")</f>
        <v>1</v>
      </c>
      <c r="E29" s="9">
        <f>COUNTIFS(Wine1!$AF:$AF,Sheet1!E$2,Wine1!$E:$E,"*" &amp; Sheet1!$A29 &amp;"*")</f>
        <v>1</v>
      </c>
      <c r="F29" s="43">
        <f t="shared" si="0"/>
        <v>3</v>
      </c>
      <c r="G29" s="37">
        <f>COUNTIFS(Wine1!$AA:$AA,Sheet1!G$2,Wine1!$E:$E,"*" &amp; Sheet1!$A29 &amp;"*")</f>
        <v>2</v>
      </c>
      <c r="H29" s="37">
        <f>COUNTIFS(Wine1!$AA:$AA,Sheet1!H$2,Wine1!$E:$E,"*" &amp; Sheet1!$A29 &amp;"*")</f>
        <v>0</v>
      </c>
      <c r="I29" s="37">
        <f>COUNTIFS(Wine1!$AA:$AA,Sheet1!I$2,Wine1!$E:$E,"*" &amp; Sheet1!$A29 &amp;"*")</f>
        <v>0</v>
      </c>
      <c r="J29" s="37">
        <f>COUNTIFS(Wine1!$AA:$AA,Sheet1!J$2,Wine1!$E:$E,"*" &amp; Sheet1!$A29 &amp;"*")</f>
        <v>0</v>
      </c>
      <c r="K29" s="37">
        <f>COUNTIFS(Wine1!$AA:$AA,Sheet1!K$2,Wine1!$E:$E,"*" &amp; Sheet1!$A29 &amp;"*")</f>
        <v>0</v>
      </c>
      <c r="L29" s="37">
        <f>COUNTIFS(Wine1!$AA:$AA,Sheet1!L$2,Wine1!$E:$E,"*" &amp; Sheet1!$A29 &amp;"*")</f>
        <v>0</v>
      </c>
      <c r="M29" s="37">
        <f>COUNTIFS(Wine1!$AA:$AA,Sheet1!M$2,Wine1!$E:$E,"*" &amp; Sheet1!$A29 &amp;"*")</f>
        <v>0</v>
      </c>
      <c r="N29" s="37">
        <f>COUNTIFS(Wine1!$AA:$AA,Sheet1!N$2,Wine1!$E:$E,"*" &amp; Sheet1!$A29 &amp;"*")</f>
        <v>1</v>
      </c>
      <c r="O29" s="37">
        <f>COUNTIFS(Wine1!$AA:$AA,Sheet1!O$2,Wine1!$E:$E,"*" &amp; Sheet1!$A29 &amp;"*")</f>
        <v>0</v>
      </c>
      <c r="P29" s="37">
        <f>COUNTIFS(Wine1!$AA:$AA,Sheet1!P$2,Wine1!$E:$E,"*" &amp; Sheet1!$A29 &amp;"*")</f>
        <v>0</v>
      </c>
      <c r="Q29" s="37">
        <f>COUNTIFS(Wine1!$AA:$AA,Sheet1!Q$2,Wine1!$E:$E,"*" &amp; Sheet1!$A29 &amp;"*")</f>
        <v>0</v>
      </c>
      <c r="R29" s="37">
        <f>COUNTIFS(Wine1!$AA:$AA,Sheet1!R$2,Wine1!$E:$E,"*" &amp; Sheet1!$A29 &amp;"*")</f>
        <v>0</v>
      </c>
      <c r="S29" s="37">
        <f>COUNTIFS(Wine1!$AA:$AA,Sheet1!S$2,Wine1!$E:$E,"*" &amp; Sheet1!$A29 &amp;"*")</f>
        <v>0</v>
      </c>
      <c r="T29" s="37">
        <f>COUNTIFS(Wine1!$AA:$AA,Sheet1!T$2,Wine1!$E:$E,"*" &amp; Sheet1!$A29 &amp;"*")</f>
        <v>0</v>
      </c>
      <c r="U29" s="37">
        <f>COUNTIFS(Wine1!$AA:$AA,Sheet1!U$2,Wine1!$E:$E,"*" &amp; Sheet1!$A29 &amp;"*")</f>
        <v>0</v>
      </c>
      <c r="V29" s="37">
        <f>COUNTIFS(Wine1!$AA:$AA,Sheet1!V$2,Wine1!$E:$E,"*" &amp; Sheet1!$A29 &amp;"*")</f>
        <v>0</v>
      </c>
      <c r="W29" s="37">
        <f>COUNTIFS(Wine1!$AA:$AA,Sheet1!W$2,Wine1!$E:$E,"*" &amp; Sheet1!$A29 &amp;"*")</f>
        <v>0</v>
      </c>
      <c r="X29" s="37">
        <f>COUNTIFS(Wine1!$AA:$AA,Sheet1!X$2,Wine1!$E:$E,"*" &amp; Sheet1!$A29 &amp;"*")</f>
        <v>0</v>
      </c>
      <c r="Y29" s="37">
        <f>COUNTIFS(Wine1!$AA:$AA,Sheet1!Y$2,Wine1!$E:$E,"*" &amp; Sheet1!$A29 &amp;"*")</f>
        <v>0</v>
      </c>
      <c r="Z29" s="37">
        <f>COUNTIFS(Wine1!$AA:$AA,Sheet1!Z$2,Wine1!$E:$E,"*" &amp; Sheet1!$A29 &amp;"*")</f>
        <v>0</v>
      </c>
      <c r="AA29" s="37">
        <f>COUNTIFS(Wine1!$AA:$AA,Sheet1!AA$2,Wine1!$E:$E,"*" &amp; Sheet1!$A29 &amp;"*")</f>
        <v>0</v>
      </c>
      <c r="AB29" s="37">
        <f>COUNTIFS(Wine1!$AA:$AA,Sheet1!AB$2,Wine1!$E:$E,"*" &amp; Sheet1!$A29 &amp;"*")</f>
        <v>0</v>
      </c>
      <c r="AC29" s="37">
        <f>COUNTIFS(Wine1!$AA:$AA,Sheet1!AC$2,Wine1!$E:$E,"*" &amp; Sheet1!$A29 &amp;"*")</f>
        <v>0</v>
      </c>
      <c r="AD29" s="37">
        <f>COUNTIFS(Wine1!$AA:$AA,Sheet1!AD$2,Wine1!$E:$E,"*" &amp; Sheet1!$A29 &amp;"*")</f>
        <v>0</v>
      </c>
      <c r="AE29" s="37">
        <f>COUNTIFS(Wine1!$AA:$AA,Sheet1!AE$2,Wine1!$E:$E,"*" &amp; Sheet1!$A29 &amp;"*")</f>
        <v>0</v>
      </c>
      <c r="AF29" s="37">
        <f>COUNTIFS(Wine1!$AA:$AA,Sheet1!AF$2,Wine1!$E:$E,"*" &amp; Sheet1!$A29 &amp;"*")</f>
        <v>0</v>
      </c>
      <c r="AG29" s="37">
        <f>COUNTIFS(Wine1!$AA:$AA,Sheet1!AG$2,Wine1!$E:$E,"*" &amp; Sheet1!$A29 &amp;"*")</f>
        <v>0</v>
      </c>
      <c r="AH29" s="37">
        <f>COUNTIFS(Wine1!$AA:$AA,Sheet1!AH$2,Wine1!$E:$E,"*" &amp; Sheet1!$A29 &amp;"*")</f>
        <v>0</v>
      </c>
      <c r="AI29" s="37">
        <f>COUNTIFS(Wine1!$AA:$AA,Sheet1!AI$2,Wine1!$E:$E,"*" &amp; Sheet1!$A29 &amp;"*")</f>
        <v>0</v>
      </c>
      <c r="AJ29" s="37">
        <f>COUNTIFS(Wine1!$AA:$AA,Sheet1!AJ$2,Wine1!$E:$E,"*" &amp; Sheet1!$A29 &amp;"*")</f>
        <v>0</v>
      </c>
      <c r="AK29" s="37">
        <f>COUNTIFS(Wine1!$AA:$AA,Sheet1!AK$2,Wine1!$E:$E,"*" &amp; Sheet1!$A29 &amp;"*")</f>
        <v>0</v>
      </c>
      <c r="AL29" s="37">
        <f>COUNTIFS(Wine1!$AA:$AA,Sheet1!AL$2,Wine1!$E:$E,"*" &amp; Sheet1!$A29 &amp;"*")</f>
        <v>0</v>
      </c>
      <c r="AM29" s="37">
        <f>COUNTIFS(Wine1!$AA:$AA,Sheet1!AM$2,Wine1!$E:$E,"*" &amp; Sheet1!$A29 &amp;"*")</f>
        <v>0</v>
      </c>
      <c r="AN29" s="37">
        <f>COUNTIFS(Wine1!$AA:$AA,Sheet1!AN$2,Wine1!$E:$E,"*" &amp; Sheet1!$A29 &amp;"*")</f>
        <v>0</v>
      </c>
      <c r="AO29" s="37">
        <f>COUNTIFS(Wine1!$AA:$AA,Sheet1!AO$2,Wine1!$E:$E,"*" &amp; Sheet1!$A29 &amp;"*")</f>
        <v>0</v>
      </c>
      <c r="AP29" s="37">
        <f>COUNTIFS(Wine1!$AA:$AA,Sheet1!AP$2,Wine1!$E:$E,"*" &amp; Sheet1!$A29 &amp;"*")</f>
        <v>0</v>
      </c>
      <c r="AQ29" s="37">
        <f>COUNTIFS(Wine1!$AA:$AA,Sheet1!AQ$2,Wine1!$E:$E,"*" &amp; Sheet1!$A29 &amp;"*")</f>
        <v>0</v>
      </c>
      <c r="AR29" s="37">
        <f>COUNTIFS(Wine1!$AA:$AA,Sheet1!AR$2,Wine1!$E:$E,"*" &amp; Sheet1!$A29 &amp;"*")</f>
        <v>0</v>
      </c>
      <c r="AS29" s="37">
        <f>COUNTIFS(Wine1!$AA:$AA,Sheet1!AS$2,Wine1!$E:$E,"*" &amp; Sheet1!$A29 &amp;"*")</f>
        <v>0</v>
      </c>
      <c r="AT29" s="37">
        <f>COUNTIFS(Wine1!$AA:$AA,Sheet1!AT$2,Wine1!$E:$E,"*" &amp; Sheet1!$A29 &amp;"*")</f>
        <v>0</v>
      </c>
      <c r="AU29" s="37">
        <f>COUNTIFS(Wine1!$AA:$AA,Sheet1!AU$2,Wine1!$E:$E,"*" &amp; Sheet1!$A29 &amp;"*")</f>
        <v>0</v>
      </c>
      <c r="AV29" s="37">
        <f>COUNTIFS(Wine1!$AA:$AA,Sheet1!AV$2,Wine1!$E:$E,"*" &amp; Sheet1!$A29 &amp;"*")</f>
        <v>0</v>
      </c>
      <c r="AW29" s="37">
        <f>COUNTIFS(Wine1!$AA:$AA,Sheet1!AW$2,Wine1!$E:$E,"*" &amp; Sheet1!$A29 &amp;"*")</f>
        <v>0</v>
      </c>
      <c r="AX29" s="37">
        <f>COUNTIFS(Wine1!$AA:$AA,Sheet1!AX$2,Wine1!$E:$E,"*" &amp; Sheet1!$A29 &amp;"*")</f>
        <v>0</v>
      </c>
      <c r="AY29" s="37">
        <f>COUNTIFS(Wine1!$AA:$AA,Sheet1!AY$2,Wine1!$E:$E,"*" &amp; Sheet1!$A29 &amp;"*")</f>
        <v>0</v>
      </c>
      <c r="AZ29" s="37">
        <f>COUNTIFS(Wine1!$AA:$AA,Sheet1!AZ$2,Wine1!$E:$E,"*" &amp; Sheet1!$A29 &amp;"*")</f>
        <v>0</v>
      </c>
      <c r="BA29" s="37">
        <f>COUNTIFS(Wine1!$AA:$AA,Sheet1!BA$2,Wine1!$E:$E,"*" &amp; Sheet1!$A29 &amp;"*")</f>
        <v>0</v>
      </c>
      <c r="BB29" s="37">
        <f>COUNTIFS(Wine1!$AA:$AA,Sheet1!BB$2,Wine1!$E:$E,"*" &amp; Sheet1!$A29 &amp;"*")</f>
        <v>0</v>
      </c>
      <c r="BC29" s="37">
        <f>COUNTIFS(Wine1!$AA:$AA,Sheet1!BC$2,Wine1!$E:$E,"*" &amp; Sheet1!$A29 &amp;"*")</f>
        <v>0</v>
      </c>
      <c r="BD29" s="37">
        <f>COUNTIFS(Wine1!$AA:$AA,Sheet1!BD$2,Wine1!$E:$E,"*" &amp; Sheet1!$A29 &amp;"*")</f>
        <v>0</v>
      </c>
      <c r="BE29" s="37">
        <f>COUNTIFS(Wine1!$AA:$AA,Sheet1!BE$2,Wine1!$E:$E,"*" &amp; Sheet1!$A29 &amp;"*")</f>
        <v>0</v>
      </c>
      <c r="BF29" s="37">
        <f>COUNTIFS(Wine1!$AA:$AA,Sheet1!BF$2,Wine1!$E:$E,"*" &amp; Sheet1!$A29 &amp;"*")</f>
        <v>0</v>
      </c>
      <c r="BG29" s="37">
        <f>COUNTIFS(Wine1!$AA:$AA,Sheet1!BG$2,Wine1!$E:$E,"*" &amp; Sheet1!$A29 &amp;"*")</f>
        <v>0</v>
      </c>
      <c r="BH29" s="37">
        <f>COUNTIFS(Wine1!$AA:$AA,Sheet1!BH$2,Wine1!$E:$E,"*" &amp; Sheet1!$A29 &amp;"*")</f>
        <v>0</v>
      </c>
      <c r="BI29" s="37">
        <f>COUNTIFS(Wine1!$AA:$AA,Sheet1!BI$2,Wine1!$E:$E,"*" &amp; Sheet1!$A29 &amp;"*")</f>
        <v>0</v>
      </c>
      <c r="BJ29" s="37">
        <f>COUNTIFS(Wine1!$AA:$AA,Sheet1!BJ$2,Wine1!$E:$E,"*" &amp; Sheet1!$A29 &amp;"*")</f>
        <v>0</v>
      </c>
      <c r="BK29" s="37">
        <f>COUNTIFS(Wine1!$AA:$AA,Sheet1!BK$2,Wine1!$E:$E,"*" &amp; Sheet1!$A29 &amp;"*")</f>
        <v>0</v>
      </c>
      <c r="BL29" s="37">
        <f>COUNTIFS(Wine1!$AA:$AA,Sheet1!BL$2,Wine1!$E:$E,"*" &amp; Sheet1!$A29 &amp;"*")</f>
        <v>0</v>
      </c>
    </row>
    <row r="30" spans="1:64" x14ac:dyDescent="0.25">
      <c r="A30" t="s">
        <v>607</v>
      </c>
      <c r="B30" s="95">
        <f>COUNTIFS(Wine1!$AF:$AF,Sheet1!B$2,Wine1!$E:$E,"*" &amp; Sheet1!$A30 &amp;"*")</f>
        <v>23</v>
      </c>
      <c r="C30" s="9">
        <f>COUNTIFS(Wine1!$AF:$AF,Sheet1!C$2,Wine1!$E:$E,"*" &amp; Sheet1!$A30 &amp;"*")</f>
        <v>0</v>
      </c>
      <c r="D30" s="9">
        <f>COUNTIFS(Wine1!$AF:$AF,Sheet1!D$2,Wine1!$E:$E,"*" &amp; Sheet1!$A30 &amp;"*")</f>
        <v>0</v>
      </c>
      <c r="E30" s="9">
        <f>COUNTIFS(Wine1!$AF:$AF,Sheet1!E$2,Wine1!$E:$E,"*" &amp; Sheet1!$A30 &amp;"*")</f>
        <v>0</v>
      </c>
      <c r="F30" s="43">
        <f t="shared" si="0"/>
        <v>23</v>
      </c>
      <c r="G30" s="37">
        <f>COUNTIFS(Wine1!$AA:$AA,Sheet1!G$2,Wine1!$E:$E,"*" &amp; Sheet1!$A30 &amp;"*")</f>
        <v>6</v>
      </c>
      <c r="H30" s="37">
        <f>COUNTIFS(Wine1!$AA:$AA,Sheet1!H$2,Wine1!$E:$E,"*" &amp; Sheet1!$A30 &amp;"*")</f>
        <v>9</v>
      </c>
      <c r="I30" s="37">
        <f>COUNTIFS(Wine1!$AA:$AA,Sheet1!I$2,Wine1!$E:$E,"*" &amp; Sheet1!$A30 &amp;"*")</f>
        <v>3</v>
      </c>
      <c r="J30" s="37">
        <f>COUNTIFS(Wine1!$AA:$AA,Sheet1!J$2,Wine1!$E:$E,"*" &amp; Sheet1!$A30 &amp;"*")</f>
        <v>4</v>
      </c>
      <c r="K30" s="37">
        <f>COUNTIFS(Wine1!$AA:$AA,Sheet1!K$2,Wine1!$E:$E,"*" &amp; Sheet1!$A30 &amp;"*")</f>
        <v>0</v>
      </c>
      <c r="L30" s="37">
        <f>COUNTIFS(Wine1!$AA:$AA,Sheet1!L$2,Wine1!$E:$E,"*" &amp; Sheet1!$A30 &amp;"*")</f>
        <v>1</v>
      </c>
      <c r="M30" s="37">
        <f>COUNTIFS(Wine1!$AA:$AA,Sheet1!M$2,Wine1!$E:$E,"*" &amp; Sheet1!$A30 &amp;"*")</f>
        <v>0</v>
      </c>
      <c r="N30" s="37">
        <f>COUNTIFS(Wine1!$AA:$AA,Sheet1!N$2,Wine1!$E:$E,"*" &amp; Sheet1!$A30 &amp;"*")</f>
        <v>0</v>
      </c>
      <c r="O30" s="37">
        <f>COUNTIFS(Wine1!$AA:$AA,Sheet1!O$2,Wine1!$E:$E,"*" &amp; Sheet1!$A30 &amp;"*")</f>
        <v>0</v>
      </c>
      <c r="P30" s="37">
        <f>COUNTIFS(Wine1!$AA:$AA,Sheet1!P$2,Wine1!$E:$E,"*" &amp; Sheet1!$A30 &amp;"*")</f>
        <v>0</v>
      </c>
      <c r="Q30" s="37">
        <f>COUNTIFS(Wine1!$AA:$AA,Sheet1!Q$2,Wine1!$E:$E,"*" &amp; Sheet1!$A30 &amp;"*")</f>
        <v>0</v>
      </c>
      <c r="R30" s="37">
        <f>COUNTIFS(Wine1!$AA:$AA,Sheet1!R$2,Wine1!$E:$E,"*" &amp; Sheet1!$A30 &amp;"*")</f>
        <v>0</v>
      </c>
      <c r="S30" s="37">
        <f>COUNTIFS(Wine1!$AA:$AA,Sheet1!S$2,Wine1!$E:$E,"*" &amp; Sheet1!$A30 &amp;"*")</f>
        <v>0</v>
      </c>
      <c r="T30" s="37">
        <f>COUNTIFS(Wine1!$AA:$AA,Sheet1!T$2,Wine1!$E:$E,"*" &amp; Sheet1!$A30 &amp;"*")</f>
        <v>0</v>
      </c>
      <c r="U30" s="37">
        <f>COUNTIFS(Wine1!$AA:$AA,Sheet1!U$2,Wine1!$E:$E,"*" &amp; Sheet1!$A30 &amp;"*")</f>
        <v>0</v>
      </c>
      <c r="V30" s="37">
        <f>COUNTIFS(Wine1!$AA:$AA,Sheet1!V$2,Wine1!$E:$E,"*" &amp; Sheet1!$A30 &amp;"*")</f>
        <v>0</v>
      </c>
      <c r="W30" s="37">
        <f>COUNTIFS(Wine1!$AA:$AA,Sheet1!W$2,Wine1!$E:$E,"*" &amp; Sheet1!$A30 &amp;"*")</f>
        <v>0</v>
      </c>
      <c r="X30" s="37">
        <f>COUNTIFS(Wine1!$AA:$AA,Sheet1!X$2,Wine1!$E:$E,"*" &amp; Sheet1!$A30 &amp;"*")</f>
        <v>0</v>
      </c>
      <c r="Y30" s="37">
        <f>COUNTIFS(Wine1!$AA:$AA,Sheet1!Y$2,Wine1!$E:$E,"*" &amp; Sheet1!$A30 &amp;"*")</f>
        <v>0</v>
      </c>
      <c r="Z30" s="37">
        <f>COUNTIFS(Wine1!$AA:$AA,Sheet1!Z$2,Wine1!$E:$E,"*" &amp; Sheet1!$A30 &amp;"*")</f>
        <v>0</v>
      </c>
      <c r="AA30" s="37">
        <f>COUNTIFS(Wine1!$AA:$AA,Sheet1!AA$2,Wine1!$E:$E,"*" &amp; Sheet1!$A30 &amp;"*")</f>
        <v>0</v>
      </c>
      <c r="AB30" s="37">
        <f>COUNTIFS(Wine1!$AA:$AA,Sheet1!AB$2,Wine1!$E:$E,"*" &amp; Sheet1!$A30 &amp;"*")</f>
        <v>0</v>
      </c>
      <c r="AC30" s="37">
        <f>COUNTIFS(Wine1!$AA:$AA,Sheet1!AC$2,Wine1!$E:$E,"*" &amp; Sheet1!$A30 &amp;"*")</f>
        <v>0</v>
      </c>
      <c r="AD30" s="37">
        <f>COUNTIFS(Wine1!$AA:$AA,Sheet1!AD$2,Wine1!$E:$E,"*" &amp; Sheet1!$A30 &amp;"*")</f>
        <v>0</v>
      </c>
      <c r="AE30" s="37">
        <f>COUNTIFS(Wine1!$AA:$AA,Sheet1!AE$2,Wine1!$E:$E,"*" &amp; Sheet1!$A30 &amp;"*")</f>
        <v>0</v>
      </c>
      <c r="AF30" s="37">
        <f>COUNTIFS(Wine1!$AA:$AA,Sheet1!AF$2,Wine1!$E:$E,"*" &amp; Sheet1!$A30 &amp;"*")</f>
        <v>0</v>
      </c>
      <c r="AG30" s="37">
        <f>COUNTIFS(Wine1!$AA:$AA,Sheet1!AG$2,Wine1!$E:$E,"*" &amp; Sheet1!$A30 &amp;"*")</f>
        <v>0</v>
      </c>
      <c r="AH30" s="37">
        <f>COUNTIFS(Wine1!$AA:$AA,Sheet1!AH$2,Wine1!$E:$E,"*" &amp; Sheet1!$A30 &amp;"*")</f>
        <v>0</v>
      </c>
      <c r="AI30" s="37">
        <f>COUNTIFS(Wine1!$AA:$AA,Sheet1!AI$2,Wine1!$E:$E,"*" &amp; Sheet1!$A30 &amp;"*")</f>
        <v>0</v>
      </c>
      <c r="AJ30" s="37">
        <f>COUNTIFS(Wine1!$AA:$AA,Sheet1!AJ$2,Wine1!$E:$E,"*" &amp; Sheet1!$A30 &amp;"*")</f>
        <v>0</v>
      </c>
      <c r="AK30" s="37">
        <f>COUNTIFS(Wine1!$AA:$AA,Sheet1!AK$2,Wine1!$E:$E,"*" &amp; Sheet1!$A30 &amp;"*")</f>
        <v>0</v>
      </c>
      <c r="AL30" s="37">
        <f>COUNTIFS(Wine1!$AA:$AA,Sheet1!AL$2,Wine1!$E:$E,"*" &amp; Sheet1!$A30 &amp;"*")</f>
        <v>0</v>
      </c>
      <c r="AM30" s="37">
        <f>COUNTIFS(Wine1!$AA:$AA,Sheet1!AM$2,Wine1!$E:$E,"*" &amp; Sheet1!$A30 &amp;"*")</f>
        <v>0</v>
      </c>
      <c r="AN30" s="37">
        <f>COUNTIFS(Wine1!$AA:$AA,Sheet1!AN$2,Wine1!$E:$E,"*" &amp; Sheet1!$A30 &amp;"*")</f>
        <v>0</v>
      </c>
      <c r="AO30" s="37">
        <f>COUNTIFS(Wine1!$AA:$AA,Sheet1!AO$2,Wine1!$E:$E,"*" &amp; Sheet1!$A30 &amp;"*")</f>
        <v>0</v>
      </c>
      <c r="AP30" s="37">
        <f>COUNTIFS(Wine1!$AA:$AA,Sheet1!AP$2,Wine1!$E:$E,"*" &amp; Sheet1!$A30 &amp;"*")</f>
        <v>0</v>
      </c>
      <c r="AQ30" s="37">
        <f>COUNTIFS(Wine1!$AA:$AA,Sheet1!AQ$2,Wine1!$E:$E,"*" &amp; Sheet1!$A30 &amp;"*")</f>
        <v>0</v>
      </c>
      <c r="AR30" s="37">
        <f>COUNTIFS(Wine1!$AA:$AA,Sheet1!AR$2,Wine1!$E:$E,"*" &amp; Sheet1!$A30 &amp;"*")</f>
        <v>0</v>
      </c>
      <c r="AS30" s="37">
        <f>COUNTIFS(Wine1!$AA:$AA,Sheet1!AS$2,Wine1!$E:$E,"*" &amp; Sheet1!$A30 &amp;"*")</f>
        <v>0</v>
      </c>
      <c r="AT30" s="37">
        <f>COUNTIFS(Wine1!$AA:$AA,Sheet1!AT$2,Wine1!$E:$E,"*" &amp; Sheet1!$A30 &amp;"*")</f>
        <v>0</v>
      </c>
      <c r="AU30" s="37">
        <f>COUNTIFS(Wine1!$AA:$AA,Sheet1!AU$2,Wine1!$E:$E,"*" &amp; Sheet1!$A30 &amp;"*")</f>
        <v>0</v>
      </c>
      <c r="AV30" s="37">
        <f>COUNTIFS(Wine1!$AA:$AA,Sheet1!AV$2,Wine1!$E:$E,"*" &amp; Sheet1!$A30 &amp;"*")</f>
        <v>0</v>
      </c>
      <c r="AW30" s="37">
        <f>COUNTIFS(Wine1!$AA:$AA,Sheet1!AW$2,Wine1!$E:$E,"*" &amp; Sheet1!$A30 &amp;"*")</f>
        <v>0</v>
      </c>
      <c r="AX30" s="37">
        <f>COUNTIFS(Wine1!$AA:$AA,Sheet1!AX$2,Wine1!$E:$E,"*" &amp; Sheet1!$A30 &amp;"*")</f>
        <v>0</v>
      </c>
      <c r="AY30" s="37">
        <f>COUNTIFS(Wine1!$AA:$AA,Sheet1!AY$2,Wine1!$E:$E,"*" &amp; Sheet1!$A30 &amp;"*")</f>
        <v>0</v>
      </c>
      <c r="AZ30" s="37">
        <f>COUNTIFS(Wine1!$AA:$AA,Sheet1!AZ$2,Wine1!$E:$E,"*" &amp; Sheet1!$A30 &amp;"*")</f>
        <v>0</v>
      </c>
      <c r="BA30" s="37">
        <f>COUNTIFS(Wine1!$AA:$AA,Sheet1!BA$2,Wine1!$E:$E,"*" &amp; Sheet1!$A30 &amp;"*")</f>
        <v>0</v>
      </c>
      <c r="BB30" s="37">
        <f>COUNTIFS(Wine1!$AA:$AA,Sheet1!BB$2,Wine1!$E:$E,"*" &amp; Sheet1!$A30 &amp;"*")</f>
        <v>0</v>
      </c>
      <c r="BC30" s="37">
        <f>COUNTIFS(Wine1!$AA:$AA,Sheet1!BC$2,Wine1!$E:$E,"*" &amp; Sheet1!$A30 &amp;"*")</f>
        <v>0</v>
      </c>
      <c r="BD30" s="37">
        <f>COUNTIFS(Wine1!$AA:$AA,Sheet1!BD$2,Wine1!$E:$E,"*" &amp; Sheet1!$A30 &amp;"*")</f>
        <v>0</v>
      </c>
      <c r="BE30" s="37">
        <f>COUNTIFS(Wine1!$AA:$AA,Sheet1!BE$2,Wine1!$E:$E,"*" &amp; Sheet1!$A30 &amp;"*")</f>
        <v>0</v>
      </c>
      <c r="BF30" s="37">
        <f>COUNTIFS(Wine1!$AA:$AA,Sheet1!BF$2,Wine1!$E:$E,"*" &amp; Sheet1!$A30 &amp;"*")</f>
        <v>0</v>
      </c>
      <c r="BG30" s="37">
        <f>COUNTIFS(Wine1!$AA:$AA,Sheet1!BG$2,Wine1!$E:$E,"*" &amp; Sheet1!$A30 &amp;"*")</f>
        <v>0</v>
      </c>
      <c r="BH30" s="37">
        <f>COUNTIFS(Wine1!$AA:$AA,Sheet1!BH$2,Wine1!$E:$E,"*" &amp; Sheet1!$A30 &amp;"*")</f>
        <v>0</v>
      </c>
      <c r="BI30" s="37">
        <f>COUNTIFS(Wine1!$AA:$AA,Sheet1!BI$2,Wine1!$E:$E,"*" &amp; Sheet1!$A30 &amp;"*")</f>
        <v>0</v>
      </c>
      <c r="BJ30" s="37">
        <f>COUNTIFS(Wine1!$AA:$AA,Sheet1!BJ$2,Wine1!$E:$E,"*" &amp; Sheet1!$A30 &amp;"*")</f>
        <v>0</v>
      </c>
      <c r="BK30" s="37">
        <f>COUNTIFS(Wine1!$AA:$AA,Sheet1!BK$2,Wine1!$E:$E,"*" &amp; Sheet1!$A30 &amp;"*")</f>
        <v>0</v>
      </c>
      <c r="BL30" s="37">
        <f>COUNTIFS(Wine1!$AA:$AA,Sheet1!BL$2,Wine1!$E:$E,"*" &amp; Sheet1!$A30 &amp;"*")</f>
        <v>0</v>
      </c>
    </row>
    <row r="31" spans="1:64" x14ac:dyDescent="0.25">
      <c r="A31" t="s">
        <v>1436</v>
      </c>
      <c r="B31" s="95">
        <f>COUNTIFS(Wine1!$AF:$AF,Sheet1!B$2,Wine1!$E:$E,"*" &amp; Sheet1!$A31 &amp;"*")</f>
        <v>0</v>
      </c>
      <c r="C31" s="9">
        <f>COUNTIFS(Wine1!$AF:$AF,Sheet1!C$2,Wine1!$E:$E,"*" &amp; Sheet1!$A31 &amp;"*")</f>
        <v>2</v>
      </c>
      <c r="D31" s="9">
        <f>COUNTIFS(Wine1!$AF:$AF,Sheet1!D$2,Wine1!$E:$E,"*" &amp; Sheet1!$A31 &amp;"*")</f>
        <v>0</v>
      </c>
      <c r="E31" s="9">
        <f>COUNTIFS(Wine1!$AF:$AF,Sheet1!E$2,Wine1!$E:$E,"*" &amp; Sheet1!$A31 &amp;"*")</f>
        <v>0</v>
      </c>
      <c r="F31" s="43">
        <f t="shared" si="0"/>
        <v>2</v>
      </c>
      <c r="G31" s="37">
        <f>COUNTIFS(Wine1!$AA:$AA,Sheet1!G$2,Wine1!$E:$E,"*" &amp; Sheet1!$A31 &amp;"*")</f>
        <v>0</v>
      </c>
      <c r="H31" s="37">
        <f>COUNTIFS(Wine1!$AA:$AA,Sheet1!H$2,Wine1!$E:$E,"*" &amp; Sheet1!$A31 &amp;"*")</f>
        <v>1</v>
      </c>
      <c r="I31" s="37">
        <f>COUNTIFS(Wine1!$AA:$AA,Sheet1!I$2,Wine1!$E:$E,"*" &amp; Sheet1!$A31 &amp;"*")</f>
        <v>1</v>
      </c>
      <c r="J31" s="37">
        <f>COUNTIFS(Wine1!$AA:$AA,Sheet1!J$2,Wine1!$E:$E,"*" &amp; Sheet1!$A31 &amp;"*")</f>
        <v>0</v>
      </c>
      <c r="K31" s="37">
        <f>COUNTIFS(Wine1!$AA:$AA,Sheet1!K$2,Wine1!$E:$E,"*" &amp; Sheet1!$A31 &amp;"*")</f>
        <v>0</v>
      </c>
      <c r="L31" s="37">
        <f>COUNTIFS(Wine1!$AA:$AA,Sheet1!L$2,Wine1!$E:$E,"*" &amp; Sheet1!$A31 &amp;"*")</f>
        <v>0</v>
      </c>
      <c r="M31" s="37">
        <f>COUNTIFS(Wine1!$AA:$AA,Sheet1!M$2,Wine1!$E:$E,"*" &amp; Sheet1!$A31 &amp;"*")</f>
        <v>0</v>
      </c>
      <c r="N31" s="37">
        <f>COUNTIFS(Wine1!$AA:$AA,Sheet1!N$2,Wine1!$E:$E,"*" &amp; Sheet1!$A31 &amp;"*")</f>
        <v>0</v>
      </c>
      <c r="O31" s="37">
        <f>COUNTIFS(Wine1!$AA:$AA,Sheet1!O$2,Wine1!$E:$E,"*" &amp; Sheet1!$A31 &amp;"*")</f>
        <v>0</v>
      </c>
      <c r="P31" s="37">
        <f>COUNTIFS(Wine1!$AA:$AA,Sheet1!P$2,Wine1!$E:$E,"*" &amp; Sheet1!$A31 &amp;"*")</f>
        <v>0</v>
      </c>
      <c r="Q31" s="37">
        <f>COUNTIFS(Wine1!$AA:$AA,Sheet1!Q$2,Wine1!$E:$E,"*" &amp; Sheet1!$A31 &amp;"*")</f>
        <v>0</v>
      </c>
      <c r="R31" s="37">
        <f>COUNTIFS(Wine1!$AA:$AA,Sheet1!R$2,Wine1!$E:$E,"*" &amp; Sheet1!$A31 &amp;"*")</f>
        <v>0</v>
      </c>
      <c r="S31" s="37">
        <f>COUNTIFS(Wine1!$AA:$AA,Sheet1!S$2,Wine1!$E:$E,"*" &amp; Sheet1!$A31 &amp;"*")</f>
        <v>0</v>
      </c>
      <c r="T31" s="37">
        <f>COUNTIFS(Wine1!$AA:$AA,Sheet1!T$2,Wine1!$E:$E,"*" &amp; Sheet1!$A31 &amp;"*")</f>
        <v>0</v>
      </c>
      <c r="U31" s="37">
        <f>COUNTIFS(Wine1!$AA:$AA,Sheet1!U$2,Wine1!$E:$E,"*" &amp; Sheet1!$A31 &amp;"*")</f>
        <v>0</v>
      </c>
      <c r="V31" s="37">
        <f>COUNTIFS(Wine1!$AA:$AA,Sheet1!V$2,Wine1!$E:$E,"*" &amp; Sheet1!$A31 &amp;"*")</f>
        <v>0</v>
      </c>
      <c r="W31" s="37">
        <f>COUNTIFS(Wine1!$AA:$AA,Sheet1!W$2,Wine1!$E:$E,"*" &amp; Sheet1!$A31 &amp;"*")</f>
        <v>0</v>
      </c>
      <c r="X31" s="37">
        <f>COUNTIFS(Wine1!$AA:$AA,Sheet1!X$2,Wine1!$E:$E,"*" &amp; Sheet1!$A31 &amp;"*")</f>
        <v>0</v>
      </c>
      <c r="Y31" s="37">
        <f>COUNTIFS(Wine1!$AA:$AA,Sheet1!Y$2,Wine1!$E:$E,"*" &amp; Sheet1!$A31 &amp;"*")</f>
        <v>0</v>
      </c>
      <c r="Z31" s="37">
        <f>COUNTIFS(Wine1!$AA:$AA,Sheet1!Z$2,Wine1!$E:$E,"*" &amp; Sheet1!$A31 &amp;"*")</f>
        <v>0</v>
      </c>
      <c r="AA31" s="37">
        <f>COUNTIFS(Wine1!$AA:$AA,Sheet1!AA$2,Wine1!$E:$E,"*" &amp; Sheet1!$A31 &amp;"*")</f>
        <v>0</v>
      </c>
      <c r="AB31" s="37">
        <f>COUNTIFS(Wine1!$AA:$AA,Sheet1!AB$2,Wine1!$E:$E,"*" &amp; Sheet1!$A31 &amp;"*")</f>
        <v>0</v>
      </c>
      <c r="AC31" s="37">
        <f>COUNTIFS(Wine1!$AA:$AA,Sheet1!AC$2,Wine1!$E:$E,"*" &amp; Sheet1!$A31 &amp;"*")</f>
        <v>0</v>
      </c>
      <c r="AD31" s="37">
        <f>COUNTIFS(Wine1!$AA:$AA,Sheet1!AD$2,Wine1!$E:$E,"*" &amp; Sheet1!$A31 &amp;"*")</f>
        <v>0</v>
      </c>
      <c r="AE31" s="37">
        <f>COUNTIFS(Wine1!$AA:$AA,Sheet1!AE$2,Wine1!$E:$E,"*" &amp; Sheet1!$A31 &amp;"*")</f>
        <v>0</v>
      </c>
      <c r="AF31" s="37">
        <f>COUNTIFS(Wine1!$AA:$AA,Sheet1!AF$2,Wine1!$E:$E,"*" &amp; Sheet1!$A31 &amp;"*")</f>
        <v>0</v>
      </c>
      <c r="AG31" s="37">
        <f>COUNTIFS(Wine1!$AA:$AA,Sheet1!AG$2,Wine1!$E:$E,"*" &amp; Sheet1!$A31 &amp;"*")</f>
        <v>0</v>
      </c>
      <c r="AH31" s="37">
        <f>COUNTIFS(Wine1!$AA:$AA,Sheet1!AH$2,Wine1!$E:$E,"*" &amp; Sheet1!$A31 &amp;"*")</f>
        <v>0</v>
      </c>
      <c r="AI31" s="37">
        <f>COUNTIFS(Wine1!$AA:$AA,Sheet1!AI$2,Wine1!$E:$E,"*" &amp; Sheet1!$A31 &amp;"*")</f>
        <v>0</v>
      </c>
      <c r="AJ31" s="37">
        <f>COUNTIFS(Wine1!$AA:$AA,Sheet1!AJ$2,Wine1!$E:$E,"*" &amp; Sheet1!$A31 &amp;"*")</f>
        <v>0</v>
      </c>
      <c r="AK31" s="37">
        <f>COUNTIFS(Wine1!$AA:$AA,Sheet1!AK$2,Wine1!$E:$E,"*" &amp; Sheet1!$A31 &amp;"*")</f>
        <v>0</v>
      </c>
      <c r="AL31" s="37">
        <f>COUNTIFS(Wine1!$AA:$AA,Sheet1!AL$2,Wine1!$E:$E,"*" &amp; Sheet1!$A31 &amp;"*")</f>
        <v>0</v>
      </c>
      <c r="AM31" s="37">
        <f>COUNTIFS(Wine1!$AA:$AA,Sheet1!AM$2,Wine1!$E:$E,"*" &amp; Sheet1!$A31 &amp;"*")</f>
        <v>0</v>
      </c>
      <c r="AN31" s="37">
        <f>COUNTIFS(Wine1!$AA:$AA,Sheet1!AN$2,Wine1!$E:$E,"*" &amp; Sheet1!$A31 &amp;"*")</f>
        <v>0</v>
      </c>
      <c r="AO31" s="37">
        <f>COUNTIFS(Wine1!$AA:$AA,Sheet1!AO$2,Wine1!$E:$E,"*" &amp; Sheet1!$A31 &amp;"*")</f>
        <v>0</v>
      </c>
      <c r="AP31" s="37">
        <f>COUNTIFS(Wine1!$AA:$AA,Sheet1!AP$2,Wine1!$E:$E,"*" &amp; Sheet1!$A31 &amp;"*")</f>
        <v>0</v>
      </c>
      <c r="AQ31" s="37">
        <f>COUNTIFS(Wine1!$AA:$AA,Sheet1!AQ$2,Wine1!$E:$E,"*" &amp; Sheet1!$A31 &amp;"*")</f>
        <v>0</v>
      </c>
      <c r="AR31" s="37">
        <f>COUNTIFS(Wine1!$AA:$AA,Sheet1!AR$2,Wine1!$E:$E,"*" &amp; Sheet1!$A31 &amp;"*")</f>
        <v>0</v>
      </c>
      <c r="AS31" s="37">
        <f>COUNTIFS(Wine1!$AA:$AA,Sheet1!AS$2,Wine1!$E:$E,"*" &amp; Sheet1!$A31 &amp;"*")</f>
        <v>0</v>
      </c>
      <c r="AT31" s="37">
        <f>COUNTIFS(Wine1!$AA:$AA,Sheet1!AT$2,Wine1!$E:$E,"*" &amp; Sheet1!$A31 &amp;"*")</f>
        <v>0</v>
      </c>
      <c r="AU31" s="37">
        <f>COUNTIFS(Wine1!$AA:$AA,Sheet1!AU$2,Wine1!$E:$E,"*" &amp; Sheet1!$A31 &amp;"*")</f>
        <v>0</v>
      </c>
      <c r="AV31" s="37">
        <f>COUNTIFS(Wine1!$AA:$AA,Sheet1!AV$2,Wine1!$E:$E,"*" &amp; Sheet1!$A31 &amp;"*")</f>
        <v>0</v>
      </c>
      <c r="AW31" s="37">
        <f>COUNTIFS(Wine1!$AA:$AA,Sheet1!AW$2,Wine1!$E:$E,"*" &amp; Sheet1!$A31 &amp;"*")</f>
        <v>0</v>
      </c>
      <c r="AX31" s="37">
        <f>COUNTIFS(Wine1!$AA:$AA,Sheet1!AX$2,Wine1!$E:$E,"*" &amp; Sheet1!$A31 &amp;"*")</f>
        <v>0</v>
      </c>
      <c r="AY31" s="37">
        <f>COUNTIFS(Wine1!$AA:$AA,Sheet1!AY$2,Wine1!$E:$E,"*" &amp; Sheet1!$A31 &amp;"*")</f>
        <v>0</v>
      </c>
      <c r="AZ31" s="37">
        <f>COUNTIFS(Wine1!$AA:$AA,Sheet1!AZ$2,Wine1!$E:$E,"*" &amp; Sheet1!$A31 &amp;"*")</f>
        <v>0</v>
      </c>
      <c r="BA31" s="37">
        <f>COUNTIFS(Wine1!$AA:$AA,Sheet1!BA$2,Wine1!$E:$E,"*" &amp; Sheet1!$A31 &amp;"*")</f>
        <v>0</v>
      </c>
      <c r="BB31" s="37">
        <f>COUNTIFS(Wine1!$AA:$AA,Sheet1!BB$2,Wine1!$E:$E,"*" &amp; Sheet1!$A31 &amp;"*")</f>
        <v>0</v>
      </c>
      <c r="BC31" s="37">
        <f>COUNTIFS(Wine1!$AA:$AA,Sheet1!BC$2,Wine1!$E:$E,"*" &amp; Sheet1!$A31 &amp;"*")</f>
        <v>0</v>
      </c>
      <c r="BD31" s="37">
        <f>COUNTIFS(Wine1!$AA:$AA,Sheet1!BD$2,Wine1!$E:$E,"*" &amp; Sheet1!$A31 &amp;"*")</f>
        <v>0</v>
      </c>
      <c r="BE31" s="37">
        <f>COUNTIFS(Wine1!$AA:$AA,Sheet1!BE$2,Wine1!$E:$E,"*" &amp; Sheet1!$A31 &amp;"*")</f>
        <v>0</v>
      </c>
      <c r="BF31" s="37">
        <f>COUNTIFS(Wine1!$AA:$AA,Sheet1!BF$2,Wine1!$E:$E,"*" &amp; Sheet1!$A31 &amp;"*")</f>
        <v>0</v>
      </c>
      <c r="BG31" s="37">
        <f>COUNTIFS(Wine1!$AA:$AA,Sheet1!BG$2,Wine1!$E:$E,"*" &amp; Sheet1!$A31 &amp;"*")</f>
        <v>0</v>
      </c>
      <c r="BH31" s="37">
        <f>COUNTIFS(Wine1!$AA:$AA,Sheet1!BH$2,Wine1!$E:$E,"*" &amp; Sheet1!$A31 &amp;"*")</f>
        <v>0</v>
      </c>
      <c r="BI31" s="37">
        <f>COUNTIFS(Wine1!$AA:$AA,Sheet1!BI$2,Wine1!$E:$E,"*" &amp; Sheet1!$A31 &amp;"*")</f>
        <v>0</v>
      </c>
      <c r="BJ31" s="37">
        <f>COUNTIFS(Wine1!$AA:$AA,Sheet1!BJ$2,Wine1!$E:$E,"*" &amp; Sheet1!$A31 &amp;"*")</f>
        <v>0</v>
      </c>
      <c r="BK31" s="37">
        <f>COUNTIFS(Wine1!$AA:$AA,Sheet1!BK$2,Wine1!$E:$E,"*" &amp; Sheet1!$A31 &amp;"*")</f>
        <v>0</v>
      </c>
      <c r="BL31" s="37">
        <f>COUNTIFS(Wine1!$AA:$AA,Sheet1!BL$2,Wine1!$E:$E,"*" &amp; Sheet1!$A31 &amp;"*")</f>
        <v>0</v>
      </c>
    </row>
    <row r="32" spans="1:64" x14ac:dyDescent="0.25">
      <c r="A32" t="s">
        <v>1451</v>
      </c>
      <c r="B32" s="95">
        <f>COUNTIFS(Wine1!$AF:$AF,Sheet1!B$2,Wine1!$E:$E,"*" &amp; Sheet1!$A32 &amp;"*")</f>
        <v>0</v>
      </c>
      <c r="C32" s="9">
        <f>COUNTIFS(Wine1!$AF:$AF,Sheet1!C$2,Wine1!$E:$E,"*" &amp; Sheet1!$A32 &amp;"*")</f>
        <v>0</v>
      </c>
      <c r="D32" s="9">
        <f>COUNTIFS(Wine1!$AF:$AF,Sheet1!D$2,Wine1!$E:$E,"*" &amp; Sheet1!$A32 &amp;"*")</f>
        <v>4</v>
      </c>
      <c r="E32" s="9">
        <f>COUNTIFS(Wine1!$AF:$AF,Sheet1!E$2,Wine1!$E:$E,"*" &amp; Sheet1!$A32 &amp;"*")</f>
        <v>3</v>
      </c>
      <c r="F32" s="43">
        <f t="shared" si="0"/>
        <v>7</v>
      </c>
      <c r="G32" s="37">
        <f>COUNTIFS(Wine1!$AA:$AA,Sheet1!G$2,Wine1!$E:$E,"*" &amp; Sheet1!$A32 &amp;"*")</f>
        <v>1</v>
      </c>
      <c r="H32" s="37">
        <f>COUNTIFS(Wine1!$AA:$AA,Sheet1!H$2,Wine1!$E:$E,"*" &amp; Sheet1!$A32 &amp;"*")</f>
        <v>0</v>
      </c>
      <c r="I32" s="37">
        <f>COUNTIFS(Wine1!$AA:$AA,Sheet1!I$2,Wine1!$E:$E,"*" &amp; Sheet1!$A32 &amp;"*")</f>
        <v>0</v>
      </c>
      <c r="J32" s="37">
        <f>COUNTIFS(Wine1!$AA:$AA,Sheet1!J$2,Wine1!$E:$E,"*" &amp; Sheet1!$A32 &amp;"*")</f>
        <v>0</v>
      </c>
      <c r="K32" s="37">
        <f>COUNTIFS(Wine1!$AA:$AA,Sheet1!K$2,Wine1!$E:$E,"*" &amp; Sheet1!$A32 &amp;"*")</f>
        <v>0</v>
      </c>
      <c r="L32" s="37">
        <f>COUNTIFS(Wine1!$AA:$AA,Sheet1!L$2,Wine1!$E:$E,"*" &amp; Sheet1!$A32 &amp;"*")</f>
        <v>0</v>
      </c>
      <c r="M32" s="37">
        <f>COUNTIFS(Wine1!$AA:$AA,Sheet1!M$2,Wine1!$E:$E,"*" &amp; Sheet1!$A32 &amp;"*")</f>
        <v>2</v>
      </c>
      <c r="N32" s="37">
        <f>COUNTIFS(Wine1!$AA:$AA,Sheet1!N$2,Wine1!$E:$E,"*" &amp; Sheet1!$A32 &amp;"*")</f>
        <v>1</v>
      </c>
      <c r="O32" s="37">
        <f>COUNTIFS(Wine1!$AA:$AA,Sheet1!O$2,Wine1!$E:$E,"*" &amp; Sheet1!$A32 &amp;"*")</f>
        <v>2</v>
      </c>
      <c r="P32" s="37">
        <f>COUNTIFS(Wine1!$AA:$AA,Sheet1!P$2,Wine1!$E:$E,"*" &amp; Sheet1!$A32 &amp;"*")</f>
        <v>0</v>
      </c>
      <c r="Q32" s="37">
        <f>COUNTIFS(Wine1!$AA:$AA,Sheet1!Q$2,Wine1!$E:$E,"*" &amp; Sheet1!$A32 &amp;"*")</f>
        <v>1</v>
      </c>
      <c r="R32" s="37">
        <f>COUNTIFS(Wine1!$AA:$AA,Sheet1!R$2,Wine1!$E:$E,"*" &amp; Sheet1!$A32 &amp;"*")</f>
        <v>0</v>
      </c>
      <c r="S32" s="37">
        <f>COUNTIFS(Wine1!$AA:$AA,Sheet1!S$2,Wine1!$E:$E,"*" &amp; Sheet1!$A32 &amp;"*")</f>
        <v>0</v>
      </c>
      <c r="T32" s="37">
        <f>COUNTIFS(Wine1!$AA:$AA,Sheet1!T$2,Wine1!$E:$E,"*" &amp; Sheet1!$A32 &amp;"*")</f>
        <v>0</v>
      </c>
      <c r="U32" s="37">
        <f>COUNTIFS(Wine1!$AA:$AA,Sheet1!U$2,Wine1!$E:$E,"*" &amp; Sheet1!$A32 &amp;"*")</f>
        <v>0</v>
      </c>
      <c r="V32" s="37">
        <f>COUNTIFS(Wine1!$AA:$AA,Sheet1!V$2,Wine1!$E:$E,"*" &amp; Sheet1!$A32 &amp;"*")</f>
        <v>0</v>
      </c>
      <c r="W32" s="37">
        <f>COUNTIFS(Wine1!$AA:$AA,Sheet1!W$2,Wine1!$E:$E,"*" &amp; Sheet1!$A32 &amp;"*")</f>
        <v>0</v>
      </c>
      <c r="X32" s="37">
        <f>COUNTIFS(Wine1!$AA:$AA,Sheet1!X$2,Wine1!$E:$E,"*" &amp; Sheet1!$A32 &amp;"*")</f>
        <v>0</v>
      </c>
      <c r="Y32" s="37">
        <f>COUNTIFS(Wine1!$AA:$AA,Sheet1!Y$2,Wine1!$E:$E,"*" &amp; Sheet1!$A32 &amp;"*")</f>
        <v>0</v>
      </c>
      <c r="Z32" s="37">
        <f>COUNTIFS(Wine1!$AA:$AA,Sheet1!Z$2,Wine1!$E:$E,"*" &amp; Sheet1!$A32 &amp;"*")</f>
        <v>0</v>
      </c>
      <c r="AA32" s="37">
        <f>COUNTIFS(Wine1!$AA:$AA,Sheet1!AA$2,Wine1!$E:$E,"*" &amp; Sheet1!$A32 &amp;"*")</f>
        <v>0</v>
      </c>
      <c r="AB32" s="37">
        <f>COUNTIFS(Wine1!$AA:$AA,Sheet1!AB$2,Wine1!$E:$E,"*" &amp; Sheet1!$A32 &amp;"*")</f>
        <v>0</v>
      </c>
      <c r="AC32" s="37">
        <f>COUNTIFS(Wine1!$AA:$AA,Sheet1!AC$2,Wine1!$E:$E,"*" &amp; Sheet1!$A32 &amp;"*")</f>
        <v>0</v>
      </c>
      <c r="AD32" s="37">
        <f>COUNTIFS(Wine1!$AA:$AA,Sheet1!AD$2,Wine1!$E:$E,"*" &amp; Sheet1!$A32 &amp;"*")</f>
        <v>0</v>
      </c>
      <c r="AE32" s="37">
        <f>COUNTIFS(Wine1!$AA:$AA,Sheet1!AE$2,Wine1!$E:$E,"*" &amp; Sheet1!$A32 &amp;"*")</f>
        <v>0</v>
      </c>
      <c r="AF32" s="37">
        <f>COUNTIFS(Wine1!$AA:$AA,Sheet1!AF$2,Wine1!$E:$E,"*" &amp; Sheet1!$A32 &amp;"*")</f>
        <v>0</v>
      </c>
      <c r="AG32" s="37">
        <f>COUNTIFS(Wine1!$AA:$AA,Sheet1!AG$2,Wine1!$E:$E,"*" &amp; Sheet1!$A32 &amp;"*")</f>
        <v>0</v>
      </c>
      <c r="AH32" s="37">
        <f>COUNTIFS(Wine1!$AA:$AA,Sheet1!AH$2,Wine1!$E:$E,"*" &amp; Sheet1!$A32 &amp;"*")</f>
        <v>0</v>
      </c>
      <c r="AI32" s="37">
        <f>COUNTIFS(Wine1!$AA:$AA,Sheet1!AI$2,Wine1!$E:$E,"*" &amp; Sheet1!$A32 &amp;"*")</f>
        <v>0</v>
      </c>
      <c r="AJ32" s="37">
        <f>COUNTIFS(Wine1!$AA:$AA,Sheet1!AJ$2,Wine1!$E:$E,"*" &amp; Sheet1!$A32 &amp;"*")</f>
        <v>0</v>
      </c>
      <c r="AK32" s="37">
        <f>COUNTIFS(Wine1!$AA:$AA,Sheet1!AK$2,Wine1!$E:$E,"*" &amp; Sheet1!$A32 &amp;"*")</f>
        <v>0</v>
      </c>
      <c r="AL32" s="37">
        <f>COUNTIFS(Wine1!$AA:$AA,Sheet1!AL$2,Wine1!$E:$E,"*" &amp; Sheet1!$A32 &amp;"*")</f>
        <v>0</v>
      </c>
      <c r="AM32" s="37">
        <f>COUNTIFS(Wine1!$AA:$AA,Sheet1!AM$2,Wine1!$E:$E,"*" &amp; Sheet1!$A32 &amp;"*")</f>
        <v>0</v>
      </c>
      <c r="AN32" s="37">
        <f>COUNTIFS(Wine1!$AA:$AA,Sheet1!AN$2,Wine1!$E:$E,"*" &amp; Sheet1!$A32 &amp;"*")</f>
        <v>0</v>
      </c>
      <c r="AO32" s="37">
        <f>COUNTIFS(Wine1!$AA:$AA,Sheet1!AO$2,Wine1!$E:$E,"*" &amp; Sheet1!$A32 &amp;"*")</f>
        <v>0</v>
      </c>
      <c r="AP32" s="37">
        <f>COUNTIFS(Wine1!$AA:$AA,Sheet1!AP$2,Wine1!$E:$E,"*" &amp; Sheet1!$A32 &amp;"*")</f>
        <v>0</v>
      </c>
      <c r="AQ32" s="37">
        <f>COUNTIFS(Wine1!$AA:$AA,Sheet1!AQ$2,Wine1!$E:$E,"*" &amp; Sheet1!$A32 &amp;"*")</f>
        <v>0</v>
      </c>
      <c r="AR32" s="37">
        <f>COUNTIFS(Wine1!$AA:$AA,Sheet1!AR$2,Wine1!$E:$E,"*" &amp; Sheet1!$A32 &amp;"*")</f>
        <v>0</v>
      </c>
      <c r="AS32" s="37">
        <f>COUNTIFS(Wine1!$AA:$AA,Sheet1!AS$2,Wine1!$E:$E,"*" &amp; Sheet1!$A32 &amp;"*")</f>
        <v>0</v>
      </c>
      <c r="AT32" s="37">
        <f>COUNTIFS(Wine1!$AA:$AA,Sheet1!AT$2,Wine1!$E:$E,"*" &amp; Sheet1!$A32 &amp;"*")</f>
        <v>0</v>
      </c>
      <c r="AU32" s="37">
        <f>COUNTIFS(Wine1!$AA:$AA,Sheet1!AU$2,Wine1!$E:$E,"*" &amp; Sheet1!$A32 &amp;"*")</f>
        <v>0</v>
      </c>
      <c r="AV32" s="37">
        <f>COUNTIFS(Wine1!$AA:$AA,Sheet1!AV$2,Wine1!$E:$E,"*" &amp; Sheet1!$A32 &amp;"*")</f>
        <v>0</v>
      </c>
      <c r="AW32" s="37">
        <f>COUNTIFS(Wine1!$AA:$AA,Sheet1!AW$2,Wine1!$E:$E,"*" &amp; Sheet1!$A32 &amp;"*")</f>
        <v>0</v>
      </c>
      <c r="AX32" s="37">
        <f>COUNTIFS(Wine1!$AA:$AA,Sheet1!AX$2,Wine1!$E:$E,"*" &amp; Sheet1!$A32 &amp;"*")</f>
        <v>0</v>
      </c>
      <c r="AY32" s="37">
        <f>COUNTIFS(Wine1!$AA:$AA,Sheet1!AY$2,Wine1!$E:$E,"*" &amp; Sheet1!$A32 &amp;"*")</f>
        <v>0</v>
      </c>
      <c r="AZ32" s="37">
        <f>COUNTIFS(Wine1!$AA:$AA,Sheet1!AZ$2,Wine1!$E:$E,"*" &amp; Sheet1!$A32 &amp;"*")</f>
        <v>0</v>
      </c>
      <c r="BA32" s="37">
        <f>COUNTIFS(Wine1!$AA:$AA,Sheet1!BA$2,Wine1!$E:$E,"*" &amp; Sheet1!$A32 &amp;"*")</f>
        <v>0</v>
      </c>
      <c r="BB32" s="37">
        <f>COUNTIFS(Wine1!$AA:$AA,Sheet1!BB$2,Wine1!$E:$E,"*" &amp; Sheet1!$A32 &amp;"*")</f>
        <v>0</v>
      </c>
      <c r="BC32" s="37">
        <f>COUNTIFS(Wine1!$AA:$AA,Sheet1!BC$2,Wine1!$E:$E,"*" &amp; Sheet1!$A32 &amp;"*")</f>
        <v>0</v>
      </c>
      <c r="BD32" s="37">
        <f>COUNTIFS(Wine1!$AA:$AA,Sheet1!BD$2,Wine1!$E:$E,"*" &amp; Sheet1!$A32 &amp;"*")</f>
        <v>0</v>
      </c>
      <c r="BE32" s="37">
        <f>COUNTIFS(Wine1!$AA:$AA,Sheet1!BE$2,Wine1!$E:$E,"*" &amp; Sheet1!$A32 &amp;"*")</f>
        <v>0</v>
      </c>
      <c r="BF32" s="37">
        <f>COUNTIFS(Wine1!$AA:$AA,Sheet1!BF$2,Wine1!$E:$E,"*" &amp; Sheet1!$A32 &amp;"*")</f>
        <v>0</v>
      </c>
      <c r="BG32" s="37">
        <f>COUNTIFS(Wine1!$AA:$AA,Sheet1!BG$2,Wine1!$E:$E,"*" &amp; Sheet1!$A32 &amp;"*")</f>
        <v>0</v>
      </c>
      <c r="BH32" s="37">
        <f>COUNTIFS(Wine1!$AA:$AA,Sheet1!BH$2,Wine1!$E:$E,"*" &amp; Sheet1!$A32 &amp;"*")</f>
        <v>0</v>
      </c>
      <c r="BI32" s="37">
        <f>COUNTIFS(Wine1!$AA:$AA,Sheet1!BI$2,Wine1!$E:$E,"*" &amp; Sheet1!$A32 &amp;"*")</f>
        <v>0</v>
      </c>
      <c r="BJ32" s="37">
        <f>COUNTIFS(Wine1!$AA:$AA,Sheet1!BJ$2,Wine1!$E:$E,"*" &amp; Sheet1!$A32 &amp;"*")</f>
        <v>0</v>
      </c>
      <c r="BK32" s="37">
        <f>COUNTIFS(Wine1!$AA:$AA,Sheet1!BK$2,Wine1!$E:$E,"*" &amp; Sheet1!$A32 &amp;"*")</f>
        <v>0</v>
      </c>
      <c r="BL32" s="37">
        <f>COUNTIFS(Wine1!$AA:$AA,Sheet1!BL$2,Wine1!$E:$E,"*" &amp; Sheet1!$A32 &amp;"*")</f>
        <v>0</v>
      </c>
    </row>
    <row r="33" spans="1:64" x14ac:dyDescent="0.25">
      <c r="A33" t="s">
        <v>351</v>
      </c>
      <c r="B33" s="95">
        <f>COUNTIFS(Wine1!$AF:$AF,Sheet1!B$2,Wine1!$E:$E,"*" &amp; Sheet1!$A33 &amp;"*")</f>
        <v>0</v>
      </c>
      <c r="C33" s="9">
        <f>COUNTIFS(Wine1!$AF:$AF,Sheet1!C$2,Wine1!$E:$E,"*" &amp; Sheet1!$A33 &amp;"*")</f>
        <v>0</v>
      </c>
      <c r="D33" s="9">
        <f>COUNTIFS(Wine1!$AF:$AF,Sheet1!D$2,Wine1!$E:$E,"*" &amp; Sheet1!$A33 &amp;"*")</f>
        <v>2</v>
      </c>
      <c r="E33" s="9">
        <f>COUNTIFS(Wine1!$AF:$AF,Sheet1!E$2,Wine1!$E:$E,"*" &amp; Sheet1!$A33 &amp;"*")</f>
        <v>3</v>
      </c>
      <c r="F33" s="43">
        <f t="shared" si="0"/>
        <v>5</v>
      </c>
      <c r="G33" s="37">
        <f>COUNTIFS(Wine1!$AA:$AA,Sheet1!G$2,Wine1!$E:$E,"*" &amp; Sheet1!$A33 &amp;"*")</f>
        <v>2</v>
      </c>
      <c r="H33" s="37">
        <f>COUNTIFS(Wine1!$AA:$AA,Sheet1!H$2,Wine1!$E:$E,"*" &amp; Sheet1!$A33 &amp;"*")</f>
        <v>0</v>
      </c>
      <c r="I33" s="37">
        <f>COUNTIFS(Wine1!$AA:$AA,Sheet1!I$2,Wine1!$E:$E,"*" &amp; Sheet1!$A33 &amp;"*")</f>
        <v>0</v>
      </c>
      <c r="J33" s="37">
        <f>COUNTIFS(Wine1!$AA:$AA,Sheet1!J$2,Wine1!$E:$E,"*" &amp; Sheet1!$A33 &amp;"*")</f>
        <v>0</v>
      </c>
      <c r="K33" s="37">
        <f>COUNTIFS(Wine1!$AA:$AA,Sheet1!K$2,Wine1!$E:$E,"*" &amp; Sheet1!$A33 &amp;"*")</f>
        <v>0</v>
      </c>
      <c r="L33" s="37">
        <f>COUNTIFS(Wine1!$AA:$AA,Sheet1!L$2,Wine1!$E:$E,"*" &amp; Sheet1!$A33 &amp;"*")</f>
        <v>0</v>
      </c>
      <c r="M33" s="37">
        <f>COUNTIFS(Wine1!$AA:$AA,Sheet1!M$2,Wine1!$E:$E,"*" &amp; Sheet1!$A33 &amp;"*")</f>
        <v>0</v>
      </c>
      <c r="N33" s="37">
        <f>COUNTIFS(Wine1!$AA:$AA,Sheet1!N$2,Wine1!$E:$E,"*" &amp; Sheet1!$A33 &amp;"*")</f>
        <v>0</v>
      </c>
      <c r="O33" s="37">
        <f>COUNTIFS(Wine1!$AA:$AA,Sheet1!O$2,Wine1!$E:$E,"*" &amp; Sheet1!$A33 &amp;"*")</f>
        <v>0</v>
      </c>
      <c r="P33" s="37">
        <f>COUNTIFS(Wine1!$AA:$AA,Sheet1!P$2,Wine1!$E:$E,"*" &amp; Sheet1!$A33 &amp;"*")</f>
        <v>1</v>
      </c>
      <c r="Q33" s="37">
        <f>COUNTIFS(Wine1!$AA:$AA,Sheet1!Q$2,Wine1!$E:$E,"*" &amp; Sheet1!$A33 &amp;"*")</f>
        <v>0</v>
      </c>
      <c r="R33" s="37">
        <f>COUNTIFS(Wine1!$AA:$AA,Sheet1!R$2,Wine1!$E:$E,"*" &amp; Sheet1!$A33 &amp;"*")</f>
        <v>0</v>
      </c>
      <c r="S33" s="37">
        <f>COUNTIFS(Wine1!$AA:$AA,Sheet1!S$2,Wine1!$E:$E,"*" &amp; Sheet1!$A33 &amp;"*")</f>
        <v>0</v>
      </c>
      <c r="T33" s="37">
        <f>COUNTIFS(Wine1!$AA:$AA,Sheet1!T$2,Wine1!$E:$E,"*" &amp; Sheet1!$A33 &amp;"*")</f>
        <v>0</v>
      </c>
      <c r="U33" s="37">
        <f>COUNTIFS(Wine1!$AA:$AA,Sheet1!U$2,Wine1!$E:$E,"*" &amp; Sheet1!$A33 &amp;"*")</f>
        <v>0</v>
      </c>
      <c r="V33" s="37">
        <f>COUNTIFS(Wine1!$AA:$AA,Sheet1!V$2,Wine1!$E:$E,"*" &amp; Sheet1!$A33 &amp;"*")</f>
        <v>0</v>
      </c>
      <c r="W33" s="37">
        <f>COUNTIFS(Wine1!$AA:$AA,Sheet1!W$2,Wine1!$E:$E,"*" &amp; Sheet1!$A33 &amp;"*")</f>
        <v>0</v>
      </c>
      <c r="X33" s="37">
        <f>COUNTIFS(Wine1!$AA:$AA,Sheet1!X$2,Wine1!$E:$E,"*" &amp; Sheet1!$A33 &amp;"*")</f>
        <v>0</v>
      </c>
      <c r="Y33" s="37">
        <f>COUNTIFS(Wine1!$AA:$AA,Sheet1!Y$2,Wine1!$E:$E,"*" &amp; Sheet1!$A33 &amp;"*")</f>
        <v>0</v>
      </c>
      <c r="Z33" s="37">
        <f>COUNTIFS(Wine1!$AA:$AA,Sheet1!Z$2,Wine1!$E:$E,"*" &amp; Sheet1!$A33 &amp;"*")</f>
        <v>0</v>
      </c>
      <c r="AA33" s="37">
        <f>COUNTIFS(Wine1!$AA:$AA,Sheet1!AA$2,Wine1!$E:$E,"*" &amp; Sheet1!$A33 &amp;"*")</f>
        <v>1</v>
      </c>
      <c r="AB33" s="37">
        <f>COUNTIFS(Wine1!$AA:$AA,Sheet1!AB$2,Wine1!$E:$E,"*" &amp; Sheet1!$A33 &amp;"*")</f>
        <v>0</v>
      </c>
      <c r="AC33" s="37">
        <f>COUNTIFS(Wine1!$AA:$AA,Sheet1!AC$2,Wine1!$E:$E,"*" &amp; Sheet1!$A33 &amp;"*")</f>
        <v>0</v>
      </c>
      <c r="AD33" s="37">
        <f>COUNTIFS(Wine1!$AA:$AA,Sheet1!AD$2,Wine1!$E:$E,"*" &amp; Sheet1!$A33 &amp;"*")</f>
        <v>0</v>
      </c>
      <c r="AE33" s="37">
        <f>COUNTIFS(Wine1!$AA:$AA,Sheet1!AE$2,Wine1!$E:$E,"*" &amp; Sheet1!$A33 &amp;"*")</f>
        <v>0</v>
      </c>
      <c r="AF33" s="37">
        <f>COUNTIFS(Wine1!$AA:$AA,Sheet1!AF$2,Wine1!$E:$E,"*" &amp; Sheet1!$A33 &amp;"*")</f>
        <v>0</v>
      </c>
      <c r="AG33" s="37">
        <f>COUNTIFS(Wine1!$AA:$AA,Sheet1!AG$2,Wine1!$E:$E,"*" &amp; Sheet1!$A33 &amp;"*")</f>
        <v>0</v>
      </c>
      <c r="AH33" s="37">
        <f>COUNTIFS(Wine1!$AA:$AA,Sheet1!AH$2,Wine1!$E:$E,"*" &amp; Sheet1!$A33 &amp;"*")</f>
        <v>0</v>
      </c>
      <c r="AI33" s="37">
        <f>COUNTIFS(Wine1!$AA:$AA,Sheet1!AI$2,Wine1!$E:$E,"*" &amp; Sheet1!$A33 &amp;"*")</f>
        <v>0</v>
      </c>
      <c r="AJ33" s="37">
        <f>COUNTIFS(Wine1!$AA:$AA,Sheet1!AJ$2,Wine1!$E:$E,"*" &amp; Sheet1!$A33 &amp;"*")</f>
        <v>0</v>
      </c>
      <c r="AK33" s="37">
        <f>COUNTIFS(Wine1!$AA:$AA,Sheet1!AK$2,Wine1!$E:$E,"*" &amp; Sheet1!$A33 &amp;"*")</f>
        <v>1</v>
      </c>
      <c r="AL33" s="37">
        <f>COUNTIFS(Wine1!$AA:$AA,Sheet1!AL$2,Wine1!$E:$E,"*" &amp; Sheet1!$A33 &amp;"*")</f>
        <v>0</v>
      </c>
      <c r="AM33" s="37">
        <f>COUNTIFS(Wine1!$AA:$AA,Sheet1!AM$2,Wine1!$E:$E,"*" &amp; Sheet1!$A33 &amp;"*")</f>
        <v>0</v>
      </c>
      <c r="AN33" s="37">
        <f>COUNTIFS(Wine1!$AA:$AA,Sheet1!AN$2,Wine1!$E:$E,"*" &amp; Sheet1!$A33 &amp;"*")</f>
        <v>0</v>
      </c>
      <c r="AO33" s="37">
        <f>COUNTIFS(Wine1!$AA:$AA,Sheet1!AO$2,Wine1!$E:$E,"*" &amp; Sheet1!$A33 &amp;"*")</f>
        <v>0</v>
      </c>
      <c r="AP33" s="37">
        <f>COUNTIFS(Wine1!$AA:$AA,Sheet1!AP$2,Wine1!$E:$E,"*" &amp; Sheet1!$A33 &amp;"*")</f>
        <v>0</v>
      </c>
      <c r="AQ33" s="37">
        <f>COUNTIFS(Wine1!$AA:$AA,Sheet1!AQ$2,Wine1!$E:$E,"*" &amp; Sheet1!$A33 &amp;"*")</f>
        <v>0</v>
      </c>
      <c r="AR33" s="37">
        <f>COUNTIFS(Wine1!$AA:$AA,Sheet1!AR$2,Wine1!$E:$E,"*" &amp; Sheet1!$A33 &amp;"*")</f>
        <v>0</v>
      </c>
      <c r="AS33" s="37">
        <f>COUNTIFS(Wine1!$AA:$AA,Sheet1!AS$2,Wine1!$E:$E,"*" &amp; Sheet1!$A33 &amp;"*")</f>
        <v>0</v>
      </c>
      <c r="AT33" s="37">
        <f>COUNTIFS(Wine1!$AA:$AA,Sheet1!AT$2,Wine1!$E:$E,"*" &amp; Sheet1!$A33 &amp;"*")</f>
        <v>0</v>
      </c>
      <c r="AU33" s="37">
        <f>COUNTIFS(Wine1!$AA:$AA,Sheet1!AU$2,Wine1!$E:$E,"*" &amp; Sheet1!$A33 &amp;"*")</f>
        <v>0</v>
      </c>
      <c r="AV33" s="37">
        <f>COUNTIFS(Wine1!$AA:$AA,Sheet1!AV$2,Wine1!$E:$E,"*" &amp; Sheet1!$A33 &amp;"*")</f>
        <v>0</v>
      </c>
      <c r="AW33" s="37">
        <f>COUNTIFS(Wine1!$AA:$AA,Sheet1!AW$2,Wine1!$E:$E,"*" &amp; Sheet1!$A33 &amp;"*")</f>
        <v>0</v>
      </c>
      <c r="AX33" s="37">
        <f>COUNTIFS(Wine1!$AA:$AA,Sheet1!AX$2,Wine1!$E:$E,"*" &amp; Sheet1!$A33 &amp;"*")</f>
        <v>0</v>
      </c>
      <c r="AY33" s="37">
        <f>COUNTIFS(Wine1!$AA:$AA,Sheet1!AY$2,Wine1!$E:$E,"*" &amp; Sheet1!$A33 &amp;"*")</f>
        <v>0</v>
      </c>
      <c r="AZ33" s="37">
        <f>COUNTIFS(Wine1!$AA:$AA,Sheet1!AZ$2,Wine1!$E:$E,"*" &amp; Sheet1!$A33 &amp;"*")</f>
        <v>0</v>
      </c>
      <c r="BA33" s="37">
        <f>COUNTIFS(Wine1!$AA:$AA,Sheet1!BA$2,Wine1!$E:$E,"*" &amp; Sheet1!$A33 &amp;"*")</f>
        <v>0</v>
      </c>
      <c r="BB33" s="37">
        <f>COUNTIFS(Wine1!$AA:$AA,Sheet1!BB$2,Wine1!$E:$E,"*" &amp; Sheet1!$A33 &amp;"*")</f>
        <v>0</v>
      </c>
      <c r="BC33" s="37">
        <f>COUNTIFS(Wine1!$AA:$AA,Sheet1!BC$2,Wine1!$E:$E,"*" &amp; Sheet1!$A33 &amp;"*")</f>
        <v>0</v>
      </c>
      <c r="BD33" s="37">
        <f>COUNTIFS(Wine1!$AA:$AA,Sheet1!BD$2,Wine1!$E:$E,"*" &amp; Sheet1!$A33 &amp;"*")</f>
        <v>0</v>
      </c>
      <c r="BE33" s="37">
        <f>COUNTIFS(Wine1!$AA:$AA,Sheet1!BE$2,Wine1!$E:$E,"*" &amp; Sheet1!$A33 &amp;"*")</f>
        <v>0</v>
      </c>
      <c r="BF33" s="37">
        <f>COUNTIFS(Wine1!$AA:$AA,Sheet1!BF$2,Wine1!$E:$E,"*" &amp; Sheet1!$A33 &amp;"*")</f>
        <v>0</v>
      </c>
      <c r="BG33" s="37">
        <f>COUNTIFS(Wine1!$AA:$AA,Sheet1!BG$2,Wine1!$E:$E,"*" &amp; Sheet1!$A33 &amp;"*")</f>
        <v>0</v>
      </c>
      <c r="BH33" s="37">
        <f>COUNTIFS(Wine1!$AA:$AA,Sheet1!BH$2,Wine1!$E:$E,"*" &amp; Sheet1!$A33 &amp;"*")</f>
        <v>0</v>
      </c>
      <c r="BI33" s="37">
        <f>COUNTIFS(Wine1!$AA:$AA,Sheet1!BI$2,Wine1!$E:$E,"*" &amp; Sheet1!$A33 &amp;"*")</f>
        <v>0</v>
      </c>
      <c r="BJ33" s="37">
        <f>COUNTIFS(Wine1!$AA:$AA,Sheet1!BJ$2,Wine1!$E:$E,"*" &amp; Sheet1!$A33 &amp;"*")</f>
        <v>0</v>
      </c>
      <c r="BK33" s="37">
        <f>COUNTIFS(Wine1!$AA:$AA,Sheet1!BK$2,Wine1!$E:$E,"*" &amp; Sheet1!$A33 &amp;"*")</f>
        <v>0</v>
      </c>
      <c r="BL33" s="37">
        <f>COUNTIFS(Wine1!$AA:$AA,Sheet1!BL$2,Wine1!$E:$E,"*" &amp; Sheet1!$A33 &amp;"*")</f>
        <v>0</v>
      </c>
    </row>
    <row r="34" spans="1:64" x14ac:dyDescent="0.25">
      <c r="A34" t="s">
        <v>1447</v>
      </c>
      <c r="B34" s="95">
        <f>COUNTIFS(Wine1!$AF:$AF,Sheet1!B$2,Wine1!$E:$E,"*" &amp; Sheet1!$A34 &amp;"*")</f>
        <v>0</v>
      </c>
      <c r="C34" s="9">
        <f>COUNTIFS(Wine1!$AF:$AF,Sheet1!C$2,Wine1!$E:$E,"*" &amp; Sheet1!$A34 &amp;"*")</f>
        <v>0</v>
      </c>
      <c r="D34" s="9">
        <f>COUNTIFS(Wine1!$AF:$AF,Sheet1!D$2,Wine1!$E:$E,"*" &amp; Sheet1!$A34 &amp;"*")</f>
        <v>18</v>
      </c>
      <c r="E34" s="9">
        <f>COUNTIFS(Wine1!$AF:$AF,Sheet1!E$2,Wine1!$E:$E,"*" &amp; Sheet1!$A34 &amp;"*")</f>
        <v>5</v>
      </c>
      <c r="F34" s="43">
        <f t="shared" si="0"/>
        <v>23</v>
      </c>
      <c r="G34" s="37">
        <f>COUNTIFS(Wine1!$AA:$AA,Sheet1!G$2,Wine1!$E:$E,"*" &amp; Sheet1!$A34 &amp;"*")</f>
        <v>2</v>
      </c>
      <c r="H34" s="37">
        <f>COUNTIFS(Wine1!$AA:$AA,Sheet1!H$2,Wine1!$E:$E,"*" &amp; Sheet1!$A34 &amp;"*")</f>
        <v>0</v>
      </c>
      <c r="I34" s="37">
        <f>COUNTIFS(Wine1!$AA:$AA,Sheet1!I$2,Wine1!$E:$E,"*" &amp; Sheet1!$A34 &amp;"*")</f>
        <v>0</v>
      </c>
      <c r="J34" s="37">
        <f>COUNTIFS(Wine1!$AA:$AA,Sheet1!J$2,Wine1!$E:$E,"*" &amp; Sheet1!$A34 &amp;"*")</f>
        <v>1</v>
      </c>
      <c r="K34" s="37">
        <f>COUNTIFS(Wine1!$AA:$AA,Sheet1!K$2,Wine1!$E:$E,"*" &amp; Sheet1!$A34 &amp;"*")</f>
        <v>0</v>
      </c>
      <c r="L34" s="37">
        <f>COUNTIFS(Wine1!$AA:$AA,Sheet1!L$2,Wine1!$E:$E,"*" &amp; Sheet1!$A34 &amp;"*")</f>
        <v>1</v>
      </c>
      <c r="M34" s="37">
        <f>COUNTIFS(Wine1!$AA:$AA,Sheet1!M$2,Wine1!$E:$E,"*" &amp; Sheet1!$A34 &amp;"*")</f>
        <v>2</v>
      </c>
      <c r="N34" s="37">
        <f>COUNTIFS(Wine1!$AA:$AA,Sheet1!N$2,Wine1!$E:$E,"*" &amp; Sheet1!$A34 &amp;"*")</f>
        <v>2</v>
      </c>
      <c r="O34" s="37">
        <f>COUNTIFS(Wine1!$AA:$AA,Sheet1!O$2,Wine1!$E:$E,"*" &amp; Sheet1!$A34 &amp;"*")</f>
        <v>3</v>
      </c>
      <c r="P34" s="37">
        <f>COUNTIFS(Wine1!$AA:$AA,Sheet1!P$2,Wine1!$E:$E,"*" &amp; Sheet1!$A34 &amp;"*")</f>
        <v>2</v>
      </c>
      <c r="Q34" s="37">
        <f>COUNTIFS(Wine1!$AA:$AA,Sheet1!Q$2,Wine1!$E:$E,"*" &amp; Sheet1!$A34 &amp;"*")</f>
        <v>1</v>
      </c>
      <c r="R34" s="37">
        <f>COUNTIFS(Wine1!$AA:$AA,Sheet1!R$2,Wine1!$E:$E,"*" &amp; Sheet1!$A34 &amp;"*")</f>
        <v>2</v>
      </c>
      <c r="S34" s="37">
        <f>COUNTIFS(Wine1!$AA:$AA,Sheet1!S$2,Wine1!$E:$E,"*" &amp; Sheet1!$A34 &amp;"*")</f>
        <v>1</v>
      </c>
      <c r="T34" s="37">
        <f>COUNTIFS(Wine1!$AA:$AA,Sheet1!T$2,Wine1!$E:$E,"*" &amp; Sheet1!$A34 &amp;"*")</f>
        <v>1</v>
      </c>
      <c r="U34" s="37">
        <f>COUNTIFS(Wine1!$AA:$AA,Sheet1!U$2,Wine1!$E:$E,"*" &amp; Sheet1!$A34 &amp;"*")</f>
        <v>1</v>
      </c>
      <c r="V34" s="37">
        <f>COUNTIFS(Wine1!$AA:$AA,Sheet1!V$2,Wine1!$E:$E,"*" &amp; Sheet1!$A34 &amp;"*")</f>
        <v>1</v>
      </c>
      <c r="W34" s="37">
        <f>COUNTIFS(Wine1!$AA:$AA,Sheet1!W$2,Wine1!$E:$E,"*" &amp; Sheet1!$A34 &amp;"*")</f>
        <v>1</v>
      </c>
      <c r="X34" s="37">
        <f>COUNTIFS(Wine1!$AA:$AA,Sheet1!X$2,Wine1!$E:$E,"*" &amp; Sheet1!$A34 &amp;"*")</f>
        <v>0</v>
      </c>
      <c r="Y34" s="37">
        <f>COUNTIFS(Wine1!$AA:$AA,Sheet1!Y$2,Wine1!$E:$E,"*" &amp; Sheet1!$A34 &amp;"*")</f>
        <v>1</v>
      </c>
      <c r="Z34" s="37">
        <f>COUNTIFS(Wine1!$AA:$AA,Sheet1!Z$2,Wine1!$E:$E,"*" &amp; Sheet1!$A34 &amp;"*")</f>
        <v>0</v>
      </c>
      <c r="AA34" s="37">
        <f>COUNTIFS(Wine1!$AA:$AA,Sheet1!AA$2,Wine1!$E:$E,"*" &amp; Sheet1!$A34 &amp;"*")</f>
        <v>1</v>
      </c>
      <c r="AB34" s="37">
        <f>COUNTIFS(Wine1!$AA:$AA,Sheet1!AB$2,Wine1!$E:$E,"*" &amp; Sheet1!$A34 &amp;"*")</f>
        <v>0</v>
      </c>
      <c r="AC34" s="37">
        <f>COUNTIFS(Wine1!$AA:$AA,Sheet1!AC$2,Wine1!$E:$E,"*" &amp; Sheet1!$A34 &amp;"*")</f>
        <v>0</v>
      </c>
      <c r="AD34" s="37">
        <f>COUNTIFS(Wine1!$AA:$AA,Sheet1!AD$2,Wine1!$E:$E,"*" &amp; Sheet1!$A34 &amp;"*")</f>
        <v>0</v>
      </c>
      <c r="AE34" s="37">
        <f>COUNTIFS(Wine1!$AA:$AA,Sheet1!AE$2,Wine1!$E:$E,"*" &amp; Sheet1!$A34 &amp;"*")</f>
        <v>0</v>
      </c>
      <c r="AF34" s="37">
        <f>COUNTIFS(Wine1!$AA:$AA,Sheet1!AF$2,Wine1!$E:$E,"*" &amp; Sheet1!$A34 &amp;"*")</f>
        <v>0</v>
      </c>
      <c r="AG34" s="37">
        <f>COUNTIFS(Wine1!$AA:$AA,Sheet1!AG$2,Wine1!$E:$E,"*" &amp; Sheet1!$A34 &amp;"*")</f>
        <v>0</v>
      </c>
      <c r="AH34" s="37">
        <f>COUNTIFS(Wine1!$AA:$AA,Sheet1!AH$2,Wine1!$E:$E,"*" &amp; Sheet1!$A34 &amp;"*")</f>
        <v>0</v>
      </c>
      <c r="AI34" s="37">
        <f>COUNTIFS(Wine1!$AA:$AA,Sheet1!AI$2,Wine1!$E:$E,"*" &amp; Sheet1!$A34 &amp;"*")</f>
        <v>0</v>
      </c>
      <c r="AJ34" s="37">
        <f>COUNTIFS(Wine1!$AA:$AA,Sheet1!AJ$2,Wine1!$E:$E,"*" &amp; Sheet1!$A34 &amp;"*")</f>
        <v>0</v>
      </c>
      <c r="AK34" s="37">
        <f>COUNTIFS(Wine1!$AA:$AA,Sheet1!AK$2,Wine1!$E:$E,"*" &amp; Sheet1!$A34 &amp;"*")</f>
        <v>0</v>
      </c>
      <c r="AL34" s="37">
        <f>COUNTIFS(Wine1!$AA:$AA,Sheet1!AL$2,Wine1!$E:$E,"*" &amp; Sheet1!$A34 &amp;"*")</f>
        <v>0</v>
      </c>
      <c r="AM34" s="37">
        <f>COUNTIFS(Wine1!$AA:$AA,Sheet1!AM$2,Wine1!$E:$E,"*" &amp; Sheet1!$A34 &amp;"*")</f>
        <v>0</v>
      </c>
      <c r="AN34" s="37">
        <f>COUNTIFS(Wine1!$AA:$AA,Sheet1!AN$2,Wine1!$E:$E,"*" &amp; Sheet1!$A34 &amp;"*")</f>
        <v>0</v>
      </c>
      <c r="AO34" s="37">
        <f>COUNTIFS(Wine1!$AA:$AA,Sheet1!AO$2,Wine1!$E:$E,"*" &amp; Sheet1!$A34 &amp;"*")</f>
        <v>0</v>
      </c>
      <c r="AP34" s="37">
        <f>COUNTIFS(Wine1!$AA:$AA,Sheet1!AP$2,Wine1!$E:$E,"*" &amp; Sheet1!$A34 &amp;"*")</f>
        <v>0</v>
      </c>
      <c r="AQ34" s="37">
        <f>COUNTIFS(Wine1!$AA:$AA,Sheet1!AQ$2,Wine1!$E:$E,"*" &amp; Sheet1!$A34 &amp;"*")</f>
        <v>0</v>
      </c>
      <c r="AR34" s="37">
        <f>COUNTIFS(Wine1!$AA:$AA,Sheet1!AR$2,Wine1!$E:$E,"*" &amp; Sheet1!$A34 &amp;"*")</f>
        <v>0</v>
      </c>
      <c r="AS34" s="37">
        <f>COUNTIFS(Wine1!$AA:$AA,Sheet1!AS$2,Wine1!$E:$E,"*" &amp; Sheet1!$A34 &amp;"*")</f>
        <v>0</v>
      </c>
      <c r="AT34" s="37">
        <f>COUNTIFS(Wine1!$AA:$AA,Sheet1!AT$2,Wine1!$E:$E,"*" &amp; Sheet1!$A34 &amp;"*")</f>
        <v>0</v>
      </c>
      <c r="AU34" s="37">
        <f>COUNTIFS(Wine1!$AA:$AA,Sheet1!AU$2,Wine1!$E:$E,"*" &amp; Sheet1!$A34 &amp;"*")</f>
        <v>0</v>
      </c>
      <c r="AV34" s="37">
        <f>COUNTIFS(Wine1!$AA:$AA,Sheet1!AV$2,Wine1!$E:$E,"*" &amp; Sheet1!$A34 &amp;"*")</f>
        <v>0</v>
      </c>
      <c r="AW34" s="37">
        <f>COUNTIFS(Wine1!$AA:$AA,Sheet1!AW$2,Wine1!$E:$E,"*" &amp; Sheet1!$A34 &amp;"*")</f>
        <v>0</v>
      </c>
      <c r="AX34" s="37">
        <f>COUNTIFS(Wine1!$AA:$AA,Sheet1!AX$2,Wine1!$E:$E,"*" &amp; Sheet1!$A34 &amp;"*")</f>
        <v>0</v>
      </c>
      <c r="AY34" s="37">
        <f>COUNTIFS(Wine1!$AA:$AA,Sheet1!AY$2,Wine1!$E:$E,"*" &amp; Sheet1!$A34 &amp;"*")</f>
        <v>0</v>
      </c>
      <c r="AZ34" s="37">
        <f>COUNTIFS(Wine1!$AA:$AA,Sheet1!AZ$2,Wine1!$E:$E,"*" &amp; Sheet1!$A34 &amp;"*")</f>
        <v>0</v>
      </c>
      <c r="BA34" s="37">
        <f>COUNTIFS(Wine1!$AA:$AA,Sheet1!BA$2,Wine1!$E:$E,"*" &amp; Sheet1!$A34 &amp;"*")</f>
        <v>0</v>
      </c>
      <c r="BB34" s="37">
        <f>COUNTIFS(Wine1!$AA:$AA,Sheet1!BB$2,Wine1!$E:$E,"*" &amp; Sheet1!$A34 &amp;"*")</f>
        <v>0</v>
      </c>
      <c r="BC34" s="37">
        <f>COUNTIFS(Wine1!$AA:$AA,Sheet1!BC$2,Wine1!$E:$E,"*" &amp; Sheet1!$A34 &amp;"*")</f>
        <v>0</v>
      </c>
      <c r="BD34" s="37">
        <f>COUNTIFS(Wine1!$AA:$AA,Sheet1!BD$2,Wine1!$E:$E,"*" &amp; Sheet1!$A34 &amp;"*")</f>
        <v>0</v>
      </c>
      <c r="BE34" s="37">
        <f>COUNTIFS(Wine1!$AA:$AA,Sheet1!BE$2,Wine1!$E:$E,"*" &amp; Sheet1!$A34 &amp;"*")</f>
        <v>0</v>
      </c>
      <c r="BF34" s="37">
        <f>COUNTIFS(Wine1!$AA:$AA,Sheet1!BF$2,Wine1!$E:$E,"*" &amp; Sheet1!$A34 &amp;"*")</f>
        <v>0</v>
      </c>
      <c r="BG34" s="37">
        <f>COUNTIFS(Wine1!$AA:$AA,Sheet1!BG$2,Wine1!$E:$E,"*" &amp; Sheet1!$A34 &amp;"*")</f>
        <v>0</v>
      </c>
      <c r="BH34" s="37">
        <f>COUNTIFS(Wine1!$AA:$AA,Sheet1!BH$2,Wine1!$E:$E,"*" &amp; Sheet1!$A34 &amp;"*")</f>
        <v>0</v>
      </c>
      <c r="BI34" s="37">
        <f>COUNTIFS(Wine1!$AA:$AA,Sheet1!BI$2,Wine1!$E:$E,"*" &amp; Sheet1!$A34 &amp;"*")</f>
        <v>0</v>
      </c>
      <c r="BJ34" s="37">
        <f>COUNTIFS(Wine1!$AA:$AA,Sheet1!BJ$2,Wine1!$E:$E,"*" &amp; Sheet1!$A34 &amp;"*")</f>
        <v>0</v>
      </c>
      <c r="BK34" s="37">
        <f>COUNTIFS(Wine1!$AA:$AA,Sheet1!BK$2,Wine1!$E:$E,"*" &amp; Sheet1!$A34 &amp;"*")</f>
        <v>0</v>
      </c>
      <c r="BL34" s="37">
        <f>COUNTIFS(Wine1!$AA:$AA,Sheet1!BL$2,Wine1!$E:$E,"*" &amp; Sheet1!$A34 &amp;"*")</f>
        <v>0</v>
      </c>
    </row>
    <row r="35" spans="1:64" x14ac:dyDescent="0.25">
      <c r="A35" t="s">
        <v>320</v>
      </c>
      <c r="B35" s="95">
        <f>COUNTIFS(Wine1!$AF:$AF,Sheet1!B$2,Wine1!$E:$E,"*" &amp; Sheet1!$A35 &amp;"*")</f>
        <v>0</v>
      </c>
      <c r="C35" s="9">
        <f>COUNTIFS(Wine1!$AF:$AF,Sheet1!C$2,Wine1!$E:$E,"*" &amp; Sheet1!$A35 &amp;"*")</f>
        <v>0</v>
      </c>
      <c r="D35" s="9">
        <f>COUNTIFS(Wine1!$AF:$AF,Sheet1!D$2,Wine1!$E:$E,"*" &amp; Sheet1!$A35 &amp;"*")</f>
        <v>6</v>
      </c>
      <c r="E35" s="9">
        <f>COUNTIFS(Wine1!$AF:$AF,Sheet1!E$2,Wine1!$E:$E,"*" &amp; Sheet1!$A35 &amp;"*")</f>
        <v>0</v>
      </c>
      <c r="F35" s="43">
        <f t="shared" ref="F35:F52" si="1">SUM(B35,C35,D35,E35)</f>
        <v>6</v>
      </c>
      <c r="G35" s="37">
        <f>COUNTIFS(Wine1!$AA:$AA,Sheet1!G$2,Wine1!$E:$E,"*" &amp; Sheet1!$A35 &amp;"*")</f>
        <v>1</v>
      </c>
      <c r="H35" s="37">
        <f>COUNTIFS(Wine1!$AA:$AA,Sheet1!H$2,Wine1!$E:$E,"*" &amp; Sheet1!$A35 &amp;"*")</f>
        <v>0</v>
      </c>
      <c r="I35" s="37">
        <f>COUNTIFS(Wine1!$AA:$AA,Sheet1!I$2,Wine1!$E:$E,"*" &amp; Sheet1!$A35 &amp;"*")</f>
        <v>0</v>
      </c>
      <c r="J35" s="37">
        <f>COUNTIFS(Wine1!$AA:$AA,Sheet1!J$2,Wine1!$E:$E,"*" &amp; Sheet1!$A35 &amp;"*")</f>
        <v>1</v>
      </c>
      <c r="K35" s="37">
        <f>COUNTIFS(Wine1!$AA:$AA,Sheet1!K$2,Wine1!$E:$E,"*" &amp; Sheet1!$A35 &amp;"*")</f>
        <v>0</v>
      </c>
      <c r="L35" s="37">
        <f>COUNTIFS(Wine1!$AA:$AA,Sheet1!L$2,Wine1!$E:$E,"*" &amp; Sheet1!$A35 &amp;"*")</f>
        <v>2</v>
      </c>
      <c r="M35" s="37">
        <f>COUNTIFS(Wine1!$AA:$AA,Sheet1!M$2,Wine1!$E:$E,"*" &amp; Sheet1!$A35 &amp;"*")</f>
        <v>0</v>
      </c>
      <c r="N35" s="37">
        <f>COUNTIFS(Wine1!$AA:$AA,Sheet1!N$2,Wine1!$E:$E,"*" &amp; Sheet1!$A35 &amp;"*")</f>
        <v>1</v>
      </c>
      <c r="O35" s="37">
        <f>COUNTIFS(Wine1!$AA:$AA,Sheet1!O$2,Wine1!$E:$E,"*" &amp; Sheet1!$A35 &amp;"*")</f>
        <v>1</v>
      </c>
      <c r="P35" s="37">
        <f>COUNTIFS(Wine1!$AA:$AA,Sheet1!P$2,Wine1!$E:$E,"*" &amp; Sheet1!$A35 &amp;"*")</f>
        <v>0</v>
      </c>
      <c r="Q35" s="37">
        <f>COUNTIFS(Wine1!$AA:$AA,Sheet1!Q$2,Wine1!$E:$E,"*" &amp; Sheet1!$A35 &amp;"*")</f>
        <v>0</v>
      </c>
      <c r="R35" s="37">
        <f>COUNTIFS(Wine1!$AA:$AA,Sheet1!R$2,Wine1!$E:$E,"*" &amp; Sheet1!$A35 &amp;"*")</f>
        <v>0</v>
      </c>
      <c r="S35" s="37">
        <f>COUNTIFS(Wine1!$AA:$AA,Sheet1!S$2,Wine1!$E:$E,"*" &amp; Sheet1!$A35 &amp;"*")</f>
        <v>0</v>
      </c>
      <c r="T35" s="37">
        <f>COUNTIFS(Wine1!$AA:$AA,Sheet1!T$2,Wine1!$E:$E,"*" &amp; Sheet1!$A35 &amp;"*")</f>
        <v>0</v>
      </c>
      <c r="U35" s="37">
        <f>COUNTIFS(Wine1!$AA:$AA,Sheet1!U$2,Wine1!$E:$E,"*" &amp; Sheet1!$A35 &amp;"*")</f>
        <v>0</v>
      </c>
      <c r="V35" s="37">
        <f>COUNTIFS(Wine1!$AA:$AA,Sheet1!V$2,Wine1!$E:$E,"*" &amp; Sheet1!$A35 &amp;"*")</f>
        <v>0</v>
      </c>
      <c r="W35" s="37">
        <f>COUNTIFS(Wine1!$AA:$AA,Sheet1!W$2,Wine1!$E:$E,"*" &amp; Sheet1!$A35 &amp;"*")</f>
        <v>0</v>
      </c>
      <c r="X35" s="37">
        <f>COUNTIFS(Wine1!$AA:$AA,Sheet1!X$2,Wine1!$E:$E,"*" &amp; Sheet1!$A35 &amp;"*")</f>
        <v>0</v>
      </c>
      <c r="Y35" s="37">
        <f>COUNTIFS(Wine1!$AA:$AA,Sheet1!Y$2,Wine1!$E:$E,"*" &amp; Sheet1!$A35 &amp;"*")</f>
        <v>0</v>
      </c>
      <c r="Z35" s="37">
        <f>COUNTIFS(Wine1!$AA:$AA,Sheet1!Z$2,Wine1!$E:$E,"*" &amp; Sheet1!$A35 &amp;"*")</f>
        <v>0</v>
      </c>
      <c r="AA35" s="37">
        <f>COUNTIFS(Wine1!$AA:$AA,Sheet1!AA$2,Wine1!$E:$E,"*" &amp; Sheet1!$A35 &amp;"*")</f>
        <v>0</v>
      </c>
      <c r="AB35" s="37">
        <f>COUNTIFS(Wine1!$AA:$AA,Sheet1!AB$2,Wine1!$E:$E,"*" &amp; Sheet1!$A35 &amp;"*")</f>
        <v>0</v>
      </c>
      <c r="AC35" s="37">
        <f>COUNTIFS(Wine1!$AA:$AA,Sheet1!AC$2,Wine1!$E:$E,"*" &amp; Sheet1!$A35 &amp;"*")</f>
        <v>0</v>
      </c>
      <c r="AD35" s="37">
        <f>COUNTIFS(Wine1!$AA:$AA,Sheet1!AD$2,Wine1!$E:$E,"*" &amp; Sheet1!$A35 &amp;"*")</f>
        <v>0</v>
      </c>
      <c r="AE35" s="37">
        <f>COUNTIFS(Wine1!$AA:$AA,Sheet1!AE$2,Wine1!$E:$E,"*" &amp; Sheet1!$A35 &amp;"*")</f>
        <v>0</v>
      </c>
      <c r="AF35" s="37">
        <f>COUNTIFS(Wine1!$AA:$AA,Sheet1!AF$2,Wine1!$E:$E,"*" &amp; Sheet1!$A35 &amp;"*")</f>
        <v>0</v>
      </c>
      <c r="AG35" s="37">
        <f>COUNTIFS(Wine1!$AA:$AA,Sheet1!AG$2,Wine1!$E:$E,"*" &amp; Sheet1!$A35 &amp;"*")</f>
        <v>0</v>
      </c>
      <c r="AH35" s="37">
        <f>COUNTIFS(Wine1!$AA:$AA,Sheet1!AH$2,Wine1!$E:$E,"*" &amp; Sheet1!$A35 &amp;"*")</f>
        <v>0</v>
      </c>
      <c r="AI35" s="37">
        <f>COUNTIFS(Wine1!$AA:$AA,Sheet1!AI$2,Wine1!$E:$E,"*" &amp; Sheet1!$A35 &amp;"*")</f>
        <v>0</v>
      </c>
      <c r="AJ35" s="37">
        <f>COUNTIFS(Wine1!$AA:$AA,Sheet1!AJ$2,Wine1!$E:$E,"*" &amp; Sheet1!$A35 &amp;"*")</f>
        <v>0</v>
      </c>
      <c r="AK35" s="37">
        <f>COUNTIFS(Wine1!$AA:$AA,Sheet1!AK$2,Wine1!$E:$E,"*" &amp; Sheet1!$A35 &amp;"*")</f>
        <v>0</v>
      </c>
      <c r="AL35" s="37">
        <f>COUNTIFS(Wine1!$AA:$AA,Sheet1!AL$2,Wine1!$E:$E,"*" &amp; Sheet1!$A35 &amp;"*")</f>
        <v>0</v>
      </c>
      <c r="AM35" s="37">
        <f>COUNTIFS(Wine1!$AA:$AA,Sheet1!AM$2,Wine1!$E:$E,"*" &amp; Sheet1!$A35 &amp;"*")</f>
        <v>0</v>
      </c>
      <c r="AN35" s="37">
        <f>COUNTIFS(Wine1!$AA:$AA,Sheet1!AN$2,Wine1!$E:$E,"*" &amp; Sheet1!$A35 &amp;"*")</f>
        <v>0</v>
      </c>
      <c r="AO35" s="37">
        <f>COUNTIFS(Wine1!$AA:$AA,Sheet1!AO$2,Wine1!$E:$E,"*" &amp; Sheet1!$A35 &amp;"*")</f>
        <v>0</v>
      </c>
      <c r="AP35" s="37">
        <f>COUNTIFS(Wine1!$AA:$AA,Sheet1!AP$2,Wine1!$E:$E,"*" &amp; Sheet1!$A35 &amp;"*")</f>
        <v>0</v>
      </c>
      <c r="AQ35" s="37">
        <f>COUNTIFS(Wine1!$AA:$AA,Sheet1!AQ$2,Wine1!$E:$E,"*" &amp; Sheet1!$A35 &amp;"*")</f>
        <v>0</v>
      </c>
      <c r="AR35" s="37">
        <f>COUNTIFS(Wine1!$AA:$AA,Sheet1!AR$2,Wine1!$E:$E,"*" &amp; Sheet1!$A35 &amp;"*")</f>
        <v>0</v>
      </c>
      <c r="AS35" s="37">
        <f>COUNTIFS(Wine1!$AA:$AA,Sheet1!AS$2,Wine1!$E:$E,"*" &amp; Sheet1!$A35 &amp;"*")</f>
        <v>0</v>
      </c>
      <c r="AT35" s="37">
        <f>COUNTIFS(Wine1!$AA:$AA,Sheet1!AT$2,Wine1!$E:$E,"*" &amp; Sheet1!$A35 &amp;"*")</f>
        <v>0</v>
      </c>
      <c r="AU35" s="37">
        <f>COUNTIFS(Wine1!$AA:$AA,Sheet1!AU$2,Wine1!$E:$E,"*" &amp; Sheet1!$A35 &amp;"*")</f>
        <v>0</v>
      </c>
      <c r="AV35" s="37">
        <f>COUNTIFS(Wine1!$AA:$AA,Sheet1!AV$2,Wine1!$E:$E,"*" &amp; Sheet1!$A35 &amp;"*")</f>
        <v>0</v>
      </c>
      <c r="AW35" s="37">
        <f>COUNTIFS(Wine1!$AA:$AA,Sheet1!AW$2,Wine1!$E:$E,"*" &amp; Sheet1!$A35 &amp;"*")</f>
        <v>0</v>
      </c>
      <c r="AX35" s="37">
        <f>COUNTIFS(Wine1!$AA:$AA,Sheet1!AX$2,Wine1!$E:$E,"*" &amp; Sheet1!$A35 &amp;"*")</f>
        <v>0</v>
      </c>
      <c r="AY35" s="37">
        <f>COUNTIFS(Wine1!$AA:$AA,Sheet1!AY$2,Wine1!$E:$E,"*" &amp; Sheet1!$A35 &amp;"*")</f>
        <v>0</v>
      </c>
      <c r="AZ35" s="37">
        <f>COUNTIFS(Wine1!$AA:$AA,Sheet1!AZ$2,Wine1!$E:$E,"*" &amp; Sheet1!$A35 &amp;"*")</f>
        <v>0</v>
      </c>
      <c r="BA35" s="37">
        <f>COUNTIFS(Wine1!$AA:$AA,Sheet1!BA$2,Wine1!$E:$E,"*" &amp; Sheet1!$A35 &amp;"*")</f>
        <v>0</v>
      </c>
      <c r="BB35" s="37">
        <f>COUNTIFS(Wine1!$AA:$AA,Sheet1!BB$2,Wine1!$E:$E,"*" &amp; Sheet1!$A35 &amp;"*")</f>
        <v>0</v>
      </c>
      <c r="BC35" s="37">
        <f>COUNTIFS(Wine1!$AA:$AA,Sheet1!BC$2,Wine1!$E:$E,"*" &amp; Sheet1!$A35 &amp;"*")</f>
        <v>0</v>
      </c>
      <c r="BD35" s="37">
        <f>COUNTIFS(Wine1!$AA:$AA,Sheet1!BD$2,Wine1!$E:$E,"*" &amp; Sheet1!$A35 &amp;"*")</f>
        <v>0</v>
      </c>
      <c r="BE35" s="37">
        <f>COUNTIFS(Wine1!$AA:$AA,Sheet1!BE$2,Wine1!$E:$E,"*" &amp; Sheet1!$A35 &amp;"*")</f>
        <v>0</v>
      </c>
      <c r="BF35" s="37">
        <f>COUNTIFS(Wine1!$AA:$AA,Sheet1!BF$2,Wine1!$E:$E,"*" &amp; Sheet1!$A35 &amp;"*")</f>
        <v>0</v>
      </c>
      <c r="BG35" s="37">
        <f>COUNTIFS(Wine1!$AA:$AA,Sheet1!BG$2,Wine1!$E:$E,"*" &amp; Sheet1!$A35 &amp;"*")</f>
        <v>0</v>
      </c>
      <c r="BH35" s="37">
        <f>COUNTIFS(Wine1!$AA:$AA,Sheet1!BH$2,Wine1!$E:$E,"*" &amp; Sheet1!$A35 &amp;"*")</f>
        <v>0</v>
      </c>
      <c r="BI35" s="37">
        <f>COUNTIFS(Wine1!$AA:$AA,Sheet1!BI$2,Wine1!$E:$E,"*" &amp; Sheet1!$A35 &amp;"*")</f>
        <v>0</v>
      </c>
      <c r="BJ35" s="37">
        <f>COUNTIFS(Wine1!$AA:$AA,Sheet1!BJ$2,Wine1!$E:$E,"*" &amp; Sheet1!$A35 &amp;"*")</f>
        <v>0</v>
      </c>
      <c r="BK35" s="37">
        <f>COUNTIFS(Wine1!$AA:$AA,Sheet1!BK$2,Wine1!$E:$E,"*" &amp; Sheet1!$A35 &amp;"*")</f>
        <v>0</v>
      </c>
      <c r="BL35" s="37">
        <f>COUNTIFS(Wine1!$AA:$AA,Sheet1!BL$2,Wine1!$E:$E,"*" &amp; Sheet1!$A35 &amp;"*")</f>
        <v>0</v>
      </c>
    </row>
    <row r="36" spans="1:64" x14ac:dyDescent="0.25">
      <c r="A36" s="37" t="s">
        <v>263</v>
      </c>
      <c r="B36" s="95">
        <f>COUNTIFS(Wine1!$AF:$AF,Sheet1!B$2,Wine1!$E:$E,"*" &amp; Sheet1!$A36 &amp;"*")</f>
        <v>8</v>
      </c>
      <c r="C36" s="9">
        <f>COUNTIFS(Wine1!$AF:$AF,Sheet1!C$2,Wine1!$E:$E,"*" &amp; Sheet1!$A36 &amp;"*")</f>
        <v>6</v>
      </c>
      <c r="D36" s="9">
        <f>COUNTIFS(Wine1!$AF:$AF,Sheet1!D$2,Wine1!$E:$E,"*" &amp; Sheet1!$A36 &amp;"*")</f>
        <v>7</v>
      </c>
      <c r="E36" s="9">
        <f>COUNTIFS(Wine1!$AF:$AF,Sheet1!E$2,Wine1!$E:$E,"*" &amp; Sheet1!$A36 &amp;"*")</f>
        <v>4</v>
      </c>
      <c r="F36" s="43">
        <f t="shared" si="1"/>
        <v>25</v>
      </c>
      <c r="G36" s="37">
        <f>COUNTIFS(Wine1!$AA:$AA,Sheet1!G$2,Wine1!$E:$E,"*" &amp; Sheet1!$A36 &amp;"*")</f>
        <v>8</v>
      </c>
      <c r="H36" s="37">
        <f>COUNTIFS(Wine1!$AA:$AA,Sheet1!H$2,Wine1!$E:$E,"*" &amp; Sheet1!$A36 &amp;"*")</f>
        <v>6</v>
      </c>
      <c r="I36" s="37">
        <f>COUNTIFS(Wine1!$AA:$AA,Sheet1!I$2,Wine1!$E:$E,"*" &amp; Sheet1!$A36 &amp;"*")</f>
        <v>3</v>
      </c>
      <c r="J36" s="37">
        <f>COUNTIFS(Wine1!$AA:$AA,Sheet1!J$2,Wine1!$E:$E,"*" &amp; Sheet1!$A36 &amp;"*")</f>
        <v>1</v>
      </c>
      <c r="K36" s="37">
        <f>COUNTIFS(Wine1!$AA:$AA,Sheet1!K$2,Wine1!$E:$E,"*" &amp; Sheet1!$A36 &amp;"*")</f>
        <v>2</v>
      </c>
      <c r="L36" s="37">
        <f>COUNTIFS(Wine1!$AA:$AA,Sheet1!L$2,Wine1!$E:$E,"*" &amp; Sheet1!$A36 &amp;"*")</f>
        <v>0</v>
      </c>
      <c r="M36" s="37">
        <f>COUNTIFS(Wine1!$AA:$AA,Sheet1!M$2,Wine1!$E:$E,"*" &amp; Sheet1!$A36 &amp;"*")</f>
        <v>1</v>
      </c>
      <c r="N36" s="37">
        <f>COUNTIFS(Wine1!$AA:$AA,Sheet1!N$2,Wine1!$E:$E,"*" &amp; Sheet1!$A36 &amp;"*")</f>
        <v>1</v>
      </c>
      <c r="O36" s="37">
        <f>COUNTIFS(Wine1!$AA:$AA,Sheet1!O$2,Wine1!$E:$E,"*" &amp; Sheet1!$A36 &amp;"*")</f>
        <v>0</v>
      </c>
      <c r="P36" s="37">
        <f>COUNTIFS(Wine1!$AA:$AA,Sheet1!P$2,Wine1!$E:$E,"*" &amp; Sheet1!$A36 &amp;"*")</f>
        <v>0</v>
      </c>
      <c r="Q36" s="37">
        <f>COUNTIFS(Wine1!$AA:$AA,Sheet1!Q$2,Wine1!$E:$E,"*" &amp; Sheet1!$A36 &amp;"*")</f>
        <v>1</v>
      </c>
      <c r="R36" s="37">
        <f>COUNTIFS(Wine1!$AA:$AA,Sheet1!R$2,Wine1!$E:$E,"*" &amp; Sheet1!$A36 &amp;"*")</f>
        <v>0</v>
      </c>
      <c r="S36" s="37">
        <f>COUNTIFS(Wine1!$AA:$AA,Sheet1!S$2,Wine1!$E:$E,"*" &amp; Sheet1!$A36 &amp;"*")</f>
        <v>0</v>
      </c>
      <c r="T36" s="37">
        <f>COUNTIFS(Wine1!$AA:$AA,Sheet1!T$2,Wine1!$E:$E,"*" &amp; Sheet1!$A36 &amp;"*")</f>
        <v>0</v>
      </c>
      <c r="U36" s="37">
        <f>COUNTIFS(Wine1!$AA:$AA,Sheet1!U$2,Wine1!$E:$E,"*" &amp; Sheet1!$A36 &amp;"*")</f>
        <v>0</v>
      </c>
      <c r="V36" s="37">
        <f>COUNTIFS(Wine1!$AA:$AA,Sheet1!V$2,Wine1!$E:$E,"*" &amp; Sheet1!$A36 &amp;"*")</f>
        <v>1</v>
      </c>
      <c r="W36" s="37">
        <f>COUNTIFS(Wine1!$AA:$AA,Sheet1!W$2,Wine1!$E:$E,"*" &amp; Sheet1!$A36 &amp;"*")</f>
        <v>0</v>
      </c>
      <c r="X36" s="37">
        <f>COUNTIFS(Wine1!$AA:$AA,Sheet1!X$2,Wine1!$E:$E,"*" &amp; Sheet1!$A36 &amp;"*")</f>
        <v>0</v>
      </c>
      <c r="Y36" s="37">
        <f>COUNTIFS(Wine1!$AA:$AA,Sheet1!Y$2,Wine1!$E:$E,"*" &amp; Sheet1!$A36 &amp;"*")</f>
        <v>0</v>
      </c>
      <c r="Z36" s="37">
        <f>COUNTIFS(Wine1!$AA:$AA,Sheet1!Z$2,Wine1!$E:$E,"*" &amp; Sheet1!$A36 &amp;"*")</f>
        <v>0</v>
      </c>
      <c r="AA36" s="37">
        <f>COUNTIFS(Wine1!$AA:$AA,Sheet1!AA$2,Wine1!$E:$E,"*" &amp; Sheet1!$A36 &amp;"*")</f>
        <v>0</v>
      </c>
      <c r="AB36" s="37">
        <f>COUNTIFS(Wine1!$AA:$AA,Sheet1!AB$2,Wine1!$E:$E,"*" &amp; Sheet1!$A36 &amp;"*")</f>
        <v>0</v>
      </c>
      <c r="AC36" s="37">
        <f>COUNTIFS(Wine1!$AA:$AA,Sheet1!AC$2,Wine1!$E:$E,"*" &amp; Sheet1!$A36 &amp;"*")</f>
        <v>1</v>
      </c>
      <c r="AD36" s="37">
        <f>COUNTIFS(Wine1!$AA:$AA,Sheet1!AD$2,Wine1!$E:$E,"*" &amp; Sheet1!$A36 &amp;"*")</f>
        <v>0</v>
      </c>
      <c r="AE36" s="37">
        <f>COUNTIFS(Wine1!$AA:$AA,Sheet1!AE$2,Wine1!$E:$E,"*" &amp; Sheet1!$A36 &amp;"*")</f>
        <v>0</v>
      </c>
      <c r="AF36" s="37">
        <f>COUNTIFS(Wine1!$AA:$AA,Sheet1!AF$2,Wine1!$E:$E,"*" &amp; Sheet1!$A36 &amp;"*")</f>
        <v>0</v>
      </c>
      <c r="AG36" s="37">
        <f>COUNTIFS(Wine1!$AA:$AA,Sheet1!AG$2,Wine1!$E:$E,"*" &amp; Sheet1!$A36 &amp;"*")</f>
        <v>0</v>
      </c>
      <c r="AH36" s="37">
        <f>COUNTIFS(Wine1!$AA:$AA,Sheet1!AH$2,Wine1!$E:$E,"*" &amp; Sheet1!$A36 &amp;"*")</f>
        <v>0</v>
      </c>
      <c r="AI36" s="37">
        <f>COUNTIFS(Wine1!$AA:$AA,Sheet1!AI$2,Wine1!$E:$E,"*" &amp; Sheet1!$A36 &amp;"*")</f>
        <v>0</v>
      </c>
      <c r="AJ36" s="37">
        <f>COUNTIFS(Wine1!$AA:$AA,Sheet1!AJ$2,Wine1!$E:$E,"*" &amp; Sheet1!$A36 &amp;"*")</f>
        <v>0</v>
      </c>
      <c r="AK36" s="37">
        <f>COUNTIFS(Wine1!$AA:$AA,Sheet1!AK$2,Wine1!$E:$E,"*" &amp; Sheet1!$A36 &amp;"*")</f>
        <v>0</v>
      </c>
      <c r="AL36" s="37">
        <f>COUNTIFS(Wine1!$AA:$AA,Sheet1!AL$2,Wine1!$E:$E,"*" &amp; Sheet1!$A36 &amp;"*")</f>
        <v>0</v>
      </c>
      <c r="AM36" s="37">
        <f>COUNTIFS(Wine1!$AA:$AA,Sheet1!AM$2,Wine1!$E:$E,"*" &amp; Sheet1!$A36 &amp;"*")</f>
        <v>0</v>
      </c>
      <c r="AN36" s="37">
        <f>COUNTIFS(Wine1!$AA:$AA,Sheet1!AN$2,Wine1!$E:$E,"*" &amp; Sheet1!$A36 &amp;"*")</f>
        <v>0</v>
      </c>
      <c r="AO36" s="37">
        <f>COUNTIFS(Wine1!$AA:$AA,Sheet1!AO$2,Wine1!$E:$E,"*" &amp; Sheet1!$A36 &amp;"*")</f>
        <v>0</v>
      </c>
      <c r="AP36" s="37">
        <f>COUNTIFS(Wine1!$AA:$AA,Sheet1!AP$2,Wine1!$E:$E,"*" &amp; Sheet1!$A36 &amp;"*")</f>
        <v>0</v>
      </c>
      <c r="AQ36" s="37">
        <f>COUNTIFS(Wine1!$AA:$AA,Sheet1!AQ$2,Wine1!$E:$E,"*" &amp; Sheet1!$A36 &amp;"*")</f>
        <v>0</v>
      </c>
      <c r="AR36" s="37">
        <f>COUNTIFS(Wine1!$AA:$AA,Sheet1!AR$2,Wine1!$E:$E,"*" &amp; Sheet1!$A36 &amp;"*")</f>
        <v>0</v>
      </c>
      <c r="AS36" s="37">
        <f>COUNTIFS(Wine1!$AA:$AA,Sheet1!AS$2,Wine1!$E:$E,"*" &amp; Sheet1!$A36 &amp;"*")</f>
        <v>0</v>
      </c>
      <c r="AT36" s="37">
        <f>COUNTIFS(Wine1!$AA:$AA,Sheet1!AT$2,Wine1!$E:$E,"*" &amp; Sheet1!$A36 &amp;"*")</f>
        <v>0</v>
      </c>
      <c r="AU36" s="37">
        <f>COUNTIFS(Wine1!$AA:$AA,Sheet1!AU$2,Wine1!$E:$E,"*" &amp; Sheet1!$A36 &amp;"*")</f>
        <v>0</v>
      </c>
      <c r="AV36" s="37">
        <f>COUNTIFS(Wine1!$AA:$AA,Sheet1!AV$2,Wine1!$E:$E,"*" &amp; Sheet1!$A36 &amp;"*")</f>
        <v>0</v>
      </c>
      <c r="AW36" s="37">
        <f>COUNTIFS(Wine1!$AA:$AA,Sheet1!AW$2,Wine1!$E:$E,"*" &amp; Sheet1!$A36 &amp;"*")</f>
        <v>0</v>
      </c>
      <c r="AX36" s="37">
        <f>COUNTIFS(Wine1!$AA:$AA,Sheet1!AX$2,Wine1!$E:$E,"*" &amp; Sheet1!$A36 &amp;"*")</f>
        <v>0</v>
      </c>
      <c r="AY36" s="37">
        <f>COUNTIFS(Wine1!$AA:$AA,Sheet1!AY$2,Wine1!$E:$E,"*" &amp; Sheet1!$A36 &amp;"*")</f>
        <v>0</v>
      </c>
      <c r="AZ36" s="37">
        <f>COUNTIFS(Wine1!$AA:$AA,Sheet1!AZ$2,Wine1!$E:$E,"*" &amp; Sheet1!$A36 &amp;"*")</f>
        <v>0</v>
      </c>
      <c r="BA36" s="37">
        <f>COUNTIFS(Wine1!$AA:$AA,Sheet1!BA$2,Wine1!$E:$E,"*" &amp; Sheet1!$A36 &amp;"*")</f>
        <v>0</v>
      </c>
      <c r="BB36" s="37">
        <f>COUNTIFS(Wine1!$AA:$AA,Sheet1!BB$2,Wine1!$E:$E,"*" &amp; Sheet1!$A36 &amp;"*")</f>
        <v>0</v>
      </c>
      <c r="BC36" s="37">
        <f>COUNTIFS(Wine1!$AA:$AA,Sheet1!BC$2,Wine1!$E:$E,"*" &amp; Sheet1!$A36 &amp;"*")</f>
        <v>0</v>
      </c>
      <c r="BD36" s="37">
        <f>COUNTIFS(Wine1!$AA:$AA,Sheet1!BD$2,Wine1!$E:$E,"*" &amp; Sheet1!$A36 &amp;"*")</f>
        <v>0</v>
      </c>
      <c r="BE36" s="37">
        <f>COUNTIFS(Wine1!$AA:$AA,Sheet1!BE$2,Wine1!$E:$E,"*" &amp; Sheet1!$A36 &amp;"*")</f>
        <v>0</v>
      </c>
      <c r="BF36" s="37">
        <f>COUNTIFS(Wine1!$AA:$AA,Sheet1!BF$2,Wine1!$E:$E,"*" &amp; Sheet1!$A36 &amp;"*")</f>
        <v>0</v>
      </c>
      <c r="BG36" s="37">
        <f>COUNTIFS(Wine1!$AA:$AA,Sheet1!BG$2,Wine1!$E:$E,"*" &amp; Sheet1!$A36 &amp;"*")</f>
        <v>0</v>
      </c>
      <c r="BH36" s="37">
        <f>COUNTIFS(Wine1!$AA:$AA,Sheet1!BH$2,Wine1!$E:$E,"*" &amp; Sheet1!$A36 &amp;"*")</f>
        <v>0</v>
      </c>
      <c r="BI36" s="37">
        <f>COUNTIFS(Wine1!$AA:$AA,Sheet1!BI$2,Wine1!$E:$E,"*" &amp; Sheet1!$A36 &amp;"*")</f>
        <v>0</v>
      </c>
      <c r="BJ36" s="37">
        <f>COUNTIFS(Wine1!$AA:$AA,Sheet1!BJ$2,Wine1!$E:$E,"*" &amp; Sheet1!$A36 &amp;"*")</f>
        <v>0</v>
      </c>
      <c r="BK36" s="37">
        <f>COUNTIFS(Wine1!$AA:$AA,Sheet1!BK$2,Wine1!$E:$E,"*" &amp; Sheet1!$A36 &amp;"*")</f>
        <v>0</v>
      </c>
      <c r="BL36" s="37">
        <f>COUNTIFS(Wine1!$AA:$AA,Sheet1!BL$2,Wine1!$E:$E,"*" &amp; Sheet1!$A36 &amp;"*")</f>
        <v>0</v>
      </c>
    </row>
    <row r="37" spans="1:64" x14ac:dyDescent="0.25">
      <c r="A37" t="s">
        <v>257</v>
      </c>
      <c r="B37" s="95">
        <f>COUNTIFS(Wine1!$AF:$AF,Sheet1!B$2,Wine1!$E:$E,"*" &amp; Sheet1!$A37 &amp;"*")</f>
        <v>0</v>
      </c>
      <c r="C37" s="96">
        <f>COUNTIFS(Wine1!$AF:$AF,Sheet1!C$2,Wine1!$E:$E,"*" &amp; Sheet1!$A37 &amp;"*")</f>
        <v>1</v>
      </c>
      <c r="D37" s="9">
        <f>COUNTIFS(Wine1!$AF:$AF,Sheet1!D$2,Wine1!$E:$E,"*" &amp; Sheet1!$A37 &amp;"*")</f>
        <v>1</v>
      </c>
      <c r="E37" s="9">
        <f>COUNTIFS(Wine1!$AF:$AF,Sheet1!E$2,Wine1!$E:$E,"*" &amp; Sheet1!$A37 &amp;"*")</f>
        <v>3</v>
      </c>
      <c r="F37" s="99">
        <f t="shared" si="1"/>
        <v>5</v>
      </c>
      <c r="G37" s="37">
        <f>COUNTIFS(Wine1!$AA:$AA,Sheet1!G$2,Wine1!$E:$E,"*" &amp; Sheet1!$A37 &amp;"*")</f>
        <v>2</v>
      </c>
      <c r="H37" s="37">
        <f>COUNTIFS(Wine1!$AA:$AA,Sheet1!H$2,Wine1!$E:$E,"*" &amp; Sheet1!$A37 &amp;"*")</f>
        <v>0</v>
      </c>
      <c r="I37" s="37">
        <f>COUNTIFS(Wine1!$AA:$AA,Sheet1!I$2,Wine1!$E:$E,"*" &amp; Sheet1!$A37 &amp;"*")</f>
        <v>0</v>
      </c>
      <c r="J37" s="37">
        <f>COUNTIFS(Wine1!$AA:$AA,Sheet1!J$2,Wine1!$E:$E,"*" &amp; Sheet1!$A37 &amp;"*")</f>
        <v>0</v>
      </c>
      <c r="K37" s="37">
        <f>COUNTIFS(Wine1!$AA:$AA,Sheet1!K$2,Wine1!$E:$E,"*" &amp; Sheet1!$A37 &amp;"*")</f>
        <v>1</v>
      </c>
      <c r="L37" s="37">
        <f>COUNTIFS(Wine1!$AA:$AA,Sheet1!L$2,Wine1!$E:$E,"*" &amp; Sheet1!$A37 &amp;"*")</f>
        <v>0</v>
      </c>
      <c r="M37" s="37">
        <f>COUNTIFS(Wine1!$AA:$AA,Sheet1!M$2,Wine1!$E:$E,"*" &amp; Sheet1!$A37 &amp;"*")</f>
        <v>0</v>
      </c>
      <c r="N37" s="37">
        <f>COUNTIFS(Wine1!$AA:$AA,Sheet1!N$2,Wine1!$E:$E,"*" &amp; Sheet1!$A37 &amp;"*")</f>
        <v>0</v>
      </c>
      <c r="O37" s="37">
        <f>COUNTIFS(Wine1!$AA:$AA,Sheet1!O$2,Wine1!$E:$E,"*" &amp; Sheet1!$A37 &amp;"*")</f>
        <v>0</v>
      </c>
      <c r="P37" s="37">
        <f>COUNTIFS(Wine1!$AA:$AA,Sheet1!P$2,Wine1!$E:$E,"*" &amp; Sheet1!$A37 &amp;"*")</f>
        <v>0</v>
      </c>
      <c r="Q37" s="37">
        <f>COUNTIFS(Wine1!$AA:$AA,Sheet1!Q$2,Wine1!$E:$E,"*" &amp; Sheet1!$A37 &amp;"*")</f>
        <v>0</v>
      </c>
      <c r="R37" s="37">
        <f>COUNTIFS(Wine1!$AA:$AA,Sheet1!R$2,Wine1!$E:$E,"*" &amp; Sheet1!$A37 &amp;"*")</f>
        <v>0</v>
      </c>
      <c r="S37" s="37">
        <f>COUNTIFS(Wine1!$AA:$AA,Sheet1!S$2,Wine1!$E:$E,"*" &amp; Sheet1!$A37 &amp;"*")</f>
        <v>0</v>
      </c>
      <c r="T37" s="37">
        <f>COUNTIFS(Wine1!$AA:$AA,Sheet1!T$2,Wine1!$E:$E,"*" &amp; Sheet1!$A37 &amp;"*")</f>
        <v>0</v>
      </c>
      <c r="U37" s="37">
        <f>COUNTIFS(Wine1!$AA:$AA,Sheet1!U$2,Wine1!$E:$E,"*" &amp; Sheet1!$A37 &amp;"*")</f>
        <v>0</v>
      </c>
      <c r="V37" s="37">
        <f>COUNTIFS(Wine1!$AA:$AA,Sheet1!V$2,Wine1!$E:$E,"*" &amp; Sheet1!$A37 &amp;"*")</f>
        <v>1</v>
      </c>
      <c r="W37" s="37">
        <f>COUNTIFS(Wine1!$AA:$AA,Sheet1!W$2,Wine1!$E:$E,"*" &amp; Sheet1!$A37 &amp;"*")</f>
        <v>0</v>
      </c>
      <c r="X37" s="37">
        <f>COUNTIFS(Wine1!$AA:$AA,Sheet1!X$2,Wine1!$E:$E,"*" &amp; Sheet1!$A37 &amp;"*")</f>
        <v>0</v>
      </c>
      <c r="Y37" s="37">
        <f>COUNTIFS(Wine1!$AA:$AA,Sheet1!Y$2,Wine1!$E:$E,"*" &amp; Sheet1!$A37 &amp;"*")</f>
        <v>0</v>
      </c>
      <c r="Z37" s="37">
        <f>COUNTIFS(Wine1!$AA:$AA,Sheet1!Z$2,Wine1!$E:$E,"*" &amp; Sheet1!$A37 &amp;"*")</f>
        <v>0</v>
      </c>
      <c r="AA37" s="37">
        <f>COUNTIFS(Wine1!$AA:$AA,Sheet1!AA$2,Wine1!$E:$E,"*" &amp; Sheet1!$A37 &amp;"*")</f>
        <v>0</v>
      </c>
      <c r="AB37" s="37">
        <f>COUNTIFS(Wine1!$AA:$AA,Sheet1!AB$2,Wine1!$E:$E,"*" &amp; Sheet1!$A37 &amp;"*")</f>
        <v>0</v>
      </c>
      <c r="AC37" s="37">
        <f>COUNTIFS(Wine1!$AA:$AA,Sheet1!AC$2,Wine1!$E:$E,"*" &amp; Sheet1!$A37 &amp;"*")</f>
        <v>0</v>
      </c>
      <c r="AD37" s="37">
        <f>COUNTIFS(Wine1!$AA:$AA,Sheet1!AD$2,Wine1!$E:$E,"*" &amp; Sheet1!$A37 &amp;"*")</f>
        <v>0</v>
      </c>
      <c r="AE37" s="37">
        <f>COUNTIFS(Wine1!$AA:$AA,Sheet1!AE$2,Wine1!$E:$E,"*" &amp; Sheet1!$A37 &amp;"*")</f>
        <v>0</v>
      </c>
      <c r="AF37" s="37">
        <f>COUNTIFS(Wine1!$AA:$AA,Sheet1!AF$2,Wine1!$E:$E,"*" &amp; Sheet1!$A37 &amp;"*")</f>
        <v>0</v>
      </c>
      <c r="AG37" s="37">
        <f>COUNTIFS(Wine1!$AA:$AA,Sheet1!AG$2,Wine1!$E:$E,"*" &amp; Sheet1!$A37 &amp;"*")</f>
        <v>0</v>
      </c>
      <c r="AH37" s="37">
        <f>COUNTIFS(Wine1!$AA:$AA,Sheet1!AH$2,Wine1!$E:$E,"*" &amp; Sheet1!$A37 &amp;"*")</f>
        <v>0</v>
      </c>
      <c r="AI37" s="37">
        <f>COUNTIFS(Wine1!$AA:$AA,Sheet1!AI$2,Wine1!$E:$E,"*" &amp; Sheet1!$A37 &amp;"*")</f>
        <v>0</v>
      </c>
      <c r="AJ37" s="37">
        <f>COUNTIFS(Wine1!$AA:$AA,Sheet1!AJ$2,Wine1!$E:$E,"*" &amp; Sheet1!$A37 &amp;"*")</f>
        <v>0</v>
      </c>
      <c r="AK37" s="37">
        <f>COUNTIFS(Wine1!$AA:$AA,Sheet1!AK$2,Wine1!$E:$E,"*" &amp; Sheet1!$A37 &amp;"*")</f>
        <v>1</v>
      </c>
      <c r="AL37" s="37">
        <f>COUNTIFS(Wine1!$AA:$AA,Sheet1!AL$2,Wine1!$E:$E,"*" &amp; Sheet1!$A37 &amp;"*")</f>
        <v>0</v>
      </c>
      <c r="AM37" s="37">
        <f>COUNTIFS(Wine1!$AA:$AA,Sheet1!AM$2,Wine1!$E:$E,"*" &amp; Sheet1!$A37 &amp;"*")</f>
        <v>0</v>
      </c>
      <c r="AN37" s="37">
        <f>COUNTIFS(Wine1!$AA:$AA,Sheet1!AN$2,Wine1!$E:$E,"*" &amp; Sheet1!$A37 &amp;"*")</f>
        <v>0</v>
      </c>
      <c r="AO37" s="37">
        <f>COUNTIFS(Wine1!$AA:$AA,Sheet1!AO$2,Wine1!$E:$E,"*" &amp; Sheet1!$A37 &amp;"*")</f>
        <v>0</v>
      </c>
      <c r="AP37" s="37">
        <f>COUNTIFS(Wine1!$AA:$AA,Sheet1!AP$2,Wine1!$E:$E,"*" &amp; Sheet1!$A37 &amp;"*")</f>
        <v>0</v>
      </c>
      <c r="AQ37" s="37">
        <f>COUNTIFS(Wine1!$AA:$AA,Sheet1!AQ$2,Wine1!$E:$E,"*" &amp; Sheet1!$A37 &amp;"*")</f>
        <v>0</v>
      </c>
      <c r="AR37" s="37">
        <f>COUNTIFS(Wine1!$AA:$AA,Sheet1!AR$2,Wine1!$E:$E,"*" &amp; Sheet1!$A37 &amp;"*")</f>
        <v>0</v>
      </c>
      <c r="AS37" s="37">
        <f>COUNTIFS(Wine1!$AA:$AA,Sheet1!AS$2,Wine1!$E:$E,"*" &amp; Sheet1!$A37 &amp;"*")</f>
        <v>0</v>
      </c>
      <c r="AT37" s="37">
        <f>COUNTIFS(Wine1!$AA:$AA,Sheet1!AT$2,Wine1!$E:$E,"*" &amp; Sheet1!$A37 &amp;"*")</f>
        <v>0</v>
      </c>
      <c r="AU37" s="37">
        <f>COUNTIFS(Wine1!$AA:$AA,Sheet1!AU$2,Wine1!$E:$E,"*" &amp; Sheet1!$A37 &amp;"*")</f>
        <v>0</v>
      </c>
      <c r="AV37" s="37">
        <f>COUNTIFS(Wine1!$AA:$AA,Sheet1!AV$2,Wine1!$E:$E,"*" &amp; Sheet1!$A37 &amp;"*")</f>
        <v>0</v>
      </c>
      <c r="AW37" s="37">
        <f>COUNTIFS(Wine1!$AA:$AA,Sheet1!AW$2,Wine1!$E:$E,"*" &amp; Sheet1!$A37 &amp;"*")</f>
        <v>0</v>
      </c>
      <c r="AX37" s="37">
        <f>COUNTIFS(Wine1!$AA:$AA,Sheet1!AX$2,Wine1!$E:$E,"*" &amp; Sheet1!$A37 &amp;"*")</f>
        <v>0</v>
      </c>
      <c r="AY37" s="37">
        <f>COUNTIFS(Wine1!$AA:$AA,Sheet1!AY$2,Wine1!$E:$E,"*" &amp; Sheet1!$A37 &amp;"*")</f>
        <v>0</v>
      </c>
      <c r="AZ37" s="37">
        <f>COUNTIFS(Wine1!$AA:$AA,Sheet1!AZ$2,Wine1!$E:$E,"*" &amp; Sheet1!$A37 &amp;"*")</f>
        <v>0</v>
      </c>
      <c r="BA37" s="37">
        <f>COUNTIFS(Wine1!$AA:$AA,Sheet1!BA$2,Wine1!$E:$E,"*" &amp; Sheet1!$A37 &amp;"*")</f>
        <v>0</v>
      </c>
      <c r="BB37" s="37">
        <f>COUNTIFS(Wine1!$AA:$AA,Sheet1!BB$2,Wine1!$E:$E,"*" &amp; Sheet1!$A37 &amp;"*")</f>
        <v>0</v>
      </c>
      <c r="BC37" s="37">
        <f>COUNTIFS(Wine1!$AA:$AA,Sheet1!BC$2,Wine1!$E:$E,"*" &amp; Sheet1!$A37 &amp;"*")</f>
        <v>0</v>
      </c>
      <c r="BD37" s="37">
        <f>COUNTIFS(Wine1!$AA:$AA,Sheet1!BD$2,Wine1!$E:$E,"*" &amp; Sheet1!$A37 &amp;"*")</f>
        <v>0</v>
      </c>
      <c r="BE37" s="37">
        <f>COUNTIFS(Wine1!$AA:$AA,Sheet1!BE$2,Wine1!$E:$E,"*" &amp; Sheet1!$A37 &amp;"*")</f>
        <v>0</v>
      </c>
      <c r="BF37" s="37">
        <f>COUNTIFS(Wine1!$AA:$AA,Sheet1!BF$2,Wine1!$E:$E,"*" &amp; Sheet1!$A37 &amp;"*")</f>
        <v>0</v>
      </c>
      <c r="BG37" s="37">
        <f>COUNTIFS(Wine1!$AA:$AA,Sheet1!BG$2,Wine1!$E:$E,"*" &amp; Sheet1!$A37 &amp;"*")</f>
        <v>0</v>
      </c>
      <c r="BH37" s="37">
        <f>COUNTIFS(Wine1!$AA:$AA,Sheet1!BH$2,Wine1!$E:$E,"*" &amp; Sheet1!$A37 &amp;"*")</f>
        <v>0</v>
      </c>
      <c r="BI37" s="37">
        <f>COUNTIFS(Wine1!$AA:$AA,Sheet1!BI$2,Wine1!$E:$E,"*" &amp; Sheet1!$A37 &amp;"*")</f>
        <v>0</v>
      </c>
      <c r="BJ37" s="37">
        <f>COUNTIFS(Wine1!$AA:$AA,Sheet1!BJ$2,Wine1!$E:$E,"*" &amp; Sheet1!$A37 &amp;"*")</f>
        <v>0</v>
      </c>
      <c r="BK37" s="37">
        <f>COUNTIFS(Wine1!$AA:$AA,Sheet1!BK$2,Wine1!$E:$E,"*" &amp; Sheet1!$A37 &amp;"*")</f>
        <v>0</v>
      </c>
      <c r="BL37" s="37">
        <f>COUNTIFS(Wine1!$AA:$AA,Sheet1!BL$2,Wine1!$E:$E,"*" &amp; Sheet1!$A37 &amp;"*")</f>
        <v>0</v>
      </c>
    </row>
    <row r="38" spans="1:64" x14ac:dyDescent="0.25">
      <c r="A38" t="s">
        <v>588</v>
      </c>
      <c r="B38" s="95">
        <f>COUNTIFS(Wine1!$AF:$AF,Sheet1!B$2,Wine1!$E:$E,"*" &amp; Sheet1!$A38 &amp;"*")</f>
        <v>7</v>
      </c>
      <c r="C38" s="9">
        <f>COUNTIFS(Wine1!$AF:$AF,Sheet1!C$2,Wine1!$E:$E,"*" &amp; Sheet1!$A38 &amp;"*")</f>
        <v>1</v>
      </c>
      <c r="D38" s="9">
        <f>COUNTIFS(Wine1!$AF:$AF,Sheet1!D$2,Wine1!$E:$E,"*" &amp; Sheet1!$A38 &amp;"*")</f>
        <v>0</v>
      </c>
      <c r="E38" s="9">
        <f>COUNTIFS(Wine1!$AF:$AF,Sheet1!E$2,Wine1!$E:$E,"*" &amp; Sheet1!$A38 &amp;"*")</f>
        <v>0</v>
      </c>
      <c r="F38" s="43">
        <f t="shared" si="1"/>
        <v>8</v>
      </c>
      <c r="G38" s="37">
        <f>COUNTIFS(Wine1!$AA:$AA,Sheet1!G$2,Wine1!$E:$E,"*" &amp; Sheet1!$A38 &amp;"*")</f>
        <v>6</v>
      </c>
      <c r="H38" s="37">
        <f>COUNTIFS(Wine1!$AA:$AA,Sheet1!H$2,Wine1!$E:$E,"*" &amp; Sheet1!$A38 &amp;"*")</f>
        <v>0</v>
      </c>
      <c r="I38" s="37">
        <f>COUNTIFS(Wine1!$AA:$AA,Sheet1!I$2,Wine1!$E:$E,"*" &amp; Sheet1!$A38 &amp;"*")</f>
        <v>1</v>
      </c>
      <c r="J38" s="37">
        <f>COUNTIFS(Wine1!$AA:$AA,Sheet1!J$2,Wine1!$E:$E,"*" &amp; Sheet1!$A38 &amp;"*")</f>
        <v>1</v>
      </c>
      <c r="K38" s="37">
        <f>COUNTIFS(Wine1!$AA:$AA,Sheet1!K$2,Wine1!$E:$E,"*" &amp; Sheet1!$A38 &amp;"*")</f>
        <v>0</v>
      </c>
      <c r="L38" s="37">
        <f>COUNTIFS(Wine1!$AA:$AA,Sheet1!L$2,Wine1!$E:$E,"*" &amp; Sheet1!$A38 &amp;"*")</f>
        <v>0</v>
      </c>
      <c r="M38" s="37">
        <f>COUNTIFS(Wine1!$AA:$AA,Sheet1!M$2,Wine1!$E:$E,"*" &amp; Sheet1!$A38 &amp;"*")</f>
        <v>0</v>
      </c>
      <c r="N38" s="37">
        <f>COUNTIFS(Wine1!$AA:$AA,Sheet1!N$2,Wine1!$E:$E,"*" &amp; Sheet1!$A38 &amp;"*")</f>
        <v>0</v>
      </c>
      <c r="O38" s="37">
        <f>COUNTIFS(Wine1!$AA:$AA,Sheet1!O$2,Wine1!$E:$E,"*" &amp; Sheet1!$A38 &amp;"*")</f>
        <v>0</v>
      </c>
      <c r="P38" s="37">
        <f>COUNTIFS(Wine1!$AA:$AA,Sheet1!P$2,Wine1!$E:$E,"*" &amp; Sheet1!$A38 &amp;"*")</f>
        <v>0</v>
      </c>
      <c r="Q38" s="37">
        <f>COUNTIFS(Wine1!$AA:$AA,Sheet1!Q$2,Wine1!$E:$E,"*" &amp; Sheet1!$A38 &amp;"*")</f>
        <v>0</v>
      </c>
      <c r="R38" s="37">
        <f>COUNTIFS(Wine1!$AA:$AA,Sheet1!R$2,Wine1!$E:$E,"*" &amp; Sheet1!$A38 &amp;"*")</f>
        <v>0</v>
      </c>
      <c r="S38" s="37">
        <f>COUNTIFS(Wine1!$AA:$AA,Sheet1!S$2,Wine1!$E:$E,"*" &amp; Sheet1!$A38 &amp;"*")</f>
        <v>0</v>
      </c>
      <c r="T38" s="37">
        <f>COUNTIFS(Wine1!$AA:$AA,Sheet1!T$2,Wine1!$E:$E,"*" &amp; Sheet1!$A38 &amp;"*")</f>
        <v>0</v>
      </c>
      <c r="U38" s="37">
        <f>COUNTIFS(Wine1!$AA:$AA,Sheet1!U$2,Wine1!$E:$E,"*" &amp; Sheet1!$A38 &amp;"*")</f>
        <v>0</v>
      </c>
      <c r="V38" s="37">
        <f>COUNTIFS(Wine1!$AA:$AA,Sheet1!V$2,Wine1!$E:$E,"*" &amp; Sheet1!$A38 &amp;"*")</f>
        <v>0</v>
      </c>
      <c r="W38" s="37">
        <f>COUNTIFS(Wine1!$AA:$AA,Sheet1!W$2,Wine1!$E:$E,"*" &amp; Sheet1!$A38 &amp;"*")</f>
        <v>0</v>
      </c>
      <c r="X38" s="37">
        <f>COUNTIFS(Wine1!$AA:$AA,Sheet1!X$2,Wine1!$E:$E,"*" &amp; Sheet1!$A38 &amp;"*")</f>
        <v>0</v>
      </c>
      <c r="Y38" s="37">
        <f>COUNTIFS(Wine1!$AA:$AA,Sheet1!Y$2,Wine1!$E:$E,"*" &amp; Sheet1!$A38 &amp;"*")</f>
        <v>0</v>
      </c>
      <c r="Z38" s="37">
        <f>COUNTIFS(Wine1!$AA:$AA,Sheet1!Z$2,Wine1!$E:$E,"*" &amp; Sheet1!$A38 &amp;"*")</f>
        <v>0</v>
      </c>
      <c r="AA38" s="37">
        <f>COUNTIFS(Wine1!$AA:$AA,Sheet1!AA$2,Wine1!$E:$E,"*" &amp; Sheet1!$A38 &amp;"*")</f>
        <v>0</v>
      </c>
      <c r="AB38" s="37">
        <f>COUNTIFS(Wine1!$AA:$AA,Sheet1!AB$2,Wine1!$E:$E,"*" &amp; Sheet1!$A38 &amp;"*")</f>
        <v>0</v>
      </c>
      <c r="AC38" s="37">
        <f>COUNTIFS(Wine1!$AA:$AA,Sheet1!AC$2,Wine1!$E:$E,"*" &amp; Sheet1!$A38 &amp;"*")</f>
        <v>0</v>
      </c>
      <c r="AD38" s="37">
        <f>COUNTIFS(Wine1!$AA:$AA,Sheet1!AD$2,Wine1!$E:$E,"*" &amp; Sheet1!$A38 &amp;"*")</f>
        <v>0</v>
      </c>
      <c r="AE38" s="37">
        <f>COUNTIFS(Wine1!$AA:$AA,Sheet1!AE$2,Wine1!$E:$E,"*" &amp; Sheet1!$A38 &amp;"*")</f>
        <v>0</v>
      </c>
      <c r="AF38" s="37">
        <f>COUNTIFS(Wine1!$AA:$AA,Sheet1!AF$2,Wine1!$E:$E,"*" &amp; Sheet1!$A38 &amp;"*")</f>
        <v>0</v>
      </c>
      <c r="AG38" s="37">
        <f>COUNTIFS(Wine1!$AA:$AA,Sheet1!AG$2,Wine1!$E:$E,"*" &amp; Sheet1!$A38 &amp;"*")</f>
        <v>0</v>
      </c>
      <c r="AH38" s="37">
        <f>COUNTIFS(Wine1!$AA:$AA,Sheet1!AH$2,Wine1!$E:$E,"*" &amp; Sheet1!$A38 &amp;"*")</f>
        <v>0</v>
      </c>
      <c r="AI38" s="37">
        <f>COUNTIFS(Wine1!$AA:$AA,Sheet1!AI$2,Wine1!$E:$E,"*" &amp; Sheet1!$A38 &amp;"*")</f>
        <v>0</v>
      </c>
      <c r="AJ38" s="37">
        <f>COUNTIFS(Wine1!$AA:$AA,Sheet1!AJ$2,Wine1!$E:$E,"*" &amp; Sheet1!$A38 &amp;"*")</f>
        <v>0</v>
      </c>
      <c r="AK38" s="37">
        <f>COUNTIFS(Wine1!$AA:$AA,Sheet1!AK$2,Wine1!$E:$E,"*" &amp; Sheet1!$A38 &amp;"*")</f>
        <v>0</v>
      </c>
      <c r="AL38" s="37">
        <f>COUNTIFS(Wine1!$AA:$AA,Sheet1!AL$2,Wine1!$E:$E,"*" &amp; Sheet1!$A38 &amp;"*")</f>
        <v>0</v>
      </c>
      <c r="AM38" s="37">
        <f>COUNTIFS(Wine1!$AA:$AA,Sheet1!AM$2,Wine1!$E:$E,"*" &amp; Sheet1!$A38 &amp;"*")</f>
        <v>0</v>
      </c>
      <c r="AN38" s="37">
        <f>COUNTIFS(Wine1!$AA:$AA,Sheet1!AN$2,Wine1!$E:$E,"*" &amp; Sheet1!$A38 &amp;"*")</f>
        <v>0</v>
      </c>
      <c r="AO38" s="37">
        <f>COUNTIFS(Wine1!$AA:$AA,Sheet1!AO$2,Wine1!$E:$E,"*" &amp; Sheet1!$A38 &amp;"*")</f>
        <v>0</v>
      </c>
      <c r="AP38" s="37">
        <f>COUNTIFS(Wine1!$AA:$AA,Sheet1!AP$2,Wine1!$E:$E,"*" &amp; Sheet1!$A38 &amp;"*")</f>
        <v>0</v>
      </c>
      <c r="AQ38" s="37">
        <f>COUNTIFS(Wine1!$AA:$AA,Sheet1!AQ$2,Wine1!$E:$E,"*" &amp; Sheet1!$A38 &amp;"*")</f>
        <v>0</v>
      </c>
      <c r="AR38" s="37">
        <f>COUNTIFS(Wine1!$AA:$AA,Sheet1!AR$2,Wine1!$E:$E,"*" &amp; Sheet1!$A38 &amp;"*")</f>
        <v>0</v>
      </c>
      <c r="AS38" s="37">
        <f>COUNTIFS(Wine1!$AA:$AA,Sheet1!AS$2,Wine1!$E:$E,"*" &amp; Sheet1!$A38 &amp;"*")</f>
        <v>0</v>
      </c>
      <c r="AT38" s="37">
        <f>COUNTIFS(Wine1!$AA:$AA,Sheet1!AT$2,Wine1!$E:$E,"*" &amp; Sheet1!$A38 &amp;"*")</f>
        <v>0</v>
      </c>
      <c r="AU38" s="37">
        <f>COUNTIFS(Wine1!$AA:$AA,Sheet1!AU$2,Wine1!$E:$E,"*" &amp; Sheet1!$A38 &amp;"*")</f>
        <v>0</v>
      </c>
      <c r="AV38" s="37">
        <f>COUNTIFS(Wine1!$AA:$AA,Sheet1!AV$2,Wine1!$E:$E,"*" &amp; Sheet1!$A38 &amp;"*")</f>
        <v>0</v>
      </c>
      <c r="AW38" s="37">
        <f>COUNTIFS(Wine1!$AA:$AA,Sheet1!AW$2,Wine1!$E:$E,"*" &amp; Sheet1!$A38 &amp;"*")</f>
        <v>0</v>
      </c>
      <c r="AX38" s="37">
        <f>COUNTIFS(Wine1!$AA:$AA,Sheet1!AX$2,Wine1!$E:$E,"*" &amp; Sheet1!$A38 &amp;"*")</f>
        <v>0</v>
      </c>
      <c r="AY38" s="37">
        <f>COUNTIFS(Wine1!$AA:$AA,Sheet1!AY$2,Wine1!$E:$E,"*" &amp; Sheet1!$A38 &amp;"*")</f>
        <v>0</v>
      </c>
      <c r="AZ38" s="37">
        <f>COUNTIFS(Wine1!$AA:$AA,Sheet1!AZ$2,Wine1!$E:$E,"*" &amp; Sheet1!$A38 &amp;"*")</f>
        <v>0</v>
      </c>
      <c r="BA38" s="37">
        <f>COUNTIFS(Wine1!$AA:$AA,Sheet1!BA$2,Wine1!$E:$E,"*" &amp; Sheet1!$A38 &amp;"*")</f>
        <v>0</v>
      </c>
      <c r="BB38" s="37">
        <f>COUNTIFS(Wine1!$AA:$AA,Sheet1!BB$2,Wine1!$E:$E,"*" &amp; Sheet1!$A38 &amp;"*")</f>
        <v>0</v>
      </c>
      <c r="BC38" s="37">
        <f>COUNTIFS(Wine1!$AA:$AA,Sheet1!BC$2,Wine1!$E:$E,"*" &amp; Sheet1!$A38 &amp;"*")</f>
        <v>0</v>
      </c>
      <c r="BD38" s="37">
        <f>COUNTIFS(Wine1!$AA:$AA,Sheet1!BD$2,Wine1!$E:$E,"*" &amp; Sheet1!$A38 &amp;"*")</f>
        <v>0</v>
      </c>
      <c r="BE38" s="37">
        <f>COUNTIFS(Wine1!$AA:$AA,Sheet1!BE$2,Wine1!$E:$E,"*" &amp; Sheet1!$A38 &amp;"*")</f>
        <v>0</v>
      </c>
      <c r="BF38" s="37">
        <f>COUNTIFS(Wine1!$AA:$AA,Sheet1!BF$2,Wine1!$E:$E,"*" &amp; Sheet1!$A38 &amp;"*")</f>
        <v>0</v>
      </c>
      <c r="BG38" s="37">
        <f>COUNTIFS(Wine1!$AA:$AA,Sheet1!BG$2,Wine1!$E:$E,"*" &amp; Sheet1!$A38 &amp;"*")</f>
        <v>0</v>
      </c>
      <c r="BH38" s="37">
        <f>COUNTIFS(Wine1!$AA:$AA,Sheet1!BH$2,Wine1!$E:$E,"*" &amp; Sheet1!$A38 &amp;"*")</f>
        <v>0</v>
      </c>
      <c r="BI38" s="37">
        <f>COUNTIFS(Wine1!$AA:$AA,Sheet1!BI$2,Wine1!$E:$E,"*" &amp; Sheet1!$A38 &amp;"*")</f>
        <v>0</v>
      </c>
      <c r="BJ38" s="37">
        <f>COUNTIFS(Wine1!$AA:$AA,Sheet1!BJ$2,Wine1!$E:$E,"*" &amp; Sheet1!$A38 &amp;"*")</f>
        <v>0</v>
      </c>
      <c r="BK38" s="37">
        <f>COUNTIFS(Wine1!$AA:$AA,Sheet1!BK$2,Wine1!$E:$E,"*" &amp; Sheet1!$A38 &amp;"*")</f>
        <v>0</v>
      </c>
      <c r="BL38" s="37">
        <f>COUNTIFS(Wine1!$AA:$AA,Sheet1!BL$2,Wine1!$E:$E,"*" &amp; Sheet1!$A38 &amp;"*")</f>
        <v>0</v>
      </c>
    </row>
    <row r="39" spans="1:64" x14ac:dyDescent="0.25">
      <c r="A39" t="s">
        <v>274</v>
      </c>
      <c r="B39" s="95">
        <f>COUNTIFS(Wine1!$AF:$AF,Sheet1!B$2,Wine1!$E:$E,"*" &amp; Sheet1!$A39 &amp;"*")</f>
        <v>1</v>
      </c>
      <c r="C39" s="9">
        <f>COUNTIFS(Wine1!$AF:$AF,Sheet1!C$2,Wine1!$E:$E,"*" &amp; Sheet1!$A39 &amp;"*")</f>
        <v>1</v>
      </c>
      <c r="D39" s="9">
        <f>COUNTIFS(Wine1!$AF:$AF,Sheet1!D$2,Wine1!$E:$E,"*" &amp; Sheet1!$A39 &amp;"*")</f>
        <v>19</v>
      </c>
      <c r="E39" s="9">
        <f>COUNTIFS(Wine1!$AF:$AF,Sheet1!E$2,Wine1!$E:$E,"*" &amp; Sheet1!$A39 &amp;"*")</f>
        <v>2</v>
      </c>
      <c r="F39" s="43">
        <f t="shared" si="1"/>
        <v>23</v>
      </c>
      <c r="G39" s="37">
        <f>COUNTIFS(Wine1!$AA:$AA,Sheet1!G$2,Wine1!$E:$E,"*" &amp; Sheet1!$A39 &amp;"*")</f>
        <v>0</v>
      </c>
      <c r="H39" s="37">
        <f>COUNTIFS(Wine1!$AA:$AA,Sheet1!H$2,Wine1!$E:$E,"*" &amp; Sheet1!$A39 &amp;"*")</f>
        <v>3</v>
      </c>
      <c r="I39" s="37">
        <f>COUNTIFS(Wine1!$AA:$AA,Sheet1!I$2,Wine1!$E:$E,"*" &amp; Sheet1!$A39 &amp;"*")</f>
        <v>0</v>
      </c>
      <c r="J39" s="37">
        <f>COUNTIFS(Wine1!$AA:$AA,Sheet1!J$2,Wine1!$E:$E,"*" &amp; Sheet1!$A39 &amp;"*")</f>
        <v>0</v>
      </c>
      <c r="K39" s="37">
        <f>COUNTIFS(Wine1!$AA:$AA,Sheet1!K$2,Wine1!$E:$E,"*" &amp; Sheet1!$A39 &amp;"*")</f>
        <v>1</v>
      </c>
      <c r="L39" s="37">
        <f>COUNTIFS(Wine1!$AA:$AA,Sheet1!L$2,Wine1!$E:$E,"*" &amp; Sheet1!$A39 &amp;"*")</f>
        <v>2</v>
      </c>
      <c r="M39" s="37">
        <f>COUNTIFS(Wine1!$AA:$AA,Sheet1!M$2,Wine1!$E:$E,"*" &amp; Sheet1!$A39 &amp;"*")</f>
        <v>3</v>
      </c>
      <c r="N39" s="37">
        <f>COUNTIFS(Wine1!$AA:$AA,Sheet1!N$2,Wine1!$E:$E,"*" &amp; Sheet1!$A39 &amp;"*")</f>
        <v>2</v>
      </c>
      <c r="O39" s="37">
        <f>COUNTIFS(Wine1!$AA:$AA,Sheet1!O$2,Wine1!$E:$E,"*" &amp; Sheet1!$A39 &amp;"*")</f>
        <v>1</v>
      </c>
      <c r="P39" s="37">
        <f>COUNTIFS(Wine1!$AA:$AA,Sheet1!P$2,Wine1!$E:$E,"*" &amp; Sheet1!$A39 &amp;"*")</f>
        <v>2</v>
      </c>
      <c r="Q39" s="37">
        <f>COUNTIFS(Wine1!$AA:$AA,Sheet1!Q$2,Wine1!$E:$E,"*" &amp; Sheet1!$A39 &amp;"*")</f>
        <v>2</v>
      </c>
      <c r="R39" s="37">
        <f>COUNTIFS(Wine1!$AA:$AA,Sheet1!R$2,Wine1!$E:$E,"*" &amp; Sheet1!$A39 &amp;"*")</f>
        <v>0</v>
      </c>
      <c r="S39" s="37">
        <f>COUNTIFS(Wine1!$AA:$AA,Sheet1!S$2,Wine1!$E:$E,"*" &amp; Sheet1!$A39 &amp;"*")</f>
        <v>0</v>
      </c>
      <c r="T39" s="37">
        <f>COUNTIFS(Wine1!$AA:$AA,Sheet1!T$2,Wine1!$E:$E,"*" &amp; Sheet1!$A39 &amp;"*")</f>
        <v>2</v>
      </c>
      <c r="U39" s="37">
        <f>COUNTIFS(Wine1!$AA:$AA,Sheet1!U$2,Wine1!$E:$E,"*" &amp; Sheet1!$A39 &amp;"*")</f>
        <v>2</v>
      </c>
      <c r="V39" s="37">
        <f>COUNTIFS(Wine1!$AA:$AA,Sheet1!V$2,Wine1!$E:$E,"*" &amp; Sheet1!$A39 &amp;"*")</f>
        <v>0</v>
      </c>
      <c r="W39" s="37">
        <f>COUNTIFS(Wine1!$AA:$AA,Sheet1!W$2,Wine1!$E:$E,"*" &amp; Sheet1!$A39 &amp;"*")</f>
        <v>0</v>
      </c>
      <c r="X39" s="37">
        <f>COUNTIFS(Wine1!$AA:$AA,Sheet1!X$2,Wine1!$E:$E,"*" &amp; Sheet1!$A39 &amp;"*")</f>
        <v>2</v>
      </c>
      <c r="Y39" s="37">
        <f>COUNTIFS(Wine1!$AA:$AA,Sheet1!Y$2,Wine1!$E:$E,"*" &amp; Sheet1!$A39 &amp;"*")</f>
        <v>0</v>
      </c>
      <c r="Z39" s="37">
        <f>COUNTIFS(Wine1!$AA:$AA,Sheet1!Z$2,Wine1!$E:$E,"*" &amp; Sheet1!$A39 &amp;"*")</f>
        <v>0</v>
      </c>
      <c r="AA39" s="37">
        <f>COUNTIFS(Wine1!$AA:$AA,Sheet1!AA$2,Wine1!$E:$E,"*" &amp; Sheet1!$A39 &amp;"*")</f>
        <v>0</v>
      </c>
      <c r="AB39" s="37">
        <f>COUNTIFS(Wine1!$AA:$AA,Sheet1!AB$2,Wine1!$E:$E,"*" &amp; Sheet1!$A39 &amp;"*")</f>
        <v>1</v>
      </c>
      <c r="AC39" s="37">
        <f>COUNTIFS(Wine1!$AA:$AA,Sheet1!AC$2,Wine1!$E:$E,"*" &amp; Sheet1!$A39 &amp;"*")</f>
        <v>0</v>
      </c>
      <c r="AD39" s="37">
        <f>COUNTIFS(Wine1!$AA:$AA,Sheet1!AD$2,Wine1!$E:$E,"*" &amp; Sheet1!$A39 &amp;"*")</f>
        <v>0</v>
      </c>
      <c r="AE39" s="37">
        <f>COUNTIFS(Wine1!$AA:$AA,Sheet1!AE$2,Wine1!$E:$E,"*" &amp; Sheet1!$A39 &amp;"*")</f>
        <v>0</v>
      </c>
      <c r="AF39" s="37">
        <f>COUNTIFS(Wine1!$AA:$AA,Sheet1!AF$2,Wine1!$E:$E,"*" &amp; Sheet1!$A39 &amp;"*")</f>
        <v>0</v>
      </c>
      <c r="AG39" s="37">
        <f>COUNTIFS(Wine1!$AA:$AA,Sheet1!AG$2,Wine1!$E:$E,"*" &amp; Sheet1!$A39 &amp;"*")</f>
        <v>0</v>
      </c>
      <c r="AH39" s="37">
        <f>COUNTIFS(Wine1!$AA:$AA,Sheet1!AH$2,Wine1!$E:$E,"*" &amp; Sheet1!$A39 &amp;"*")</f>
        <v>0</v>
      </c>
      <c r="AI39" s="37">
        <f>COUNTIFS(Wine1!$AA:$AA,Sheet1!AI$2,Wine1!$E:$E,"*" &amp; Sheet1!$A39 &amp;"*")</f>
        <v>0</v>
      </c>
      <c r="AJ39" s="37">
        <f>COUNTIFS(Wine1!$AA:$AA,Sheet1!AJ$2,Wine1!$E:$E,"*" &amp; Sheet1!$A39 &amp;"*")</f>
        <v>0</v>
      </c>
      <c r="AK39" s="37">
        <f>COUNTIFS(Wine1!$AA:$AA,Sheet1!AK$2,Wine1!$E:$E,"*" &amp; Sheet1!$A39 &amp;"*")</f>
        <v>0</v>
      </c>
      <c r="AL39" s="37">
        <f>COUNTIFS(Wine1!$AA:$AA,Sheet1!AL$2,Wine1!$E:$E,"*" &amp; Sheet1!$A39 &amp;"*")</f>
        <v>0</v>
      </c>
      <c r="AM39" s="37">
        <f>COUNTIFS(Wine1!$AA:$AA,Sheet1!AM$2,Wine1!$E:$E,"*" &amp; Sheet1!$A39 &amp;"*")</f>
        <v>0</v>
      </c>
      <c r="AN39" s="37">
        <f>COUNTIFS(Wine1!$AA:$AA,Sheet1!AN$2,Wine1!$E:$E,"*" &amp; Sheet1!$A39 &amp;"*")</f>
        <v>0</v>
      </c>
      <c r="AO39" s="37">
        <f>COUNTIFS(Wine1!$AA:$AA,Sheet1!AO$2,Wine1!$E:$E,"*" &amp; Sheet1!$A39 &amp;"*")</f>
        <v>0</v>
      </c>
      <c r="AP39" s="37">
        <f>COUNTIFS(Wine1!$AA:$AA,Sheet1!AP$2,Wine1!$E:$E,"*" &amp; Sheet1!$A39 &amp;"*")</f>
        <v>0</v>
      </c>
      <c r="AQ39" s="37">
        <f>COUNTIFS(Wine1!$AA:$AA,Sheet1!AQ$2,Wine1!$E:$E,"*" &amp; Sheet1!$A39 &amp;"*")</f>
        <v>0</v>
      </c>
      <c r="AR39" s="37">
        <f>COUNTIFS(Wine1!$AA:$AA,Sheet1!AR$2,Wine1!$E:$E,"*" &amp; Sheet1!$A39 &amp;"*")</f>
        <v>0</v>
      </c>
      <c r="AS39" s="37">
        <f>COUNTIFS(Wine1!$AA:$AA,Sheet1!AS$2,Wine1!$E:$E,"*" &amp; Sheet1!$A39 &amp;"*")</f>
        <v>0</v>
      </c>
      <c r="AT39" s="37">
        <f>COUNTIFS(Wine1!$AA:$AA,Sheet1!AT$2,Wine1!$E:$E,"*" &amp; Sheet1!$A39 &amp;"*")</f>
        <v>0</v>
      </c>
      <c r="AU39" s="37">
        <f>COUNTIFS(Wine1!$AA:$AA,Sheet1!AU$2,Wine1!$E:$E,"*" &amp; Sheet1!$A39 &amp;"*")</f>
        <v>0</v>
      </c>
      <c r="AV39" s="37">
        <f>COUNTIFS(Wine1!$AA:$AA,Sheet1!AV$2,Wine1!$E:$E,"*" &amp; Sheet1!$A39 &amp;"*")</f>
        <v>0</v>
      </c>
      <c r="AW39" s="37">
        <f>COUNTIFS(Wine1!$AA:$AA,Sheet1!AW$2,Wine1!$E:$E,"*" &amp; Sheet1!$A39 &amp;"*")</f>
        <v>0</v>
      </c>
      <c r="AX39" s="37">
        <f>COUNTIFS(Wine1!$AA:$AA,Sheet1!AX$2,Wine1!$E:$E,"*" &amp; Sheet1!$A39 &amp;"*")</f>
        <v>0</v>
      </c>
      <c r="AY39" s="37">
        <f>COUNTIFS(Wine1!$AA:$AA,Sheet1!AY$2,Wine1!$E:$E,"*" &amp; Sheet1!$A39 &amp;"*")</f>
        <v>0</v>
      </c>
      <c r="AZ39" s="37">
        <f>COUNTIFS(Wine1!$AA:$AA,Sheet1!AZ$2,Wine1!$E:$E,"*" &amp; Sheet1!$A39 &amp;"*")</f>
        <v>0</v>
      </c>
      <c r="BA39" s="37">
        <f>COUNTIFS(Wine1!$AA:$AA,Sheet1!BA$2,Wine1!$E:$E,"*" &amp; Sheet1!$A39 &amp;"*")</f>
        <v>0</v>
      </c>
      <c r="BB39" s="37">
        <f>COUNTIFS(Wine1!$AA:$AA,Sheet1!BB$2,Wine1!$E:$E,"*" &amp; Sheet1!$A39 &amp;"*")</f>
        <v>0</v>
      </c>
      <c r="BC39" s="37">
        <f>COUNTIFS(Wine1!$AA:$AA,Sheet1!BC$2,Wine1!$E:$E,"*" &amp; Sheet1!$A39 &amp;"*")</f>
        <v>0</v>
      </c>
      <c r="BD39" s="37">
        <f>COUNTIFS(Wine1!$AA:$AA,Sheet1!BD$2,Wine1!$E:$E,"*" &amp; Sheet1!$A39 &amp;"*")</f>
        <v>0</v>
      </c>
      <c r="BE39" s="37">
        <f>COUNTIFS(Wine1!$AA:$AA,Sheet1!BE$2,Wine1!$E:$E,"*" &amp; Sheet1!$A39 &amp;"*")</f>
        <v>0</v>
      </c>
      <c r="BF39" s="37">
        <f>COUNTIFS(Wine1!$AA:$AA,Sheet1!BF$2,Wine1!$E:$E,"*" &amp; Sheet1!$A39 &amp;"*")</f>
        <v>0</v>
      </c>
      <c r="BG39" s="37">
        <f>COUNTIFS(Wine1!$AA:$AA,Sheet1!BG$2,Wine1!$E:$E,"*" &amp; Sheet1!$A39 &amp;"*")</f>
        <v>0</v>
      </c>
      <c r="BH39" s="37">
        <f>COUNTIFS(Wine1!$AA:$AA,Sheet1!BH$2,Wine1!$E:$E,"*" &amp; Sheet1!$A39 &amp;"*")</f>
        <v>0</v>
      </c>
      <c r="BI39" s="37">
        <f>COUNTIFS(Wine1!$AA:$AA,Sheet1!BI$2,Wine1!$E:$E,"*" &amp; Sheet1!$A39 &amp;"*")</f>
        <v>0</v>
      </c>
      <c r="BJ39" s="37">
        <f>COUNTIFS(Wine1!$AA:$AA,Sheet1!BJ$2,Wine1!$E:$E,"*" &amp; Sheet1!$A39 &amp;"*")</f>
        <v>0</v>
      </c>
      <c r="BK39" s="37">
        <f>COUNTIFS(Wine1!$AA:$AA,Sheet1!BK$2,Wine1!$E:$E,"*" &amp; Sheet1!$A39 &amp;"*")</f>
        <v>0</v>
      </c>
      <c r="BL39" s="37">
        <f>COUNTIFS(Wine1!$AA:$AA,Sheet1!BL$2,Wine1!$E:$E,"*" &amp; Sheet1!$A39 &amp;"*")</f>
        <v>0</v>
      </c>
    </row>
    <row r="40" spans="1:64" x14ac:dyDescent="0.25">
      <c r="A40" s="37" t="s">
        <v>1357</v>
      </c>
      <c r="B40" s="95">
        <f>COUNTIFS(Wine1!$AF:$AF,Sheet1!B$2,Wine1!$E:$E,"*" &amp; Sheet1!$A40 &amp;"*")</f>
        <v>0</v>
      </c>
      <c r="C40" s="9">
        <f>COUNTIFS(Wine1!$AF:$AF,Sheet1!C$2,Wine1!$E:$E,"*" &amp; Sheet1!$A40 &amp;"*")</f>
        <v>5</v>
      </c>
      <c r="D40" s="9">
        <f>COUNTIFS(Wine1!$AF:$AF,Sheet1!D$2,Wine1!$E:$E,"*" &amp; Sheet1!$A40 &amp;"*")</f>
        <v>2</v>
      </c>
      <c r="E40" s="9">
        <f>COUNTIFS(Wine1!$AF:$AF,Sheet1!E$2,Wine1!$E:$E,"*" &amp; Sheet1!$A40 &amp;"*")</f>
        <v>0</v>
      </c>
      <c r="F40" s="43">
        <f t="shared" si="1"/>
        <v>7</v>
      </c>
      <c r="G40" s="37">
        <f>COUNTIFS(Wine1!$AA:$AA,Sheet1!G$2,Wine1!$E:$E,"*" &amp; Sheet1!$A40 &amp;"*")</f>
        <v>1</v>
      </c>
      <c r="H40" s="37">
        <f>COUNTIFS(Wine1!$AA:$AA,Sheet1!H$2,Wine1!$E:$E,"*" &amp; Sheet1!$A40 &amp;"*")</f>
        <v>2</v>
      </c>
      <c r="I40" s="37">
        <f>COUNTIFS(Wine1!$AA:$AA,Sheet1!I$2,Wine1!$E:$E,"*" &amp; Sheet1!$A40 &amp;"*")</f>
        <v>0</v>
      </c>
      <c r="J40" s="37">
        <f>COUNTIFS(Wine1!$AA:$AA,Sheet1!J$2,Wine1!$E:$E,"*" &amp; Sheet1!$A40 &amp;"*")</f>
        <v>0</v>
      </c>
      <c r="K40" s="37">
        <f>COUNTIFS(Wine1!$AA:$AA,Sheet1!K$2,Wine1!$E:$E,"*" &amp; Sheet1!$A40 &amp;"*")</f>
        <v>0</v>
      </c>
      <c r="L40" s="37">
        <f>COUNTIFS(Wine1!$AA:$AA,Sheet1!L$2,Wine1!$E:$E,"*" &amp; Sheet1!$A40 &amp;"*")</f>
        <v>2</v>
      </c>
      <c r="M40" s="37">
        <f>COUNTIFS(Wine1!$AA:$AA,Sheet1!M$2,Wine1!$E:$E,"*" &amp; Sheet1!$A40 &amp;"*")</f>
        <v>1</v>
      </c>
      <c r="N40" s="37">
        <f>COUNTIFS(Wine1!$AA:$AA,Sheet1!N$2,Wine1!$E:$E,"*" &amp; Sheet1!$A40 &amp;"*")</f>
        <v>1</v>
      </c>
      <c r="O40" s="37">
        <f>COUNTIFS(Wine1!$AA:$AA,Sheet1!O$2,Wine1!$E:$E,"*" &amp; Sheet1!$A40 &amp;"*")</f>
        <v>0</v>
      </c>
      <c r="P40" s="37">
        <f>COUNTIFS(Wine1!$AA:$AA,Sheet1!P$2,Wine1!$E:$E,"*" &amp; Sheet1!$A40 &amp;"*")</f>
        <v>0</v>
      </c>
      <c r="Q40" s="37">
        <f>COUNTIFS(Wine1!$AA:$AA,Sheet1!Q$2,Wine1!$E:$E,"*" &amp; Sheet1!$A40 &amp;"*")</f>
        <v>0</v>
      </c>
      <c r="R40" s="37">
        <f>COUNTIFS(Wine1!$AA:$AA,Sheet1!R$2,Wine1!$E:$E,"*" &amp; Sheet1!$A40 &amp;"*")</f>
        <v>0</v>
      </c>
      <c r="S40" s="37">
        <f>COUNTIFS(Wine1!$AA:$AA,Sheet1!S$2,Wine1!$E:$E,"*" &amp; Sheet1!$A40 &amp;"*")</f>
        <v>0</v>
      </c>
      <c r="T40" s="37">
        <f>COUNTIFS(Wine1!$AA:$AA,Sheet1!T$2,Wine1!$E:$E,"*" &amp; Sheet1!$A40 &amp;"*")</f>
        <v>0</v>
      </c>
      <c r="U40" s="37">
        <f>COUNTIFS(Wine1!$AA:$AA,Sheet1!U$2,Wine1!$E:$E,"*" &amp; Sheet1!$A40 &amp;"*")</f>
        <v>0</v>
      </c>
      <c r="V40" s="37">
        <f>COUNTIFS(Wine1!$AA:$AA,Sheet1!V$2,Wine1!$E:$E,"*" &amp; Sheet1!$A40 &amp;"*")</f>
        <v>0</v>
      </c>
      <c r="W40" s="37">
        <f>COUNTIFS(Wine1!$AA:$AA,Sheet1!W$2,Wine1!$E:$E,"*" &amp; Sheet1!$A40 &amp;"*")</f>
        <v>0</v>
      </c>
      <c r="X40" s="37">
        <f>COUNTIFS(Wine1!$AA:$AA,Sheet1!X$2,Wine1!$E:$E,"*" &amp; Sheet1!$A40 &amp;"*")</f>
        <v>0</v>
      </c>
      <c r="Y40" s="37">
        <f>COUNTIFS(Wine1!$AA:$AA,Sheet1!Y$2,Wine1!$E:$E,"*" &amp; Sheet1!$A40 &amp;"*")</f>
        <v>0</v>
      </c>
      <c r="Z40" s="37">
        <f>COUNTIFS(Wine1!$AA:$AA,Sheet1!Z$2,Wine1!$E:$E,"*" &amp; Sheet1!$A40 &amp;"*")</f>
        <v>0</v>
      </c>
      <c r="AA40" s="37">
        <f>COUNTIFS(Wine1!$AA:$AA,Sheet1!AA$2,Wine1!$E:$E,"*" &amp; Sheet1!$A40 &amp;"*")</f>
        <v>0</v>
      </c>
      <c r="AB40" s="37">
        <f>COUNTIFS(Wine1!$AA:$AA,Sheet1!AB$2,Wine1!$E:$E,"*" &amp; Sheet1!$A40 &amp;"*")</f>
        <v>0</v>
      </c>
      <c r="AC40" s="37">
        <f>COUNTIFS(Wine1!$AA:$AA,Sheet1!AC$2,Wine1!$E:$E,"*" &amp; Sheet1!$A40 &amp;"*")</f>
        <v>0</v>
      </c>
      <c r="AD40" s="37">
        <f>COUNTIFS(Wine1!$AA:$AA,Sheet1!AD$2,Wine1!$E:$E,"*" &amp; Sheet1!$A40 &amp;"*")</f>
        <v>0</v>
      </c>
      <c r="AE40" s="37">
        <f>COUNTIFS(Wine1!$AA:$AA,Sheet1!AE$2,Wine1!$E:$E,"*" &amp; Sheet1!$A40 &amp;"*")</f>
        <v>0</v>
      </c>
      <c r="AF40" s="37">
        <f>COUNTIFS(Wine1!$AA:$AA,Sheet1!AF$2,Wine1!$E:$E,"*" &amp; Sheet1!$A40 &amp;"*")</f>
        <v>0</v>
      </c>
      <c r="AG40" s="37">
        <f>COUNTIFS(Wine1!$AA:$AA,Sheet1!AG$2,Wine1!$E:$E,"*" &amp; Sheet1!$A40 &amp;"*")</f>
        <v>0</v>
      </c>
      <c r="AH40" s="37">
        <f>COUNTIFS(Wine1!$AA:$AA,Sheet1!AH$2,Wine1!$E:$E,"*" &amp; Sheet1!$A40 &amp;"*")</f>
        <v>0</v>
      </c>
      <c r="AI40" s="37">
        <f>COUNTIFS(Wine1!$AA:$AA,Sheet1!AI$2,Wine1!$E:$E,"*" &amp; Sheet1!$A40 &amp;"*")</f>
        <v>0</v>
      </c>
      <c r="AJ40" s="37">
        <f>COUNTIFS(Wine1!$AA:$AA,Sheet1!AJ$2,Wine1!$E:$E,"*" &amp; Sheet1!$A40 &amp;"*")</f>
        <v>0</v>
      </c>
      <c r="AK40" s="37">
        <f>COUNTIFS(Wine1!$AA:$AA,Sheet1!AK$2,Wine1!$E:$E,"*" &amp; Sheet1!$A40 &amp;"*")</f>
        <v>0</v>
      </c>
      <c r="AL40" s="37">
        <f>COUNTIFS(Wine1!$AA:$AA,Sheet1!AL$2,Wine1!$E:$E,"*" &amp; Sheet1!$A40 &amp;"*")</f>
        <v>0</v>
      </c>
      <c r="AM40" s="37">
        <f>COUNTIFS(Wine1!$AA:$AA,Sheet1!AM$2,Wine1!$E:$E,"*" &amp; Sheet1!$A40 &amp;"*")</f>
        <v>0</v>
      </c>
      <c r="AN40" s="37">
        <f>COUNTIFS(Wine1!$AA:$AA,Sheet1!AN$2,Wine1!$E:$E,"*" &amp; Sheet1!$A40 &amp;"*")</f>
        <v>0</v>
      </c>
      <c r="AO40" s="37">
        <f>COUNTIFS(Wine1!$AA:$AA,Sheet1!AO$2,Wine1!$E:$E,"*" &amp; Sheet1!$A40 &amp;"*")</f>
        <v>0</v>
      </c>
      <c r="AP40" s="37">
        <f>COUNTIFS(Wine1!$AA:$AA,Sheet1!AP$2,Wine1!$E:$E,"*" &amp; Sheet1!$A40 &amp;"*")</f>
        <v>0</v>
      </c>
      <c r="AQ40" s="37">
        <f>COUNTIFS(Wine1!$AA:$AA,Sheet1!AQ$2,Wine1!$E:$E,"*" &amp; Sheet1!$A40 &amp;"*")</f>
        <v>0</v>
      </c>
      <c r="AR40" s="37">
        <f>COUNTIFS(Wine1!$AA:$AA,Sheet1!AR$2,Wine1!$E:$E,"*" &amp; Sheet1!$A40 &amp;"*")</f>
        <v>0</v>
      </c>
      <c r="AS40" s="37">
        <f>COUNTIFS(Wine1!$AA:$AA,Sheet1!AS$2,Wine1!$E:$E,"*" &amp; Sheet1!$A40 &amp;"*")</f>
        <v>0</v>
      </c>
      <c r="AT40" s="37">
        <f>COUNTIFS(Wine1!$AA:$AA,Sheet1!AT$2,Wine1!$E:$E,"*" &amp; Sheet1!$A40 &amp;"*")</f>
        <v>0</v>
      </c>
      <c r="AU40" s="37">
        <f>COUNTIFS(Wine1!$AA:$AA,Sheet1!AU$2,Wine1!$E:$E,"*" &amp; Sheet1!$A40 &amp;"*")</f>
        <v>0</v>
      </c>
      <c r="AV40" s="37">
        <f>COUNTIFS(Wine1!$AA:$AA,Sheet1!AV$2,Wine1!$E:$E,"*" &amp; Sheet1!$A40 &amp;"*")</f>
        <v>0</v>
      </c>
      <c r="AW40" s="37">
        <f>COUNTIFS(Wine1!$AA:$AA,Sheet1!AW$2,Wine1!$E:$E,"*" &amp; Sheet1!$A40 &amp;"*")</f>
        <v>0</v>
      </c>
      <c r="AX40" s="37">
        <f>COUNTIFS(Wine1!$AA:$AA,Sheet1!AX$2,Wine1!$E:$E,"*" &amp; Sheet1!$A40 &amp;"*")</f>
        <v>0</v>
      </c>
      <c r="AY40" s="37">
        <f>COUNTIFS(Wine1!$AA:$AA,Sheet1!AY$2,Wine1!$E:$E,"*" &amp; Sheet1!$A40 &amp;"*")</f>
        <v>0</v>
      </c>
      <c r="AZ40" s="37">
        <f>COUNTIFS(Wine1!$AA:$AA,Sheet1!AZ$2,Wine1!$E:$E,"*" &amp; Sheet1!$A40 &amp;"*")</f>
        <v>0</v>
      </c>
      <c r="BA40" s="37">
        <f>COUNTIFS(Wine1!$AA:$AA,Sheet1!BA$2,Wine1!$E:$E,"*" &amp; Sheet1!$A40 &amp;"*")</f>
        <v>0</v>
      </c>
      <c r="BB40" s="37">
        <f>COUNTIFS(Wine1!$AA:$AA,Sheet1!BB$2,Wine1!$E:$E,"*" &amp; Sheet1!$A40 &amp;"*")</f>
        <v>0</v>
      </c>
      <c r="BC40" s="37">
        <f>COUNTIFS(Wine1!$AA:$AA,Sheet1!BC$2,Wine1!$E:$E,"*" &amp; Sheet1!$A40 &amp;"*")</f>
        <v>0</v>
      </c>
      <c r="BD40" s="37">
        <f>COUNTIFS(Wine1!$AA:$AA,Sheet1!BD$2,Wine1!$E:$E,"*" &amp; Sheet1!$A40 &amp;"*")</f>
        <v>0</v>
      </c>
      <c r="BE40" s="37">
        <f>COUNTIFS(Wine1!$AA:$AA,Sheet1!BE$2,Wine1!$E:$E,"*" &amp; Sheet1!$A40 &amp;"*")</f>
        <v>0</v>
      </c>
      <c r="BF40" s="37">
        <f>COUNTIFS(Wine1!$AA:$AA,Sheet1!BF$2,Wine1!$E:$E,"*" &amp; Sheet1!$A40 &amp;"*")</f>
        <v>0</v>
      </c>
      <c r="BG40" s="37">
        <f>COUNTIFS(Wine1!$AA:$AA,Sheet1!BG$2,Wine1!$E:$E,"*" &amp; Sheet1!$A40 &amp;"*")</f>
        <v>0</v>
      </c>
      <c r="BH40" s="37">
        <f>COUNTIFS(Wine1!$AA:$AA,Sheet1!BH$2,Wine1!$E:$E,"*" &amp; Sheet1!$A40 &amp;"*")</f>
        <v>0</v>
      </c>
      <c r="BI40" s="37">
        <f>COUNTIFS(Wine1!$AA:$AA,Sheet1!BI$2,Wine1!$E:$E,"*" &amp; Sheet1!$A40 &amp;"*")</f>
        <v>0</v>
      </c>
      <c r="BJ40" s="37">
        <f>COUNTIFS(Wine1!$AA:$AA,Sheet1!BJ$2,Wine1!$E:$E,"*" &amp; Sheet1!$A40 &amp;"*")</f>
        <v>0</v>
      </c>
      <c r="BK40" s="37">
        <f>COUNTIFS(Wine1!$AA:$AA,Sheet1!BK$2,Wine1!$E:$E,"*" &amp; Sheet1!$A40 &amp;"*")</f>
        <v>0</v>
      </c>
      <c r="BL40" s="37">
        <f>COUNTIFS(Wine1!$AA:$AA,Sheet1!BL$2,Wine1!$E:$E,"*" &amp; Sheet1!$A40 &amp;"*")</f>
        <v>0</v>
      </c>
    </row>
    <row r="41" spans="1:64" x14ac:dyDescent="0.25">
      <c r="A41" s="37" t="s">
        <v>1440</v>
      </c>
      <c r="B41" s="95">
        <f>COUNTIFS(Wine1!$AF:$AF,Sheet1!B$2,Wine1!$E:$E,"*" &amp; Sheet1!$A41 &amp;"*")</f>
        <v>5</v>
      </c>
      <c r="C41" s="9">
        <f>COUNTIFS(Wine1!$AF:$AF,Sheet1!C$2,Wine1!$E:$E,"*" &amp; Sheet1!$A41 &amp;"*")</f>
        <v>12</v>
      </c>
      <c r="D41" s="9">
        <f>COUNTIFS(Wine1!$AF:$AF,Sheet1!D$2,Wine1!$E:$E,"*" &amp; Sheet1!$A41 &amp;"*")</f>
        <v>7</v>
      </c>
      <c r="E41" s="9">
        <f>COUNTIFS(Wine1!$AF:$AF,Sheet1!E$2,Wine1!$E:$E,"*" &amp; Sheet1!$A41 &amp;"*")</f>
        <v>3</v>
      </c>
      <c r="F41" s="43">
        <f t="shared" si="1"/>
        <v>27</v>
      </c>
      <c r="G41" s="37">
        <f>COUNTIFS(Wine1!$AA:$AA,Sheet1!G$2,Wine1!$E:$E,"*" &amp; Sheet1!$A41 &amp;"*")</f>
        <v>6</v>
      </c>
      <c r="H41" s="37">
        <f>COUNTIFS(Wine1!$AA:$AA,Sheet1!H$2,Wine1!$E:$E,"*" &amp; Sheet1!$A41 &amp;"*")</f>
        <v>5</v>
      </c>
      <c r="I41" s="37">
        <f>COUNTIFS(Wine1!$AA:$AA,Sheet1!I$2,Wine1!$E:$E,"*" &amp; Sheet1!$A41 &amp;"*")</f>
        <v>2</v>
      </c>
      <c r="J41" s="37">
        <f>COUNTIFS(Wine1!$AA:$AA,Sheet1!J$2,Wine1!$E:$E,"*" &amp; Sheet1!$A41 &amp;"*")</f>
        <v>2</v>
      </c>
      <c r="K41" s="37">
        <f>COUNTIFS(Wine1!$AA:$AA,Sheet1!K$2,Wine1!$E:$E,"*" &amp; Sheet1!$A41 &amp;"*")</f>
        <v>1</v>
      </c>
      <c r="L41" s="37">
        <f>COUNTIFS(Wine1!$AA:$AA,Sheet1!L$2,Wine1!$E:$E,"*" &amp; Sheet1!$A41 &amp;"*")</f>
        <v>1</v>
      </c>
      <c r="M41" s="37">
        <f>COUNTIFS(Wine1!$AA:$AA,Sheet1!M$2,Wine1!$E:$E,"*" &amp; Sheet1!$A41 &amp;"*")</f>
        <v>3</v>
      </c>
      <c r="N41" s="37">
        <f>COUNTIFS(Wine1!$AA:$AA,Sheet1!N$2,Wine1!$E:$E,"*" &amp; Sheet1!$A41 &amp;"*")</f>
        <v>1</v>
      </c>
      <c r="O41" s="37">
        <f>COUNTIFS(Wine1!$AA:$AA,Sheet1!O$2,Wine1!$E:$E,"*" &amp; Sheet1!$A41 &amp;"*")</f>
        <v>3</v>
      </c>
      <c r="P41" s="37">
        <f>COUNTIFS(Wine1!$AA:$AA,Sheet1!P$2,Wine1!$E:$E,"*" &amp; Sheet1!$A41 &amp;"*")</f>
        <v>0</v>
      </c>
      <c r="Q41" s="37">
        <f>COUNTIFS(Wine1!$AA:$AA,Sheet1!Q$2,Wine1!$E:$E,"*" &amp; Sheet1!$A41 &amp;"*")</f>
        <v>2</v>
      </c>
      <c r="R41" s="37">
        <f>COUNTIFS(Wine1!$AA:$AA,Sheet1!R$2,Wine1!$E:$E,"*" &amp; Sheet1!$A41 &amp;"*")</f>
        <v>1</v>
      </c>
      <c r="S41" s="37">
        <f>COUNTIFS(Wine1!$AA:$AA,Sheet1!S$2,Wine1!$E:$E,"*" &amp; Sheet1!$A41 &amp;"*")</f>
        <v>0</v>
      </c>
      <c r="T41" s="37">
        <f>COUNTIFS(Wine1!$AA:$AA,Sheet1!T$2,Wine1!$E:$E,"*" &amp; Sheet1!$A41 &amp;"*")</f>
        <v>0</v>
      </c>
      <c r="U41" s="37">
        <f>COUNTIFS(Wine1!$AA:$AA,Sheet1!U$2,Wine1!$E:$E,"*" &amp; Sheet1!$A41 &amp;"*")</f>
        <v>0</v>
      </c>
      <c r="V41" s="37">
        <f>COUNTIFS(Wine1!$AA:$AA,Sheet1!V$2,Wine1!$E:$E,"*" &amp; Sheet1!$A41 &amp;"*")</f>
        <v>0</v>
      </c>
      <c r="W41" s="37">
        <f>COUNTIFS(Wine1!$AA:$AA,Sheet1!W$2,Wine1!$E:$E,"*" &amp; Sheet1!$A41 &amp;"*")</f>
        <v>0</v>
      </c>
      <c r="X41" s="37">
        <f>COUNTIFS(Wine1!$AA:$AA,Sheet1!X$2,Wine1!$E:$E,"*" &amp; Sheet1!$A41 &amp;"*")</f>
        <v>0</v>
      </c>
      <c r="Y41" s="37">
        <f>COUNTIFS(Wine1!$AA:$AA,Sheet1!Y$2,Wine1!$E:$E,"*" &amp; Sheet1!$A41 &amp;"*")</f>
        <v>0</v>
      </c>
      <c r="Z41" s="37">
        <f>COUNTIFS(Wine1!$AA:$AA,Sheet1!Z$2,Wine1!$E:$E,"*" &amp; Sheet1!$A41 &amp;"*")</f>
        <v>0</v>
      </c>
      <c r="AA41" s="37">
        <f>COUNTIFS(Wine1!$AA:$AA,Sheet1!AA$2,Wine1!$E:$E,"*" &amp; Sheet1!$A41 &amp;"*")</f>
        <v>0</v>
      </c>
      <c r="AB41" s="37">
        <f>COUNTIFS(Wine1!$AA:$AA,Sheet1!AB$2,Wine1!$E:$E,"*" &amp; Sheet1!$A41 &amp;"*")</f>
        <v>0</v>
      </c>
      <c r="AC41" s="37">
        <f>COUNTIFS(Wine1!$AA:$AA,Sheet1!AC$2,Wine1!$E:$E,"*" &amp; Sheet1!$A41 &amp;"*")</f>
        <v>0</v>
      </c>
      <c r="AD41" s="37">
        <f>COUNTIFS(Wine1!$AA:$AA,Sheet1!AD$2,Wine1!$E:$E,"*" &amp; Sheet1!$A41 &amp;"*")</f>
        <v>0</v>
      </c>
      <c r="AE41" s="37">
        <f>COUNTIFS(Wine1!$AA:$AA,Sheet1!AE$2,Wine1!$E:$E,"*" &amp; Sheet1!$A41 &amp;"*")</f>
        <v>0</v>
      </c>
      <c r="AF41" s="37">
        <f>COUNTIFS(Wine1!$AA:$AA,Sheet1!AF$2,Wine1!$E:$E,"*" &amp; Sheet1!$A41 &amp;"*")</f>
        <v>0</v>
      </c>
      <c r="AG41" s="37">
        <f>COUNTIFS(Wine1!$AA:$AA,Sheet1!AG$2,Wine1!$E:$E,"*" &amp; Sheet1!$A41 &amp;"*")</f>
        <v>0</v>
      </c>
      <c r="AH41" s="37">
        <f>COUNTIFS(Wine1!$AA:$AA,Sheet1!AH$2,Wine1!$E:$E,"*" &amp; Sheet1!$A41 &amp;"*")</f>
        <v>0</v>
      </c>
      <c r="AI41" s="37">
        <f>COUNTIFS(Wine1!$AA:$AA,Sheet1!AI$2,Wine1!$E:$E,"*" &amp; Sheet1!$A41 &amp;"*")</f>
        <v>0</v>
      </c>
      <c r="AJ41" s="37">
        <f>COUNTIFS(Wine1!$AA:$AA,Sheet1!AJ$2,Wine1!$E:$E,"*" &amp; Sheet1!$A41 &amp;"*")</f>
        <v>0</v>
      </c>
      <c r="AK41" s="37">
        <f>COUNTIFS(Wine1!$AA:$AA,Sheet1!AK$2,Wine1!$E:$E,"*" &amp; Sheet1!$A41 &amp;"*")</f>
        <v>0</v>
      </c>
      <c r="AL41" s="37">
        <f>COUNTIFS(Wine1!$AA:$AA,Sheet1!AL$2,Wine1!$E:$E,"*" &amp; Sheet1!$A41 &amp;"*")</f>
        <v>0</v>
      </c>
      <c r="AM41" s="37">
        <f>COUNTIFS(Wine1!$AA:$AA,Sheet1!AM$2,Wine1!$E:$E,"*" &amp; Sheet1!$A41 &amp;"*")</f>
        <v>0</v>
      </c>
      <c r="AN41" s="37">
        <f>COUNTIFS(Wine1!$AA:$AA,Sheet1!AN$2,Wine1!$E:$E,"*" &amp; Sheet1!$A41 &amp;"*")</f>
        <v>0</v>
      </c>
      <c r="AO41" s="37">
        <f>COUNTIFS(Wine1!$AA:$AA,Sheet1!AO$2,Wine1!$E:$E,"*" &amp; Sheet1!$A41 &amp;"*")</f>
        <v>0</v>
      </c>
      <c r="AP41" s="37">
        <f>COUNTIFS(Wine1!$AA:$AA,Sheet1!AP$2,Wine1!$E:$E,"*" &amp; Sheet1!$A41 &amp;"*")</f>
        <v>0</v>
      </c>
      <c r="AQ41" s="37">
        <f>COUNTIFS(Wine1!$AA:$AA,Sheet1!AQ$2,Wine1!$E:$E,"*" &amp; Sheet1!$A41 &amp;"*")</f>
        <v>0</v>
      </c>
      <c r="AR41" s="37">
        <f>COUNTIFS(Wine1!$AA:$AA,Sheet1!AR$2,Wine1!$E:$E,"*" &amp; Sheet1!$A41 &amp;"*")</f>
        <v>0</v>
      </c>
      <c r="AS41" s="37">
        <f>COUNTIFS(Wine1!$AA:$AA,Sheet1!AS$2,Wine1!$E:$E,"*" &amp; Sheet1!$A41 &amp;"*")</f>
        <v>0</v>
      </c>
      <c r="AT41" s="37">
        <f>COUNTIFS(Wine1!$AA:$AA,Sheet1!AT$2,Wine1!$E:$E,"*" &amp; Sheet1!$A41 &amp;"*")</f>
        <v>0</v>
      </c>
      <c r="AU41" s="37">
        <f>COUNTIFS(Wine1!$AA:$AA,Sheet1!AU$2,Wine1!$E:$E,"*" &amp; Sheet1!$A41 &amp;"*")</f>
        <v>0</v>
      </c>
      <c r="AV41" s="37">
        <f>COUNTIFS(Wine1!$AA:$AA,Sheet1!AV$2,Wine1!$E:$E,"*" &amp; Sheet1!$A41 &amp;"*")</f>
        <v>0</v>
      </c>
      <c r="AW41" s="37">
        <f>COUNTIFS(Wine1!$AA:$AA,Sheet1!AW$2,Wine1!$E:$E,"*" &amp; Sheet1!$A41 &amp;"*")</f>
        <v>0</v>
      </c>
      <c r="AX41" s="37">
        <f>COUNTIFS(Wine1!$AA:$AA,Sheet1!AX$2,Wine1!$E:$E,"*" &amp; Sheet1!$A41 &amp;"*")</f>
        <v>0</v>
      </c>
      <c r="AY41" s="37">
        <f>COUNTIFS(Wine1!$AA:$AA,Sheet1!AY$2,Wine1!$E:$E,"*" &amp; Sheet1!$A41 &amp;"*")</f>
        <v>0</v>
      </c>
      <c r="AZ41" s="37">
        <f>COUNTIFS(Wine1!$AA:$AA,Sheet1!AZ$2,Wine1!$E:$E,"*" &amp; Sheet1!$A41 &amp;"*")</f>
        <v>0</v>
      </c>
      <c r="BA41" s="37">
        <f>COUNTIFS(Wine1!$AA:$AA,Sheet1!BA$2,Wine1!$E:$E,"*" &amp; Sheet1!$A41 &amp;"*")</f>
        <v>0</v>
      </c>
      <c r="BB41" s="37">
        <f>COUNTIFS(Wine1!$AA:$AA,Sheet1!BB$2,Wine1!$E:$E,"*" &amp; Sheet1!$A41 &amp;"*")</f>
        <v>0</v>
      </c>
      <c r="BC41" s="37">
        <f>COUNTIFS(Wine1!$AA:$AA,Sheet1!BC$2,Wine1!$E:$E,"*" &amp; Sheet1!$A41 &amp;"*")</f>
        <v>0</v>
      </c>
      <c r="BD41" s="37">
        <f>COUNTIFS(Wine1!$AA:$AA,Sheet1!BD$2,Wine1!$E:$E,"*" &amp; Sheet1!$A41 &amp;"*")</f>
        <v>0</v>
      </c>
      <c r="BE41" s="37">
        <f>COUNTIFS(Wine1!$AA:$AA,Sheet1!BE$2,Wine1!$E:$E,"*" &amp; Sheet1!$A41 &amp;"*")</f>
        <v>0</v>
      </c>
      <c r="BF41" s="37">
        <f>COUNTIFS(Wine1!$AA:$AA,Sheet1!BF$2,Wine1!$E:$E,"*" &amp; Sheet1!$A41 &amp;"*")</f>
        <v>0</v>
      </c>
      <c r="BG41" s="37">
        <f>COUNTIFS(Wine1!$AA:$AA,Sheet1!BG$2,Wine1!$E:$E,"*" &amp; Sheet1!$A41 &amp;"*")</f>
        <v>0</v>
      </c>
      <c r="BH41" s="37">
        <f>COUNTIFS(Wine1!$AA:$AA,Sheet1!BH$2,Wine1!$E:$E,"*" &amp; Sheet1!$A41 &amp;"*")</f>
        <v>0</v>
      </c>
      <c r="BI41" s="37">
        <f>COUNTIFS(Wine1!$AA:$AA,Sheet1!BI$2,Wine1!$E:$E,"*" &amp; Sheet1!$A41 &amp;"*")</f>
        <v>0</v>
      </c>
      <c r="BJ41" s="37">
        <f>COUNTIFS(Wine1!$AA:$AA,Sheet1!BJ$2,Wine1!$E:$E,"*" &amp; Sheet1!$A41 &amp;"*")</f>
        <v>0</v>
      </c>
      <c r="BK41" s="37">
        <f>COUNTIFS(Wine1!$AA:$AA,Sheet1!BK$2,Wine1!$E:$E,"*" &amp; Sheet1!$A41 &amp;"*")</f>
        <v>0</v>
      </c>
      <c r="BL41" s="37">
        <f>COUNTIFS(Wine1!$AA:$AA,Sheet1!BL$2,Wine1!$E:$E,"*" &amp; Sheet1!$A41 &amp;"*")</f>
        <v>0</v>
      </c>
    </row>
    <row r="42" spans="1:64" x14ac:dyDescent="0.25">
      <c r="A42" s="37" t="s">
        <v>1439</v>
      </c>
      <c r="B42" s="95">
        <f>COUNTIFS(Wine1!$AF:$AF,Sheet1!B$2,Wine1!$E:$E,"*" &amp; Sheet1!$A42 &amp;"*")</f>
        <v>1</v>
      </c>
      <c r="C42" s="9">
        <f>COUNTIFS(Wine1!$AF:$AF,Sheet1!C$2,Wine1!$E:$E,"*" &amp; Sheet1!$A42 &amp;"*")</f>
        <v>0</v>
      </c>
      <c r="D42" s="9">
        <f>COUNTIFS(Wine1!$AF:$AF,Sheet1!D$2,Wine1!$E:$E,"*" &amp; Sheet1!$A42 &amp;"*")</f>
        <v>0</v>
      </c>
      <c r="E42" s="9">
        <f>COUNTIFS(Wine1!$AF:$AF,Sheet1!E$2,Wine1!$E:$E,"*" &amp; Sheet1!$A42 &amp;"*")</f>
        <v>0</v>
      </c>
      <c r="F42" s="43">
        <f t="shared" si="1"/>
        <v>1</v>
      </c>
      <c r="G42" s="37">
        <f>COUNTIFS(Wine1!$AA:$AA,Sheet1!G$2,Wine1!$E:$E,"*" &amp; Sheet1!$A42 &amp;"*")</f>
        <v>1</v>
      </c>
      <c r="H42" s="37">
        <f>COUNTIFS(Wine1!$AA:$AA,Sheet1!H$2,Wine1!$E:$E,"*" &amp; Sheet1!$A42 &amp;"*")</f>
        <v>0</v>
      </c>
      <c r="I42" s="37">
        <f>COUNTIFS(Wine1!$AA:$AA,Sheet1!I$2,Wine1!$E:$E,"*" &amp; Sheet1!$A42 &amp;"*")</f>
        <v>0</v>
      </c>
      <c r="J42" s="37">
        <f>COUNTIFS(Wine1!$AA:$AA,Sheet1!J$2,Wine1!$E:$E,"*" &amp; Sheet1!$A42 &amp;"*")</f>
        <v>0</v>
      </c>
      <c r="K42" s="37">
        <f>COUNTIFS(Wine1!$AA:$AA,Sheet1!K$2,Wine1!$E:$E,"*" &amp; Sheet1!$A42 &amp;"*")</f>
        <v>0</v>
      </c>
      <c r="L42" s="37">
        <f>COUNTIFS(Wine1!$AA:$AA,Sheet1!L$2,Wine1!$E:$E,"*" &amp; Sheet1!$A42 &amp;"*")</f>
        <v>0</v>
      </c>
      <c r="M42" s="37">
        <f>COUNTIFS(Wine1!$AA:$AA,Sheet1!M$2,Wine1!$E:$E,"*" &amp; Sheet1!$A42 &amp;"*")</f>
        <v>0</v>
      </c>
      <c r="N42" s="37">
        <f>COUNTIFS(Wine1!$AA:$AA,Sheet1!N$2,Wine1!$E:$E,"*" &amp; Sheet1!$A42 &amp;"*")</f>
        <v>0</v>
      </c>
      <c r="O42" s="37">
        <f>COUNTIFS(Wine1!$AA:$AA,Sheet1!O$2,Wine1!$E:$E,"*" &amp; Sheet1!$A42 &amp;"*")</f>
        <v>0</v>
      </c>
      <c r="P42" s="37">
        <f>COUNTIFS(Wine1!$AA:$AA,Sheet1!P$2,Wine1!$E:$E,"*" &amp; Sheet1!$A42 &amp;"*")</f>
        <v>0</v>
      </c>
      <c r="Q42" s="37">
        <f>COUNTIFS(Wine1!$AA:$AA,Sheet1!Q$2,Wine1!$E:$E,"*" &amp; Sheet1!$A42 &amp;"*")</f>
        <v>0</v>
      </c>
      <c r="R42" s="37">
        <f>COUNTIFS(Wine1!$AA:$AA,Sheet1!R$2,Wine1!$E:$E,"*" &amp; Sheet1!$A42 &amp;"*")</f>
        <v>0</v>
      </c>
      <c r="S42" s="37">
        <f>COUNTIFS(Wine1!$AA:$AA,Sheet1!S$2,Wine1!$E:$E,"*" &amp; Sheet1!$A42 &amp;"*")</f>
        <v>0</v>
      </c>
      <c r="T42" s="37">
        <f>COUNTIFS(Wine1!$AA:$AA,Sheet1!T$2,Wine1!$E:$E,"*" &amp; Sheet1!$A42 &amp;"*")</f>
        <v>0</v>
      </c>
      <c r="U42" s="37">
        <f>COUNTIFS(Wine1!$AA:$AA,Sheet1!U$2,Wine1!$E:$E,"*" &amp; Sheet1!$A42 &amp;"*")</f>
        <v>0</v>
      </c>
      <c r="V42" s="37">
        <f>COUNTIFS(Wine1!$AA:$AA,Sheet1!V$2,Wine1!$E:$E,"*" &amp; Sheet1!$A42 &amp;"*")</f>
        <v>0</v>
      </c>
      <c r="W42" s="37">
        <f>COUNTIFS(Wine1!$AA:$AA,Sheet1!W$2,Wine1!$E:$E,"*" &amp; Sheet1!$A42 &amp;"*")</f>
        <v>0</v>
      </c>
      <c r="X42" s="37">
        <f>COUNTIFS(Wine1!$AA:$AA,Sheet1!X$2,Wine1!$E:$E,"*" &amp; Sheet1!$A42 &amp;"*")</f>
        <v>0</v>
      </c>
      <c r="Y42" s="37">
        <f>COUNTIFS(Wine1!$AA:$AA,Sheet1!Y$2,Wine1!$E:$E,"*" &amp; Sheet1!$A42 &amp;"*")</f>
        <v>0</v>
      </c>
      <c r="Z42" s="37">
        <f>COUNTIFS(Wine1!$AA:$AA,Sheet1!Z$2,Wine1!$E:$E,"*" &amp; Sheet1!$A42 &amp;"*")</f>
        <v>0</v>
      </c>
      <c r="AA42" s="37">
        <f>COUNTIFS(Wine1!$AA:$AA,Sheet1!AA$2,Wine1!$E:$E,"*" &amp; Sheet1!$A42 &amp;"*")</f>
        <v>0</v>
      </c>
      <c r="AB42" s="37">
        <f>COUNTIFS(Wine1!$AA:$AA,Sheet1!AB$2,Wine1!$E:$E,"*" &amp; Sheet1!$A42 &amp;"*")</f>
        <v>0</v>
      </c>
      <c r="AC42" s="37">
        <f>COUNTIFS(Wine1!$AA:$AA,Sheet1!AC$2,Wine1!$E:$E,"*" &amp; Sheet1!$A42 &amp;"*")</f>
        <v>0</v>
      </c>
      <c r="AD42" s="37">
        <f>COUNTIFS(Wine1!$AA:$AA,Sheet1!AD$2,Wine1!$E:$E,"*" &amp; Sheet1!$A42 &amp;"*")</f>
        <v>0</v>
      </c>
      <c r="AE42" s="37">
        <f>COUNTIFS(Wine1!$AA:$AA,Sheet1!AE$2,Wine1!$E:$E,"*" &amp; Sheet1!$A42 &amp;"*")</f>
        <v>0</v>
      </c>
      <c r="AF42" s="37">
        <f>COUNTIFS(Wine1!$AA:$AA,Sheet1!AF$2,Wine1!$E:$E,"*" &amp; Sheet1!$A42 &amp;"*")</f>
        <v>0</v>
      </c>
      <c r="AG42" s="37">
        <f>COUNTIFS(Wine1!$AA:$AA,Sheet1!AG$2,Wine1!$E:$E,"*" &amp; Sheet1!$A42 &amp;"*")</f>
        <v>0</v>
      </c>
      <c r="AH42" s="37">
        <f>COUNTIFS(Wine1!$AA:$AA,Sheet1!AH$2,Wine1!$E:$E,"*" &amp; Sheet1!$A42 &amp;"*")</f>
        <v>0</v>
      </c>
      <c r="AI42" s="37">
        <f>COUNTIFS(Wine1!$AA:$AA,Sheet1!AI$2,Wine1!$E:$E,"*" &amp; Sheet1!$A42 &amp;"*")</f>
        <v>0</v>
      </c>
      <c r="AJ42" s="37">
        <f>COUNTIFS(Wine1!$AA:$AA,Sheet1!AJ$2,Wine1!$E:$E,"*" &amp; Sheet1!$A42 &amp;"*")</f>
        <v>0</v>
      </c>
      <c r="AK42" s="37">
        <f>COUNTIFS(Wine1!$AA:$AA,Sheet1!AK$2,Wine1!$E:$E,"*" &amp; Sheet1!$A42 &amp;"*")</f>
        <v>0</v>
      </c>
      <c r="AL42" s="37">
        <f>COUNTIFS(Wine1!$AA:$AA,Sheet1!AL$2,Wine1!$E:$E,"*" &amp; Sheet1!$A42 &amp;"*")</f>
        <v>0</v>
      </c>
      <c r="AM42" s="37">
        <f>COUNTIFS(Wine1!$AA:$AA,Sheet1!AM$2,Wine1!$E:$E,"*" &amp; Sheet1!$A42 &amp;"*")</f>
        <v>0</v>
      </c>
      <c r="AN42" s="37">
        <f>COUNTIFS(Wine1!$AA:$AA,Sheet1!AN$2,Wine1!$E:$E,"*" &amp; Sheet1!$A42 &amp;"*")</f>
        <v>0</v>
      </c>
      <c r="AO42" s="37">
        <f>COUNTIFS(Wine1!$AA:$AA,Sheet1!AO$2,Wine1!$E:$E,"*" &amp; Sheet1!$A42 &amp;"*")</f>
        <v>0</v>
      </c>
      <c r="AP42" s="37">
        <f>COUNTIFS(Wine1!$AA:$AA,Sheet1!AP$2,Wine1!$E:$E,"*" &amp; Sheet1!$A42 &amp;"*")</f>
        <v>0</v>
      </c>
      <c r="AQ42" s="37">
        <f>COUNTIFS(Wine1!$AA:$AA,Sheet1!AQ$2,Wine1!$E:$E,"*" &amp; Sheet1!$A42 &amp;"*")</f>
        <v>0</v>
      </c>
      <c r="AR42" s="37">
        <f>COUNTIFS(Wine1!$AA:$AA,Sheet1!AR$2,Wine1!$E:$E,"*" &amp; Sheet1!$A42 &amp;"*")</f>
        <v>0</v>
      </c>
      <c r="AS42" s="37">
        <f>COUNTIFS(Wine1!$AA:$AA,Sheet1!AS$2,Wine1!$E:$E,"*" &amp; Sheet1!$A42 &amp;"*")</f>
        <v>0</v>
      </c>
      <c r="AT42" s="37">
        <f>COUNTIFS(Wine1!$AA:$AA,Sheet1!AT$2,Wine1!$E:$E,"*" &amp; Sheet1!$A42 &amp;"*")</f>
        <v>0</v>
      </c>
      <c r="AU42" s="37">
        <f>COUNTIFS(Wine1!$AA:$AA,Sheet1!AU$2,Wine1!$E:$E,"*" &amp; Sheet1!$A42 &amp;"*")</f>
        <v>0</v>
      </c>
      <c r="AV42" s="37">
        <f>COUNTIFS(Wine1!$AA:$AA,Sheet1!AV$2,Wine1!$E:$E,"*" &amp; Sheet1!$A42 &amp;"*")</f>
        <v>0</v>
      </c>
      <c r="AW42" s="37">
        <f>COUNTIFS(Wine1!$AA:$AA,Sheet1!AW$2,Wine1!$E:$E,"*" &amp; Sheet1!$A42 &amp;"*")</f>
        <v>0</v>
      </c>
      <c r="AX42" s="37">
        <f>COUNTIFS(Wine1!$AA:$AA,Sheet1!AX$2,Wine1!$E:$E,"*" &amp; Sheet1!$A42 &amp;"*")</f>
        <v>0</v>
      </c>
      <c r="AY42" s="37">
        <f>COUNTIFS(Wine1!$AA:$AA,Sheet1!AY$2,Wine1!$E:$E,"*" &amp; Sheet1!$A42 &amp;"*")</f>
        <v>0</v>
      </c>
      <c r="AZ42" s="37">
        <f>COUNTIFS(Wine1!$AA:$AA,Sheet1!AZ$2,Wine1!$E:$E,"*" &amp; Sheet1!$A42 &amp;"*")</f>
        <v>0</v>
      </c>
      <c r="BA42" s="37">
        <f>COUNTIFS(Wine1!$AA:$AA,Sheet1!BA$2,Wine1!$E:$E,"*" &amp; Sheet1!$A42 &amp;"*")</f>
        <v>0</v>
      </c>
      <c r="BB42" s="37">
        <f>COUNTIFS(Wine1!$AA:$AA,Sheet1!BB$2,Wine1!$E:$E,"*" &amp; Sheet1!$A42 &amp;"*")</f>
        <v>0</v>
      </c>
      <c r="BC42" s="37">
        <f>COUNTIFS(Wine1!$AA:$AA,Sheet1!BC$2,Wine1!$E:$E,"*" &amp; Sheet1!$A42 &amp;"*")</f>
        <v>0</v>
      </c>
      <c r="BD42" s="37">
        <f>COUNTIFS(Wine1!$AA:$AA,Sheet1!BD$2,Wine1!$E:$E,"*" &amp; Sheet1!$A42 &amp;"*")</f>
        <v>0</v>
      </c>
      <c r="BE42" s="37">
        <f>COUNTIFS(Wine1!$AA:$AA,Sheet1!BE$2,Wine1!$E:$E,"*" &amp; Sheet1!$A42 &amp;"*")</f>
        <v>0</v>
      </c>
      <c r="BF42" s="37">
        <f>COUNTIFS(Wine1!$AA:$AA,Sheet1!BF$2,Wine1!$E:$E,"*" &amp; Sheet1!$A42 &amp;"*")</f>
        <v>0</v>
      </c>
      <c r="BG42" s="37">
        <f>COUNTIFS(Wine1!$AA:$AA,Sheet1!BG$2,Wine1!$E:$E,"*" &amp; Sheet1!$A42 &amp;"*")</f>
        <v>0</v>
      </c>
      <c r="BH42" s="37">
        <f>COUNTIFS(Wine1!$AA:$AA,Sheet1!BH$2,Wine1!$E:$E,"*" &amp; Sheet1!$A42 &amp;"*")</f>
        <v>0</v>
      </c>
      <c r="BI42" s="37">
        <f>COUNTIFS(Wine1!$AA:$AA,Sheet1!BI$2,Wine1!$E:$E,"*" &amp; Sheet1!$A42 &amp;"*")</f>
        <v>0</v>
      </c>
      <c r="BJ42" s="37">
        <f>COUNTIFS(Wine1!$AA:$AA,Sheet1!BJ$2,Wine1!$E:$E,"*" &amp; Sheet1!$A42 &amp;"*")</f>
        <v>0</v>
      </c>
      <c r="BK42" s="37">
        <f>COUNTIFS(Wine1!$AA:$AA,Sheet1!BK$2,Wine1!$E:$E,"*" &amp; Sheet1!$A42 &amp;"*")</f>
        <v>0</v>
      </c>
      <c r="BL42" s="37">
        <f>COUNTIFS(Wine1!$AA:$AA,Sheet1!BL$2,Wine1!$E:$E,"*" &amp; Sheet1!$A42 &amp;"*")</f>
        <v>0</v>
      </c>
    </row>
    <row r="43" spans="1:64" x14ac:dyDescent="0.25">
      <c r="A43" s="37" t="s">
        <v>272</v>
      </c>
      <c r="B43" s="95">
        <f>COUNTIFS(Wine1!$AF:$AF,Sheet1!B$2,Wine1!$E:$E,"*" &amp; Sheet1!$A43 &amp;"*")</f>
        <v>0</v>
      </c>
      <c r="C43" s="9">
        <f>COUNTIFS(Wine1!$AF:$AF,Sheet1!C$2,Wine1!$E:$E,"*" &amp; Sheet1!$A43 &amp;"*")</f>
        <v>2</v>
      </c>
      <c r="D43" s="9">
        <f>COUNTIFS(Wine1!$AF:$AF,Sheet1!D$2,Wine1!$E:$E,"*" &amp; Sheet1!$A43 &amp;"*")</f>
        <v>0</v>
      </c>
      <c r="E43" s="9">
        <f>COUNTIFS(Wine1!$AF:$AF,Sheet1!E$2,Wine1!$E:$E,"*" &amp; Sheet1!$A43 &amp;"*")</f>
        <v>0</v>
      </c>
      <c r="F43" s="43">
        <f t="shared" si="1"/>
        <v>2</v>
      </c>
      <c r="G43" s="37">
        <f>COUNTIFS(Wine1!$AA:$AA,Sheet1!G$2,Wine1!$E:$E,"*" &amp; Sheet1!$A43 &amp;"*")</f>
        <v>0</v>
      </c>
      <c r="H43" s="37">
        <f>COUNTIFS(Wine1!$AA:$AA,Sheet1!H$2,Wine1!$E:$E,"*" &amp; Sheet1!$A43 &amp;"*")</f>
        <v>0</v>
      </c>
      <c r="I43" s="37">
        <f>COUNTIFS(Wine1!$AA:$AA,Sheet1!I$2,Wine1!$E:$E,"*" &amp; Sheet1!$A43 &amp;"*")</f>
        <v>1</v>
      </c>
      <c r="J43" s="37">
        <f>COUNTIFS(Wine1!$AA:$AA,Sheet1!J$2,Wine1!$E:$E,"*" &amp; Sheet1!$A43 &amp;"*")</f>
        <v>0</v>
      </c>
      <c r="K43" s="37">
        <f>COUNTIFS(Wine1!$AA:$AA,Sheet1!K$2,Wine1!$E:$E,"*" &amp; Sheet1!$A43 &amp;"*")</f>
        <v>0</v>
      </c>
      <c r="L43" s="37">
        <f>COUNTIFS(Wine1!$AA:$AA,Sheet1!L$2,Wine1!$E:$E,"*" &amp; Sheet1!$A43 &amp;"*")</f>
        <v>0</v>
      </c>
      <c r="M43" s="37">
        <f>COUNTIFS(Wine1!$AA:$AA,Sheet1!M$2,Wine1!$E:$E,"*" &amp; Sheet1!$A43 &amp;"*")</f>
        <v>1</v>
      </c>
      <c r="N43" s="37">
        <f>COUNTIFS(Wine1!$AA:$AA,Sheet1!N$2,Wine1!$E:$E,"*" &amp; Sheet1!$A43 &amp;"*")</f>
        <v>0</v>
      </c>
      <c r="O43" s="37">
        <f>COUNTIFS(Wine1!$AA:$AA,Sheet1!O$2,Wine1!$E:$E,"*" &amp; Sheet1!$A43 &amp;"*")</f>
        <v>0</v>
      </c>
      <c r="P43" s="37">
        <f>COUNTIFS(Wine1!$AA:$AA,Sheet1!P$2,Wine1!$E:$E,"*" &amp; Sheet1!$A43 &amp;"*")</f>
        <v>0</v>
      </c>
      <c r="Q43" s="37">
        <f>COUNTIFS(Wine1!$AA:$AA,Sheet1!Q$2,Wine1!$E:$E,"*" &amp; Sheet1!$A43 &amp;"*")</f>
        <v>0</v>
      </c>
      <c r="R43" s="37">
        <f>COUNTIFS(Wine1!$AA:$AA,Sheet1!R$2,Wine1!$E:$E,"*" &amp; Sheet1!$A43 &amp;"*")</f>
        <v>0</v>
      </c>
      <c r="S43" s="37">
        <f>COUNTIFS(Wine1!$AA:$AA,Sheet1!S$2,Wine1!$E:$E,"*" &amp; Sheet1!$A43 &amp;"*")</f>
        <v>0</v>
      </c>
      <c r="T43" s="37">
        <f>COUNTIFS(Wine1!$AA:$AA,Sheet1!T$2,Wine1!$E:$E,"*" &amp; Sheet1!$A43 &amp;"*")</f>
        <v>0</v>
      </c>
      <c r="U43" s="37">
        <f>COUNTIFS(Wine1!$AA:$AA,Sheet1!U$2,Wine1!$E:$E,"*" &amp; Sheet1!$A43 &amp;"*")</f>
        <v>0</v>
      </c>
      <c r="V43" s="37">
        <f>COUNTIFS(Wine1!$AA:$AA,Sheet1!V$2,Wine1!$E:$E,"*" &amp; Sheet1!$A43 &amp;"*")</f>
        <v>0</v>
      </c>
      <c r="W43" s="37">
        <f>COUNTIFS(Wine1!$AA:$AA,Sheet1!W$2,Wine1!$E:$E,"*" &amp; Sheet1!$A43 &amp;"*")</f>
        <v>0</v>
      </c>
      <c r="X43" s="37">
        <f>COUNTIFS(Wine1!$AA:$AA,Sheet1!X$2,Wine1!$E:$E,"*" &amp; Sheet1!$A43 &amp;"*")</f>
        <v>0</v>
      </c>
      <c r="Y43" s="37">
        <f>COUNTIFS(Wine1!$AA:$AA,Sheet1!Y$2,Wine1!$E:$E,"*" &amp; Sheet1!$A43 &amp;"*")</f>
        <v>0</v>
      </c>
      <c r="Z43" s="37">
        <f>COUNTIFS(Wine1!$AA:$AA,Sheet1!Z$2,Wine1!$E:$E,"*" &amp; Sheet1!$A43 &amp;"*")</f>
        <v>0</v>
      </c>
      <c r="AA43" s="37">
        <f>COUNTIFS(Wine1!$AA:$AA,Sheet1!AA$2,Wine1!$E:$E,"*" &amp; Sheet1!$A43 &amp;"*")</f>
        <v>0</v>
      </c>
      <c r="AB43" s="37">
        <f>COUNTIFS(Wine1!$AA:$AA,Sheet1!AB$2,Wine1!$E:$E,"*" &amp; Sheet1!$A43 &amp;"*")</f>
        <v>0</v>
      </c>
      <c r="AC43" s="37">
        <f>COUNTIFS(Wine1!$AA:$AA,Sheet1!AC$2,Wine1!$E:$E,"*" &amp; Sheet1!$A43 &amp;"*")</f>
        <v>0</v>
      </c>
      <c r="AD43" s="37">
        <f>COUNTIFS(Wine1!$AA:$AA,Sheet1!AD$2,Wine1!$E:$E,"*" &amp; Sheet1!$A43 &amp;"*")</f>
        <v>0</v>
      </c>
      <c r="AE43" s="37">
        <f>COUNTIFS(Wine1!$AA:$AA,Sheet1!AE$2,Wine1!$E:$E,"*" &amp; Sheet1!$A43 &amp;"*")</f>
        <v>0</v>
      </c>
      <c r="AF43" s="37">
        <f>COUNTIFS(Wine1!$AA:$AA,Sheet1!AF$2,Wine1!$E:$E,"*" &amp; Sheet1!$A43 &amp;"*")</f>
        <v>0</v>
      </c>
      <c r="AG43" s="37">
        <f>COUNTIFS(Wine1!$AA:$AA,Sheet1!AG$2,Wine1!$E:$E,"*" &amp; Sheet1!$A43 &amp;"*")</f>
        <v>0</v>
      </c>
      <c r="AH43" s="37">
        <f>COUNTIFS(Wine1!$AA:$AA,Sheet1!AH$2,Wine1!$E:$E,"*" &amp; Sheet1!$A43 &amp;"*")</f>
        <v>0</v>
      </c>
      <c r="AI43" s="37">
        <f>COUNTIFS(Wine1!$AA:$AA,Sheet1!AI$2,Wine1!$E:$E,"*" &amp; Sheet1!$A43 &amp;"*")</f>
        <v>0</v>
      </c>
      <c r="AJ43" s="37">
        <f>COUNTIFS(Wine1!$AA:$AA,Sheet1!AJ$2,Wine1!$E:$E,"*" &amp; Sheet1!$A43 &amp;"*")</f>
        <v>0</v>
      </c>
      <c r="AK43" s="37">
        <f>COUNTIFS(Wine1!$AA:$AA,Sheet1!AK$2,Wine1!$E:$E,"*" &amp; Sheet1!$A43 &amp;"*")</f>
        <v>0</v>
      </c>
      <c r="AL43" s="37">
        <f>COUNTIFS(Wine1!$AA:$AA,Sheet1!AL$2,Wine1!$E:$E,"*" &amp; Sheet1!$A43 &amp;"*")</f>
        <v>0</v>
      </c>
      <c r="AM43" s="37">
        <f>COUNTIFS(Wine1!$AA:$AA,Sheet1!AM$2,Wine1!$E:$E,"*" &amp; Sheet1!$A43 &amp;"*")</f>
        <v>0</v>
      </c>
      <c r="AN43" s="37">
        <f>COUNTIFS(Wine1!$AA:$AA,Sheet1!AN$2,Wine1!$E:$E,"*" &amp; Sheet1!$A43 &amp;"*")</f>
        <v>0</v>
      </c>
      <c r="AO43" s="37">
        <f>COUNTIFS(Wine1!$AA:$AA,Sheet1!AO$2,Wine1!$E:$E,"*" &amp; Sheet1!$A43 &amp;"*")</f>
        <v>0</v>
      </c>
      <c r="AP43" s="37">
        <f>COUNTIFS(Wine1!$AA:$AA,Sheet1!AP$2,Wine1!$E:$E,"*" &amp; Sheet1!$A43 &amp;"*")</f>
        <v>0</v>
      </c>
      <c r="AQ43" s="37">
        <f>COUNTIFS(Wine1!$AA:$AA,Sheet1!AQ$2,Wine1!$E:$E,"*" &amp; Sheet1!$A43 &amp;"*")</f>
        <v>0</v>
      </c>
      <c r="AR43" s="37">
        <f>COUNTIFS(Wine1!$AA:$AA,Sheet1!AR$2,Wine1!$E:$E,"*" &amp; Sheet1!$A43 &amp;"*")</f>
        <v>0</v>
      </c>
      <c r="AS43" s="37">
        <f>COUNTIFS(Wine1!$AA:$AA,Sheet1!AS$2,Wine1!$E:$E,"*" &amp; Sheet1!$A43 &amp;"*")</f>
        <v>0</v>
      </c>
      <c r="AT43" s="37">
        <f>COUNTIFS(Wine1!$AA:$AA,Sheet1!AT$2,Wine1!$E:$E,"*" &amp; Sheet1!$A43 &amp;"*")</f>
        <v>0</v>
      </c>
      <c r="AU43" s="37">
        <f>COUNTIFS(Wine1!$AA:$AA,Sheet1!AU$2,Wine1!$E:$E,"*" &amp; Sheet1!$A43 &amp;"*")</f>
        <v>0</v>
      </c>
      <c r="AV43" s="37">
        <f>COUNTIFS(Wine1!$AA:$AA,Sheet1!AV$2,Wine1!$E:$E,"*" &amp; Sheet1!$A43 &amp;"*")</f>
        <v>0</v>
      </c>
      <c r="AW43" s="37">
        <f>COUNTIFS(Wine1!$AA:$AA,Sheet1!AW$2,Wine1!$E:$E,"*" &amp; Sheet1!$A43 &amp;"*")</f>
        <v>0</v>
      </c>
      <c r="AX43" s="37">
        <f>COUNTIFS(Wine1!$AA:$AA,Sheet1!AX$2,Wine1!$E:$E,"*" &amp; Sheet1!$A43 &amp;"*")</f>
        <v>0</v>
      </c>
      <c r="AY43" s="37">
        <f>COUNTIFS(Wine1!$AA:$AA,Sheet1!AY$2,Wine1!$E:$E,"*" &amp; Sheet1!$A43 &amp;"*")</f>
        <v>0</v>
      </c>
      <c r="AZ43" s="37">
        <f>COUNTIFS(Wine1!$AA:$AA,Sheet1!AZ$2,Wine1!$E:$E,"*" &amp; Sheet1!$A43 &amp;"*")</f>
        <v>0</v>
      </c>
      <c r="BA43" s="37">
        <f>COUNTIFS(Wine1!$AA:$AA,Sheet1!BA$2,Wine1!$E:$E,"*" &amp; Sheet1!$A43 &amp;"*")</f>
        <v>0</v>
      </c>
      <c r="BB43" s="37">
        <f>COUNTIFS(Wine1!$AA:$AA,Sheet1!BB$2,Wine1!$E:$E,"*" &amp; Sheet1!$A43 &amp;"*")</f>
        <v>0</v>
      </c>
      <c r="BC43" s="37">
        <f>COUNTIFS(Wine1!$AA:$AA,Sheet1!BC$2,Wine1!$E:$E,"*" &amp; Sheet1!$A43 &amp;"*")</f>
        <v>0</v>
      </c>
      <c r="BD43" s="37">
        <f>COUNTIFS(Wine1!$AA:$AA,Sheet1!BD$2,Wine1!$E:$E,"*" &amp; Sheet1!$A43 &amp;"*")</f>
        <v>0</v>
      </c>
      <c r="BE43" s="37">
        <f>COUNTIFS(Wine1!$AA:$AA,Sheet1!BE$2,Wine1!$E:$E,"*" &amp; Sheet1!$A43 &amp;"*")</f>
        <v>0</v>
      </c>
      <c r="BF43" s="37">
        <f>COUNTIFS(Wine1!$AA:$AA,Sheet1!BF$2,Wine1!$E:$E,"*" &amp; Sheet1!$A43 &amp;"*")</f>
        <v>0</v>
      </c>
      <c r="BG43" s="37">
        <f>COUNTIFS(Wine1!$AA:$AA,Sheet1!BG$2,Wine1!$E:$E,"*" &amp; Sheet1!$A43 &amp;"*")</f>
        <v>0</v>
      </c>
      <c r="BH43" s="37">
        <f>COUNTIFS(Wine1!$AA:$AA,Sheet1!BH$2,Wine1!$E:$E,"*" &amp; Sheet1!$A43 &amp;"*")</f>
        <v>0</v>
      </c>
      <c r="BI43" s="37">
        <f>COUNTIFS(Wine1!$AA:$AA,Sheet1!BI$2,Wine1!$E:$E,"*" &amp; Sheet1!$A43 &amp;"*")</f>
        <v>0</v>
      </c>
      <c r="BJ43" s="37">
        <f>COUNTIFS(Wine1!$AA:$AA,Sheet1!BJ$2,Wine1!$E:$E,"*" &amp; Sheet1!$A43 &amp;"*")</f>
        <v>0</v>
      </c>
      <c r="BK43" s="37">
        <f>COUNTIFS(Wine1!$AA:$AA,Sheet1!BK$2,Wine1!$E:$E,"*" &amp; Sheet1!$A43 &amp;"*")</f>
        <v>0</v>
      </c>
      <c r="BL43" s="37">
        <f>COUNTIFS(Wine1!$AA:$AA,Sheet1!BL$2,Wine1!$E:$E,"*" &amp; Sheet1!$A43 &amp;"*")</f>
        <v>0</v>
      </c>
    </row>
    <row r="44" spans="1:64" x14ac:dyDescent="0.25">
      <c r="A44" t="s">
        <v>280</v>
      </c>
      <c r="B44" s="97">
        <f>COUNTIFS(Wine1!$AF:$AF,Sheet1!B$2,Wine1!$E:$E,"*" &amp; Sheet1!$A44 &amp;"*")</f>
        <v>2</v>
      </c>
      <c r="C44" s="9">
        <f>COUNTIFS(Wine1!$AF:$AF,Sheet1!C$2,Wine1!$E:$E,"*" &amp; Sheet1!$A44 &amp;"*")</f>
        <v>25</v>
      </c>
      <c r="D44" s="9">
        <f>COUNTIFS(Wine1!$AF:$AF,Sheet1!D$2,Wine1!$E:$E,"*" &amp; Sheet1!$A44 &amp;"*")</f>
        <v>136</v>
      </c>
      <c r="E44" s="96">
        <f>COUNTIFS(Wine1!$AF:$AF,Sheet1!E$2,Wine1!$E:$E,"*" &amp; Sheet1!$A44 &amp;"*")</f>
        <v>46</v>
      </c>
      <c r="F44" s="99">
        <f t="shared" si="1"/>
        <v>209</v>
      </c>
      <c r="G44" s="37">
        <f>COUNTIFS(Wine1!$AA:$AA,Sheet1!G$2,Wine1!$E:$E,"*" &amp; Sheet1!$A44 &amp;"*")</f>
        <v>14</v>
      </c>
      <c r="H44" s="37">
        <f>COUNTIFS(Wine1!$AA:$AA,Sheet1!H$2,Wine1!$E:$E,"*" &amp; Sheet1!$A44 &amp;"*")</f>
        <v>14</v>
      </c>
      <c r="I44" s="37">
        <f>COUNTIFS(Wine1!$AA:$AA,Sheet1!I$2,Wine1!$E:$E,"*" &amp; Sheet1!$A44 &amp;"*")</f>
        <v>5</v>
      </c>
      <c r="J44" s="37">
        <f>COUNTIFS(Wine1!$AA:$AA,Sheet1!J$2,Wine1!$E:$E,"*" &amp; Sheet1!$A44 &amp;"*")</f>
        <v>9</v>
      </c>
      <c r="K44" s="37">
        <f>COUNTIFS(Wine1!$AA:$AA,Sheet1!K$2,Wine1!$E:$E,"*" &amp; Sheet1!$A44 &amp;"*")</f>
        <v>13</v>
      </c>
      <c r="L44" s="37">
        <f>COUNTIFS(Wine1!$AA:$AA,Sheet1!L$2,Wine1!$E:$E,"*" &amp; Sheet1!$A44 &amp;"*")</f>
        <v>10</v>
      </c>
      <c r="M44" s="37">
        <f>COUNTIFS(Wine1!$AA:$AA,Sheet1!M$2,Wine1!$E:$E,"*" &amp; Sheet1!$A44 &amp;"*")</f>
        <v>15</v>
      </c>
      <c r="N44" s="37">
        <f>COUNTIFS(Wine1!$AA:$AA,Sheet1!N$2,Wine1!$E:$E,"*" &amp; Sheet1!$A44 &amp;"*")</f>
        <v>12</v>
      </c>
      <c r="O44" s="37">
        <f>COUNTIFS(Wine1!$AA:$AA,Sheet1!O$2,Wine1!$E:$E,"*" &amp; Sheet1!$A44 &amp;"*")</f>
        <v>16</v>
      </c>
      <c r="P44" s="37">
        <f>COUNTIFS(Wine1!$AA:$AA,Sheet1!P$2,Wine1!$E:$E,"*" &amp; Sheet1!$A44 &amp;"*")</f>
        <v>15</v>
      </c>
      <c r="Q44" s="37">
        <f>COUNTIFS(Wine1!$AA:$AA,Sheet1!Q$2,Wine1!$E:$E,"*" &amp; Sheet1!$A44 &amp;"*")</f>
        <v>9</v>
      </c>
      <c r="R44" s="37">
        <f>COUNTIFS(Wine1!$AA:$AA,Sheet1!R$2,Wine1!$E:$E,"*" &amp; Sheet1!$A44 &amp;"*")</f>
        <v>11</v>
      </c>
      <c r="S44" s="37">
        <f>COUNTIFS(Wine1!$AA:$AA,Sheet1!S$2,Wine1!$E:$E,"*" &amp; Sheet1!$A44 &amp;"*")</f>
        <v>9</v>
      </c>
      <c r="T44" s="37">
        <f>COUNTIFS(Wine1!$AA:$AA,Sheet1!T$2,Wine1!$E:$E,"*" &amp; Sheet1!$A44 &amp;"*")</f>
        <v>11</v>
      </c>
      <c r="U44" s="37">
        <f>COUNTIFS(Wine1!$AA:$AA,Sheet1!U$2,Wine1!$E:$E,"*" &amp; Sheet1!$A44 &amp;"*")</f>
        <v>8</v>
      </c>
      <c r="V44" s="37">
        <f>COUNTIFS(Wine1!$AA:$AA,Sheet1!V$2,Wine1!$E:$E,"*" &amp; Sheet1!$A44 &amp;"*")</f>
        <v>12</v>
      </c>
      <c r="W44" s="37">
        <f>COUNTIFS(Wine1!$AA:$AA,Sheet1!W$2,Wine1!$E:$E,"*" &amp; Sheet1!$A44 &amp;"*")</f>
        <v>2</v>
      </c>
      <c r="X44" s="37">
        <f>COUNTIFS(Wine1!$AA:$AA,Sheet1!X$2,Wine1!$E:$E,"*" &amp; Sheet1!$A44 &amp;"*")</f>
        <v>4</v>
      </c>
      <c r="Y44" s="37">
        <f>COUNTIFS(Wine1!$AA:$AA,Sheet1!Y$2,Wine1!$E:$E,"*" &amp; Sheet1!$A44 &amp;"*")</f>
        <v>3</v>
      </c>
      <c r="Z44" s="37">
        <f>COUNTIFS(Wine1!$AA:$AA,Sheet1!Z$2,Wine1!$E:$E,"*" &amp; Sheet1!$A44 &amp;"*")</f>
        <v>1</v>
      </c>
      <c r="AA44" s="37">
        <f>COUNTIFS(Wine1!$AA:$AA,Sheet1!AA$2,Wine1!$E:$E,"*" &amp; Sheet1!$A44 &amp;"*")</f>
        <v>5</v>
      </c>
      <c r="AB44" s="37">
        <f>COUNTIFS(Wine1!$AA:$AA,Sheet1!AB$2,Wine1!$E:$E,"*" &amp; Sheet1!$A44 &amp;"*")</f>
        <v>0</v>
      </c>
      <c r="AC44" s="37">
        <f>COUNTIFS(Wine1!$AA:$AA,Sheet1!AC$2,Wine1!$E:$E,"*" &amp; Sheet1!$A44 &amp;"*")</f>
        <v>3</v>
      </c>
      <c r="AD44" s="37">
        <f>COUNTIFS(Wine1!$AA:$AA,Sheet1!AD$2,Wine1!$E:$E,"*" &amp; Sheet1!$A44 &amp;"*")</f>
        <v>0</v>
      </c>
      <c r="AE44" s="37">
        <f>COUNTIFS(Wine1!$AA:$AA,Sheet1!AE$2,Wine1!$E:$E,"*" &amp; Sheet1!$A44 &amp;"*")</f>
        <v>0</v>
      </c>
      <c r="AF44" s="37">
        <f>COUNTIFS(Wine1!$AA:$AA,Sheet1!AF$2,Wine1!$E:$E,"*" &amp; Sheet1!$A44 &amp;"*")</f>
        <v>4</v>
      </c>
      <c r="AG44" s="37">
        <f>COUNTIFS(Wine1!$AA:$AA,Sheet1!AG$2,Wine1!$E:$E,"*" &amp; Sheet1!$A44 &amp;"*")</f>
        <v>2</v>
      </c>
      <c r="AH44" s="37">
        <f>COUNTIFS(Wine1!$AA:$AA,Sheet1!AH$2,Wine1!$E:$E,"*" &amp; Sheet1!$A44 &amp;"*")</f>
        <v>0</v>
      </c>
      <c r="AI44" s="37">
        <f>COUNTIFS(Wine1!$AA:$AA,Sheet1!AI$2,Wine1!$E:$E,"*" &amp; Sheet1!$A44 &amp;"*")</f>
        <v>0</v>
      </c>
      <c r="AJ44" s="37">
        <f>COUNTIFS(Wine1!$AA:$AA,Sheet1!AJ$2,Wine1!$E:$E,"*" &amp; Sheet1!$A44 &amp;"*")</f>
        <v>0</v>
      </c>
      <c r="AK44" s="37">
        <f>COUNTIFS(Wine1!$AA:$AA,Sheet1!AK$2,Wine1!$E:$E,"*" &amp; Sheet1!$A44 &amp;"*")</f>
        <v>2</v>
      </c>
      <c r="AL44" s="37">
        <f>COUNTIFS(Wine1!$AA:$AA,Sheet1!AL$2,Wine1!$E:$E,"*" &amp; Sheet1!$A44 &amp;"*")</f>
        <v>0</v>
      </c>
      <c r="AM44" s="37">
        <f>COUNTIFS(Wine1!$AA:$AA,Sheet1!AM$2,Wine1!$E:$E,"*" &amp; Sheet1!$A44 &amp;"*")</f>
        <v>0</v>
      </c>
      <c r="AN44" s="37">
        <f>COUNTIFS(Wine1!$AA:$AA,Sheet1!AN$2,Wine1!$E:$E,"*" &amp; Sheet1!$A44 &amp;"*")</f>
        <v>0</v>
      </c>
      <c r="AO44" s="37">
        <f>COUNTIFS(Wine1!$AA:$AA,Sheet1!AO$2,Wine1!$E:$E,"*" &amp; Sheet1!$A44 &amp;"*")</f>
        <v>0</v>
      </c>
      <c r="AP44" s="37">
        <f>COUNTIFS(Wine1!$AA:$AA,Sheet1!AP$2,Wine1!$E:$E,"*" &amp; Sheet1!$A44 &amp;"*")</f>
        <v>0</v>
      </c>
      <c r="AQ44" s="37">
        <f>COUNTIFS(Wine1!$AA:$AA,Sheet1!AQ$2,Wine1!$E:$E,"*" &amp; Sheet1!$A44 &amp;"*")</f>
        <v>0</v>
      </c>
      <c r="AR44" s="37">
        <f>COUNTIFS(Wine1!$AA:$AA,Sheet1!AR$2,Wine1!$E:$E,"*" &amp; Sheet1!$A44 &amp;"*")</f>
        <v>0</v>
      </c>
      <c r="AS44" s="37">
        <f>COUNTIFS(Wine1!$AA:$AA,Sheet1!AS$2,Wine1!$E:$E,"*" &amp; Sheet1!$A44 &amp;"*")</f>
        <v>0</v>
      </c>
      <c r="AT44" s="37">
        <f>COUNTIFS(Wine1!$AA:$AA,Sheet1!AT$2,Wine1!$E:$E,"*" &amp; Sheet1!$A44 &amp;"*")</f>
        <v>0</v>
      </c>
      <c r="AU44" s="37">
        <f>COUNTIFS(Wine1!$AA:$AA,Sheet1!AU$2,Wine1!$E:$E,"*" &amp; Sheet1!$A44 &amp;"*")</f>
        <v>0</v>
      </c>
      <c r="AV44" s="37">
        <f>COUNTIFS(Wine1!$AA:$AA,Sheet1!AV$2,Wine1!$E:$E,"*" &amp; Sheet1!$A44 &amp;"*")</f>
        <v>0</v>
      </c>
      <c r="AW44" s="37">
        <f>COUNTIFS(Wine1!$AA:$AA,Sheet1!AW$2,Wine1!$E:$E,"*" &amp; Sheet1!$A44 &amp;"*")</f>
        <v>0</v>
      </c>
      <c r="AX44" s="37">
        <f>COUNTIFS(Wine1!$AA:$AA,Sheet1!AX$2,Wine1!$E:$E,"*" &amp; Sheet1!$A44 &amp;"*")</f>
        <v>0</v>
      </c>
      <c r="AY44" s="37">
        <f>COUNTIFS(Wine1!$AA:$AA,Sheet1!AY$2,Wine1!$E:$E,"*" &amp; Sheet1!$A44 &amp;"*")</f>
        <v>0</v>
      </c>
      <c r="AZ44" s="37">
        <f>COUNTIFS(Wine1!$AA:$AA,Sheet1!AZ$2,Wine1!$E:$E,"*" &amp; Sheet1!$A44 &amp;"*")</f>
        <v>0</v>
      </c>
      <c r="BA44" s="37">
        <f>COUNTIFS(Wine1!$AA:$AA,Sheet1!BA$2,Wine1!$E:$E,"*" &amp; Sheet1!$A44 &amp;"*")</f>
        <v>0</v>
      </c>
      <c r="BB44" s="37">
        <f>COUNTIFS(Wine1!$AA:$AA,Sheet1!BB$2,Wine1!$E:$E,"*" &amp; Sheet1!$A44 &amp;"*")</f>
        <v>0</v>
      </c>
      <c r="BC44" s="37">
        <f>COUNTIFS(Wine1!$AA:$AA,Sheet1!BC$2,Wine1!$E:$E,"*" &amp; Sheet1!$A44 &amp;"*")</f>
        <v>0</v>
      </c>
      <c r="BD44" s="37">
        <f>COUNTIFS(Wine1!$AA:$AA,Sheet1!BD$2,Wine1!$E:$E,"*" &amp; Sheet1!$A44 &amp;"*")</f>
        <v>0</v>
      </c>
      <c r="BE44" s="37">
        <f>COUNTIFS(Wine1!$AA:$AA,Sheet1!BE$2,Wine1!$E:$E,"*" &amp; Sheet1!$A44 &amp;"*")</f>
        <v>0</v>
      </c>
      <c r="BF44" s="37">
        <f>COUNTIFS(Wine1!$AA:$AA,Sheet1!BF$2,Wine1!$E:$E,"*" &amp; Sheet1!$A44 &amp;"*")</f>
        <v>0</v>
      </c>
      <c r="BG44" s="37">
        <f>COUNTIFS(Wine1!$AA:$AA,Sheet1!BG$2,Wine1!$E:$E,"*" &amp; Sheet1!$A44 &amp;"*")</f>
        <v>0</v>
      </c>
      <c r="BH44" s="37">
        <f>COUNTIFS(Wine1!$AA:$AA,Sheet1!BH$2,Wine1!$E:$E,"*" &amp; Sheet1!$A44 &amp;"*")</f>
        <v>0</v>
      </c>
      <c r="BI44" s="37">
        <f>COUNTIFS(Wine1!$AA:$AA,Sheet1!BI$2,Wine1!$E:$E,"*" &amp; Sheet1!$A44 &amp;"*")</f>
        <v>0</v>
      </c>
      <c r="BJ44" s="37">
        <f>COUNTIFS(Wine1!$AA:$AA,Sheet1!BJ$2,Wine1!$E:$E,"*" &amp; Sheet1!$A44 &amp;"*")</f>
        <v>0</v>
      </c>
      <c r="BK44" s="37">
        <f>COUNTIFS(Wine1!$AA:$AA,Sheet1!BK$2,Wine1!$E:$E,"*" &amp; Sheet1!$A44 &amp;"*")</f>
        <v>0</v>
      </c>
      <c r="BL44" s="37">
        <f>COUNTIFS(Wine1!$AA:$AA,Sheet1!BL$2,Wine1!$E:$E,"*" &amp; Sheet1!$A44 &amp;"*")</f>
        <v>0</v>
      </c>
    </row>
    <row r="45" spans="1:64" x14ac:dyDescent="0.25">
      <c r="A45" s="37" t="s">
        <v>260</v>
      </c>
      <c r="B45" s="95">
        <f>COUNTIFS(Wine1!$AF:$AF,Sheet1!B$2,Wine1!$E:$E,"*" &amp; Sheet1!$A45 &amp;"*")</f>
        <v>0</v>
      </c>
      <c r="C45" s="9">
        <f>COUNTIFS(Wine1!$AF:$AF,Sheet1!C$2,Wine1!$E:$E,"*" &amp; Sheet1!$A45 &amp;"*")</f>
        <v>0</v>
      </c>
      <c r="D45" s="9">
        <f>COUNTIFS(Wine1!$AF:$AF,Sheet1!D$2,Wine1!$E:$E,"*" &amp; Sheet1!$A45 &amp;"*")</f>
        <v>8</v>
      </c>
      <c r="E45" s="9">
        <f>COUNTIFS(Wine1!$AF:$AF,Sheet1!E$2,Wine1!$E:$E,"*" &amp; Sheet1!$A45 &amp;"*")</f>
        <v>1</v>
      </c>
      <c r="F45" s="43">
        <f t="shared" si="1"/>
        <v>9</v>
      </c>
      <c r="G45" s="37">
        <f>COUNTIFS(Wine1!$AA:$AA,Sheet1!G$2,Wine1!$E:$E,"*" &amp; Sheet1!$A45 &amp;"*")</f>
        <v>0</v>
      </c>
      <c r="H45" s="37">
        <f>COUNTIFS(Wine1!$AA:$AA,Sheet1!H$2,Wine1!$E:$E,"*" &amp; Sheet1!$A45 &amp;"*")</f>
        <v>0</v>
      </c>
      <c r="I45" s="37">
        <f>COUNTIFS(Wine1!$AA:$AA,Sheet1!I$2,Wine1!$E:$E,"*" &amp; Sheet1!$A45 &amp;"*")</f>
        <v>0</v>
      </c>
      <c r="J45" s="37">
        <f>COUNTIFS(Wine1!$AA:$AA,Sheet1!J$2,Wine1!$E:$E,"*" &amp; Sheet1!$A45 &amp;"*")</f>
        <v>0</v>
      </c>
      <c r="K45" s="37">
        <f>COUNTIFS(Wine1!$AA:$AA,Sheet1!K$2,Wine1!$E:$E,"*" &amp; Sheet1!$A45 &amp;"*")</f>
        <v>0</v>
      </c>
      <c r="L45" s="37">
        <f>COUNTIFS(Wine1!$AA:$AA,Sheet1!L$2,Wine1!$E:$E,"*" &amp; Sheet1!$A45 &amp;"*")</f>
        <v>0</v>
      </c>
      <c r="M45" s="37">
        <f>COUNTIFS(Wine1!$AA:$AA,Sheet1!M$2,Wine1!$E:$E,"*" &amp; Sheet1!$A45 &amp;"*")</f>
        <v>1</v>
      </c>
      <c r="N45" s="37">
        <f>COUNTIFS(Wine1!$AA:$AA,Sheet1!N$2,Wine1!$E:$E,"*" &amp; Sheet1!$A45 &amp;"*")</f>
        <v>0</v>
      </c>
      <c r="O45" s="37">
        <f>COUNTIFS(Wine1!$AA:$AA,Sheet1!O$2,Wine1!$E:$E,"*" &amp; Sheet1!$A45 &amp;"*")</f>
        <v>0</v>
      </c>
      <c r="P45" s="37">
        <f>COUNTIFS(Wine1!$AA:$AA,Sheet1!P$2,Wine1!$E:$E,"*" &amp; Sheet1!$A45 &amp;"*")</f>
        <v>0</v>
      </c>
      <c r="Q45" s="37">
        <f>COUNTIFS(Wine1!$AA:$AA,Sheet1!Q$2,Wine1!$E:$E,"*" &amp; Sheet1!$A45 &amp;"*")</f>
        <v>1</v>
      </c>
      <c r="R45" s="37">
        <f>COUNTIFS(Wine1!$AA:$AA,Sheet1!R$2,Wine1!$E:$E,"*" &amp; Sheet1!$A45 &amp;"*")</f>
        <v>0</v>
      </c>
      <c r="S45" s="37">
        <f>COUNTIFS(Wine1!$AA:$AA,Sheet1!S$2,Wine1!$E:$E,"*" &amp; Sheet1!$A45 &amp;"*")</f>
        <v>1</v>
      </c>
      <c r="T45" s="37">
        <f>COUNTIFS(Wine1!$AA:$AA,Sheet1!T$2,Wine1!$E:$E,"*" &amp; Sheet1!$A45 &amp;"*")</f>
        <v>0</v>
      </c>
      <c r="U45" s="37">
        <f>COUNTIFS(Wine1!$AA:$AA,Sheet1!U$2,Wine1!$E:$E,"*" &amp; Sheet1!$A45 &amp;"*")</f>
        <v>0</v>
      </c>
      <c r="V45" s="37">
        <f>COUNTIFS(Wine1!$AA:$AA,Sheet1!V$2,Wine1!$E:$E,"*" &amp; Sheet1!$A45 &amp;"*")</f>
        <v>2</v>
      </c>
      <c r="W45" s="37">
        <f>COUNTIFS(Wine1!$AA:$AA,Sheet1!W$2,Wine1!$E:$E,"*" &amp; Sheet1!$A45 &amp;"*")</f>
        <v>0</v>
      </c>
      <c r="X45" s="37">
        <f>COUNTIFS(Wine1!$AA:$AA,Sheet1!X$2,Wine1!$E:$E,"*" &amp; Sheet1!$A45 &amp;"*")</f>
        <v>0</v>
      </c>
      <c r="Y45" s="37">
        <f>COUNTIFS(Wine1!$AA:$AA,Sheet1!Y$2,Wine1!$E:$E,"*" &amp; Sheet1!$A45 &amp;"*")</f>
        <v>0</v>
      </c>
      <c r="Z45" s="37">
        <f>COUNTIFS(Wine1!$AA:$AA,Sheet1!Z$2,Wine1!$E:$E,"*" &amp; Sheet1!$A45 &amp;"*")</f>
        <v>0</v>
      </c>
      <c r="AA45" s="37">
        <f>COUNTIFS(Wine1!$AA:$AA,Sheet1!AA$2,Wine1!$E:$E,"*" &amp; Sheet1!$A45 &amp;"*")</f>
        <v>2</v>
      </c>
      <c r="AB45" s="37">
        <f>COUNTIFS(Wine1!$AA:$AA,Sheet1!AB$2,Wine1!$E:$E,"*" &amp; Sheet1!$A45 &amp;"*")</f>
        <v>0</v>
      </c>
      <c r="AC45" s="37">
        <f>COUNTIFS(Wine1!$AA:$AA,Sheet1!AC$2,Wine1!$E:$E,"*" &amp; Sheet1!$A45 &amp;"*")</f>
        <v>0</v>
      </c>
      <c r="AD45" s="37">
        <f>COUNTIFS(Wine1!$AA:$AA,Sheet1!AD$2,Wine1!$E:$E,"*" &amp; Sheet1!$A45 &amp;"*")</f>
        <v>0</v>
      </c>
      <c r="AE45" s="37">
        <f>COUNTIFS(Wine1!$AA:$AA,Sheet1!AE$2,Wine1!$E:$E,"*" &amp; Sheet1!$A45 &amp;"*")</f>
        <v>0</v>
      </c>
      <c r="AF45" s="37">
        <f>COUNTIFS(Wine1!$AA:$AA,Sheet1!AF$2,Wine1!$E:$E,"*" &amp; Sheet1!$A45 &amp;"*")</f>
        <v>1</v>
      </c>
      <c r="AG45" s="37">
        <f>COUNTIFS(Wine1!$AA:$AA,Sheet1!AG$2,Wine1!$E:$E,"*" &amp; Sheet1!$A45 &amp;"*")</f>
        <v>0</v>
      </c>
      <c r="AH45" s="37">
        <f>COUNTIFS(Wine1!$AA:$AA,Sheet1!AH$2,Wine1!$E:$E,"*" &amp; Sheet1!$A45 &amp;"*")</f>
        <v>0</v>
      </c>
      <c r="AI45" s="37">
        <f>COUNTIFS(Wine1!$AA:$AA,Sheet1!AI$2,Wine1!$E:$E,"*" &amp; Sheet1!$A45 &amp;"*")</f>
        <v>0</v>
      </c>
      <c r="AJ45" s="37">
        <f>COUNTIFS(Wine1!$AA:$AA,Sheet1!AJ$2,Wine1!$E:$E,"*" &amp; Sheet1!$A45 &amp;"*")</f>
        <v>0</v>
      </c>
      <c r="AK45" s="37">
        <f>COUNTIFS(Wine1!$AA:$AA,Sheet1!AK$2,Wine1!$E:$E,"*" &amp; Sheet1!$A45 &amp;"*")</f>
        <v>1</v>
      </c>
      <c r="AL45" s="37">
        <f>COUNTIFS(Wine1!$AA:$AA,Sheet1!AL$2,Wine1!$E:$E,"*" &amp; Sheet1!$A45 &amp;"*")</f>
        <v>0</v>
      </c>
      <c r="AM45" s="37">
        <f>COUNTIFS(Wine1!$AA:$AA,Sheet1!AM$2,Wine1!$E:$E,"*" &amp; Sheet1!$A45 &amp;"*")</f>
        <v>0</v>
      </c>
      <c r="AN45" s="37">
        <f>COUNTIFS(Wine1!$AA:$AA,Sheet1!AN$2,Wine1!$E:$E,"*" &amp; Sheet1!$A45 &amp;"*")</f>
        <v>0</v>
      </c>
      <c r="AO45" s="37">
        <f>COUNTIFS(Wine1!$AA:$AA,Sheet1!AO$2,Wine1!$E:$E,"*" &amp; Sheet1!$A45 &amp;"*")</f>
        <v>0</v>
      </c>
      <c r="AP45" s="37">
        <f>COUNTIFS(Wine1!$AA:$AA,Sheet1!AP$2,Wine1!$E:$E,"*" &amp; Sheet1!$A45 &amp;"*")</f>
        <v>0</v>
      </c>
      <c r="AQ45" s="37">
        <f>COUNTIFS(Wine1!$AA:$AA,Sheet1!AQ$2,Wine1!$E:$E,"*" &amp; Sheet1!$A45 &amp;"*")</f>
        <v>0</v>
      </c>
      <c r="AR45" s="37">
        <f>COUNTIFS(Wine1!$AA:$AA,Sheet1!AR$2,Wine1!$E:$E,"*" &amp; Sheet1!$A45 &amp;"*")</f>
        <v>0</v>
      </c>
      <c r="AS45" s="37">
        <f>COUNTIFS(Wine1!$AA:$AA,Sheet1!AS$2,Wine1!$E:$E,"*" &amp; Sheet1!$A45 &amp;"*")</f>
        <v>0</v>
      </c>
      <c r="AT45" s="37">
        <f>COUNTIFS(Wine1!$AA:$AA,Sheet1!AT$2,Wine1!$E:$E,"*" &amp; Sheet1!$A45 &amp;"*")</f>
        <v>0</v>
      </c>
      <c r="AU45" s="37">
        <f>COUNTIFS(Wine1!$AA:$AA,Sheet1!AU$2,Wine1!$E:$E,"*" &amp; Sheet1!$A45 &amp;"*")</f>
        <v>0</v>
      </c>
      <c r="AV45" s="37">
        <f>COUNTIFS(Wine1!$AA:$AA,Sheet1!AV$2,Wine1!$E:$E,"*" &amp; Sheet1!$A45 &amp;"*")</f>
        <v>0</v>
      </c>
      <c r="AW45" s="37">
        <f>COUNTIFS(Wine1!$AA:$AA,Sheet1!AW$2,Wine1!$E:$E,"*" &amp; Sheet1!$A45 &amp;"*")</f>
        <v>0</v>
      </c>
      <c r="AX45" s="37">
        <f>COUNTIFS(Wine1!$AA:$AA,Sheet1!AX$2,Wine1!$E:$E,"*" &amp; Sheet1!$A45 &amp;"*")</f>
        <v>0</v>
      </c>
      <c r="AY45" s="37">
        <f>COUNTIFS(Wine1!$AA:$AA,Sheet1!AY$2,Wine1!$E:$E,"*" &amp; Sheet1!$A45 &amp;"*")</f>
        <v>0</v>
      </c>
      <c r="AZ45" s="37">
        <f>COUNTIFS(Wine1!$AA:$AA,Sheet1!AZ$2,Wine1!$E:$E,"*" &amp; Sheet1!$A45 &amp;"*")</f>
        <v>0</v>
      </c>
      <c r="BA45" s="37">
        <f>COUNTIFS(Wine1!$AA:$AA,Sheet1!BA$2,Wine1!$E:$E,"*" &amp; Sheet1!$A45 &amp;"*")</f>
        <v>0</v>
      </c>
      <c r="BB45" s="37">
        <f>COUNTIFS(Wine1!$AA:$AA,Sheet1!BB$2,Wine1!$E:$E,"*" &amp; Sheet1!$A45 &amp;"*")</f>
        <v>0</v>
      </c>
      <c r="BC45" s="37">
        <f>COUNTIFS(Wine1!$AA:$AA,Sheet1!BC$2,Wine1!$E:$E,"*" &amp; Sheet1!$A45 &amp;"*")</f>
        <v>0</v>
      </c>
      <c r="BD45" s="37">
        <f>COUNTIFS(Wine1!$AA:$AA,Sheet1!BD$2,Wine1!$E:$E,"*" &amp; Sheet1!$A45 &amp;"*")</f>
        <v>0</v>
      </c>
      <c r="BE45" s="37">
        <f>COUNTIFS(Wine1!$AA:$AA,Sheet1!BE$2,Wine1!$E:$E,"*" &amp; Sheet1!$A45 &amp;"*")</f>
        <v>0</v>
      </c>
      <c r="BF45" s="37">
        <f>COUNTIFS(Wine1!$AA:$AA,Sheet1!BF$2,Wine1!$E:$E,"*" &amp; Sheet1!$A45 &amp;"*")</f>
        <v>0</v>
      </c>
      <c r="BG45" s="37">
        <f>COUNTIFS(Wine1!$AA:$AA,Sheet1!BG$2,Wine1!$E:$E,"*" &amp; Sheet1!$A45 &amp;"*")</f>
        <v>0</v>
      </c>
      <c r="BH45" s="37">
        <f>COUNTIFS(Wine1!$AA:$AA,Sheet1!BH$2,Wine1!$E:$E,"*" &amp; Sheet1!$A45 &amp;"*")</f>
        <v>0</v>
      </c>
      <c r="BI45" s="37">
        <f>COUNTIFS(Wine1!$AA:$AA,Sheet1!BI$2,Wine1!$E:$E,"*" &amp; Sheet1!$A45 &amp;"*")</f>
        <v>0</v>
      </c>
      <c r="BJ45" s="37">
        <f>COUNTIFS(Wine1!$AA:$AA,Sheet1!BJ$2,Wine1!$E:$E,"*" &amp; Sheet1!$A45 &amp;"*")</f>
        <v>0</v>
      </c>
      <c r="BK45" s="37">
        <f>COUNTIFS(Wine1!$AA:$AA,Sheet1!BK$2,Wine1!$E:$E,"*" &amp; Sheet1!$A45 &amp;"*")</f>
        <v>0</v>
      </c>
      <c r="BL45" s="37">
        <f>COUNTIFS(Wine1!$AA:$AA,Sheet1!BL$2,Wine1!$E:$E,"*" &amp; Sheet1!$A45 &amp;"*")</f>
        <v>0</v>
      </c>
    </row>
    <row r="46" spans="1:64" x14ac:dyDescent="0.25">
      <c r="A46" t="s">
        <v>1202</v>
      </c>
      <c r="B46" s="95">
        <f>COUNTIFS(Wine1!$AF:$AF,Sheet1!B$2,Wine1!$E:$E,"*" &amp; Sheet1!$A46 &amp;"*")</f>
        <v>0</v>
      </c>
      <c r="C46" s="9">
        <f>COUNTIFS(Wine1!$AF:$AF,Sheet1!C$2,Wine1!$E:$E,"*" &amp; Sheet1!$A46 &amp;"*")</f>
        <v>29</v>
      </c>
      <c r="D46" s="9">
        <f>COUNTIFS(Wine1!$AF:$AF,Sheet1!D$2,Wine1!$E:$E,"*" &amp; Sheet1!$A46 &amp;"*")</f>
        <v>57</v>
      </c>
      <c r="E46" s="9">
        <f>COUNTIFS(Wine1!$AF:$AF,Sheet1!E$2,Wine1!$E:$E,"*" &amp; Sheet1!$A46 &amp;"*")</f>
        <v>8</v>
      </c>
      <c r="F46" s="43">
        <f t="shared" si="1"/>
        <v>94</v>
      </c>
      <c r="G46" s="37">
        <f>COUNTIFS(Wine1!$AA:$AA,Sheet1!G$2,Wine1!$E:$E,"*" &amp; Sheet1!$A46 &amp;"*")</f>
        <v>6</v>
      </c>
      <c r="H46" s="37">
        <f>COUNTIFS(Wine1!$AA:$AA,Sheet1!H$2,Wine1!$E:$E,"*" &amp; Sheet1!$A46 &amp;"*")</f>
        <v>8</v>
      </c>
      <c r="I46" s="37">
        <f>COUNTIFS(Wine1!$AA:$AA,Sheet1!I$2,Wine1!$E:$E,"*" &amp; Sheet1!$A46 &amp;"*")</f>
        <v>8</v>
      </c>
      <c r="J46" s="37">
        <f>COUNTIFS(Wine1!$AA:$AA,Sheet1!J$2,Wine1!$E:$E,"*" &amp; Sheet1!$A46 &amp;"*")</f>
        <v>7</v>
      </c>
      <c r="K46" s="37">
        <f>COUNTIFS(Wine1!$AA:$AA,Sheet1!K$2,Wine1!$E:$E,"*" &amp; Sheet1!$A46 &amp;"*")</f>
        <v>7</v>
      </c>
      <c r="L46" s="37">
        <f>COUNTIFS(Wine1!$AA:$AA,Sheet1!L$2,Wine1!$E:$E,"*" &amp; Sheet1!$A46 &amp;"*")</f>
        <v>3</v>
      </c>
      <c r="M46" s="37">
        <f>COUNTIFS(Wine1!$AA:$AA,Sheet1!M$2,Wine1!$E:$E,"*" &amp; Sheet1!$A46 &amp;"*")</f>
        <v>5</v>
      </c>
      <c r="N46" s="37">
        <f>COUNTIFS(Wine1!$AA:$AA,Sheet1!N$2,Wine1!$E:$E,"*" &amp; Sheet1!$A46 &amp;"*")</f>
        <v>4</v>
      </c>
      <c r="O46" s="37">
        <f>COUNTIFS(Wine1!$AA:$AA,Sheet1!O$2,Wine1!$E:$E,"*" &amp; Sheet1!$A46 &amp;"*")</f>
        <v>2</v>
      </c>
      <c r="P46" s="37">
        <f>COUNTIFS(Wine1!$AA:$AA,Sheet1!P$2,Wine1!$E:$E,"*" &amp; Sheet1!$A46 &amp;"*")</f>
        <v>4</v>
      </c>
      <c r="Q46" s="37">
        <f>COUNTIFS(Wine1!$AA:$AA,Sheet1!Q$2,Wine1!$E:$E,"*" &amp; Sheet1!$A46 &amp;"*")</f>
        <v>5</v>
      </c>
      <c r="R46" s="37">
        <f>COUNTIFS(Wine1!$AA:$AA,Sheet1!R$2,Wine1!$E:$E,"*" &amp; Sheet1!$A46 &amp;"*")</f>
        <v>5</v>
      </c>
      <c r="S46" s="37">
        <f>COUNTIFS(Wine1!$AA:$AA,Sheet1!S$2,Wine1!$E:$E,"*" &amp; Sheet1!$A46 &amp;"*")</f>
        <v>1</v>
      </c>
      <c r="T46" s="37">
        <f>COUNTIFS(Wine1!$AA:$AA,Sheet1!T$2,Wine1!$E:$E,"*" &amp; Sheet1!$A46 &amp;"*")</f>
        <v>4</v>
      </c>
      <c r="U46" s="37">
        <f>COUNTIFS(Wine1!$AA:$AA,Sheet1!U$2,Wine1!$E:$E,"*" &amp; Sheet1!$A46 &amp;"*")</f>
        <v>1</v>
      </c>
      <c r="V46" s="37">
        <f>COUNTIFS(Wine1!$AA:$AA,Sheet1!V$2,Wine1!$E:$E,"*" &amp; Sheet1!$A46 &amp;"*")</f>
        <v>3</v>
      </c>
      <c r="W46" s="37">
        <f>COUNTIFS(Wine1!$AA:$AA,Sheet1!W$2,Wine1!$E:$E,"*" &amp; Sheet1!$A46 &amp;"*")</f>
        <v>3</v>
      </c>
      <c r="X46" s="37">
        <f>COUNTIFS(Wine1!$AA:$AA,Sheet1!X$2,Wine1!$E:$E,"*" &amp; Sheet1!$A46 &amp;"*")</f>
        <v>1</v>
      </c>
      <c r="Y46" s="37">
        <f>COUNTIFS(Wine1!$AA:$AA,Sheet1!Y$2,Wine1!$E:$E,"*" &amp; Sheet1!$A46 &amp;"*")</f>
        <v>1</v>
      </c>
      <c r="Z46" s="37">
        <f>COUNTIFS(Wine1!$AA:$AA,Sheet1!Z$2,Wine1!$E:$E,"*" &amp; Sheet1!$A46 &amp;"*")</f>
        <v>2</v>
      </c>
      <c r="AA46" s="37">
        <f>COUNTIFS(Wine1!$AA:$AA,Sheet1!AA$2,Wine1!$E:$E,"*" &amp; Sheet1!$A46 &amp;"*")</f>
        <v>1</v>
      </c>
      <c r="AB46" s="37">
        <f>COUNTIFS(Wine1!$AA:$AA,Sheet1!AB$2,Wine1!$E:$E,"*" &amp; Sheet1!$A46 &amp;"*")</f>
        <v>3</v>
      </c>
      <c r="AC46" s="37">
        <f>COUNTIFS(Wine1!$AA:$AA,Sheet1!AC$2,Wine1!$E:$E,"*" &amp; Sheet1!$A46 &amp;"*")</f>
        <v>1</v>
      </c>
      <c r="AD46" s="37">
        <f>COUNTIFS(Wine1!$AA:$AA,Sheet1!AD$2,Wine1!$E:$E,"*" &amp; Sheet1!$A46 &amp;"*")</f>
        <v>1</v>
      </c>
      <c r="AE46" s="37">
        <f>COUNTIFS(Wine1!$AA:$AA,Sheet1!AE$2,Wine1!$E:$E,"*" &amp; Sheet1!$A46 &amp;"*")</f>
        <v>1</v>
      </c>
      <c r="AF46" s="37">
        <f>COUNTIFS(Wine1!$AA:$AA,Sheet1!AF$2,Wine1!$E:$E,"*" &amp; Sheet1!$A46 &amp;"*")</f>
        <v>2</v>
      </c>
      <c r="AG46" s="37">
        <f>COUNTIFS(Wine1!$AA:$AA,Sheet1!AG$2,Wine1!$E:$E,"*" &amp; Sheet1!$A46 &amp;"*")</f>
        <v>1</v>
      </c>
      <c r="AH46" s="37">
        <f>COUNTIFS(Wine1!$AA:$AA,Sheet1!AH$2,Wine1!$E:$E,"*" &amp; Sheet1!$A46 &amp;"*")</f>
        <v>0</v>
      </c>
      <c r="AI46" s="37">
        <f>COUNTIFS(Wine1!$AA:$AA,Sheet1!AI$2,Wine1!$E:$E,"*" &amp; Sheet1!$A46 &amp;"*")</f>
        <v>1</v>
      </c>
      <c r="AJ46" s="37">
        <f>COUNTIFS(Wine1!$AA:$AA,Sheet1!AJ$2,Wine1!$E:$E,"*" &amp; Sheet1!$A46 &amp;"*")</f>
        <v>0</v>
      </c>
      <c r="AK46" s="37">
        <f>COUNTIFS(Wine1!$AA:$AA,Sheet1!AK$2,Wine1!$E:$E,"*" &amp; Sheet1!$A46 &amp;"*")</f>
        <v>0</v>
      </c>
      <c r="AL46" s="37">
        <f>COUNTIFS(Wine1!$AA:$AA,Sheet1!AL$2,Wine1!$E:$E,"*" &amp; Sheet1!$A46 &amp;"*")</f>
        <v>2</v>
      </c>
      <c r="AM46" s="37">
        <f>COUNTIFS(Wine1!$AA:$AA,Sheet1!AM$2,Wine1!$E:$E,"*" &amp; Sheet1!$A46 &amp;"*")</f>
        <v>0</v>
      </c>
      <c r="AN46" s="37">
        <f>COUNTIFS(Wine1!$AA:$AA,Sheet1!AN$2,Wine1!$E:$E,"*" &amp; Sheet1!$A46 &amp;"*")</f>
        <v>0</v>
      </c>
      <c r="AO46" s="37">
        <f>COUNTIFS(Wine1!$AA:$AA,Sheet1!AO$2,Wine1!$E:$E,"*" &amp; Sheet1!$A46 &amp;"*")</f>
        <v>1</v>
      </c>
      <c r="AP46" s="37">
        <f>COUNTIFS(Wine1!$AA:$AA,Sheet1!AP$2,Wine1!$E:$E,"*" &amp; Sheet1!$A46 &amp;"*")</f>
        <v>0</v>
      </c>
      <c r="AQ46" s="37">
        <f>COUNTIFS(Wine1!$AA:$AA,Sheet1!AQ$2,Wine1!$E:$E,"*" &amp; Sheet1!$A46 &amp;"*")</f>
        <v>0</v>
      </c>
      <c r="AR46" s="37">
        <f>COUNTIFS(Wine1!$AA:$AA,Sheet1!AR$2,Wine1!$E:$E,"*" &amp; Sheet1!$A46 &amp;"*")</f>
        <v>0</v>
      </c>
      <c r="AS46" s="37">
        <f>COUNTIFS(Wine1!$AA:$AA,Sheet1!AS$2,Wine1!$E:$E,"*" &amp; Sheet1!$A46 &amp;"*")</f>
        <v>0</v>
      </c>
      <c r="AT46" s="37">
        <f>COUNTIFS(Wine1!$AA:$AA,Sheet1!AT$2,Wine1!$E:$E,"*" &amp; Sheet1!$A46 &amp;"*")</f>
        <v>0</v>
      </c>
      <c r="AU46" s="37">
        <f>COUNTIFS(Wine1!$AA:$AA,Sheet1!AU$2,Wine1!$E:$E,"*" &amp; Sheet1!$A46 &amp;"*")</f>
        <v>0</v>
      </c>
      <c r="AV46" s="37">
        <f>COUNTIFS(Wine1!$AA:$AA,Sheet1!AV$2,Wine1!$E:$E,"*" &amp; Sheet1!$A46 &amp;"*")</f>
        <v>0</v>
      </c>
      <c r="AW46" s="37">
        <f>COUNTIFS(Wine1!$AA:$AA,Sheet1!AW$2,Wine1!$E:$E,"*" &amp; Sheet1!$A46 &amp;"*")</f>
        <v>0</v>
      </c>
      <c r="AX46" s="37">
        <f>COUNTIFS(Wine1!$AA:$AA,Sheet1!AX$2,Wine1!$E:$E,"*" &amp; Sheet1!$A46 &amp;"*")</f>
        <v>0</v>
      </c>
      <c r="AY46" s="37">
        <f>COUNTIFS(Wine1!$AA:$AA,Sheet1!AY$2,Wine1!$E:$E,"*" &amp; Sheet1!$A46 &amp;"*")</f>
        <v>0</v>
      </c>
      <c r="AZ46" s="37">
        <f>COUNTIFS(Wine1!$AA:$AA,Sheet1!AZ$2,Wine1!$E:$E,"*" &amp; Sheet1!$A46 &amp;"*")</f>
        <v>0</v>
      </c>
      <c r="BA46" s="37">
        <f>COUNTIFS(Wine1!$AA:$AA,Sheet1!BA$2,Wine1!$E:$E,"*" &amp; Sheet1!$A46 &amp;"*")</f>
        <v>0</v>
      </c>
      <c r="BB46" s="37">
        <f>COUNTIFS(Wine1!$AA:$AA,Sheet1!BB$2,Wine1!$E:$E,"*" &amp; Sheet1!$A46 &amp;"*")</f>
        <v>0</v>
      </c>
      <c r="BC46" s="37">
        <f>COUNTIFS(Wine1!$AA:$AA,Sheet1!BC$2,Wine1!$E:$E,"*" &amp; Sheet1!$A46 &amp;"*")</f>
        <v>0</v>
      </c>
      <c r="BD46" s="37">
        <f>COUNTIFS(Wine1!$AA:$AA,Sheet1!BD$2,Wine1!$E:$E,"*" &amp; Sheet1!$A46 &amp;"*")</f>
        <v>0</v>
      </c>
      <c r="BE46" s="37">
        <f>COUNTIFS(Wine1!$AA:$AA,Sheet1!BE$2,Wine1!$E:$E,"*" &amp; Sheet1!$A46 &amp;"*")</f>
        <v>0</v>
      </c>
      <c r="BF46" s="37">
        <f>COUNTIFS(Wine1!$AA:$AA,Sheet1!BF$2,Wine1!$E:$E,"*" &amp; Sheet1!$A46 &amp;"*")</f>
        <v>0</v>
      </c>
      <c r="BG46" s="37">
        <f>COUNTIFS(Wine1!$AA:$AA,Sheet1!BG$2,Wine1!$E:$E,"*" &amp; Sheet1!$A46 &amp;"*")</f>
        <v>0</v>
      </c>
      <c r="BH46" s="37">
        <f>COUNTIFS(Wine1!$AA:$AA,Sheet1!BH$2,Wine1!$E:$E,"*" &amp; Sheet1!$A46 &amp;"*")</f>
        <v>0</v>
      </c>
      <c r="BI46" s="37">
        <f>COUNTIFS(Wine1!$AA:$AA,Sheet1!BI$2,Wine1!$E:$E,"*" &amp; Sheet1!$A46 &amp;"*")</f>
        <v>0</v>
      </c>
      <c r="BJ46" s="37">
        <f>COUNTIFS(Wine1!$AA:$AA,Sheet1!BJ$2,Wine1!$E:$E,"*" &amp; Sheet1!$A46 &amp;"*")</f>
        <v>0</v>
      </c>
      <c r="BK46" s="37">
        <f>COUNTIFS(Wine1!$AA:$AA,Sheet1!BK$2,Wine1!$E:$E,"*" &amp; Sheet1!$A46 &amp;"*")</f>
        <v>0</v>
      </c>
      <c r="BL46" s="37">
        <f>COUNTIFS(Wine1!$AA:$AA,Sheet1!BL$2,Wine1!$E:$E,"*" &amp; Sheet1!$A46 &amp;"*")</f>
        <v>0</v>
      </c>
    </row>
    <row r="47" spans="1:64" x14ac:dyDescent="0.25">
      <c r="A47" s="37" t="s">
        <v>1445</v>
      </c>
      <c r="B47" s="95">
        <f>COUNTIFS(Wine1!$AF:$AF,Sheet1!B$2,Wine1!$E:$E,"*" &amp; Sheet1!$A47 &amp;"*")</f>
        <v>0</v>
      </c>
      <c r="C47" s="9">
        <f>COUNTIFS(Wine1!$AF:$AF,Sheet1!C$2,Wine1!$E:$E,"*" &amp; Sheet1!$A47 &amp;"*")</f>
        <v>29</v>
      </c>
      <c r="D47" s="9">
        <f>COUNTIFS(Wine1!$AF:$AF,Sheet1!D$2,Wine1!$E:$E,"*" &amp; Sheet1!$A47 &amp;"*")</f>
        <v>30</v>
      </c>
      <c r="E47" s="9">
        <f>COUNTIFS(Wine1!$AF:$AF,Sheet1!E$2,Wine1!$E:$E,"*" &amp; Sheet1!$A47 &amp;"*")</f>
        <v>6</v>
      </c>
      <c r="F47" s="43">
        <f t="shared" si="1"/>
        <v>65</v>
      </c>
      <c r="G47" s="37">
        <f>COUNTIFS(Wine1!$AA:$AA,Sheet1!G$2,Wine1!$E:$E,"*" &amp; Sheet1!$A47 &amp;"*")</f>
        <v>3</v>
      </c>
      <c r="H47" s="37">
        <f>COUNTIFS(Wine1!$AA:$AA,Sheet1!H$2,Wine1!$E:$E,"*" &amp; Sheet1!$A47 &amp;"*")</f>
        <v>6</v>
      </c>
      <c r="I47" s="37">
        <f>COUNTIFS(Wine1!$AA:$AA,Sheet1!I$2,Wine1!$E:$E,"*" &amp; Sheet1!$A47 &amp;"*")</f>
        <v>6</v>
      </c>
      <c r="J47" s="37">
        <f>COUNTIFS(Wine1!$AA:$AA,Sheet1!J$2,Wine1!$E:$E,"*" &amp; Sheet1!$A47 &amp;"*")</f>
        <v>5</v>
      </c>
      <c r="K47" s="37">
        <f>COUNTIFS(Wine1!$AA:$AA,Sheet1!K$2,Wine1!$E:$E,"*" &amp; Sheet1!$A47 &amp;"*")</f>
        <v>5</v>
      </c>
      <c r="L47" s="37">
        <f>COUNTIFS(Wine1!$AA:$AA,Sheet1!L$2,Wine1!$E:$E,"*" &amp; Sheet1!$A47 &amp;"*")</f>
        <v>1</v>
      </c>
      <c r="M47" s="37">
        <f>COUNTIFS(Wine1!$AA:$AA,Sheet1!M$2,Wine1!$E:$E,"*" &amp; Sheet1!$A47 &amp;"*")</f>
        <v>4</v>
      </c>
      <c r="N47" s="37">
        <f>COUNTIFS(Wine1!$AA:$AA,Sheet1!N$2,Wine1!$E:$E,"*" &amp; Sheet1!$A47 &amp;"*")</f>
        <v>3</v>
      </c>
      <c r="O47" s="37">
        <f>COUNTIFS(Wine1!$AA:$AA,Sheet1!O$2,Wine1!$E:$E,"*" &amp; Sheet1!$A47 &amp;"*")</f>
        <v>1</v>
      </c>
      <c r="P47" s="37">
        <f>COUNTIFS(Wine1!$AA:$AA,Sheet1!P$2,Wine1!$E:$E,"*" &amp; Sheet1!$A47 &amp;"*")</f>
        <v>3</v>
      </c>
      <c r="Q47" s="37">
        <f>COUNTIFS(Wine1!$AA:$AA,Sheet1!Q$2,Wine1!$E:$E,"*" &amp; Sheet1!$A47 &amp;"*")</f>
        <v>3</v>
      </c>
      <c r="R47" s="37">
        <f>COUNTIFS(Wine1!$AA:$AA,Sheet1!R$2,Wine1!$E:$E,"*" &amp; Sheet1!$A47 &amp;"*")</f>
        <v>4</v>
      </c>
      <c r="S47" s="37">
        <f>COUNTIFS(Wine1!$AA:$AA,Sheet1!S$2,Wine1!$E:$E,"*" &amp; Sheet1!$A47 &amp;"*")</f>
        <v>1</v>
      </c>
      <c r="T47" s="37">
        <f>COUNTIFS(Wine1!$AA:$AA,Sheet1!T$2,Wine1!$E:$E,"*" &amp; Sheet1!$A47 &amp;"*")</f>
        <v>3</v>
      </c>
      <c r="U47" s="37">
        <f>COUNTIFS(Wine1!$AA:$AA,Sheet1!U$2,Wine1!$E:$E,"*" &amp; Sheet1!$A47 &amp;"*")</f>
        <v>1</v>
      </c>
      <c r="V47" s="37">
        <f>COUNTIFS(Wine1!$AA:$AA,Sheet1!V$2,Wine1!$E:$E,"*" &amp; Sheet1!$A47 &amp;"*")</f>
        <v>1</v>
      </c>
      <c r="W47" s="37">
        <f>COUNTIFS(Wine1!$AA:$AA,Sheet1!W$2,Wine1!$E:$E,"*" &amp; Sheet1!$A47 &amp;"*")</f>
        <v>3</v>
      </c>
      <c r="X47" s="37">
        <f>COUNTIFS(Wine1!$AA:$AA,Sheet1!X$2,Wine1!$E:$E,"*" &amp; Sheet1!$A47 &amp;"*")</f>
        <v>0</v>
      </c>
      <c r="Y47" s="37">
        <f>COUNTIFS(Wine1!$AA:$AA,Sheet1!Y$2,Wine1!$E:$E,"*" &amp; Sheet1!$A47 &amp;"*")</f>
        <v>1</v>
      </c>
      <c r="Z47" s="37">
        <f>COUNTIFS(Wine1!$AA:$AA,Sheet1!Z$2,Wine1!$E:$E,"*" &amp; Sheet1!$A47 &amp;"*")</f>
        <v>1</v>
      </c>
      <c r="AA47" s="37">
        <f>COUNTIFS(Wine1!$AA:$AA,Sheet1!AA$2,Wine1!$E:$E,"*" &amp; Sheet1!$A47 &amp;"*")</f>
        <v>1</v>
      </c>
      <c r="AB47" s="37">
        <f>COUNTIFS(Wine1!$AA:$AA,Sheet1!AB$2,Wine1!$E:$E,"*" &amp; Sheet1!$A47 &amp;"*")</f>
        <v>1</v>
      </c>
      <c r="AC47" s="37">
        <f>COUNTIFS(Wine1!$AA:$AA,Sheet1!AC$2,Wine1!$E:$E,"*" &amp; Sheet1!$A47 &amp;"*")</f>
        <v>1</v>
      </c>
      <c r="AD47" s="37">
        <f>COUNTIFS(Wine1!$AA:$AA,Sheet1!AD$2,Wine1!$E:$E,"*" &amp; Sheet1!$A47 &amp;"*")</f>
        <v>0</v>
      </c>
      <c r="AE47" s="37">
        <f>COUNTIFS(Wine1!$AA:$AA,Sheet1!AE$2,Wine1!$E:$E,"*" &amp; Sheet1!$A47 &amp;"*")</f>
        <v>1</v>
      </c>
      <c r="AF47" s="37">
        <f>COUNTIFS(Wine1!$AA:$AA,Sheet1!AF$2,Wine1!$E:$E,"*" &amp; Sheet1!$A47 &amp;"*")</f>
        <v>1</v>
      </c>
      <c r="AG47" s="37">
        <f>COUNTIFS(Wine1!$AA:$AA,Sheet1!AG$2,Wine1!$E:$E,"*" &amp; Sheet1!$A47 &amp;"*")</f>
        <v>1</v>
      </c>
      <c r="AH47" s="37">
        <f>COUNTIFS(Wine1!$AA:$AA,Sheet1!AH$2,Wine1!$E:$E,"*" &amp; Sheet1!$A47 &amp;"*")</f>
        <v>0</v>
      </c>
      <c r="AI47" s="37">
        <f>COUNTIFS(Wine1!$AA:$AA,Sheet1!AI$2,Wine1!$E:$E,"*" &amp; Sheet1!$A47 &amp;"*")</f>
        <v>1</v>
      </c>
      <c r="AJ47" s="37">
        <f>COUNTIFS(Wine1!$AA:$AA,Sheet1!AJ$2,Wine1!$E:$E,"*" &amp; Sheet1!$A47 &amp;"*")</f>
        <v>0</v>
      </c>
      <c r="AK47" s="37">
        <f>COUNTIFS(Wine1!$AA:$AA,Sheet1!AK$2,Wine1!$E:$E,"*" &amp; Sheet1!$A47 &amp;"*")</f>
        <v>0</v>
      </c>
      <c r="AL47" s="37">
        <f>COUNTIFS(Wine1!$AA:$AA,Sheet1!AL$2,Wine1!$E:$E,"*" &amp; Sheet1!$A47 &amp;"*")</f>
        <v>2</v>
      </c>
      <c r="AM47" s="37">
        <f>COUNTIFS(Wine1!$AA:$AA,Sheet1!AM$2,Wine1!$E:$E,"*" &amp; Sheet1!$A47 &amp;"*")</f>
        <v>0</v>
      </c>
      <c r="AN47" s="37">
        <f>COUNTIFS(Wine1!$AA:$AA,Sheet1!AN$2,Wine1!$E:$E,"*" &amp; Sheet1!$A47 &amp;"*")</f>
        <v>0</v>
      </c>
      <c r="AO47" s="37">
        <f>COUNTIFS(Wine1!$AA:$AA,Sheet1!AO$2,Wine1!$E:$E,"*" &amp; Sheet1!$A47 &amp;"*")</f>
        <v>1</v>
      </c>
      <c r="AP47" s="37">
        <f>COUNTIFS(Wine1!$AA:$AA,Sheet1!AP$2,Wine1!$E:$E,"*" &amp; Sheet1!$A47 &amp;"*")</f>
        <v>0</v>
      </c>
      <c r="AQ47" s="37">
        <f>COUNTIFS(Wine1!$AA:$AA,Sheet1!AQ$2,Wine1!$E:$E,"*" &amp; Sheet1!$A47 &amp;"*")</f>
        <v>0</v>
      </c>
      <c r="AR47" s="37">
        <f>COUNTIFS(Wine1!$AA:$AA,Sheet1!AR$2,Wine1!$E:$E,"*" &amp; Sheet1!$A47 &amp;"*")</f>
        <v>0</v>
      </c>
      <c r="AS47" s="37">
        <f>COUNTIFS(Wine1!$AA:$AA,Sheet1!AS$2,Wine1!$E:$E,"*" &amp; Sheet1!$A47 &amp;"*")</f>
        <v>0</v>
      </c>
      <c r="AT47" s="37">
        <f>COUNTIFS(Wine1!$AA:$AA,Sheet1!AT$2,Wine1!$E:$E,"*" &amp; Sheet1!$A47 &amp;"*")</f>
        <v>0</v>
      </c>
      <c r="AU47" s="37">
        <f>COUNTIFS(Wine1!$AA:$AA,Sheet1!AU$2,Wine1!$E:$E,"*" &amp; Sheet1!$A47 &amp;"*")</f>
        <v>0</v>
      </c>
      <c r="AV47" s="37">
        <f>COUNTIFS(Wine1!$AA:$AA,Sheet1!AV$2,Wine1!$E:$E,"*" &amp; Sheet1!$A47 &amp;"*")</f>
        <v>0</v>
      </c>
      <c r="AW47" s="37">
        <f>COUNTIFS(Wine1!$AA:$AA,Sheet1!AW$2,Wine1!$E:$E,"*" &amp; Sheet1!$A47 &amp;"*")</f>
        <v>0</v>
      </c>
      <c r="AX47" s="37">
        <f>COUNTIFS(Wine1!$AA:$AA,Sheet1!AX$2,Wine1!$E:$E,"*" &amp; Sheet1!$A47 &amp;"*")</f>
        <v>0</v>
      </c>
      <c r="AY47" s="37">
        <f>COUNTIFS(Wine1!$AA:$AA,Sheet1!AY$2,Wine1!$E:$E,"*" &amp; Sheet1!$A47 &amp;"*")</f>
        <v>0</v>
      </c>
      <c r="AZ47" s="37">
        <f>COUNTIFS(Wine1!$AA:$AA,Sheet1!AZ$2,Wine1!$E:$E,"*" &amp; Sheet1!$A47 &amp;"*")</f>
        <v>0</v>
      </c>
      <c r="BA47" s="37">
        <f>COUNTIFS(Wine1!$AA:$AA,Sheet1!BA$2,Wine1!$E:$E,"*" &amp; Sheet1!$A47 &amp;"*")</f>
        <v>0</v>
      </c>
      <c r="BB47" s="37">
        <f>COUNTIFS(Wine1!$AA:$AA,Sheet1!BB$2,Wine1!$E:$E,"*" &amp; Sheet1!$A47 &amp;"*")</f>
        <v>0</v>
      </c>
      <c r="BC47" s="37">
        <f>COUNTIFS(Wine1!$AA:$AA,Sheet1!BC$2,Wine1!$E:$E,"*" &amp; Sheet1!$A47 &amp;"*")</f>
        <v>0</v>
      </c>
      <c r="BD47" s="37">
        <f>COUNTIFS(Wine1!$AA:$AA,Sheet1!BD$2,Wine1!$E:$E,"*" &amp; Sheet1!$A47 &amp;"*")</f>
        <v>0</v>
      </c>
      <c r="BE47" s="37">
        <f>COUNTIFS(Wine1!$AA:$AA,Sheet1!BE$2,Wine1!$E:$E,"*" &amp; Sheet1!$A47 &amp;"*")</f>
        <v>0</v>
      </c>
      <c r="BF47" s="37">
        <f>COUNTIFS(Wine1!$AA:$AA,Sheet1!BF$2,Wine1!$E:$E,"*" &amp; Sheet1!$A47 &amp;"*")</f>
        <v>0</v>
      </c>
      <c r="BG47" s="37">
        <f>COUNTIFS(Wine1!$AA:$AA,Sheet1!BG$2,Wine1!$E:$E,"*" &amp; Sheet1!$A47 &amp;"*")</f>
        <v>0</v>
      </c>
      <c r="BH47" s="37">
        <f>COUNTIFS(Wine1!$AA:$AA,Sheet1!BH$2,Wine1!$E:$E,"*" &amp; Sheet1!$A47 &amp;"*")</f>
        <v>0</v>
      </c>
      <c r="BI47" s="37">
        <f>COUNTIFS(Wine1!$AA:$AA,Sheet1!BI$2,Wine1!$E:$E,"*" &amp; Sheet1!$A47 &amp;"*")</f>
        <v>0</v>
      </c>
      <c r="BJ47" s="37">
        <f>COUNTIFS(Wine1!$AA:$AA,Sheet1!BJ$2,Wine1!$E:$E,"*" &amp; Sheet1!$A47 &amp;"*")</f>
        <v>0</v>
      </c>
      <c r="BK47" s="37">
        <f>COUNTIFS(Wine1!$AA:$AA,Sheet1!BK$2,Wine1!$E:$E,"*" &amp; Sheet1!$A47 &amp;"*")</f>
        <v>0</v>
      </c>
      <c r="BL47" s="37">
        <f>COUNTIFS(Wine1!$AA:$AA,Sheet1!BL$2,Wine1!$E:$E,"*" &amp; Sheet1!$A47 &amp;"*")</f>
        <v>0</v>
      </c>
    </row>
    <row r="48" spans="1:64" x14ac:dyDescent="0.25">
      <c r="A48" s="37" t="s">
        <v>400</v>
      </c>
      <c r="B48" s="95">
        <f>COUNTIFS(Wine1!$AF:$AF,Sheet1!B$2,Wine1!$E:$E,"*" &amp; Sheet1!$A48 &amp;"*")</f>
        <v>0</v>
      </c>
      <c r="C48" s="9">
        <f>COUNTIFS(Wine1!$AF:$AF,Sheet1!C$2,Wine1!$E:$E,"*" &amp; Sheet1!$A48 &amp;"*")</f>
        <v>8</v>
      </c>
      <c r="D48" s="9">
        <f>COUNTIFS(Wine1!$AF:$AF,Sheet1!D$2,Wine1!$E:$E,"*" &amp; Sheet1!$A48 &amp;"*")</f>
        <v>3</v>
      </c>
      <c r="E48" s="9">
        <f>COUNTIFS(Wine1!$AF:$AF,Sheet1!E$2,Wine1!$E:$E,"*" &amp; Sheet1!$A48 &amp;"*")</f>
        <v>0</v>
      </c>
      <c r="F48" s="43">
        <f t="shared" si="1"/>
        <v>11</v>
      </c>
      <c r="G48" s="37">
        <f>COUNTIFS(Wine1!$AA:$AA,Sheet1!G$2,Wine1!$E:$E,"*" &amp; Sheet1!$A48 &amp;"*")</f>
        <v>2</v>
      </c>
      <c r="H48" s="37">
        <f>COUNTIFS(Wine1!$AA:$AA,Sheet1!H$2,Wine1!$E:$E,"*" &amp; Sheet1!$A48 &amp;"*")</f>
        <v>0</v>
      </c>
      <c r="I48" s="37">
        <f>COUNTIFS(Wine1!$AA:$AA,Sheet1!I$2,Wine1!$E:$E,"*" &amp; Sheet1!$A48 &amp;"*")</f>
        <v>1</v>
      </c>
      <c r="J48" s="37">
        <f>COUNTIFS(Wine1!$AA:$AA,Sheet1!J$2,Wine1!$E:$E,"*" &amp; Sheet1!$A48 &amp;"*")</f>
        <v>0</v>
      </c>
      <c r="K48" s="37">
        <f>COUNTIFS(Wine1!$AA:$AA,Sheet1!K$2,Wine1!$E:$E,"*" &amp; Sheet1!$A48 &amp;"*")</f>
        <v>3</v>
      </c>
      <c r="L48" s="37">
        <f>COUNTIFS(Wine1!$AA:$AA,Sheet1!L$2,Wine1!$E:$E,"*" &amp; Sheet1!$A48 &amp;"*")</f>
        <v>0</v>
      </c>
      <c r="M48" s="37">
        <f>COUNTIFS(Wine1!$AA:$AA,Sheet1!M$2,Wine1!$E:$E,"*" &amp; Sheet1!$A48 &amp;"*")</f>
        <v>1</v>
      </c>
      <c r="N48" s="37">
        <f>COUNTIFS(Wine1!$AA:$AA,Sheet1!N$2,Wine1!$E:$E,"*" &amp; Sheet1!$A48 &amp;"*")</f>
        <v>1</v>
      </c>
      <c r="O48" s="37">
        <f>COUNTIFS(Wine1!$AA:$AA,Sheet1!O$2,Wine1!$E:$E,"*" &amp; Sheet1!$A48 &amp;"*")</f>
        <v>1</v>
      </c>
      <c r="P48" s="37">
        <f>COUNTIFS(Wine1!$AA:$AA,Sheet1!P$2,Wine1!$E:$E,"*" &amp; Sheet1!$A48 &amp;"*")</f>
        <v>1</v>
      </c>
      <c r="Q48" s="37">
        <f>COUNTIFS(Wine1!$AA:$AA,Sheet1!Q$2,Wine1!$E:$E,"*" &amp; Sheet1!$A48 &amp;"*")</f>
        <v>0</v>
      </c>
      <c r="R48" s="37">
        <f>COUNTIFS(Wine1!$AA:$AA,Sheet1!R$2,Wine1!$E:$E,"*" &amp; Sheet1!$A48 &amp;"*")</f>
        <v>0</v>
      </c>
      <c r="S48" s="37">
        <f>COUNTIFS(Wine1!$AA:$AA,Sheet1!S$2,Wine1!$E:$E,"*" &amp; Sheet1!$A48 &amp;"*")</f>
        <v>0</v>
      </c>
      <c r="T48" s="37">
        <f>COUNTIFS(Wine1!$AA:$AA,Sheet1!T$2,Wine1!$E:$E,"*" &amp; Sheet1!$A48 &amp;"*")</f>
        <v>0</v>
      </c>
      <c r="U48" s="37">
        <f>COUNTIFS(Wine1!$AA:$AA,Sheet1!U$2,Wine1!$E:$E,"*" &amp; Sheet1!$A48 &amp;"*")</f>
        <v>1</v>
      </c>
      <c r="V48" s="37">
        <f>COUNTIFS(Wine1!$AA:$AA,Sheet1!V$2,Wine1!$E:$E,"*" &amp; Sheet1!$A48 &amp;"*")</f>
        <v>0</v>
      </c>
      <c r="W48" s="37">
        <f>COUNTIFS(Wine1!$AA:$AA,Sheet1!W$2,Wine1!$E:$E,"*" &amp; Sheet1!$A48 &amp;"*")</f>
        <v>0</v>
      </c>
      <c r="X48" s="37">
        <f>COUNTIFS(Wine1!$AA:$AA,Sheet1!X$2,Wine1!$E:$E,"*" &amp; Sheet1!$A48 &amp;"*")</f>
        <v>0</v>
      </c>
      <c r="Y48" s="37">
        <f>COUNTIFS(Wine1!$AA:$AA,Sheet1!Y$2,Wine1!$E:$E,"*" &amp; Sheet1!$A48 &amp;"*")</f>
        <v>0</v>
      </c>
      <c r="Z48" s="37">
        <f>COUNTIFS(Wine1!$AA:$AA,Sheet1!Z$2,Wine1!$E:$E,"*" &amp; Sheet1!$A48 &amp;"*")</f>
        <v>0</v>
      </c>
      <c r="AA48" s="37">
        <f>COUNTIFS(Wine1!$AA:$AA,Sheet1!AA$2,Wine1!$E:$E,"*" &amp; Sheet1!$A48 &amp;"*")</f>
        <v>0</v>
      </c>
      <c r="AB48" s="37">
        <f>COUNTIFS(Wine1!$AA:$AA,Sheet1!AB$2,Wine1!$E:$E,"*" &amp; Sheet1!$A48 &amp;"*")</f>
        <v>0</v>
      </c>
      <c r="AC48" s="37">
        <f>COUNTIFS(Wine1!$AA:$AA,Sheet1!AC$2,Wine1!$E:$E,"*" &amp; Sheet1!$A48 &amp;"*")</f>
        <v>0</v>
      </c>
      <c r="AD48" s="37">
        <f>COUNTIFS(Wine1!$AA:$AA,Sheet1!AD$2,Wine1!$E:$E,"*" &amp; Sheet1!$A48 &amp;"*")</f>
        <v>0</v>
      </c>
      <c r="AE48" s="37">
        <f>COUNTIFS(Wine1!$AA:$AA,Sheet1!AE$2,Wine1!$E:$E,"*" &amp; Sheet1!$A48 &amp;"*")</f>
        <v>0</v>
      </c>
      <c r="AF48" s="37">
        <f>COUNTIFS(Wine1!$AA:$AA,Sheet1!AF$2,Wine1!$E:$E,"*" &amp; Sheet1!$A48 &amp;"*")</f>
        <v>0</v>
      </c>
      <c r="AG48" s="37">
        <f>COUNTIFS(Wine1!$AA:$AA,Sheet1!AG$2,Wine1!$E:$E,"*" &amp; Sheet1!$A48 &amp;"*")</f>
        <v>0</v>
      </c>
      <c r="AH48" s="37">
        <f>COUNTIFS(Wine1!$AA:$AA,Sheet1!AH$2,Wine1!$E:$E,"*" &amp; Sheet1!$A48 &amp;"*")</f>
        <v>0</v>
      </c>
      <c r="AI48" s="37">
        <f>COUNTIFS(Wine1!$AA:$AA,Sheet1!AI$2,Wine1!$E:$E,"*" &amp; Sheet1!$A48 &amp;"*")</f>
        <v>0</v>
      </c>
      <c r="AJ48" s="37">
        <f>COUNTIFS(Wine1!$AA:$AA,Sheet1!AJ$2,Wine1!$E:$E,"*" &amp; Sheet1!$A48 &amp;"*")</f>
        <v>0</v>
      </c>
      <c r="AK48" s="37">
        <f>COUNTIFS(Wine1!$AA:$AA,Sheet1!AK$2,Wine1!$E:$E,"*" &amp; Sheet1!$A48 &amp;"*")</f>
        <v>0</v>
      </c>
      <c r="AL48" s="37">
        <f>COUNTIFS(Wine1!$AA:$AA,Sheet1!AL$2,Wine1!$E:$E,"*" &amp; Sheet1!$A48 &amp;"*")</f>
        <v>0</v>
      </c>
      <c r="AM48" s="37">
        <f>COUNTIFS(Wine1!$AA:$AA,Sheet1!AM$2,Wine1!$E:$E,"*" &amp; Sheet1!$A48 &amp;"*")</f>
        <v>0</v>
      </c>
      <c r="AN48" s="37">
        <f>COUNTIFS(Wine1!$AA:$AA,Sheet1!AN$2,Wine1!$E:$E,"*" &amp; Sheet1!$A48 &amp;"*")</f>
        <v>0</v>
      </c>
      <c r="AO48" s="37">
        <f>COUNTIFS(Wine1!$AA:$AA,Sheet1!AO$2,Wine1!$E:$E,"*" &amp; Sheet1!$A48 &amp;"*")</f>
        <v>0</v>
      </c>
      <c r="AP48" s="37">
        <f>COUNTIFS(Wine1!$AA:$AA,Sheet1!AP$2,Wine1!$E:$E,"*" &amp; Sheet1!$A48 &amp;"*")</f>
        <v>0</v>
      </c>
      <c r="AQ48" s="37">
        <f>COUNTIFS(Wine1!$AA:$AA,Sheet1!AQ$2,Wine1!$E:$E,"*" &amp; Sheet1!$A48 &amp;"*")</f>
        <v>0</v>
      </c>
      <c r="AR48" s="37">
        <f>COUNTIFS(Wine1!$AA:$AA,Sheet1!AR$2,Wine1!$E:$E,"*" &amp; Sheet1!$A48 &amp;"*")</f>
        <v>0</v>
      </c>
      <c r="AS48" s="37">
        <f>COUNTIFS(Wine1!$AA:$AA,Sheet1!AS$2,Wine1!$E:$E,"*" &amp; Sheet1!$A48 &amp;"*")</f>
        <v>0</v>
      </c>
      <c r="AT48" s="37">
        <f>COUNTIFS(Wine1!$AA:$AA,Sheet1!AT$2,Wine1!$E:$E,"*" &amp; Sheet1!$A48 &amp;"*")</f>
        <v>0</v>
      </c>
      <c r="AU48" s="37">
        <f>COUNTIFS(Wine1!$AA:$AA,Sheet1!AU$2,Wine1!$E:$E,"*" &amp; Sheet1!$A48 &amp;"*")</f>
        <v>0</v>
      </c>
      <c r="AV48" s="37">
        <f>COUNTIFS(Wine1!$AA:$AA,Sheet1!AV$2,Wine1!$E:$E,"*" &amp; Sheet1!$A48 &amp;"*")</f>
        <v>0</v>
      </c>
      <c r="AW48" s="37">
        <f>COUNTIFS(Wine1!$AA:$AA,Sheet1!AW$2,Wine1!$E:$E,"*" &amp; Sheet1!$A48 &amp;"*")</f>
        <v>0</v>
      </c>
      <c r="AX48" s="37">
        <f>COUNTIFS(Wine1!$AA:$AA,Sheet1!AX$2,Wine1!$E:$E,"*" &amp; Sheet1!$A48 &amp;"*")</f>
        <v>0</v>
      </c>
      <c r="AY48" s="37">
        <f>COUNTIFS(Wine1!$AA:$AA,Sheet1!AY$2,Wine1!$E:$E,"*" &amp; Sheet1!$A48 &amp;"*")</f>
        <v>0</v>
      </c>
      <c r="AZ48" s="37">
        <f>COUNTIFS(Wine1!$AA:$AA,Sheet1!AZ$2,Wine1!$E:$E,"*" &amp; Sheet1!$A48 &amp;"*")</f>
        <v>0</v>
      </c>
      <c r="BA48" s="37">
        <f>COUNTIFS(Wine1!$AA:$AA,Sheet1!BA$2,Wine1!$E:$E,"*" &amp; Sheet1!$A48 &amp;"*")</f>
        <v>0</v>
      </c>
      <c r="BB48" s="37">
        <f>COUNTIFS(Wine1!$AA:$AA,Sheet1!BB$2,Wine1!$E:$E,"*" &amp; Sheet1!$A48 &amp;"*")</f>
        <v>0</v>
      </c>
      <c r="BC48" s="37">
        <f>COUNTIFS(Wine1!$AA:$AA,Sheet1!BC$2,Wine1!$E:$E,"*" &amp; Sheet1!$A48 &amp;"*")</f>
        <v>0</v>
      </c>
      <c r="BD48" s="37">
        <f>COUNTIFS(Wine1!$AA:$AA,Sheet1!BD$2,Wine1!$E:$E,"*" &amp; Sheet1!$A48 &amp;"*")</f>
        <v>0</v>
      </c>
      <c r="BE48" s="37">
        <f>COUNTIFS(Wine1!$AA:$AA,Sheet1!BE$2,Wine1!$E:$E,"*" &amp; Sheet1!$A48 &amp;"*")</f>
        <v>0</v>
      </c>
      <c r="BF48" s="37">
        <f>COUNTIFS(Wine1!$AA:$AA,Sheet1!BF$2,Wine1!$E:$E,"*" &amp; Sheet1!$A48 &amp;"*")</f>
        <v>0</v>
      </c>
      <c r="BG48" s="37">
        <f>COUNTIFS(Wine1!$AA:$AA,Sheet1!BG$2,Wine1!$E:$E,"*" &amp; Sheet1!$A48 &amp;"*")</f>
        <v>0</v>
      </c>
      <c r="BH48" s="37">
        <f>COUNTIFS(Wine1!$AA:$AA,Sheet1!BH$2,Wine1!$E:$E,"*" &amp; Sheet1!$A48 &amp;"*")</f>
        <v>0</v>
      </c>
      <c r="BI48" s="37">
        <f>COUNTIFS(Wine1!$AA:$AA,Sheet1!BI$2,Wine1!$E:$E,"*" &amp; Sheet1!$A48 &amp;"*")</f>
        <v>0</v>
      </c>
      <c r="BJ48" s="37">
        <f>COUNTIFS(Wine1!$AA:$AA,Sheet1!BJ$2,Wine1!$E:$E,"*" &amp; Sheet1!$A48 &amp;"*")</f>
        <v>0</v>
      </c>
      <c r="BK48" s="37">
        <f>COUNTIFS(Wine1!$AA:$AA,Sheet1!BK$2,Wine1!$E:$E,"*" &amp; Sheet1!$A48 &amp;"*")</f>
        <v>0</v>
      </c>
      <c r="BL48" s="37">
        <f>COUNTIFS(Wine1!$AA:$AA,Sheet1!BL$2,Wine1!$E:$E,"*" &amp; Sheet1!$A48 &amp;"*")</f>
        <v>0</v>
      </c>
    </row>
    <row r="49" spans="1:64" x14ac:dyDescent="0.25">
      <c r="A49" t="s">
        <v>261</v>
      </c>
      <c r="B49" s="95">
        <f>COUNTIFS(Wine1!$AF:$AF,Sheet1!B$2,Wine1!$E:$E,"*" &amp; Sheet1!$A49 &amp;"*")</f>
        <v>73</v>
      </c>
      <c r="C49" s="9">
        <f>COUNTIFS(Wine1!$AF:$AF,Sheet1!C$2,Wine1!$E:$E,"*" &amp; Sheet1!$A49 &amp;"*")</f>
        <v>72</v>
      </c>
      <c r="D49" s="9">
        <f>COUNTIFS(Wine1!$AF:$AF,Sheet1!D$2,Wine1!$E:$E,"*" &amp; Sheet1!$A49 &amp;"*")</f>
        <v>21</v>
      </c>
      <c r="E49" s="96">
        <f>COUNTIFS(Wine1!$AF:$AF,Sheet1!E$2,Wine1!$E:$E,"*" &amp; Sheet1!$A49 &amp;"*")</f>
        <v>2</v>
      </c>
      <c r="F49" s="99">
        <f t="shared" si="1"/>
        <v>168</v>
      </c>
      <c r="G49" s="37">
        <f>COUNTIFS(Wine1!$AA:$AA,Sheet1!G$2,Wine1!$E:$E,"*" &amp; Sheet1!$A49 &amp;"*")</f>
        <v>20</v>
      </c>
      <c r="H49" s="37">
        <f>COUNTIFS(Wine1!$AA:$AA,Sheet1!H$2,Wine1!$E:$E,"*" &amp; Sheet1!$A49 &amp;"*")</f>
        <v>22</v>
      </c>
      <c r="I49" s="37">
        <f>COUNTIFS(Wine1!$AA:$AA,Sheet1!I$2,Wine1!$E:$E,"*" &amp; Sheet1!$A49 &amp;"*")</f>
        <v>24</v>
      </c>
      <c r="J49" s="37">
        <f>COUNTIFS(Wine1!$AA:$AA,Sheet1!J$2,Wine1!$E:$E,"*" &amp; Sheet1!$A49 &amp;"*")</f>
        <v>16</v>
      </c>
      <c r="K49" s="37">
        <f>COUNTIFS(Wine1!$AA:$AA,Sheet1!K$2,Wine1!$E:$E,"*" &amp; Sheet1!$A49 &amp;"*")</f>
        <v>19</v>
      </c>
      <c r="L49" s="37">
        <f>COUNTIFS(Wine1!$AA:$AA,Sheet1!L$2,Wine1!$E:$E,"*" &amp; Sheet1!$A49 &amp;"*")</f>
        <v>14</v>
      </c>
      <c r="M49" s="37">
        <f>COUNTIFS(Wine1!$AA:$AA,Sheet1!M$2,Wine1!$E:$E,"*" &amp; Sheet1!$A49 &amp;"*")</f>
        <v>9</v>
      </c>
      <c r="N49" s="37">
        <f>COUNTIFS(Wine1!$AA:$AA,Sheet1!N$2,Wine1!$E:$E,"*" &amp; Sheet1!$A49 &amp;"*")</f>
        <v>12</v>
      </c>
      <c r="O49" s="37">
        <f>COUNTIFS(Wine1!$AA:$AA,Sheet1!O$2,Wine1!$E:$E,"*" &amp; Sheet1!$A49 &amp;"*")</f>
        <v>10</v>
      </c>
      <c r="P49" s="37">
        <f>COUNTIFS(Wine1!$AA:$AA,Sheet1!P$2,Wine1!$E:$E,"*" &amp; Sheet1!$A49 &amp;"*")</f>
        <v>8</v>
      </c>
      <c r="Q49" s="37">
        <f>COUNTIFS(Wine1!$AA:$AA,Sheet1!Q$2,Wine1!$E:$E,"*" &amp; Sheet1!$A49 &amp;"*")</f>
        <v>5</v>
      </c>
      <c r="R49" s="37">
        <f>COUNTIFS(Wine1!$AA:$AA,Sheet1!R$2,Wine1!$E:$E,"*" &amp; Sheet1!$A49 &amp;"*")</f>
        <v>4</v>
      </c>
      <c r="S49" s="37">
        <f>COUNTIFS(Wine1!$AA:$AA,Sheet1!S$2,Wine1!$E:$E,"*" &amp; Sheet1!$A49 &amp;"*")</f>
        <v>1</v>
      </c>
      <c r="T49" s="37">
        <f>COUNTIFS(Wine1!$AA:$AA,Sheet1!T$2,Wine1!$E:$E,"*" &amp; Sheet1!$A49 &amp;"*")</f>
        <v>3</v>
      </c>
      <c r="U49" s="37">
        <f>COUNTIFS(Wine1!$AA:$AA,Sheet1!U$2,Wine1!$E:$E,"*" &amp; Sheet1!$A49 &amp;"*")</f>
        <v>0</v>
      </c>
      <c r="V49" s="37">
        <f>COUNTIFS(Wine1!$AA:$AA,Sheet1!V$2,Wine1!$E:$E,"*" &amp; Sheet1!$A49 &amp;"*")</f>
        <v>0</v>
      </c>
      <c r="W49" s="37">
        <f>COUNTIFS(Wine1!$AA:$AA,Sheet1!W$2,Wine1!$E:$E,"*" &amp; Sheet1!$A49 &amp;"*")</f>
        <v>0</v>
      </c>
      <c r="X49" s="37">
        <f>COUNTIFS(Wine1!$AA:$AA,Sheet1!X$2,Wine1!$E:$E,"*" &amp; Sheet1!$A49 &amp;"*")</f>
        <v>0</v>
      </c>
      <c r="Y49" s="37">
        <f>COUNTIFS(Wine1!$AA:$AA,Sheet1!Y$2,Wine1!$E:$E,"*" &amp; Sheet1!$A49 &amp;"*")</f>
        <v>0</v>
      </c>
      <c r="Z49" s="37">
        <f>COUNTIFS(Wine1!$AA:$AA,Sheet1!Z$2,Wine1!$E:$E,"*" &amp; Sheet1!$A49 &amp;"*")</f>
        <v>1</v>
      </c>
      <c r="AA49" s="37">
        <f>COUNTIFS(Wine1!$AA:$AA,Sheet1!AA$2,Wine1!$E:$E,"*" &amp; Sheet1!$A49 &amp;"*")</f>
        <v>0</v>
      </c>
      <c r="AB49" s="37">
        <f>COUNTIFS(Wine1!$AA:$AA,Sheet1!AB$2,Wine1!$E:$E,"*" &amp; Sheet1!$A49 &amp;"*")</f>
        <v>0</v>
      </c>
      <c r="AC49" s="37">
        <f>COUNTIFS(Wine1!$AA:$AA,Sheet1!AC$2,Wine1!$E:$E,"*" &amp; Sheet1!$A49 &amp;"*")</f>
        <v>0</v>
      </c>
      <c r="AD49" s="37">
        <f>COUNTIFS(Wine1!$AA:$AA,Sheet1!AD$2,Wine1!$E:$E,"*" &amp; Sheet1!$A49 &amp;"*")</f>
        <v>0</v>
      </c>
      <c r="AE49" s="37">
        <f>COUNTIFS(Wine1!$AA:$AA,Sheet1!AE$2,Wine1!$E:$E,"*" &amp; Sheet1!$A49 &amp;"*")</f>
        <v>0</v>
      </c>
      <c r="AF49" s="37">
        <f>COUNTIFS(Wine1!$AA:$AA,Sheet1!AF$2,Wine1!$E:$E,"*" &amp; Sheet1!$A49 &amp;"*")</f>
        <v>0</v>
      </c>
      <c r="AG49" s="37">
        <f>COUNTIFS(Wine1!$AA:$AA,Sheet1!AG$2,Wine1!$E:$E,"*" &amp; Sheet1!$A49 &amp;"*")</f>
        <v>0</v>
      </c>
      <c r="AH49" s="37">
        <f>COUNTIFS(Wine1!$AA:$AA,Sheet1!AH$2,Wine1!$E:$E,"*" &amp; Sheet1!$A49 &amp;"*")</f>
        <v>0</v>
      </c>
      <c r="AI49" s="37">
        <f>COUNTIFS(Wine1!$AA:$AA,Sheet1!AI$2,Wine1!$E:$E,"*" &amp; Sheet1!$A49 &amp;"*")</f>
        <v>0</v>
      </c>
      <c r="AJ49" s="37">
        <f>COUNTIFS(Wine1!$AA:$AA,Sheet1!AJ$2,Wine1!$E:$E,"*" &amp; Sheet1!$A49 &amp;"*")</f>
        <v>0</v>
      </c>
      <c r="AK49" s="37">
        <f>COUNTIFS(Wine1!$AA:$AA,Sheet1!AK$2,Wine1!$E:$E,"*" &amp; Sheet1!$A49 &amp;"*")</f>
        <v>0</v>
      </c>
      <c r="AL49" s="37">
        <f>COUNTIFS(Wine1!$AA:$AA,Sheet1!AL$2,Wine1!$E:$E,"*" &amp; Sheet1!$A49 &amp;"*")</f>
        <v>0</v>
      </c>
      <c r="AM49" s="37">
        <f>COUNTIFS(Wine1!$AA:$AA,Sheet1!AM$2,Wine1!$E:$E,"*" &amp; Sheet1!$A49 &amp;"*")</f>
        <v>0</v>
      </c>
      <c r="AN49" s="37">
        <f>COUNTIFS(Wine1!$AA:$AA,Sheet1!AN$2,Wine1!$E:$E,"*" &amp; Sheet1!$A49 &amp;"*")</f>
        <v>0</v>
      </c>
      <c r="AO49" s="37">
        <f>COUNTIFS(Wine1!$AA:$AA,Sheet1!AO$2,Wine1!$E:$E,"*" &amp; Sheet1!$A49 &amp;"*")</f>
        <v>0</v>
      </c>
      <c r="AP49" s="37">
        <f>COUNTIFS(Wine1!$AA:$AA,Sheet1!AP$2,Wine1!$E:$E,"*" &amp; Sheet1!$A49 &amp;"*")</f>
        <v>0</v>
      </c>
      <c r="AQ49" s="37">
        <f>COUNTIFS(Wine1!$AA:$AA,Sheet1!AQ$2,Wine1!$E:$E,"*" &amp; Sheet1!$A49 &amp;"*")</f>
        <v>0</v>
      </c>
      <c r="AR49" s="37">
        <f>COUNTIFS(Wine1!$AA:$AA,Sheet1!AR$2,Wine1!$E:$E,"*" &amp; Sheet1!$A49 &amp;"*")</f>
        <v>0</v>
      </c>
      <c r="AS49" s="37">
        <f>COUNTIFS(Wine1!$AA:$AA,Sheet1!AS$2,Wine1!$E:$E,"*" &amp; Sheet1!$A49 &amp;"*")</f>
        <v>0</v>
      </c>
      <c r="AT49" s="37">
        <f>COUNTIFS(Wine1!$AA:$AA,Sheet1!AT$2,Wine1!$E:$E,"*" &amp; Sheet1!$A49 &amp;"*")</f>
        <v>0</v>
      </c>
      <c r="AU49" s="37">
        <f>COUNTIFS(Wine1!$AA:$AA,Sheet1!AU$2,Wine1!$E:$E,"*" &amp; Sheet1!$A49 &amp;"*")</f>
        <v>0</v>
      </c>
      <c r="AV49" s="37">
        <f>COUNTIFS(Wine1!$AA:$AA,Sheet1!AV$2,Wine1!$E:$E,"*" &amp; Sheet1!$A49 &amp;"*")</f>
        <v>0</v>
      </c>
      <c r="AW49" s="37">
        <f>COUNTIFS(Wine1!$AA:$AA,Sheet1!AW$2,Wine1!$E:$E,"*" &amp; Sheet1!$A49 &amp;"*")</f>
        <v>0</v>
      </c>
      <c r="AX49" s="37">
        <f>COUNTIFS(Wine1!$AA:$AA,Sheet1!AX$2,Wine1!$E:$E,"*" &amp; Sheet1!$A49 &amp;"*")</f>
        <v>0</v>
      </c>
      <c r="AY49" s="37">
        <f>COUNTIFS(Wine1!$AA:$AA,Sheet1!AY$2,Wine1!$E:$E,"*" &amp; Sheet1!$A49 &amp;"*")</f>
        <v>0</v>
      </c>
      <c r="AZ49" s="37">
        <f>COUNTIFS(Wine1!$AA:$AA,Sheet1!AZ$2,Wine1!$E:$E,"*" &amp; Sheet1!$A49 &amp;"*")</f>
        <v>0</v>
      </c>
      <c r="BA49" s="37">
        <f>COUNTIFS(Wine1!$AA:$AA,Sheet1!BA$2,Wine1!$E:$E,"*" &amp; Sheet1!$A49 &amp;"*")</f>
        <v>0</v>
      </c>
      <c r="BB49" s="37">
        <f>COUNTIFS(Wine1!$AA:$AA,Sheet1!BB$2,Wine1!$E:$E,"*" &amp; Sheet1!$A49 &amp;"*")</f>
        <v>0</v>
      </c>
      <c r="BC49" s="37">
        <f>COUNTIFS(Wine1!$AA:$AA,Sheet1!BC$2,Wine1!$E:$E,"*" &amp; Sheet1!$A49 &amp;"*")</f>
        <v>0</v>
      </c>
      <c r="BD49" s="37">
        <f>COUNTIFS(Wine1!$AA:$AA,Sheet1!BD$2,Wine1!$E:$E,"*" &amp; Sheet1!$A49 &amp;"*")</f>
        <v>0</v>
      </c>
      <c r="BE49" s="37">
        <f>COUNTIFS(Wine1!$AA:$AA,Sheet1!BE$2,Wine1!$E:$E,"*" &amp; Sheet1!$A49 &amp;"*")</f>
        <v>0</v>
      </c>
      <c r="BF49" s="37">
        <f>COUNTIFS(Wine1!$AA:$AA,Sheet1!BF$2,Wine1!$E:$E,"*" &amp; Sheet1!$A49 &amp;"*")</f>
        <v>0</v>
      </c>
      <c r="BG49" s="37">
        <f>COUNTIFS(Wine1!$AA:$AA,Sheet1!BG$2,Wine1!$E:$E,"*" &amp; Sheet1!$A49 &amp;"*")</f>
        <v>0</v>
      </c>
      <c r="BH49" s="37">
        <f>COUNTIFS(Wine1!$AA:$AA,Sheet1!BH$2,Wine1!$E:$E,"*" &amp; Sheet1!$A49 &amp;"*")</f>
        <v>0</v>
      </c>
      <c r="BI49" s="37">
        <f>COUNTIFS(Wine1!$AA:$AA,Sheet1!BI$2,Wine1!$E:$E,"*" &amp; Sheet1!$A49 &amp;"*")</f>
        <v>0</v>
      </c>
      <c r="BJ49" s="37">
        <f>COUNTIFS(Wine1!$AA:$AA,Sheet1!BJ$2,Wine1!$E:$E,"*" &amp; Sheet1!$A49 &amp;"*")</f>
        <v>0</v>
      </c>
      <c r="BK49" s="37">
        <f>COUNTIFS(Wine1!$AA:$AA,Sheet1!BK$2,Wine1!$E:$E,"*" &amp; Sheet1!$A49 &amp;"*")</f>
        <v>0</v>
      </c>
      <c r="BL49" s="37">
        <f>COUNTIFS(Wine1!$AA:$AA,Sheet1!BL$2,Wine1!$E:$E,"*" &amp; Sheet1!$A49 &amp;"*")</f>
        <v>0</v>
      </c>
    </row>
    <row r="50" spans="1:64" x14ac:dyDescent="0.25">
      <c r="A50" t="s">
        <v>276</v>
      </c>
      <c r="B50" s="95">
        <f>COUNTIFS(Wine1!$AF:$AF,Sheet1!B$2,Wine1!$E:$E,"*" &amp; Sheet1!$A50 &amp;"*")</f>
        <v>49</v>
      </c>
      <c r="C50" s="9">
        <f>COUNTIFS(Wine1!$AF:$AF,Sheet1!C$2,Wine1!$E:$E,"*" &amp; Sheet1!$A50 &amp;"*")</f>
        <v>60</v>
      </c>
      <c r="D50" s="9">
        <f>COUNTIFS(Wine1!$AF:$AF,Sheet1!D$2,Wine1!$E:$E,"*" &amp; Sheet1!$A50 &amp;"*")</f>
        <v>42</v>
      </c>
      <c r="E50" s="9">
        <f>COUNTIFS(Wine1!$AF:$AF,Sheet1!E$2,Wine1!$E:$E,"*" &amp; Sheet1!$A50 &amp;"*")</f>
        <v>10</v>
      </c>
      <c r="F50" s="43">
        <f t="shared" si="1"/>
        <v>161</v>
      </c>
      <c r="G50" s="37">
        <f>COUNTIFS(Wine1!$AA:$AA,Sheet1!G$2,Wine1!$E:$E,"*" &amp; Sheet1!$A50 &amp;"*")</f>
        <v>14</v>
      </c>
      <c r="H50" s="37">
        <f>COUNTIFS(Wine1!$AA:$AA,Sheet1!H$2,Wine1!$E:$E,"*" &amp; Sheet1!$A50 &amp;"*")</f>
        <v>34</v>
      </c>
      <c r="I50" s="37">
        <f>COUNTIFS(Wine1!$AA:$AA,Sheet1!I$2,Wine1!$E:$E,"*" &amp; Sheet1!$A50 &amp;"*")</f>
        <v>26</v>
      </c>
      <c r="J50" s="37">
        <f>COUNTIFS(Wine1!$AA:$AA,Sheet1!J$2,Wine1!$E:$E,"*" &amp; Sheet1!$A50 &amp;"*")</f>
        <v>20</v>
      </c>
      <c r="K50" s="37">
        <f>COUNTIFS(Wine1!$AA:$AA,Sheet1!K$2,Wine1!$E:$E,"*" &amp; Sheet1!$A50 &amp;"*")</f>
        <v>13</v>
      </c>
      <c r="L50" s="37">
        <f>COUNTIFS(Wine1!$AA:$AA,Sheet1!L$2,Wine1!$E:$E,"*" &amp; Sheet1!$A50 &amp;"*")</f>
        <v>10</v>
      </c>
      <c r="M50" s="37">
        <f>COUNTIFS(Wine1!$AA:$AA,Sheet1!M$2,Wine1!$E:$E,"*" &amp; Sheet1!$A50 &amp;"*")</f>
        <v>7</v>
      </c>
      <c r="N50" s="37">
        <f>COUNTIFS(Wine1!$AA:$AA,Sheet1!N$2,Wine1!$E:$E,"*" &amp; Sheet1!$A50 &amp;"*")</f>
        <v>9</v>
      </c>
      <c r="O50" s="37">
        <f>COUNTIFS(Wine1!$AA:$AA,Sheet1!O$2,Wine1!$E:$E,"*" &amp; Sheet1!$A50 &amp;"*")</f>
        <v>6</v>
      </c>
      <c r="P50" s="37">
        <f>COUNTIFS(Wine1!$AA:$AA,Sheet1!P$2,Wine1!$E:$E,"*" &amp; Sheet1!$A50 &amp;"*")</f>
        <v>6</v>
      </c>
      <c r="Q50" s="37">
        <f>COUNTIFS(Wine1!$AA:$AA,Sheet1!Q$2,Wine1!$E:$E,"*" &amp; Sheet1!$A50 &amp;"*")</f>
        <v>4</v>
      </c>
      <c r="R50" s="37">
        <f>COUNTIFS(Wine1!$AA:$AA,Sheet1!R$2,Wine1!$E:$E,"*" &amp; Sheet1!$A50 &amp;"*")</f>
        <v>3</v>
      </c>
      <c r="S50" s="37">
        <f>COUNTIFS(Wine1!$AA:$AA,Sheet1!S$2,Wine1!$E:$E,"*" &amp; Sheet1!$A50 &amp;"*")</f>
        <v>2</v>
      </c>
      <c r="T50" s="37">
        <f>COUNTIFS(Wine1!$AA:$AA,Sheet1!T$2,Wine1!$E:$E,"*" &amp; Sheet1!$A50 &amp;"*")</f>
        <v>1</v>
      </c>
      <c r="U50" s="37">
        <f>COUNTIFS(Wine1!$AA:$AA,Sheet1!U$2,Wine1!$E:$E,"*" &amp; Sheet1!$A50 &amp;"*")</f>
        <v>1</v>
      </c>
      <c r="V50" s="37">
        <f>COUNTIFS(Wine1!$AA:$AA,Sheet1!V$2,Wine1!$E:$E,"*" &amp; Sheet1!$A50 &amp;"*")</f>
        <v>1</v>
      </c>
      <c r="W50" s="37">
        <f>COUNTIFS(Wine1!$AA:$AA,Sheet1!W$2,Wine1!$E:$E,"*" &amp; Sheet1!$A50 &amp;"*")</f>
        <v>0</v>
      </c>
      <c r="X50" s="37">
        <f>COUNTIFS(Wine1!$AA:$AA,Sheet1!X$2,Wine1!$E:$E,"*" &amp; Sheet1!$A50 &amp;"*")</f>
        <v>1</v>
      </c>
      <c r="Y50" s="37">
        <f>COUNTIFS(Wine1!$AA:$AA,Sheet1!Y$2,Wine1!$E:$E,"*" &amp; Sheet1!$A50 &amp;"*")</f>
        <v>1</v>
      </c>
      <c r="Z50" s="37">
        <f>COUNTIFS(Wine1!$AA:$AA,Sheet1!Z$2,Wine1!$E:$E,"*" &amp; Sheet1!$A50 &amp;"*")</f>
        <v>0</v>
      </c>
      <c r="AA50" s="37">
        <f>COUNTIFS(Wine1!$AA:$AA,Sheet1!AA$2,Wine1!$E:$E,"*" &amp; Sheet1!$A50 &amp;"*")</f>
        <v>1</v>
      </c>
      <c r="AB50" s="37">
        <f>COUNTIFS(Wine1!$AA:$AA,Sheet1!AB$2,Wine1!$E:$E,"*" &amp; Sheet1!$A50 &amp;"*")</f>
        <v>0</v>
      </c>
      <c r="AC50" s="37">
        <f>COUNTIFS(Wine1!$AA:$AA,Sheet1!AC$2,Wine1!$E:$E,"*" &amp; Sheet1!$A50 &amp;"*")</f>
        <v>1</v>
      </c>
      <c r="AD50" s="37">
        <f>COUNTIFS(Wine1!$AA:$AA,Sheet1!AD$2,Wine1!$E:$E,"*" &amp; Sheet1!$A50 &amp;"*")</f>
        <v>0</v>
      </c>
      <c r="AE50" s="37">
        <f>COUNTIFS(Wine1!$AA:$AA,Sheet1!AE$2,Wine1!$E:$E,"*" &amp; Sheet1!$A50 &amp;"*")</f>
        <v>0</v>
      </c>
      <c r="AF50" s="37">
        <f>COUNTIFS(Wine1!$AA:$AA,Sheet1!AF$2,Wine1!$E:$E,"*" &amp; Sheet1!$A50 &amp;"*")</f>
        <v>0</v>
      </c>
      <c r="AG50" s="37">
        <f>COUNTIFS(Wine1!$AA:$AA,Sheet1!AG$2,Wine1!$E:$E,"*" &amp; Sheet1!$A50 &amp;"*")</f>
        <v>0</v>
      </c>
      <c r="AH50" s="37">
        <f>COUNTIFS(Wine1!$AA:$AA,Sheet1!AH$2,Wine1!$E:$E,"*" &amp; Sheet1!$A50 &amp;"*")</f>
        <v>0</v>
      </c>
      <c r="AI50" s="37">
        <f>COUNTIFS(Wine1!$AA:$AA,Sheet1!AI$2,Wine1!$E:$E,"*" &amp; Sheet1!$A50 &amp;"*")</f>
        <v>0</v>
      </c>
      <c r="AJ50" s="37">
        <f>COUNTIFS(Wine1!$AA:$AA,Sheet1!AJ$2,Wine1!$E:$E,"*" &amp; Sheet1!$A50 &amp;"*")</f>
        <v>0</v>
      </c>
      <c r="AK50" s="37">
        <f>COUNTIFS(Wine1!$AA:$AA,Sheet1!AK$2,Wine1!$E:$E,"*" &amp; Sheet1!$A50 &amp;"*")</f>
        <v>0</v>
      </c>
      <c r="AL50" s="37">
        <f>COUNTIFS(Wine1!$AA:$AA,Sheet1!AL$2,Wine1!$E:$E,"*" &amp; Sheet1!$A50 &amp;"*")</f>
        <v>0</v>
      </c>
      <c r="AM50" s="37">
        <f>COUNTIFS(Wine1!$AA:$AA,Sheet1!AM$2,Wine1!$E:$E,"*" &amp; Sheet1!$A50 &amp;"*")</f>
        <v>0</v>
      </c>
      <c r="AN50" s="37">
        <f>COUNTIFS(Wine1!$AA:$AA,Sheet1!AN$2,Wine1!$E:$E,"*" &amp; Sheet1!$A50 &amp;"*")</f>
        <v>0</v>
      </c>
      <c r="AO50" s="37">
        <f>COUNTIFS(Wine1!$AA:$AA,Sheet1!AO$2,Wine1!$E:$E,"*" &amp; Sheet1!$A50 &amp;"*")</f>
        <v>0</v>
      </c>
      <c r="AP50" s="37">
        <f>COUNTIFS(Wine1!$AA:$AA,Sheet1!AP$2,Wine1!$E:$E,"*" &amp; Sheet1!$A50 &amp;"*")</f>
        <v>0</v>
      </c>
      <c r="AQ50" s="37">
        <f>COUNTIFS(Wine1!$AA:$AA,Sheet1!AQ$2,Wine1!$E:$E,"*" &amp; Sheet1!$A50 &amp;"*")</f>
        <v>0</v>
      </c>
      <c r="AR50" s="37">
        <f>COUNTIFS(Wine1!$AA:$AA,Sheet1!AR$2,Wine1!$E:$E,"*" &amp; Sheet1!$A50 &amp;"*")</f>
        <v>0</v>
      </c>
      <c r="AS50" s="37">
        <f>COUNTIFS(Wine1!$AA:$AA,Sheet1!AS$2,Wine1!$E:$E,"*" &amp; Sheet1!$A50 &amp;"*")</f>
        <v>0</v>
      </c>
      <c r="AT50" s="37">
        <f>COUNTIFS(Wine1!$AA:$AA,Sheet1!AT$2,Wine1!$E:$E,"*" &amp; Sheet1!$A50 &amp;"*")</f>
        <v>0</v>
      </c>
      <c r="AU50" s="37">
        <f>COUNTIFS(Wine1!$AA:$AA,Sheet1!AU$2,Wine1!$E:$E,"*" &amp; Sheet1!$A50 &amp;"*")</f>
        <v>0</v>
      </c>
      <c r="AV50" s="37">
        <f>COUNTIFS(Wine1!$AA:$AA,Sheet1!AV$2,Wine1!$E:$E,"*" &amp; Sheet1!$A50 &amp;"*")</f>
        <v>0</v>
      </c>
      <c r="AW50" s="37">
        <f>COUNTIFS(Wine1!$AA:$AA,Sheet1!AW$2,Wine1!$E:$E,"*" &amp; Sheet1!$A50 &amp;"*")</f>
        <v>0</v>
      </c>
      <c r="AX50" s="37">
        <f>COUNTIFS(Wine1!$AA:$AA,Sheet1!AX$2,Wine1!$E:$E,"*" &amp; Sheet1!$A50 &amp;"*")</f>
        <v>0</v>
      </c>
      <c r="AY50" s="37">
        <f>COUNTIFS(Wine1!$AA:$AA,Sheet1!AY$2,Wine1!$E:$E,"*" &amp; Sheet1!$A50 &amp;"*")</f>
        <v>0</v>
      </c>
      <c r="AZ50" s="37">
        <f>COUNTIFS(Wine1!$AA:$AA,Sheet1!AZ$2,Wine1!$E:$E,"*" &amp; Sheet1!$A50 &amp;"*")</f>
        <v>0</v>
      </c>
      <c r="BA50" s="37">
        <f>COUNTIFS(Wine1!$AA:$AA,Sheet1!BA$2,Wine1!$E:$E,"*" &amp; Sheet1!$A50 &amp;"*")</f>
        <v>0</v>
      </c>
      <c r="BB50" s="37">
        <f>COUNTIFS(Wine1!$AA:$AA,Sheet1!BB$2,Wine1!$E:$E,"*" &amp; Sheet1!$A50 &amp;"*")</f>
        <v>0</v>
      </c>
      <c r="BC50" s="37">
        <f>COUNTIFS(Wine1!$AA:$AA,Sheet1!BC$2,Wine1!$E:$E,"*" &amp; Sheet1!$A50 &amp;"*")</f>
        <v>0</v>
      </c>
      <c r="BD50" s="37">
        <f>COUNTIFS(Wine1!$AA:$AA,Sheet1!BD$2,Wine1!$E:$E,"*" &amp; Sheet1!$A50 &amp;"*")</f>
        <v>0</v>
      </c>
      <c r="BE50" s="37">
        <f>COUNTIFS(Wine1!$AA:$AA,Sheet1!BE$2,Wine1!$E:$E,"*" &amp; Sheet1!$A50 &amp;"*")</f>
        <v>0</v>
      </c>
      <c r="BF50" s="37">
        <f>COUNTIFS(Wine1!$AA:$AA,Sheet1!BF$2,Wine1!$E:$E,"*" &amp; Sheet1!$A50 &amp;"*")</f>
        <v>0</v>
      </c>
      <c r="BG50" s="37">
        <f>COUNTIFS(Wine1!$AA:$AA,Sheet1!BG$2,Wine1!$E:$E,"*" &amp; Sheet1!$A50 &amp;"*")</f>
        <v>0</v>
      </c>
      <c r="BH50" s="37">
        <f>COUNTIFS(Wine1!$AA:$AA,Sheet1!BH$2,Wine1!$E:$E,"*" &amp; Sheet1!$A50 &amp;"*")</f>
        <v>0</v>
      </c>
      <c r="BI50" s="37">
        <f>COUNTIFS(Wine1!$AA:$AA,Sheet1!BI$2,Wine1!$E:$E,"*" &amp; Sheet1!$A50 &amp;"*")</f>
        <v>0</v>
      </c>
      <c r="BJ50" s="37">
        <f>COUNTIFS(Wine1!$AA:$AA,Sheet1!BJ$2,Wine1!$E:$E,"*" &amp; Sheet1!$A50 &amp;"*")</f>
        <v>0</v>
      </c>
      <c r="BK50" s="37">
        <f>COUNTIFS(Wine1!$AA:$AA,Sheet1!BK$2,Wine1!$E:$E,"*" &amp; Sheet1!$A50 &amp;"*")</f>
        <v>0</v>
      </c>
      <c r="BL50" s="37">
        <f>COUNTIFS(Wine1!$AA:$AA,Sheet1!BL$2,Wine1!$E:$E,"*" &amp; Sheet1!$A50 &amp;"*")</f>
        <v>0</v>
      </c>
    </row>
    <row r="51" spans="1:64" x14ac:dyDescent="0.25">
      <c r="A51" t="s">
        <v>211</v>
      </c>
      <c r="B51" s="95">
        <f>COUNTIFS(Wine1!$AF:$AF,Sheet1!B$2,Wine1!$E:$E,"*" &amp; Sheet1!$A51 &amp;"*")</f>
        <v>0</v>
      </c>
      <c r="C51" s="9">
        <f>COUNTIFS(Wine1!$AF:$AF,Sheet1!C$2,Wine1!$E:$E,"*" &amp; Sheet1!$A51 &amp;"*")</f>
        <v>12</v>
      </c>
      <c r="D51" s="9">
        <f>COUNTIFS(Wine1!$AF:$AF,Sheet1!D$2,Wine1!$E:$E,"*" &amp; Sheet1!$A51 &amp;"*")</f>
        <v>1</v>
      </c>
      <c r="E51" s="96">
        <f>COUNTIFS(Wine1!$AF:$AF,Sheet1!E$2,Wine1!$E:$E,"*" &amp; Sheet1!$A51 &amp;"*")</f>
        <v>0</v>
      </c>
      <c r="F51" s="99">
        <f t="shared" si="1"/>
        <v>13</v>
      </c>
      <c r="G51" s="37">
        <f>COUNTIFS(Wine1!$AA:$AA,Sheet1!G$2,Wine1!$E:$E,"*" &amp; Sheet1!$A51 &amp;"*")</f>
        <v>1</v>
      </c>
      <c r="H51" s="37">
        <f>COUNTIFS(Wine1!$AA:$AA,Sheet1!H$2,Wine1!$E:$E,"*" &amp; Sheet1!$A51 &amp;"*")</f>
        <v>3</v>
      </c>
      <c r="I51" s="37">
        <f>COUNTIFS(Wine1!$AA:$AA,Sheet1!I$2,Wine1!$E:$E,"*" &amp; Sheet1!$A51 &amp;"*")</f>
        <v>1</v>
      </c>
      <c r="J51" s="37">
        <f>COUNTIFS(Wine1!$AA:$AA,Sheet1!J$2,Wine1!$E:$E,"*" &amp; Sheet1!$A51 &amp;"*")</f>
        <v>2</v>
      </c>
      <c r="K51" s="37">
        <f>COUNTIFS(Wine1!$AA:$AA,Sheet1!K$2,Wine1!$E:$E,"*" &amp; Sheet1!$A51 &amp;"*")</f>
        <v>1</v>
      </c>
      <c r="L51" s="37">
        <f>COUNTIFS(Wine1!$AA:$AA,Sheet1!L$2,Wine1!$E:$E,"*" &amp; Sheet1!$A51 &amp;"*")</f>
        <v>1</v>
      </c>
      <c r="M51" s="37">
        <f>COUNTIFS(Wine1!$AA:$AA,Sheet1!M$2,Wine1!$E:$E,"*" &amp; Sheet1!$A51 &amp;"*")</f>
        <v>1</v>
      </c>
      <c r="N51" s="37">
        <f>COUNTIFS(Wine1!$AA:$AA,Sheet1!N$2,Wine1!$E:$E,"*" &amp; Sheet1!$A51 &amp;"*")</f>
        <v>2</v>
      </c>
      <c r="O51" s="37">
        <f>COUNTIFS(Wine1!$AA:$AA,Sheet1!O$2,Wine1!$E:$E,"*" &amp; Sheet1!$A51 &amp;"*")</f>
        <v>0</v>
      </c>
      <c r="P51" s="37">
        <f>COUNTIFS(Wine1!$AA:$AA,Sheet1!P$2,Wine1!$E:$E,"*" &amp; Sheet1!$A51 &amp;"*")</f>
        <v>0</v>
      </c>
      <c r="Q51" s="37">
        <f>COUNTIFS(Wine1!$AA:$AA,Sheet1!Q$2,Wine1!$E:$E,"*" &amp; Sheet1!$A51 &amp;"*")</f>
        <v>0</v>
      </c>
      <c r="R51" s="37">
        <f>COUNTIFS(Wine1!$AA:$AA,Sheet1!R$2,Wine1!$E:$E,"*" &amp; Sheet1!$A51 &amp;"*")</f>
        <v>0</v>
      </c>
      <c r="S51" s="37">
        <f>COUNTIFS(Wine1!$AA:$AA,Sheet1!S$2,Wine1!$E:$E,"*" &amp; Sheet1!$A51 &amp;"*")</f>
        <v>0</v>
      </c>
      <c r="T51" s="37">
        <f>COUNTIFS(Wine1!$AA:$AA,Sheet1!T$2,Wine1!$E:$E,"*" &amp; Sheet1!$A51 &amp;"*")</f>
        <v>0</v>
      </c>
      <c r="U51" s="37">
        <f>COUNTIFS(Wine1!$AA:$AA,Sheet1!U$2,Wine1!$E:$E,"*" &amp; Sheet1!$A51 &amp;"*")</f>
        <v>0</v>
      </c>
      <c r="V51" s="37">
        <f>COUNTIFS(Wine1!$AA:$AA,Sheet1!V$2,Wine1!$E:$E,"*" &amp; Sheet1!$A51 &amp;"*")</f>
        <v>0</v>
      </c>
      <c r="W51" s="37">
        <f>COUNTIFS(Wine1!$AA:$AA,Sheet1!W$2,Wine1!$E:$E,"*" &amp; Sheet1!$A51 &amp;"*")</f>
        <v>0</v>
      </c>
      <c r="X51" s="37">
        <f>COUNTIFS(Wine1!$AA:$AA,Sheet1!X$2,Wine1!$E:$E,"*" &amp; Sheet1!$A51 &amp;"*")</f>
        <v>1</v>
      </c>
      <c r="Y51" s="37">
        <f>COUNTIFS(Wine1!$AA:$AA,Sheet1!Y$2,Wine1!$E:$E,"*" &amp; Sheet1!$A51 &amp;"*")</f>
        <v>0</v>
      </c>
      <c r="Z51" s="37">
        <f>COUNTIFS(Wine1!$AA:$AA,Sheet1!Z$2,Wine1!$E:$E,"*" &amp; Sheet1!$A51 &amp;"*")</f>
        <v>0</v>
      </c>
      <c r="AA51" s="37">
        <f>COUNTIFS(Wine1!$AA:$AA,Sheet1!AA$2,Wine1!$E:$E,"*" &amp; Sheet1!$A51 &amp;"*")</f>
        <v>0</v>
      </c>
      <c r="AB51" s="37">
        <f>COUNTIFS(Wine1!$AA:$AA,Sheet1!AB$2,Wine1!$E:$E,"*" &amp; Sheet1!$A51 &amp;"*")</f>
        <v>0</v>
      </c>
      <c r="AC51" s="37">
        <f>COUNTIFS(Wine1!$AA:$AA,Sheet1!AC$2,Wine1!$E:$E,"*" &amp; Sheet1!$A51 &amp;"*")</f>
        <v>0</v>
      </c>
      <c r="AD51" s="37">
        <f>COUNTIFS(Wine1!$AA:$AA,Sheet1!AD$2,Wine1!$E:$E,"*" &amp; Sheet1!$A51 &amp;"*")</f>
        <v>0</v>
      </c>
      <c r="AE51" s="37">
        <f>COUNTIFS(Wine1!$AA:$AA,Sheet1!AE$2,Wine1!$E:$E,"*" &amp; Sheet1!$A51 &amp;"*")</f>
        <v>0</v>
      </c>
      <c r="AF51" s="37">
        <f>COUNTIFS(Wine1!$AA:$AA,Sheet1!AF$2,Wine1!$E:$E,"*" &amp; Sheet1!$A51 &amp;"*")</f>
        <v>0</v>
      </c>
      <c r="AG51" s="37">
        <f>COUNTIFS(Wine1!$AA:$AA,Sheet1!AG$2,Wine1!$E:$E,"*" &amp; Sheet1!$A51 &amp;"*")</f>
        <v>0</v>
      </c>
      <c r="AH51" s="37">
        <f>COUNTIFS(Wine1!$AA:$AA,Sheet1!AH$2,Wine1!$E:$E,"*" &amp; Sheet1!$A51 &amp;"*")</f>
        <v>0</v>
      </c>
      <c r="AI51" s="37">
        <f>COUNTIFS(Wine1!$AA:$AA,Sheet1!AI$2,Wine1!$E:$E,"*" &amp; Sheet1!$A51 &amp;"*")</f>
        <v>0</v>
      </c>
      <c r="AJ51" s="37">
        <f>COUNTIFS(Wine1!$AA:$AA,Sheet1!AJ$2,Wine1!$E:$E,"*" &amp; Sheet1!$A51 &amp;"*")</f>
        <v>0</v>
      </c>
      <c r="AK51" s="37">
        <f>COUNTIFS(Wine1!$AA:$AA,Sheet1!AK$2,Wine1!$E:$E,"*" &amp; Sheet1!$A51 &amp;"*")</f>
        <v>0</v>
      </c>
      <c r="AL51" s="37">
        <f>COUNTIFS(Wine1!$AA:$AA,Sheet1!AL$2,Wine1!$E:$E,"*" &amp; Sheet1!$A51 &amp;"*")</f>
        <v>0</v>
      </c>
      <c r="AM51" s="37">
        <f>COUNTIFS(Wine1!$AA:$AA,Sheet1!AM$2,Wine1!$E:$E,"*" &amp; Sheet1!$A51 &amp;"*")</f>
        <v>0</v>
      </c>
      <c r="AN51" s="37">
        <f>COUNTIFS(Wine1!$AA:$AA,Sheet1!AN$2,Wine1!$E:$E,"*" &amp; Sheet1!$A51 &amp;"*")</f>
        <v>0</v>
      </c>
      <c r="AO51" s="37">
        <f>COUNTIFS(Wine1!$AA:$AA,Sheet1!AO$2,Wine1!$E:$E,"*" &amp; Sheet1!$A51 &amp;"*")</f>
        <v>0</v>
      </c>
      <c r="AP51" s="37">
        <f>COUNTIFS(Wine1!$AA:$AA,Sheet1!AP$2,Wine1!$E:$E,"*" &amp; Sheet1!$A51 &amp;"*")</f>
        <v>0</v>
      </c>
      <c r="AQ51" s="37">
        <f>COUNTIFS(Wine1!$AA:$AA,Sheet1!AQ$2,Wine1!$E:$E,"*" &amp; Sheet1!$A51 &amp;"*")</f>
        <v>0</v>
      </c>
      <c r="AR51" s="37">
        <f>COUNTIFS(Wine1!$AA:$AA,Sheet1!AR$2,Wine1!$E:$E,"*" &amp; Sheet1!$A51 &amp;"*")</f>
        <v>0</v>
      </c>
      <c r="AS51" s="37">
        <f>COUNTIFS(Wine1!$AA:$AA,Sheet1!AS$2,Wine1!$E:$E,"*" &amp; Sheet1!$A51 &amp;"*")</f>
        <v>0</v>
      </c>
      <c r="AT51" s="37">
        <f>COUNTIFS(Wine1!$AA:$AA,Sheet1!AT$2,Wine1!$E:$E,"*" &amp; Sheet1!$A51 &amp;"*")</f>
        <v>0</v>
      </c>
      <c r="AU51" s="37">
        <f>COUNTIFS(Wine1!$AA:$AA,Sheet1!AU$2,Wine1!$E:$E,"*" &amp; Sheet1!$A51 &amp;"*")</f>
        <v>0</v>
      </c>
      <c r="AV51" s="37">
        <f>COUNTIFS(Wine1!$AA:$AA,Sheet1!AV$2,Wine1!$E:$E,"*" &amp; Sheet1!$A51 &amp;"*")</f>
        <v>0</v>
      </c>
      <c r="AW51" s="37">
        <f>COUNTIFS(Wine1!$AA:$AA,Sheet1!AW$2,Wine1!$E:$E,"*" &amp; Sheet1!$A51 &amp;"*")</f>
        <v>0</v>
      </c>
      <c r="AX51" s="37">
        <f>COUNTIFS(Wine1!$AA:$AA,Sheet1!AX$2,Wine1!$E:$E,"*" &amp; Sheet1!$A51 &amp;"*")</f>
        <v>0</v>
      </c>
      <c r="AY51" s="37">
        <f>COUNTIFS(Wine1!$AA:$AA,Sheet1!AY$2,Wine1!$E:$E,"*" &amp; Sheet1!$A51 &amp;"*")</f>
        <v>0</v>
      </c>
      <c r="AZ51" s="37">
        <f>COUNTIFS(Wine1!$AA:$AA,Sheet1!AZ$2,Wine1!$E:$E,"*" &amp; Sheet1!$A51 &amp;"*")</f>
        <v>0</v>
      </c>
      <c r="BA51" s="37">
        <f>COUNTIFS(Wine1!$AA:$AA,Sheet1!BA$2,Wine1!$E:$E,"*" &amp; Sheet1!$A51 &amp;"*")</f>
        <v>0</v>
      </c>
      <c r="BB51" s="37">
        <f>COUNTIFS(Wine1!$AA:$AA,Sheet1!BB$2,Wine1!$E:$E,"*" &amp; Sheet1!$A51 &amp;"*")</f>
        <v>0</v>
      </c>
      <c r="BC51" s="37">
        <f>COUNTIFS(Wine1!$AA:$AA,Sheet1!BC$2,Wine1!$E:$E,"*" &amp; Sheet1!$A51 &amp;"*")</f>
        <v>0</v>
      </c>
      <c r="BD51" s="37">
        <f>COUNTIFS(Wine1!$AA:$AA,Sheet1!BD$2,Wine1!$E:$E,"*" &amp; Sheet1!$A51 &amp;"*")</f>
        <v>0</v>
      </c>
      <c r="BE51" s="37">
        <f>COUNTIFS(Wine1!$AA:$AA,Sheet1!BE$2,Wine1!$E:$E,"*" &amp; Sheet1!$A51 &amp;"*")</f>
        <v>0</v>
      </c>
      <c r="BF51" s="37">
        <f>COUNTIFS(Wine1!$AA:$AA,Sheet1!BF$2,Wine1!$E:$E,"*" &amp; Sheet1!$A51 &amp;"*")</f>
        <v>0</v>
      </c>
      <c r="BG51" s="37">
        <f>COUNTIFS(Wine1!$AA:$AA,Sheet1!BG$2,Wine1!$E:$E,"*" &amp; Sheet1!$A51 &amp;"*")</f>
        <v>0</v>
      </c>
      <c r="BH51" s="37">
        <f>COUNTIFS(Wine1!$AA:$AA,Sheet1!BH$2,Wine1!$E:$E,"*" &amp; Sheet1!$A51 &amp;"*")</f>
        <v>0</v>
      </c>
      <c r="BI51" s="37">
        <f>COUNTIFS(Wine1!$AA:$AA,Sheet1!BI$2,Wine1!$E:$E,"*" &amp; Sheet1!$A51 &amp;"*")</f>
        <v>0</v>
      </c>
      <c r="BJ51" s="37">
        <f>COUNTIFS(Wine1!$AA:$AA,Sheet1!BJ$2,Wine1!$E:$E,"*" &amp; Sheet1!$A51 &amp;"*")</f>
        <v>0</v>
      </c>
      <c r="BK51" s="37">
        <f>COUNTIFS(Wine1!$AA:$AA,Sheet1!BK$2,Wine1!$E:$E,"*" &amp; Sheet1!$A51 &amp;"*")</f>
        <v>0</v>
      </c>
      <c r="BL51" s="37">
        <f>COUNTIFS(Wine1!$AA:$AA,Sheet1!BL$2,Wine1!$E:$E,"*" &amp; Sheet1!$A51 &amp;"*")</f>
        <v>0</v>
      </c>
    </row>
    <row r="52" spans="1:64" x14ac:dyDescent="0.25">
      <c r="A52" t="s">
        <v>1444</v>
      </c>
      <c r="B52" s="95">
        <f>COUNTIFS(Wine1!$AF:$AF,Sheet1!B$2,Wine1!$E:$E,"*" &amp; Sheet1!$A52 &amp;"*")</f>
        <v>0</v>
      </c>
      <c r="C52" s="9">
        <f>COUNTIFS(Wine1!$AF:$AF,Sheet1!C$2,Wine1!$E:$E,"*" &amp; Sheet1!$A52 &amp;"*")</f>
        <v>2</v>
      </c>
      <c r="D52" s="9">
        <f>COUNTIFS(Wine1!$AF:$AF,Sheet1!D$2,Wine1!$E:$E,"*" &amp; Sheet1!$A52 &amp;"*")</f>
        <v>0</v>
      </c>
      <c r="E52" s="9">
        <f>COUNTIFS(Wine1!$AF:$AF,Sheet1!E$2,Wine1!$E:$E,"*" &amp; Sheet1!$A52 &amp;"*")</f>
        <v>0</v>
      </c>
      <c r="F52" s="43">
        <f t="shared" si="1"/>
        <v>2</v>
      </c>
      <c r="G52" s="37">
        <f>COUNTIFS(Wine1!$AA:$AA,Sheet1!G$2,Wine1!$E:$E,"*" &amp; Sheet1!$A52 &amp;"*")</f>
        <v>1</v>
      </c>
      <c r="H52" s="37">
        <f>COUNTIFS(Wine1!$AA:$AA,Sheet1!H$2,Wine1!$E:$E,"*" &amp; Sheet1!$A52 &amp;"*")</f>
        <v>0</v>
      </c>
      <c r="I52" s="37">
        <f>COUNTIFS(Wine1!$AA:$AA,Sheet1!I$2,Wine1!$E:$E,"*" &amp; Sheet1!$A52 &amp;"*")</f>
        <v>0</v>
      </c>
      <c r="J52" s="37">
        <f>COUNTIFS(Wine1!$AA:$AA,Sheet1!J$2,Wine1!$E:$E,"*" &amp; Sheet1!$A52 &amp;"*")</f>
        <v>0</v>
      </c>
      <c r="K52" s="37">
        <f>COUNTIFS(Wine1!$AA:$AA,Sheet1!K$2,Wine1!$E:$E,"*" &amp; Sheet1!$A52 &amp;"*")</f>
        <v>1</v>
      </c>
      <c r="L52" s="37">
        <f>COUNTIFS(Wine1!$AA:$AA,Sheet1!L$2,Wine1!$E:$E,"*" &amp; Sheet1!$A52 &amp;"*")</f>
        <v>0</v>
      </c>
      <c r="M52" s="37">
        <f>COUNTIFS(Wine1!$AA:$AA,Sheet1!M$2,Wine1!$E:$E,"*" &amp; Sheet1!$A52 &amp;"*")</f>
        <v>0</v>
      </c>
      <c r="N52" s="37">
        <f>COUNTIFS(Wine1!$AA:$AA,Sheet1!N$2,Wine1!$E:$E,"*" &amp; Sheet1!$A52 &amp;"*")</f>
        <v>0</v>
      </c>
      <c r="O52" s="37">
        <f>COUNTIFS(Wine1!$AA:$AA,Sheet1!O$2,Wine1!$E:$E,"*" &amp; Sheet1!$A52 &amp;"*")</f>
        <v>0</v>
      </c>
      <c r="P52" s="37">
        <f>COUNTIFS(Wine1!$AA:$AA,Sheet1!P$2,Wine1!$E:$E,"*" &amp; Sheet1!$A52 &amp;"*")</f>
        <v>0</v>
      </c>
      <c r="Q52" s="37">
        <f>COUNTIFS(Wine1!$AA:$AA,Sheet1!Q$2,Wine1!$E:$E,"*" &amp; Sheet1!$A52 &amp;"*")</f>
        <v>0</v>
      </c>
      <c r="R52" s="37">
        <f>COUNTIFS(Wine1!$AA:$AA,Sheet1!R$2,Wine1!$E:$E,"*" &amp; Sheet1!$A52 &amp;"*")</f>
        <v>0</v>
      </c>
      <c r="S52" s="37">
        <f>COUNTIFS(Wine1!$AA:$AA,Sheet1!S$2,Wine1!$E:$E,"*" &amp; Sheet1!$A52 &amp;"*")</f>
        <v>0</v>
      </c>
      <c r="T52" s="37">
        <f>COUNTIFS(Wine1!$AA:$AA,Sheet1!T$2,Wine1!$E:$E,"*" &amp; Sheet1!$A52 &amp;"*")</f>
        <v>0</v>
      </c>
      <c r="U52" s="37">
        <f>COUNTIFS(Wine1!$AA:$AA,Sheet1!U$2,Wine1!$E:$E,"*" &amp; Sheet1!$A52 &amp;"*")</f>
        <v>0</v>
      </c>
      <c r="V52" s="37">
        <f>COUNTIFS(Wine1!$AA:$AA,Sheet1!V$2,Wine1!$E:$E,"*" &amp; Sheet1!$A52 &amp;"*")</f>
        <v>0</v>
      </c>
      <c r="W52" s="37">
        <f>COUNTIFS(Wine1!$AA:$AA,Sheet1!W$2,Wine1!$E:$E,"*" &amp; Sheet1!$A52 &amp;"*")</f>
        <v>0</v>
      </c>
      <c r="X52" s="37">
        <f>COUNTIFS(Wine1!$AA:$AA,Sheet1!X$2,Wine1!$E:$E,"*" &amp; Sheet1!$A52 &amp;"*")</f>
        <v>0</v>
      </c>
      <c r="Y52" s="37">
        <f>COUNTIFS(Wine1!$AA:$AA,Sheet1!Y$2,Wine1!$E:$E,"*" &amp; Sheet1!$A52 &amp;"*")</f>
        <v>0</v>
      </c>
      <c r="Z52" s="37">
        <f>COUNTIFS(Wine1!$AA:$AA,Sheet1!Z$2,Wine1!$E:$E,"*" &amp; Sheet1!$A52 &amp;"*")</f>
        <v>0</v>
      </c>
      <c r="AA52" s="37">
        <f>COUNTIFS(Wine1!$AA:$AA,Sheet1!AA$2,Wine1!$E:$E,"*" &amp; Sheet1!$A52 &amp;"*")</f>
        <v>0</v>
      </c>
      <c r="AB52" s="37">
        <f>COUNTIFS(Wine1!$AA:$AA,Sheet1!AB$2,Wine1!$E:$E,"*" &amp; Sheet1!$A52 &amp;"*")</f>
        <v>0</v>
      </c>
      <c r="AC52" s="37">
        <f>COUNTIFS(Wine1!$AA:$AA,Sheet1!AC$2,Wine1!$E:$E,"*" &amp; Sheet1!$A52 &amp;"*")</f>
        <v>0</v>
      </c>
      <c r="AD52" s="37">
        <f>COUNTIFS(Wine1!$AA:$AA,Sheet1!AD$2,Wine1!$E:$E,"*" &amp; Sheet1!$A52 &amp;"*")</f>
        <v>0</v>
      </c>
      <c r="AE52" s="37">
        <f>COUNTIFS(Wine1!$AA:$AA,Sheet1!AE$2,Wine1!$E:$E,"*" &amp; Sheet1!$A52 &amp;"*")</f>
        <v>0</v>
      </c>
      <c r="AF52" s="37">
        <f>COUNTIFS(Wine1!$AA:$AA,Sheet1!AF$2,Wine1!$E:$E,"*" &amp; Sheet1!$A52 &amp;"*")</f>
        <v>0</v>
      </c>
      <c r="AG52" s="37">
        <f>COUNTIFS(Wine1!$AA:$AA,Sheet1!AG$2,Wine1!$E:$E,"*" &amp; Sheet1!$A52 &amp;"*")</f>
        <v>0</v>
      </c>
      <c r="AH52" s="37">
        <f>COUNTIFS(Wine1!$AA:$AA,Sheet1!AH$2,Wine1!$E:$E,"*" &amp; Sheet1!$A52 &amp;"*")</f>
        <v>0</v>
      </c>
      <c r="AI52" s="37">
        <f>COUNTIFS(Wine1!$AA:$AA,Sheet1!AI$2,Wine1!$E:$E,"*" &amp; Sheet1!$A52 &amp;"*")</f>
        <v>0</v>
      </c>
      <c r="AJ52" s="37">
        <f>COUNTIFS(Wine1!$AA:$AA,Sheet1!AJ$2,Wine1!$E:$E,"*" &amp; Sheet1!$A52 &amp;"*")</f>
        <v>0</v>
      </c>
      <c r="AK52" s="37">
        <f>COUNTIFS(Wine1!$AA:$AA,Sheet1!AK$2,Wine1!$E:$E,"*" &amp; Sheet1!$A52 &amp;"*")</f>
        <v>0</v>
      </c>
      <c r="AL52" s="37">
        <f>COUNTIFS(Wine1!$AA:$AA,Sheet1!AL$2,Wine1!$E:$E,"*" &amp; Sheet1!$A52 &amp;"*")</f>
        <v>0</v>
      </c>
      <c r="AM52" s="37">
        <f>COUNTIFS(Wine1!$AA:$AA,Sheet1!AM$2,Wine1!$E:$E,"*" &amp; Sheet1!$A52 &amp;"*")</f>
        <v>0</v>
      </c>
      <c r="AN52" s="37">
        <f>COUNTIFS(Wine1!$AA:$AA,Sheet1!AN$2,Wine1!$E:$E,"*" &amp; Sheet1!$A52 &amp;"*")</f>
        <v>0</v>
      </c>
      <c r="AO52" s="37">
        <f>COUNTIFS(Wine1!$AA:$AA,Sheet1!AO$2,Wine1!$E:$E,"*" &amp; Sheet1!$A52 &amp;"*")</f>
        <v>0</v>
      </c>
      <c r="AP52" s="37">
        <f>COUNTIFS(Wine1!$AA:$AA,Sheet1!AP$2,Wine1!$E:$E,"*" &amp; Sheet1!$A52 &amp;"*")</f>
        <v>0</v>
      </c>
      <c r="AQ52" s="37">
        <f>COUNTIFS(Wine1!$AA:$AA,Sheet1!AQ$2,Wine1!$E:$E,"*" &amp; Sheet1!$A52 &amp;"*")</f>
        <v>0</v>
      </c>
      <c r="AR52" s="37">
        <f>COUNTIFS(Wine1!$AA:$AA,Sheet1!AR$2,Wine1!$E:$E,"*" &amp; Sheet1!$A52 &amp;"*")</f>
        <v>0</v>
      </c>
      <c r="AS52" s="37">
        <f>COUNTIFS(Wine1!$AA:$AA,Sheet1!AS$2,Wine1!$E:$E,"*" &amp; Sheet1!$A52 &amp;"*")</f>
        <v>0</v>
      </c>
      <c r="AT52" s="37">
        <f>COUNTIFS(Wine1!$AA:$AA,Sheet1!AT$2,Wine1!$E:$E,"*" &amp; Sheet1!$A52 &amp;"*")</f>
        <v>0</v>
      </c>
      <c r="AU52" s="37">
        <f>COUNTIFS(Wine1!$AA:$AA,Sheet1!AU$2,Wine1!$E:$E,"*" &amp; Sheet1!$A52 &amp;"*")</f>
        <v>0</v>
      </c>
      <c r="AV52" s="37">
        <f>COUNTIFS(Wine1!$AA:$AA,Sheet1!AV$2,Wine1!$E:$E,"*" &amp; Sheet1!$A52 &amp;"*")</f>
        <v>0</v>
      </c>
      <c r="AW52" s="37">
        <f>COUNTIFS(Wine1!$AA:$AA,Sheet1!AW$2,Wine1!$E:$E,"*" &amp; Sheet1!$A52 &amp;"*")</f>
        <v>0</v>
      </c>
      <c r="AX52" s="37">
        <f>COUNTIFS(Wine1!$AA:$AA,Sheet1!AX$2,Wine1!$E:$E,"*" &amp; Sheet1!$A52 &amp;"*")</f>
        <v>0</v>
      </c>
      <c r="AY52" s="37">
        <f>COUNTIFS(Wine1!$AA:$AA,Sheet1!AY$2,Wine1!$E:$E,"*" &amp; Sheet1!$A52 &amp;"*")</f>
        <v>0</v>
      </c>
      <c r="AZ52" s="37">
        <f>COUNTIFS(Wine1!$AA:$AA,Sheet1!AZ$2,Wine1!$E:$E,"*" &amp; Sheet1!$A52 &amp;"*")</f>
        <v>0</v>
      </c>
      <c r="BA52" s="37">
        <f>COUNTIFS(Wine1!$AA:$AA,Sheet1!BA$2,Wine1!$E:$E,"*" &amp; Sheet1!$A52 &amp;"*")</f>
        <v>0</v>
      </c>
      <c r="BB52" s="37">
        <f>COUNTIFS(Wine1!$AA:$AA,Sheet1!BB$2,Wine1!$E:$E,"*" &amp; Sheet1!$A52 &amp;"*")</f>
        <v>0</v>
      </c>
      <c r="BC52" s="37">
        <f>COUNTIFS(Wine1!$AA:$AA,Sheet1!BC$2,Wine1!$E:$E,"*" &amp; Sheet1!$A52 &amp;"*")</f>
        <v>0</v>
      </c>
      <c r="BD52" s="37">
        <f>COUNTIFS(Wine1!$AA:$AA,Sheet1!BD$2,Wine1!$E:$E,"*" &amp; Sheet1!$A52 &amp;"*")</f>
        <v>0</v>
      </c>
      <c r="BE52" s="37">
        <f>COUNTIFS(Wine1!$AA:$AA,Sheet1!BE$2,Wine1!$E:$E,"*" &amp; Sheet1!$A52 &amp;"*")</f>
        <v>0</v>
      </c>
      <c r="BF52" s="37">
        <f>COUNTIFS(Wine1!$AA:$AA,Sheet1!BF$2,Wine1!$E:$E,"*" &amp; Sheet1!$A52 &amp;"*")</f>
        <v>0</v>
      </c>
      <c r="BG52" s="37">
        <f>COUNTIFS(Wine1!$AA:$AA,Sheet1!BG$2,Wine1!$E:$E,"*" &amp; Sheet1!$A52 &amp;"*")</f>
        <v>0</v>
      </c>
      <c r="BH52" s="37">
        <f>COUNTIFS(Wine1!$AA:$AA,Sheet1!BH$2,Wine1!$E:$E,"*" &amp; Sheet1!$A52 &amp;"*")</f>
        <v>0</v>
      </c>
      <c r="BI52" s="37">
        <f>COUNTIFS(Wine1!$AA:$AA,Sheet1!BI$2,Wine1!$E:$E,"*" &amp; Sheet1!$A52 &amp;"*")</f>
        <v>0</v>
      </c>
      <c r="BJ52" s="37">
        <f>COUNTIFS(Wine1!$AA:$AA,Sheet1!BJ$2,Wine1!$E:$E,"*" &amp; Sheet1!$A52 &amp;"*")</f>
        <v>0</v>
      </c>
      <c r="BK52" s="37">
        <f>COUNTIFS(Wine1!$AA:$AA,Sheet1!BK$2,Wine1!$E:$E,"*" &amp; Sheet1!$A52 &amp;"*")</f>
        <v>0</v>
      </c>
      <c r="BL52" s="37">
        <f>COUNTIFS(Wine1!$AA:$AA,Sheet1!BL$2,Wine1!$E:$E,"*" &amp; Sheet1!$A52 &amp;"*")</f>
        <v>0</v>
      </c>
    </row>
    <row r="53" spans="1:64" x14ac:dyDescent="0.25">
      <c r="B53" s="37">
        <f>SUM(B3:B52)</f>
        <v>364</v>
      </c>
      <c r="C53" s="37">
        <f>SUM(C3:C52)</f>
        <v>539</v>
      </c>
      <c r="D53" s="37">
        <f>SUM(D3:D52)</f>
        <v>899</v>
      </c>
      <c r="E53" s="37">
        <f>SUM(E3:E52)</f>
        <v>213</v>
      </c>
      <c r="F53" s="37"/>
    </row>
  </sheetData>
  <autoFilter ref="A2:F53" xr:uid="{8A7714A9-0141-4FF9-8A05-0977102B08B9}"/>
  <sortState xmlns:xlrd2="http://schemas.microsoft.com/office/spreadsheetml/2017/richdata2" ref="A3:F52">
    <sortCondition ref="A3:A52"/>
  </sortState>
  <mergeCells count="1">
    <mergeCell ref="B1:E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C0F8-745A-4602-B5EC-B82757BCF041}">
  <dimension ref="A1:J49"/>
  <sheetViews>
    <sheetView workbookViewId="0">
      <selection activeCell="B14" sqref="B14"/>
    </sheetView>
  </sheetViews>
  <sheetFormatPr defaultRowHeight="15" x14ac:dyDescent="0.25"/>
  <cols>
    <col min="1" max="1" width="10.7109375" bestFit="1" customWidth="1"/>
    <col min="2" max="2" width="34" bestFit="1" customWidth="1"/>
    <col min="3" max="3" width="53" bestFit="1" customWidth="1"/>
    <col min="4" max="4" width="8.7109375" bestFit="1" customWidth="1"/>
    <col min="5" max="5" width="14.140625" bestFit="1" customWidth="1"/>
    <col min="6" max="6" width="13.140625" bestFit="1" customWidth="1"/>
    <col min="14" max="14" width="33.85546875" bestFit="1" customWidth="1"/>
  </cols>
  <sheetData>
    <row r="1" spans="1:4" x14ac:dyDescent="0.25">
      <c r="A1" t="s">
        <v>1783</v>
      </c>
      <c r="B1" t="s">
        <v>1781</v>
      </c>
      <c r="C1" t="s">
        <v>344</v>
      </c>
      <c r="D1" t="s">
        <v>345</v>
      </c>
    </row>
    <row r="2" spans="1:4" x14ac:dyDescent="0.25">
      <c r="A2" t="s">
        <v>1128</v>
      </c>
      <c r="B2">
        <v>58</v>
      </c>
    </row>
    <row r="3" spans="1:4" x14ac:dyDescent="0.25">
      <c r="A3" t="s">
        <v>1572</v>
      </c>
      <c r="C3">
        <v>12</v>
      </c>
    </row>
    <row r="4" spans="1:4" x14ac:dyDescent="0.25">
      <c r="A4" t="s">
        <v>385</v>
      </c>
      <c r="C4">
        <v>8</v>
      </c>
    </row>
    <row r="5" spans="1:4" x14ac:dyDescent="0.25">
      <c r="A5" t="s">
        <v>1687</v>
      </c>
      <c r="D5">
        <v>44</v>
      </c>
    </row>
    <row r="6" spans="1:4" x14ac:dyDescent="0.25">
      <c r="A6" t="s">
        <v>1784</v>
      </c>
      <c r="C6">
        <v>6</v>
      </c>
    </row>
    <row r="7" spans="1:4" x14ac:dyDescent="0.25">
      <c r="A7" s="126" t="s">
        <v>1750</v>
      </c>
      <c r="B7">
        <v>6</v>
      </c>
    </row>
    <row r="8" spans="1:4" x14ac:dyDescent="0.25">
      <c r="A8" t="s">
        <v>1787</v>
      </c>
      <c r="B8">
        <v>6</v>
      </c>
    </row>
    <row r="9" spans="1:4" x14ac:dyDescent="0.25">
      <c r="A9" t="s">
        <v>1788</v>
      </c>
      <c r="C9">
        <v>9</v>
      </c>
    </row>
    <row r="10" spans="1:4" s="37" customFormat="1" x14ac:dyDescent="0.25">
      <c r="A10" s="37" t="s">
        <v>1139</v>
      </c>
      <c r="C10" s="37">
        <v>27</v>
      </c>
    </row>
    <row r="11" spans="1:4" s="37" customFormat="1" x14ac:dyDescent="0.25">
      <c r="A11" s="37" t="s">
        <v>1790</v>
      </c>
      <c r="C11" s="37">
        <v>6</v>
      </c>
      <c r="D11" s="37">
        <v>48</v>
      </c>
    </row>
    <row r="12" spans="1:4" s="37" customFormat="1" x14ac:dyDescent="0.25">
      <c r="A12" s="37" t="s">
        <v>1791</v>
      </c>
      <c r="C12" s="37">
        <v>10</v>
      </c>
    </row>
    <row r="13" spans="1:4" s="37" customFormat="1" x14ac:dyDescent="0.25">
      <c r="A13" s="37" t="s">
        <v>1792</v>
      </c>
      <c r="B13" s="37">
        <v>19</v>
      </c>
    </row>
    <row r="14" spans="1:4" s="37" customFormat="1" x14ac:dyDescent="0.25">
      <c r="A14" s="37" t="s">
        <v>601</v>
      </c>
      <c r="B14" s="37">
        <v>12</v>
      </c>
    </row>
    <row r="15" spans="1:4" s="37" customFormat="1" x14ac:dyDescent="0.25">
      <c r="A15" s="37" t="s">
        <v>1478</v>
      </c>
      <c r="C15" s="37">
        <v>11</v>
      </c>
    </row>
    <row r="17" spans="1:10" x14ac:dyDescent="0.25">
      <c r="A17" t="s">
        <v>1782</v>
      </c>
    </row>
    <row r="18" spans="1:10" x14ac:dyDescent="0.25">
      <c r="A18" s="37" t="s">
        <v>1128</v>
      </c>
      <c r="B18">
        <v>16</v>
      </c>
      <c r="H18" s="46"/>
    </row>
    <row r="19" spans="1:10" x14ac:dyDescent="0.25">
      <c r="A19" s="37" t="s">
        <v>1572</v>
      </c>
      <c r="C19">
        <v>3</v>
      </c>
    </row>
    <row r="20" spans="1:10" x14ac:dyDescent="0.25">
      <c r="A20" t="s">
        <v>385</v>
      </c>
      <c r="C20">
        <v>2</v>
      </c>
    </row>
    <row r="21" spans="1:10" x14ac:dyDescent="0.25">
      <c r="A21" t="s">
        <v>1687</v>
      </c>
      <c r="D21">
        <v>15</v>
      </c>
    </row>
    <row r="22" spans="1:10" x14ac:dyDescent="0.25">
      <c r="A22" t="s">
        <v>1785</v>
      </c>
      <c r="C22">
        <v>3</v>
      </c>
    </row>
    <row r="23" spans="1:10" x14ac:dyDescent="0.25">
      <c r="A23" t="s">
        <v>1786</v>
      </c>
      <c r="B23">
        <v>14</v>
      </c>
      <c r="J23" s="37"/>
    </row>
    <row r="24" spans="1:10" x14ac:dyDescent="0.25">
      <c r="A24" t="s">
        <v>1709</v>
      </c>
      <c r="B24">
        <v>17</v>
      </c>
      <c r="J24" s="37"/>
    </row>
    <row r="25" spans="1:10" x14ac:dyDescent="0.25">
      <c r="A25" t="s">
        <v>1787</v>
      </c>
      <c r="B25">
        <v>6</v>
      </c>
    </row>
    <row r="26" spans="1:10" x14ac:dyDescent="0.25">
      <c r="A26" t="s">
        <v>1788</v>
      </c>
      <c r="C26">
        <v>2</v>
      </c>
    </row>
    <row r="27" spans="1:10" x14ac:dyDescent="0.25">
      <c r="A27" t="s">
        <v>1789</v>
      </c>
      <c r="B27">
        <v>4</v>
      </c>
      <c r="C27">
        <v>15</v>
      </c>
    </row>
    <row r="28" spans="1:10" x14ac:dyDescent="0.25">
      <c r="A28" t="s">
        <v>1790</v>
      </c>
      <c r="D28">
        <v>13</v>
      </c>
    </row>
    <row r="29" spans="1:10" x14ac:dyDescent="0.25">
      <c r="A29" t="s">
        <v>1791</v>
      </c>
      <c r="C29">
        <v>2</v>
      </c>
    </row>
    <row r="30" spans="1:10" x14ac:dyDescent="0.25">
      <c r="A30" t="s">
        <v>1478</v>
      </c>
    </row>
    <row r="40" spans="1:10" x14ac:dyDescent="0.25">
      <c r="A40" s="64"/>
      <c r="E40" s="64"/>
    </row>
    <row r="41" spans="1:10" x14ac:dyDescent="0.25">
      <c r="A41" s="64"/>
      <c r="E41" s="64"/>
      <c r="F41" s="37"/>
      <c r="G41" s="37"/>
      <c r="H41" s="37"/>
      <c r="I41" s="37"/>
      <c r="J41" s="37"/>
    </row>
    <row r="42" spans="1:10" x14ac:dyDescent="0.25">
      <c r="A42" s="64"/>
      <c r="E42" s="64"/>
      <c r="F42" s="37"/>
      <c r="G42" s="37"/>
      <c r="H42" s="37"/>
      <c r="I42" s="37"/>
      <c r="J42" s="37"/>
    </row>
    <row r="43" spans="1:10" x14ac:dyDescent="0.25">
      <c r="A43" s="64"/>
      <c r="E43" s="64"/>
      <c r="F43" s="37"/>
      <c r="G43" s="37"/>
      <c r="H43" s="37"/>
      <c r="I43" s="37"/>
      <c r="J43" s="37"/>
    </row>
    <row r="44" spans="1:10" x14ac:dyDescent="0.25">
      <c r="A44" s="64"/>
      <c r="E44" s="64"/>
      <c r="F44" s="37"/>
      <c r="G44" s="37"/>
      <c r="H44" s="37"/>
      <c r="I44" s="37"/>
      <c r="J44" s="37"/>
    </row>
    <row r="45" spans="1:10" x14ac:dyDescent="0.25">
      <c r="A45" s="64"/>
      <c r="E45" s="64"/>
      <c r="F45" s="37"/>
      <c r="G45" s="37"/>
      <c r="H45" s="37"/>
      <c r="I45" s="37"/>
      <c r="J45" s="37"/>
    </row>
    <row r="46" spans="1:10" x14ac:dyDescent="0.25">
      <c r="A46" s="64"/>
      <c r="E46" s="64"/>
      <c r="F46" s="37"/>
      <c r="G46" s="37"/>
      <c r="H46" s="37"/>
      <c r="I46" s="37"/>
      <c r="J46" s="37"/>
    </row>
    <row r="47" spans="1:10" x14ac:dyDescent="0.25">
      <c r="F47" s="37"/>
      <c r="G47" s="37"/>
      <c r="H47" s="37"/>
      <c r="I47" s="37"/>
      <c r="J47" s="37"/>
    </row>
    <row r="48" spans="1:10" x14ac:dyDescent="0.25">
      <c r="A48" s="64"/>
      <c r="E48" s="64"/>
      <c r="F48" s="37"/>
      <c r="G48" s="37"/>
      <c r="H48" s="37"/>
      <c r="I48" s="37"/>
      <c r="J48" s="37"/>
    </row>
    <row r="49" spans="6:6" x14ac:dyDescent="0.25">
      <c r="F49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18927-BB4D-4A3E-AF70-E496BCE4A695}">
  <dimension ref="A1:X183"/>
  <sheetViews>
    <sheetView workbookViewId="0">
      <selection activeCell="E14" sqref="E14"/>
    </sheetView>
  </sheetViews>
  <sheetFormatPr defaultRowHeight="15" x14ac:dyDescent="0.25"/>
  <cols>
    <col min="1" max="1" width="51.28515625" bestFit="1" customWidth="1"/>
    <col min="2" max="2" width="11.5703125" bestFit="1" customWidth="1"/>
    <col min="3" max="6" width="11.5703125" style="37" customWidth="1"/>
    <col min="7" max="7" width="12" bestFit="1" customWidth="1"/>
    <col min="19" max="19" width="31.5703125" customWidth="1"/>
    <col min="24" max="24" width="9.5703125" bestFit="1" customWidth="1"/>
  </cols>
  <sheetData>
    <row r="1" spans="1:22" x14ac:dyDescent="0.25">
      <c r="B1" s="1">
        <v>43947</v>
      </c>
      <c r="C1" s="1">
        <v>43985</v>
      </c>
      <c r="D1" s="1">
        <v>44017</v>
      </c>
      <c r="E1" s="1">
        <v>44050</v>
      </c>
      <c r="F1" s="1">
        <v>44078</v>
      </c>
      <c r="G1" t="s">
        <v>451</v>
      </c>
    </row>
    <row r="2" spans="1:22" s="37" customFormat="1" x14ac:dyDescent="0.25">
      <c r="A2" s="37">
        <v>1</v>
      </c>
      <c r="B2" s="37">
        <v>130</v>
      </c>
      <c r="C2" s="37">
        <v>120</v>
      </c>
      <c r="D2" s="37">
        <v>156</v>
      </c>
      <c r="E2" s="37">
        <v>156</v>
      </c>
      <c r="F2" s="37">
        <v>206</v>
      </c>
      <c r="G2" s="37">
        <f>COUNTIF(Wine1!AF:AF,Snapshot!A2)</f>
        <v>223</v>
      </c>
    </row>
    <row r="3" spans="1:22" s="37" customFormat="1" x14ac:dyDescent="0.25">
      <c r="A3" s="37">
        <v>2</v>
      </c>
      <c r="B3" s="37">
        <v>203</v>
      </c>
      <c r="C3" s="37">
        <v>219</v>
      </c>
      <c r="D3" s="37">
        <v>225</v>
      </c>
      <c r="E3" s="37">
        <v>250</v>
      </c>
      <c r="F3" s="37">
        <v>313</v>
      </c>
      <c r="G3" s="37">
        <f>COUNTIF(Wine1!AF:AF,Snapshot!A3)</f>
        <v>320</v>
      </c>
    </row>
    <row r="4" spans="1:22" s="37" customFormat="1" x14ac:dyDescent="0.25">
      <c r="A4" s="37">
        <v>3</v>
      </c>
      <c r="B4" s="37">
        <v>303</v>
      </c>
      <c r="C4" s="37">
        <v>338</v>
      </c>
      <c r="D4" s="37">
        <v>343</v>
      </c>
      <c r="E4" s="37">
        <v>382</v>
      </c>
      <c r="F4" s="37">
        <v>611</v>
      </c>
      <c r="G4" s="37">
        <f>COUNTIF(Wine1!AF:AF,Snapshot!A4)</f>
        <v>628</v>
      </c>
    </row>
    <row r="5" spans="1:22" s="37" customFormat="1" x14ac:dyDescent="0.25">
      <c r="A5" s="37">
        <v>4</v>
      </c>
      <c r="B5" s="37">
        <v>60</v>
      </c>
      <c r="C5" s="37">
        <v>63</v>
      </c>
      <c r="D5" s="37">
        <v>65</v>
      </c>
      <c r="E5" s="37">
        <v>69</v>
      </c>
      <c r="F5" s="37">
        <v>142</v>
      </c>
      <c r="G5" s="37">
        <f>COUNTIF(Wine1!AF:AF,Snapshot!A5)</f>
        <v>145</v>
      </c>
    </row>
    <row r="6" spans="1:22" x14ac:dyDescent="0.25">
      <c r="A6" s="91" t="s">
        <v>436</v>
      </c>
      <c r="B6" s="91">
        <v>696</v>
      </c>
      <c r="C6" s="91">
        <v>740</v>
      </c>
      <c r="D6" s="91">
        <v>789</v>
      </c>
      <c r="E6" s="91">
        <v>857</v>
      </c>
      <c r="F6" s="91">
        <v>1272</v>
      </c>
      <c r="G6" s="91">
        <f>COUNT(Wine1!X:X)</f>
        <v>1316</v>
      </c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</row>
    <row r="7" spans="1:22" x14ac:dyDescent="0.25">
      <c r="A7" t="s">
        <v>1385</v>
      </c>
      <c r="B7" s="2">
        <v>35.675071839080495</v>
      </c>
      <c r="C7" s="2">
        <v>36.541918918918995</v>
      </c>
      <c r="D7" s="2">
        <v>35.877064638783359</v>
      </c>
      <c r="E7" s="2">
        <v>35.966674445741063</v>
      </c>
      <c r="F7" s="2">
        <v>39.858591766799137</v>
      </c>
      <c r="G7" s="2">
        <f>AVERAGE(Wine1!AB:AB)</f>
        <v>39.606670245593421</v>
      </c>
    </row>
    <row r="8" spans="1:22" x14ac:dyDescent="0.25">
      <c r="A8" t="s">
        <v>1383</v>
      </c>
      <c r="B8" s="2">
        <v>26.48</v>
      </c>
      <c r="C8" s="2">
        <v>28.99</v>
      </c>
      <c r="D8" s="2">
        <v>26.48</v>
      </c>
      <c r="E8" s="2">
        <v>28.994999999999997</v>
      </c>
      <c r="F8" s="2">
        <v>32.99</v>
      </c>
      <c r="G8" s="2">
        <f>MEDIAN(Wine1!AB:AB)</f>
        <v>32.770000000000003</v>
      </c>
      <c r="P8" s="37"/>
    </row>
    <row r="9" spans="1:22" x14ac:dyDescent="0.25">
      <c r="A9" t="s">
        <v>1384</v>
      </c>
      <c r="B9" s="2">
        <v>225.32</v>
      </c>
      <c r="C9" s="2">
        <v>225.32</v>
      </c>
      <c r="D9" s="2">
        <v>225.32</v>
      </c>
      <c r="E9" s="2">
        <v>225.32</v>
      </c>
      <c r="F9" s="2">
        <v>249.82</v>
      </c>
      <c r="G9" s="2">
        <f>MAX(Wine1!AB:AB)</f>
        <v>249.82</v>
      </c>
      <c r="P9" s="37"/>
    </row>
    <row r="10" spans="1:22" x14ac:dyDescent="0.25">
      <c r="A10" t="s">
        <v>1386</v>
      </c>
      <c r="B10" s="2">
        <v>8.99</v>
      </c>
      <c r="C10" s="2">
        <v>8.99</v>
      </c>
      <c r="D10" s="2">
        <v>8.99</v>
      </c>
      <c r="E10" s="2">
        <v>8.99</v>
      </c>
      <c r="F10" s="2">
        <v>5.71</v>
      </c>
      <c r="G10" s="2">
        <f>MIN(Wine1!AB:AB)</f>
        <v>5.71</v>
      </c>
      <c r="P10" s="37"/>
    </row>
    <row r="11" spans="1:22" x14ac:dyDescent="0.25">
      <c r="A11" t="s">
        <v>1382</v>
      </c>
      <c r="B11" s="2">
        <v>14.99</v>
      </c>
      <c r="C11" s="2">
        <v>14.99</v>
      </c>
      <c r="D11" s="2">
        <v>14.99</v>
      </c>
      <c r="E11" s="2">
        <v>14.99</v>
      </c>
      <c r="F11" s="2">
        <v>14.99</v>
      </c>
      <c r="G11" s="2">
        <f>MODE(Wine1!AB:AB)</f>
        <v>14.11</v>
      </c>
      <c r="P11" s="37"/>
    </row>
    <row r="12" spans="1:22" x14ac:dyDescent="0.25">
      <c r="A12" s="92" t="s">
        <v>191</v>
      </c>
      <c r="B12" s="93">
        <f>B7*B6</f>
        <v>24829.850000000024</v>
      </c>
      <c r="C12" s="93">
        <v>27041.020000000055</v>
      </c>
      <c r="D12" s="93">
        <v>28307.00400000007</v>
      </c>
      <c r="E12" s="93">
        <v>30823.44000000009</v>
      </c>
      <c r="F12" s="93">
        <v>50700.128727368501</v>
      </c>
      <c r="G12" s="93">
        <f>G7*G6</f>
        <v>52122.378043200944</v>
      </c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</row>
    <row r="13" spans="1:22" x14ac:dyDescent="0.25">
      <c r="C13" s="11">
        <f>C12-B12</f>
        <v>2211.170000000031</v>
      </c>
      <c r="D13" s="11">
        <v>1265.9840000000149</v>
      </c>
      <c r="E13" s="11">
        <v>2516.4360000000197</v>
      </c>
      <c r="F13" s="11">
        <v>19876.688727368411</v>
      </c>
      <c r="G13" s="11">
        <f>G12-F12</f>
        <v>1422.2493158324432</v>
      </c>
      <c r="P13" s="37"/>
    </row>
    <row r="14" spans="1:22" s="37" customFormat="1" x14ac:dyDescent="0.25">
      <c r="C14" s="11"/>
      <c r="D14" s="11"/>
      <c r="E14" s="11"/>
      <c r="F14" s="11"/>
      <c r="G14" s="11"/>
    </row>
    <row r="15" spans="1:22" s="37" customFormat="1" ht="15.75" thickBot="1" x14ac:dyDescent="0.3">
      <c r="A15" s="137" t="s">
        <v>4</v>
      </c>
      <c r="B15" s="138"/>
      <c r="C15" s="139"/>
      <c r="D15" s="139"/>
      <c r="E15" s="139"/>
      <c r="F15" s="139"/>
      <c r="G15" s="139"/>
    </row>
    <row r="16" spans="1:22" s="37" customFormat="1" x14ac:dyDescent="0.25">
      <c r="A16" s="25">
        <v>375</v>
      </c>
      <c r="C16" s="11"/>
      <c r="D16" s="11"/>
      <c r="E16" s="11"/>
      <c r="F16" s="7">
        <v>121</v>
      </c>
      <c r="G16" s="7">
        <f>COUNTIF(Wine1!J:J,Snapshot!A16)</f>
        <v>121</v>
      </c>
    </row>
    <row r="17" spans="1:7" s="37" customFormat="1" x14ac:dyDescent="0.25">
      <c r="A17" s="25">
        <v>500</v>
      </c>
      <c r="C17" s="11"/>
      <c r="D17" s="11"/>
      <c r="E17" s="11"/>
      <c r="F17" s="7">
        <v>3</v>
      </c>
      <c r="G17" s="7">
        <f>COUNTIF(Wine1!J:J,Snapshot!A17)</f>
        <v>3</v>
      </c>
    </row>
    <row r="18" spans="1:7" s="37" customFormat="1" x14ac:dyDescent="0.25">
      <c r="A18" s="25">
        <v>750</v>
      </c>
      <c r="C18" s="11"/>
      <c r="D18" s="11"/>
      <c r="E18" s="11"/>
      <c r="F18" s="7">
        <v>1115</v>
      </c>
      <c r="G18" s="7">
        <f>COUNTIF(Wine1!J:J,Snapshot!A18)</f>
        <v>1160</v>
      </c>
    </row>
    <row r="19" spans="1:7" s="37" customFormat="1" x14ac:dyDescent="0.25">
      <c r="A19" s="25">
        <v>1000</v>
      </c>
      <c r="C19" s="11"/>
      <c r="D19" s="11"/>
      <c r="E19" s="11"/>
      <c r="F19" s="7">
        <v>7</v>
      </c>
      <c r="G19" s="7">
        <f>COUNTIF(Wine1!J:J,Snapshot!A19)</f>
        <v>7</v>
      </c>
    </row>
    <row r="20" spans="1:7" s="37" customFormat="1" x14ac:dyDescent="0.25">
      <c r="A20" s="25">
        <v>1500</v>
      </c>
      <c r="C20" s="11"/>
      <c r="D20" s="11"/>
      <c r="E20" s="11"/>
      <c r="F20" s="7">
        <v>24</v>
      </c>
      <c r="G20" s="7">
        <f>COUNTIF(Wine1!J:J,Snapshot!A20)</f>
        <v>23</v>
      </c>
    </row>
    <row r="21" spans="1:7" s="37" customFormat="1" x14ac:dyDescent="0.25">
      <c r="A21" s="25">
        <v>3000</v>
      </c>
      <c r="C21" s="11"/>
      <c r="D21" s="11"/>
      <c r="E21" s="11"/>
      <c r="F21" s="7">
        <v>2</v>
      </c>
      <c r="G21" s="7">
        <f>COUNTIF(Wine1!J:J,Snapshot!A21)</f>
        <v>2</v>
      </c>
    </row>
    <row r="22" spans="1:7" s="37" customFormat="1" x14ac:dyDescent="0.25">
      <c r="A22" s="25"/>
      <c r="C22" s="11"/>
      <c r="D22" s="11"/>
      <c r="E22" s="11"/>
      <c r="F22" s="7"/>
      <c r="G22" s="7"/>
    </row>
    <row r="23" spans="1:7" s="37" customFormat="1" ht="15.75" thickBot="1" x14ac:dyDescent="0.3">
      <c r="A23" s="137" t="s">
        <v>203</v>
      </c>
      <c r="B23" s="138"/>
      <c r="C23" s="139"/>
      <c r="D23" s="139"/>
      <c r="E23" s="139"/>
      <c r="F23" s="140"/>
      <c r="G23" s="140"/>
    </row>
    <row r="24" spans="1:7" s="37" customFormat="1" x14ac:dyDescent="0.25">
      <c r="A24" s="25" t="s">
        <v>202</v>
      </c>
      <c r="C24" s="11"/>
      <c r="D24" s="11"/>
      <c r="E24" s="11"/>
      <c r="F24" s="7">
        <v>1133</v>
      </c>
      <c r="G24" s="7">
        <f>COUNTIF(Table1[Color],Snapshot!A24)</f>
        <v>1177</v>
      </c>
    </row>
    <row r="25" spans="1:7" s="37" customFormat="1" x14ac:dyDescent="0.25">
      <c r="A25" s="25" t="s">
        <v>637</v>
      </c>
      <c r="C25" s="11"/>
      <c r="D25" s="11"/>
      <c r="E25" s="11"/>
      <c r="F25" s="7">
        <v>0</v>
      </c>
      <c r="G25" s="7">
        <f>COUNTIF(Table1[Color],Snapshot!A25)</f>
        <v>0</v>
      </c>
    </row>
    <row r="26" spans="1:7" s="37" customFormat="1" x14ac:dyDescent="0.25">
      <c r="A26" s="37" t="s">
        <v>201</v>
      </c>
      <c r="C26" s="11"/>
      <c r="D26" s="11"/>
      <c r="E26" s="11"/>
      <c r="F26" s="7">
        <v>139</v>
      </c>
      <c r="G26" s="7">
        <f>COUNTIF(Table1[Color],Snapshot!A26)</f>
        <v>139</v>
      </c>
    </row>
    <row r="27" spans="1:7" s="37" customFormat="1" x14ac:dyDescent="0.25">
      <c r="C27" s="11"/>
      <c r="D27" s="11"/>
      <c r="E27" s="11"/>
      <c r="F27" s="11"/>
      <c r="G27" s="11"/>
    </row>
    <row r="28" spans="1:7" s="37" customFormat="1" ht="15.75" thickBot="1" x14ac:dyDescent="0.3">
      <c r="A28" s="137" t="s">
        <v>1894</v>
      </c>
      <c r="B28" s="138"/>
      <c r="C28" s="139"/>
      <c r="D28" s="139"/>
      <c r="E28" s="139"/>
      <c r="F28" s="139"/>
      <c r="G28" s="139"/>
    </row>
    <row r="29" spans="1:7" s="37" customFormat="1" x14ac:dyDescent="0.25">
      <c r="A29" s="37" t="s">
        <v>207</v>
      </c>
      <c r="C29" s="11"/>
      <c r="D29" s="11"/>
      <c r="E29" s="11"/>
      <c r="F29" s="7">
        <v>1133</v>
      </c>
      <c r="G29" s="7">
        <f>COUNTIF(Wine1!N:N,Snapshot!A29)</f>
        <v>1177</v>
      </c>
    </row>
    <row r="30" spans="1:7" s="37" customFormat="1" x14ac:dyDescent="0.25">
      <c r="A30" s="37" t="s">
        <v>638</v>
      </c>
      <c r="C30" s="11"/>
      <c r="D30" s="11"/>
      <c r="E30" s="11"/>
      <c r="F30" s="7">
        <v>6</v>
      </c>
      <c r="G30" s="7">
        <f>COUNTIF(Wine1!N:N,Snapshot!A30)</f>
        <v>6</v>
      </c>
    </row>
    <row r="31" spans="1:7" s="37" customFormat="1" x14ac:dyDescent="0.25">
      <c r="A31" s="37" t="s">
        <v>206</v>
      </c>
      <c r="C31" s="11"/>
      <c r="D31" s="11"/>
      <c r="E31" s="11"/>
      <c r="F31" s="7">
        <v>133</v>
      </c>
      <c r="G31" s="7">
        <f>COUNTIF(Wine1!N:N,Snapshot!A31)</f>
        <v>133</v>
      </c>
    </row>
    <row r="32" spans="1:7" s="37" customFormat="1" x14ac:dyDescent="0.25">
      <c r="C32" s="11"/>
      <c r="D32" s="11"/>
      <c r="E32" s="11"/>
      <c r="F32" s="11"/>
      <c r="G32" s="11"/>
    </row>
    <row r="33" spans="1:24" s="37" customFormat="1" ht="15.75" thickBot="1" x14ac:dyDescent="0.3">
      <c r="A33" s="137" t="s">
        <v>724</v>
      </c>
      <c r="B33" s="138"/>
      <c r="C33" s="139"/>
      <c r="D33" s="139"/>
      <c r="E33" s="139"/>
      <c r="F33" s="139"/>
      <c r="G33" s="139"/>
    </row>
    <row r="34" spans="1:24" x14ac:dyDescent="0.25">
      <c r="A34" t="s">
        <v>731</v>
      </c>
      <c r="F34" s="37">
        <v>60</v>
      </c>
      <c r="G34" s="37">
        <f>COUNTIF(Wine1!F:F,Snapshot!A34)</f>
        <v>59</v>
      </c>
      <c r="P34" s="37"/>
    </row>
    <row r="35" spans="1:24" x14ac:dyDescent="0.25">
      <c r="A35" t="s">
        <v>736</v>
      </c>
      <c r="F35" s="37">
        <v>14</v>
      </c>
      <c r="G35" s="37">
        <f>COUNTIF(Wine1!F:F,Snapshot!A35)</f>
        <v>14</v>
      </c>
      <c r="P35" s="37"/>
    </row>
    <row r="36" spans="1:24" x14ac:dyDescent="0.25">
      <c r="A36" t="s">
        <v>952</v>
      </c>
      <c r="F36" s="37">
        <v>4</v>
      </c>
      <c r="G36" s="37">
        <f>COUNTIF(Wine1!F:F,Snapshot!A36)</f>
        <v>4</v>
      </c>
      <c r="P36" s="37"/>
    </row>
    <row r="37" spans="1:24" x14ac:dyDescent="0.25">
      <c r="A37" t="s">
        <v>742</v>
      </c>
      <c r="F37" s="37">
        <v>349</v>
      </c>
      <c r="G37" s="37">
        <f>COUNTIF(Wine1!F:F,Snapshot!A37)</f>
        <v>359</v>
      </c>
      <c r="P37" s="37"/>
    </row>
    <row r="38" spans="1:24" x14ac:dyDescent="0.25">
      <c r="A38" t="s">
        <v>1606</v>
      </c>
      <c r="F38" s="37">
        <v>6</v>
      </c>
      <c r="G38" s="37">
        <f>COUNTIF(Wine1!F:F,Snapshot!A38)</f>
        <v>6</v>
      </c>
      <c r="P38" s="37"/>
    </row>
    <row r="39" spans="1:24" x14ac:dyDescent="0.25">
      <c r="A39" t="s">
        <v>728</v>
      </c>
      <c r="F39" s="37">
        <v>547</v>
      </c>
      <c r="G39" s="37">
        <f>COUNTIF(Wine1!F:F,Snapshot!A39)</f>
        <v>556</v>
      </c>
      <c r="P39" s="37"/>
    </row>
    <row r="40" spans="1:24" x14ac:dyDescent="0.25">
      <c r="A40" t="s">
        <v>1589</v>
      </c>
      <c r="F40" s="37">
        <v>1</v>
      </c>
      <c r="G40" s="37">
        <f>COUNTIF(Wine1!F:F,Snapshot!A40)</f>
        <v>1</v>
      </c>
      <c r="P40" s="37"/>
    </row>
    <row r="41" spans="1:24" x14ac:dyDescent="0.25">
      <c r="A41" t="s">
        <v>804</v>
      </c>
      <c r="F41" s="37">
        <v>35</v>
      </c>
      <c r="G41" s="37">
        <f>COUNTIF(Wine1!F:F,Snapshot!A41)</f>
        <v>34</v>
      </c>
      <c r="P41" s="37"/>
    </row>
    <row r="42" spans="1:24" x14ac:dyDescent="0.25">
      <c r="A42" t="s">
        <v>729</v>
      </c>
      <c r="F42" s="37">
        <v>197</v>
      </c>
      <c r="G42" s="37">
        <f>COUNTIF(Wine1!F:F,Snapshot!A42)</f>
        <v>224</v>
      </c>
      <c r="P42" s="37"/>
    </row>
    <row r="43" spans="1:24" x14ac:dyDescent="0.25">
      <c r="A43" t="s">
        <v>727</v>
      </c>
      <c r="F43" s="37">
        <v>59</v>
      </c>
      <c r="G43" s="37">
        <f>COUNTIF(Wine1!F:F,Snapshot!A43)</f>
        <v>59</v>
      </c>
      <c r="P43" s="37"/>
      <c r="X43" s="39"/>
    </row>
    <row r="44" spans="1:24" x14ac:dyDescent="0.25">
      <c r="P44" s="37"/>
      <c r="W44" s="37"/>
      <c r="X44" s="39"/>
    </row>
    <row r="45" spans="1:24" ht="15.75" thickBot="1" x14ac:dyDescent="0.3">
      <c r="A45" s="137" t="s">
        <v>725</v>
      </c>
      <c r="B45" s="138"/>
      <c r="C45" s="138"/>
      <c r="D45" s="138"/>
      <c r="E45" s="138"/>
      <c r="F45" s="138"/>
      <c r="G45" s="138"/>
      <c r="P45" s="37"/>
      <c r="W45" s="37"/>
      <c r="X45" s="39"/>
    </row>
    <row r="46" spans="1:24" x14ac:dyDescent="0.25">
      <c r="A46" t="s">
        <v>1882</v>
      </c>
      <c r="F46" s="37">
        <v>2</v>
      </c>
      <c r="G46" s="37">
        <f>COUNTIF(Wine1!G:G,Snapshot!A46)</f>
        <v>2</v>
      </c>
      <c r="P46" s="37"/>
      <c r="W46" s="37"/>
      <c r="X46" s="39"/>
    </row>
    <row r="47" spans="1:24" x14ac:dyDescent="0.25">
      <c r="A47" t="s">
        <v>743</v>
      </c>
      <c r="F47" s="37">
        <v>2</v>
      </c>
      <c r="G47">
        <f>COUNTIF(Wine1!G:G,Snapshot!A47)</f>
        <v>2</v>
      </c>
      <c r="P47" s="37"/>
      <c r="W47" s="37"/>
      <c r="X47" s="39"/>
    </row>
    <row r="48" spans="1:24" x14ac:dyDescent="0.25">
      <c r="A48" t="s">
        <v>809</v>
      </c>
      <c r="F48" s="37">
        <v>5</v>
      </c>
      <c r="G48" s="37">
        <f>COUNTIF(Wine1!G:G,Snapshot!A48)</f>
        <v>5</v>
      </c>
      <c r="P48" s="37"/>
      <c r="W48" s="37"/>
      <c r="X48" s="39"/>
    </row>
    <row r="49" spans="1:16" x14ac:dyDescent="0.25">
      <c r="A49" t="s">
        <v>811</v>
      </c>
      <c r="F49" s="37">
        <v>15</v>
      </c>
      <c r="G49" s="37">
        <f>COUNTIF(Wine1!G:G,Snapshot!A49)</f>
        <v>14</v>
      </c>
      <c r="P49" s="37"/>
    </row>
    <row r="50" spans="1:16" x14ac:dyDescent="0.25">
      <c r="A50" t="s">
        <v>745</v>
      </c>
      <c r="F50" s="37">
        <v>12</v>
      </c>
      <c r="G50" s="37">
        <f>COUNTIF(Wine1!G:G,Snapshot!A50)</f>
        <v>12</v>
      </c>
      <c r="P50" s="37"/>
    </row>
    <row r="51" spans="1:16" x14ac:dyDescent="0.25">
      <c r="A51" t="s">
        <v>748</v>
      </c>
      <c r="F51" s="37">
        <v>142</v>
      </c>
      <c r="G51" s="37">
        <f>COUNTIF(Wine1!G:G,Snapshot!A51)</f>
        <v>142</v>
      </c>
      <c r="P51" s="37"/>
    </row>
    <row r="52" spans="1:16" x14ac:dyDescent="0.25">
      <c r="A52" t="s">
        <v>754</v>
      </c>
      <c r="F52" s="37">
        <v>4</v>
      </c>
      <c r="G52" s="37">
        <f>COUNTIF(Wine1!G:G,Snapshot!A52)</f>
        <v>5</v>
      </c>
      <c r="P52" s="37"/>
    </row>
    <row r="53" spans="1:16" x14ac:dyDescent="0.25">
      <c r="A53" t="s">
        <v>806</v>
      </c>
      <c r="F53" s="37">
        <v>46</v>
      </c>
      <c r="G53" s="37">
        <f>COUNTIF(Wine1!G:G,Snapshot!A53)</f>
        <v>46</v>
      </c>
      <c r="P53" s="37"/>
    </row>
    <row r="54" spans="1:16" x14ac:dyDescent="0.25">
      <c r="A54" t="s">
        <v>771</v>
      </c>
      <c r="F54" s="37">
        <v>4</v>
      </c>
      <c r="G54" s="37">
        <f>COUNTIF(Wine1!G:G,Snapshot!A54)</f>
        <v>6</v>
      </c>
      <c r="P54" s="37"/>
    </row>
    <row r="55" spans="1:16" x14ac:dyDescent="0.25">
      <c r="A55" t="s">
        <v>1718</v>
      </c>
      <c r="F55" s="37">
        <v>70</v>
      </c>
      <c r="G55" s="37">
        <f>COUNTIF(Wine1!G:G,Snapshot!A55)</f>
        <v>69</v>
      </c>
      <c r="P55" s="37"/>
    </row>
    <row r="56" spans="1:16" x14ac:dyDescent="0.25">
      <c r="A56" t="s">
        <v>1481</v>
      </c>
      <c r="F56" s="37">
        <v>3</v>
      </c>
      <c r="G56" s="37">
        <f>COUNTIF(Wine1!G:G,Snapshot!A56)</f>
        <v>3</v>
      </c>
      <c r="P56" s="37"/>
    </row>
    <row r="57" spans="1:16" x14ac:dyDescent="0.25">
      <c r="A57" t="s">
        <v>416</v>
      </c>
      <c r="F57" s="37">
        <v>6</v>
      </c>
      <c r="G57" s="37">
        <f>COUNTIF(Wine1!G:G,Snapshot!A57)</f>
        <v>6</v>
      </c>
      <c r="P57" s="37"/>
    </row>
    <row r="58" spans="1:16" x14ac:dyDescent="0.25">
      <c r="A58" t="s">
        <v>805</v>
      </c>
      <c r="F58" s="37">
        <v>21</v>
      </c>
      <c r="G58" s="37">
        <f>COUNTIF(Wine1!G:G,Snapshot!A58)</f>
        <v>21</v>
      </c>
      <c r="P58" s="37"/>
    </row>
    <row r="59" spans="1:16" x14ac:dyDescent="0.25">
      <c r="A59" t="s">
        <v>1422</v>
      </c>
      <c r="F59" s="37">
        <v>9</v>
      </c>
      <c r="G59" s="37">
        <f>COUNTIF(Wine1!G:G,Snapshot!A59)</f>
        <v>9</v>
      </c>
      <c r="P59" s="37"/>
    </row>
    <row r="60" spans="1:16" x14ac:dyDescent="0.25">
      <c r="A60" t="s">
        <v>756</v>
      </c>
      <c r="F60" s="37">
        <v>1</v>
      </c>
      <c r="G60" s="37">
        <f>COUNTIF(Wine1!G:G,Snapshot!A60)</f>
        <v>1</v>
      </c>
      <c r="P60" s="37"/>
    </row>
    <row r="61" spans="1:16" x14ac:dyDescent="0.25">
      <c r="A61" t="s">
        <v>1324</v>
      </c>
      <c r="F61" s="37">
        <v>3</v>
      </c>
      <c r="G61" s="37">
        <f>COUNTIF(Wine1!G:G,Snapshot!A61)</f>
        <v>3</v>
      </c>
      <c r="P61" s="37"/>
    </row>
    <row r="62" spans="1:16" x14ac:dyDescent="0.25">
      <c r="A62" t="s">
        <v>732</v>
      </c>
      <c r="F62" s="37">
        <v>54</v>
      </c>
      <c r="G62" s="37">
        <f>COUNTIF(Wine1!G:G,Snapshot!A62)</f>
        <v>54</v>
      </c>
      <c r="P62" s="37"/>
    </row>
    <row r="63" spans="1:16" x14ac:dyDescent="0.25">
      <c r="A63" t="s">
        <v>1697</v>
      </c>
      <c r="F63" s="37">
        <v>2</v>
      </c>
      <c r="G63" s="37">
        <f>COUNTIF(Wine1!G:G,Snapshot!A63)</f>
        <v>2</v>
      </c>
      <c r="P63" s="37"/>
    </row>
    <row r="64" spans="1:16" x14ac:dyDescent="0.25">
      <c r="A64" t="s">
        <v>821</v>
      </c>
      <c r="F64" s="37">
        <v>6</v>
      </c>
      <c r="G64" s="37">
        <f>COUNTIF(Wine1!G:G,Snapshot!A64)</f>
        <v>5</v>
      </c>
      <c r="P64" s="37"/>
    </row>
    <row r="65" spans="1:16" x14ac:dyDescent="0.25">
      <c r="A65" t="s">
        <v>1460</v>
      </c>
      <c r="F65" s="37">
        <v>7</v>
      </c>
      <c r="G65" s="37">
        <f>COUNTIF(Wine1!G:G,Snapshot!A65)</f>
        <v>7</v>
      </c>
      <c r="P65" s="37"/>
    </row>
    <row r="66" spans="1:16" x14ac:dyDescent="0.25">
      <c r="A66" t="s">
        <v>778</v>
      </c>
      <c r="F66" s="37">
        <v>166</v>
      </c>
      <c r="G66" s="37">
        <f>COUNTIF(Wine1!G:G,Snapshot!A66)</f>
        <v>165</v>
      </c>
      <c r="P66" s="37"/>
    </row>
    <row r="67" spans="1:16" x14ac:dyDescent="0.25">
      <c r="A67" t="s">
        <v>785</v>
      </c>
      <c r="F67" s="37">
        <v>33</v>
      </c>
      <c r="G67" s="37">
        <f>COUNTIF(Wine1!G:G,Snapshot!A67)</f>
        <v>31</v>
      </c>
      <c r="P67" s="37"/>
    </row>
    <row r="68" spans="1:16" x14ac:dyDescent="0.25">
      <c r="A68" t="s">
        <v>1607</v>
      </c>
      <c r="F68" s="37">
        <v>4</v>
      </c>
      <c r="G68" s="37">
        <f>COUNTIF(Wine1!G:G,Snapshot!A68)</f>
        <v>4</v>
      </c>
      <c r="P68" s="37"/>
    </row>
    <row r="69" spans="1:16" x14ac:dyDescent="0.25">
      <c r="A69" t="s">
        <v>759</v>
      </c>
      <c r="F69" s="37">
        <v>160</v>
      </c>
      <c r="G69" s="37">
        <f>COUNTIF(Wine1!G:G,Snapshot!A69)</f>
        <v>170</v>
      </c>
      <c r="P69" s="37"/>
    </row>
    <row r="70" spans="1:16" x14ac:dyDescent="0.25">
      <c r="A70" t="s">
        <v>1569</v>
      </c>
      <c r="F70" s="37">
        <v>3</v>
      </c>
      <c r="G70" s="37">
        <f>COUNTIF(Wine1!G:G,Snapshot!A70)</f>
        <v>3</v>
      </c>
      <c r="P70" s="37"/>
    </row>
    <row r="71" spans="1:16" x14ac:dyDescent="0.25">
      <c r="A71" t="s">
        <v>823</v>
      </c>
      <c r="F71" s="37">
        <v>82</v>
      </c>
      <c r="G71" s="37">
        <f>COUNTIF(Wine1!G:G,Snapshot!A71)</f>
        <v>106</v>
      </c>
      <c r="P71" s="37"/>
    </row>
    <row r="72" spans="1:16" x14ac:dyDescent="0.25">
      <c r="A72" t="s">
        <v>766</v>
      </c>
      <c r="F72" s="37">
        <v>9</v>
      </c>
      <c r="G72" s="37">
        <f>COUNTIF(Wine1!G:G,Snapshot!A72)</f>
        <v>8</v>
      </c>
      <c r="P72" s="37"/>
    </row>
    <row r="73" spans="1:16" x14ac:dyDescent="0.25">
      <c r="A73" t="s">
        <v>1858</v>
      </c>
      <c r="F73" s="37">
        <v>6</v>
      </c>
      <c r="G73" s="37">
        <f>COUNTIF(Wine1!G:G,Snapshot!A73)</f>
        <v>5</v>
      </c>
      <c r="P73" s="37"/>
    </row>
    <row r="74" spans="1:16" x14ac:dyDescent="0.25">
      <c r="A74" t="s">
        <v>787</v>
      </c>
      <c r="F74" s="37">
        <v>5</v>
      </c>
      <c r="G74" s="37">
        <f>COUNTIF(Wine1!G:G,Snapshot!A74)</f>
        <v>5</v>
      </c>
      <c r="P74" s="37"/>
    </row>
    <row r="75" spans="1:16" x14ac:dyDescent="0.25">
      <c r="A75" t="s">
        <v>788</v>
      </c>
      <c r="F75" s="37">
        <v>7</v>
      </c>
      <c r="G75" s="37">
        <f>COUNTIF(Wine1!G:G,Snapshot!A75)</f>
        <v>7</v>
      </c>
      <c r="P75" s="37"/>
    </row>
    <row r="76" spans="1:16" x14ac:dyDescent="0.25">
      <c r="A76" t="s">
        <v>737</v>
      </c>
      <c r="F76" s="37">
        <v>11</v>
      </c>
      <c r="G76" s="37">
        <f>COUNTIF(Wine1!G:G,Snapshot!A76)</f>
        <v>11</v>
      </c>
      <c r="P76" s="37"/>
    </row>
    <row r="77" spans="1:16" x14ac:dyDescent="0.25">
      <c r="A77" t="s">
        <v>1752</v>
      </c>
      <c r="F77" s="37">
        <v>1</v>
      </c>
      <c r="G77" s="37">
        <f>COUNTIF(Wine1!G:G,Snapshot!A77)</f>
        <v>1</v>
      </c>
      <c r="P77" s="37"/>
    </row>
    <row r="78" spans="1:16" x14ac:dyDescent="0.25">
      <c r="A78" t="s">
        <v>790</v>
      </c>
      <c r="F78" s="37">
        <v>264</v>
      </c>
      <c r="G78" s="37">
        <f>COUNTIF(Wine1!G:G,Snapshot!A78)</f>
        <v>275</v>
      </c>
      <c r="P78" s="37"/>
    </row>
    <row r="79" spans="1:16" x14ac:dyDescent="0.25">
      <c r="A79" t="s">
        <v>797</v>
      </c>
      <c r="F79" s="37">
        <v>4</v>
      </c>
      <c r="G79" s="37">
        <f>COUNTIF(Wine1!G:G,Snapshot!A79)</f>
        <v>4</v>
      </c>
      <c r="P79" s="37"/>
    </row>
    <row r="80" spans="1:16" x14ac:dyDescent="0.25">
      <c r="A80" t="s">
        <v>826</v>
      </c>
      <c r="F80" s="37">
        <v>19</v>
      </c>
      <c r="G80" s="37">
        <f>COUNTIF(Wine1!G:G,Snapshot!A80)</f>
        <v>19</v>
      </c>
      <c r="P80" s="37"/>
    </row>
    <row r="81" spans="1:16" x14ac:dyDescent="0.25">
      <c r="A81" t="s">
        <v>799</v>
      </c>
      <c r="F81" s="37">
        <v>62</v>
      </c>
      <c r="G81" s="37">
        <f>COUNTIF(Wine1!G:G,Snapshot!A81)</f>
        <v>61</v>
      </c>
      <c r="P81" s="37"/>
    </row>
    <row r="82" spans="1:16" x14ac:dyDescent="0.25">
      <c r="A82" t="s">
        <v>1681</v>
      </c>
      <c r="F82" s="37">
        <v>3</v>
      </c>
      <c r="G82" s="37">
        <f>COUNTIF(Wine1!G:G,Snapshot!A82)</f>
        <v>3</v>
      </c>
      <c r="P82" s="37"/>
    </row>
    <row r="83" spans="1:16" x14ac:dyDescent="0.25">
      <c r="A83" t="s">
        <v>833</v>
      </c>
      <c r="F83" s="37">
        <v>5</v>
      </c>
      <c r="G83" s="37">
        <f>COUNTIF(Wine1!G:G,Snapshot!A83)</f>
        <v>5</v>
      </c>
      <c r="P83" s="37"/>
    </row>
    <row r="84" spans="1:16" x14ac:dyDescent="0.25">
      <c r="A84" t="s">
        <v>740</v>
      </c>
      <c r="F84" s="37">
        <v>2</v>
      </c>
      <c r="G84" s="37">
        <f>COUNTIF(Wine1!G:G,Snapshot!A84)</f>
        <v>2</v>
      </c>
      <c r="P84" s="37"/>
    </row>
    <row r="85" spans="1:16" x14ac:dyDescent="0.25">
      <c r="P85" s="37"/>
    </row>
    <row r="86" spans="1:16" ht="15.75" thickBot="1" x14ac:dyDescent="0.3">
      <c r="A86" s="137" t="s">
        <v>726</v>
      </c>
      <c r="B86" s="138"/>
      <c r="C86" s="138"/>
      <c r="D86" s="138"/>
      <c r="E86" s="138"/>
      <c r="F86" s="138"/>
      <c r="G86" s="138"/>
      <c r="P86" s="37"/>
    </row>
    <row r="87" spans="1:16" x14ac:dyDescent="0.25">
      <c r="A87" t="s">
        <v>825</v>
      </c>
      <c r="F87" s="37">
        <v>3</v>
      </c>
      <c r="G87">
        <f>COUNTIF(Wine1!H:H,Snapshot!A87)</f>
        <v>3</v>
      </c>
      <c r="P87" s="37"/>
    </row>
    <row r="88" spans="1:16" x14ac:dyDescent="0.25">
      <c r="A88" t="s">
        <v>1771</v>
      </c>
      <c r="F88" s="37">
        <v>1</v>
      </c>
      <c r="G88" s="37">
        <f>COUNTIF(Wine1!H:H,Snapshot!A88)</f>
        <v>1</v>
      </c>
      <c r="P88" s="37"/>
    </row>
    <row r="89" spans="1:16" x14ac:dyDescent="0.25">
      <c r="A89" t="s">
        <v>1373</v>
      </c>
      <c r="F89" s="37">
        <v>1</v>
      </c>
      <c r="G89" s="37">
        <f>COUNTIF(Wine1!H:H,Snapshot!A89)</f>
        <v>0</v>
      </c>
      <c r="P89" s="37"/>
    </row>
    <row r="90" spans="1:16" x14ac:dyDescent="0.25">
      <c r="A90" t="s">
        <v>827</v>
      </c>
      <c r="F90" s="37">
        <v>10</v>
      </c>
      <c r="G90" s="37">
        <f>COUNTIF(Wine1!H:H,Snapshot!A90)</f>
        <v>10</v>
      </c>
      <c r="P90" s="37"/>
    </row>
    <row r="91" spans="1:16" x14ac:dyDescent="0.25">
      <c r="A91" t="s">
        <v>1358</v>
      </c>
      <c r="F91" s="37">
        <v>1</v>
      </c>
      <c r="G91" s="37">
        <f>COUNTIF(Wine1!H:H,Snapshot!A91)</f>
        <v>1</v>
      </c>
      <c r="P91" s="37"/>
    </row>
    <row r="92" spans="1:16" x14ac:dyDescent="0.25">
      <c r="A92" t="s">
        <v>824</v>
      </c>
      <c r="F92" s="37">
        <v>14</v>
      </c>
      <c r="G92" s="37">
        <f>COUNTIF(Wine1!H:H,Snapshot!A92)</f>
        <v>14</v>
      </c>
      <c r="P92" s="37"/>
    </row>
    <row r="93" spans="1:16" x14ac:dyDescent="0.25">
      <c r="A93" t="s">
        <v>1754</v>
      </c>
      <c r="F93" s="37">
        <v>1</v>
      </c>
      <c r="G93" s="37">
        <f>COUNTIF(Wine1!H:H,Snapshot!A93)</f>
        <v>1</v>
      </c>
      <c r="P93" s="37"/>
    </row>
    <row r="94" spans="1:16" x14ac:dyDescent="0.25">
      <c r="A94" t="s">
        <v>1586</v>
      </c>
      <c r="F94" s="37">
        <v>1</v>
      </c>
      <c r="G94" s="37">
        <f>COUNTIF(Wine1!H:H,Snapshot!A94)</f>
        <v>1</v>
      </c>
      <c r="P94" s="37"/>
    </row>
    <row r="95" spans="1:16" x14ac:dyDescent="0.25">
      <c r="A95" t="s">
        <v>249</v>
      </c>
      <c r="F95" s="37">
        <v>60</v>
      </c>
      <c r="G95" s="37">
        <f>COUNTIF(Wine1!H:H,Snapshot!A95)</f>
        <v>59</v>
      </c>
      <c r="P95" s="37"/>
    </row>
    <row r="96" spans="1:16" x14ac:dyDescent="0.25">
      <c r="A96" t="s">
        <v>268</v>
      </c>
      <c r="F96" s="37">
        <v>64</v>
      </c>
      <c r="G96" s="37">
        <f>COUNTIF(Wine1!H:H,Snapshot!A96)</f>
        <v>64</v>
      </c>
      <c r="P96" s="37"/>
    </row>
    <row r="97" spans="1:16" x14ac:dyDescent="0.25">
      <c r="A97" t="s">
        <v>1304</v>
      </c>
      <c r="F97" s="37">
        <v>2</v>
      </c>
      <c r="G97" s="37">
        <f>COUNTIF(Wine1!H:H,Snapshot!A97)</f>
        <v>2</v>
      </c>
      <c r="P97" s="37"/>
    </row>
    <row r="98" spans="1:16" x14ac:dyDescent="0.25">
      <c r="A98" t="s">
        <v>1692</v>
      </c>
      <c r="F98" s="37">
        <v>11</v>
      </c>
      <c r="G98" s="37">
        <f>COUNTIF(Wine1!H:H,Snapshot!A98)</f>
        <v>11</v>
      </c>
      <c r="P98" s="37"/>
    </row>
    <row r="99" spans="1:16" x14ac:dyDescent="0.25">
      <c r="A99" t="s">
        <v>780</v>
      </c>
      <c r="F99" s="37">
        <v>1</v>
      </c>
      <c r="G99" s="37">
        <f>COUNTIF(Wine1!H:H,Snapshot!A99)</f>
        <v>1</v>
      </c>
      <c r="P99" s="37"/>
    </row>
    <row r="100" spans="1:16" x14ac:dyDescent="0.25">
      <c r="A100" t="s">
        <v>781</v>
      </c>
      <c r="F100" s="37">
        <v>3</v>
      </c>
      <c r="G100" s="37">
        <f>COUNTIF(Wine1!H:H,Snapshot!A100)</f>
        <v>3</v>
      </c>
      <c r="P100" s="37"/>
    </row>
    <row r="101" spans="1:16" x14ac:dyDescent="0.25">
      <c r="A101" t="s">
        <v>783</v>
      </c>
      <c r="F101" s="37">
        <v>9</v>
      </c>
      <c r="G101" s="37">
        <f>COUNTIF(Wine1!H:H,Snapshot!A101)</f>
        <v>9</v>
      </c>
      <c r="P101" s="37"/>
    </row>
    <row r="102" spans="1:16" x14ac:dyDescent="0.25">
      <c r="A102" t="s">
        <v>1887</v>
      </c>
      <c r="F102" s="37">
        <v>3</v>
      </c>
      <c r="G102" s="37">
        <f>COUNTIF(Wine1!H:H,Snapshot!A102)</f>
        <v>3</v>
      </c>
      <c r="P102" s="37"/>
    </row>
    <row r="103" spans="1:16" x14ac:dyDescent="0.25">
      <c r="A103" t="s">
        <v>782</v>
      </c>
      <c r="F103" s="37">
        <v>1</v>
      </c>
      <c r="G103" s="37">
        <f>COUNTIF(Wine1!H:H,Snapshot!A103)</f>
        <v>1</v>
      </c>
      <c r="P103" s="37"/>
    </row>
    <row r="104" spans="1:16" x14ac:dyDescent="0.25">
      <c r="A104" t="s">
        <v>1342</v>
      </c>
      <c r="F104" s="37">
        <v>1</v>
      </c>
      <c r="G104" s="37">
        <f>COUNTIF(Wine1!H:H,Snapshot!A104)</f>
        <v>1</v>
      </c>
      <c r="P104" s="37"/>
    </row>
    <row r="105" spans="1:16" x14ac:dyDescent="0.25">
      <c r="A105" t="s">
        <v>815</v>
      </c>
      <c r="F105" s="37">
        <v>7</v>
      </c>
      <c r="G105" s="37">
        <f>COUNTIF(Wine1!H:H,Snapshot!A105)</f>
        <v>7</v>
      </c>
      <c r="P105" s="37"/>
    </row>
    <row r="106" spans="1:16" x14ac:dyDescent="0.25">
      <c r="A106" t="s">
        <v>791</v>
      </c>
      <c r="F106" s="37">
        <v>7</v>
      </c>
      <c r="G106" s="37">
        <f>COUNTIF(Wine1!H:H,Snapshot!A106)</f>
        <v>7</v>
      </c>
      <c r="P106" s="37"/>
    </row>
    <row r="107" spans="1:16" x14ac:dyDescent="0.25">
      <c r="A107" t="s">
        <v>1336</v>
      </c>
      <c r="F107" s="37">
        <v>14</v>
      </c>
      <c r="G107" s="37">
        <f>COUNTIF(Wine1!H:H,Snapshot!A107)</f>
        <v>14</v>
      </c>
      <c r="P107" s="37"/>
    </row>
    <row r="108" spans="1:16" x14ac:dyDescent="0.25">
      <c r="A108" t="s">
        <v>19</v>
      </c>
      <c r="F108" s="37">
        <v>104</v>
      </c>
      <c r="G108" s="37">
        <f>COUNTIF(Wine1!H:H,Snapshot!A108)</f>
        <v>117</v>
      </c>
      <c r="P108" s="37"/>
    </row>
    <row r="109" spans="1:16" x14ac:dyDescent="0.25">
      <c r="A109" t="s">
        <v>812</v>
      </c>
      <c r="F109" s="37">
        <v>12</v>
      </c>
      <c r="G109" s="37">
        <f>COUNTIF(Wine1!H:H,Snapshot!A109)</f>
        <v>11</v>
      </c>
      <c r="P109" s="37"/>
    </row>
    <row r="110" spans="1:16" x14ac:dyDescent="0.25">
      <c r="A110" t="s">
        <v>813</v>
      </c>
      <c r="F110" s="37">
        <v>2</v>
      </c>
      <c r="G110" s="37">
        <f>COUNTIF(Wine1!H:H,Snapshot!A110)</f>
        <v>2</v>
      </c>
      <c r="P110" s="37"/>
    </row>
    <row r="111" spans="1:16" x14ac:dyDescent="0.25">
      <c r="A111" t="s">
        <v>1883</v>
      </c>
      <c r="F111" s="37">
        <v>2</v>
      </c>
      <c r="G111" s="37">
        <f>COUNTIF(Wine1!H:H,Snapshot!A111)</f>
        <v>2</v>
      </c>
      <c r="P111" s="37"/>
    </row>
    <row r="112" spans="1:16" x14ac:dyDescent="0.25">
      <c r="A112" t="s">
        <v>1349</v>
      </c>
      <c r="F112" s="37">
        <v>3</v>
      </c>
      <c r="G112" s="37">
        <f>COUNTIF(Wine1!H:H,Snapshot!A112)</f>
        <v>3</v>
      </c>
      <c r="P112" s="37"/>
    </row>
    <row r="113" spans="1:16" x14ac:dyDescent="0.25">
      <c r="A113" t="s">
        <v>1633</v>
      </c>
      <c r="F113" s="37">
        <v>1</v>
      </c>
      <c r="G113" s="37">
        <f>COUNTIF(Wine1!H:H,Snapshot!A113)</f>
        <v>1</v>
      </c>
      <c r="P113" s="37"/>
    </row>
    <row r="114" spans="1:16" x14ac:dyDescent="0.25">
      <c r="A114" t="s">
        <v>830</v>
      </c>
      <c r="F114" s="37">
        <v>3</v>
      </c>
      <c r="G114" s="37">
        <f>COUNTIF(Wine1!H:H,Snapshot!A114)</f>
        <v>3</v>
      </c>
      <c r="P114" s="37"/>
    </row>
    <row r="115" spans="1:16" x14ac:dyDescent="0.25">
      <c r="A115" t="s">
        <v>1354</v>
      </c>
      <c r="F115" s="37">
        <v>2</v>
      </c>
      <c r="G115" s="37">
        <f>COUNTIF(Wine1!H:H,Snapshot!A115)</f>
        <v>2</v>
      </c>
      <c r="P115" s="37"/>
    </row>
    <row r="116" spans="1:16" x14ac:dyDescent="0.25">
      <c r="A116" t="s">
        <v>792</v>
      </c>
      <c r="F116" s="37">
        <v>20</v>
      </c>
      <c r="G116" s="37">
        <f>COUNTIF(Wine1!H:H,Snapshot!A116)</f>
        <v>20</v>
      </c>
      <c r="P116" s="37"/>
    </row>
    <row r="117" spans="1:16" x14ac:dyDescent="0.25">
      <c r="A117" t="s">
        <v>1639</v>
      </c>
      <c r="F117" s="37">
        <v>1</v>
      </c>
      <c r="G117" s="37">
        <f>COUNTIF(Wine1!H:H,Snapshot!A117)</f>
        <v>1</v>
      </c>
      <c r="P117" s="37"/>
    </row>
    <row r="118" spans="1:16" x14ac:dyDescent="0.25">
      <c r="A118" t="s">
        <v>1619</v>
      </c>
      <c r="F118" s="37">
        <v>4</v>
      </c>
      <c r="G118" s="37">
        <f>COUNTIF(Wine1!H:H,Snapshot!A118)</f>
        <v>4</v>
      </c>
      <c r="P118" s="37"/>
    </row>
    <row r="119" spans="1:16" x14ac:dyDescent="0.25">
      <c r="A119" t="s">
        <v>836</v>
      </c>
      <c r="F119" s="37">
        <v>13</v>
      </c>
      <c r="G119" s="37">
        <f>COUNTIF(Wine1!H:H,Snapshot!A119)</f>
        <v>13</v>
      </c>
      <c r="P119" s="37"/>
    </row>
    <row r="120" spans="1:16" x14ac:dyDescent="0.25">
      <c r="A120" t="s">
        <v>1127</v>
      </c>
      <c r="F120" s="37">
        <v>2</v>
      </c>
      <c r="G120" s="37">
        <f>COUNTIF(Wine1!H:H,Snapshot!A120)</f>
        <v>2</v>
      </c>
      <c r="P120" s="37"/>
    </row>
    <row r="121" spans="1:16" x14ac:dyDescent="0.25">
      <c r="A121" t="s">
        <v>834</v>
      </c>
      <c r="F121" s="37">
        <v>2</v>
      </c>
      <c r="G121" s="37">
        <f>COUNTIF(Wine1!H:H,Snapshot!A121)</f>
        <v>2</v>
      </c>
      <c r="P121" s="37"/>
    </row>
    <row r="122" spans="1:16" x14ac:dyDescent="0.25">
      <c r="A122" t="s">
        <v>835</v>
      </c>
      <c r="F122" s="37">
        <v>3</v>
      </c>
      <c r="G122" s="37">
        <f>COUNTIF(Wine1!H:H,Snapshot!A122)</f>
        <v>3</v>
      </c>
      <c r="P122" s="37"/>
    </row>
    <row r="123" spans="1:16" x14ac:dyDescent="0.25">
      <c r="A123" t="s">
        <v>1593</v>
      </c>
      <c r="F123" s="37">
        <v>2</v>
      </c>
      <c r="G123" s="37">
        <f>COUNTIF(Wine1!H:H,Snapshot!A123)</f>
        <v>2</v>
      </c>
      <c r="P123" s="37"/>
    </row>
    <row r="124" spans="1:16" x14ac:dyDescent="0.25">
      <c r="A124" t="s">
        <v>767</v>
      </c>
      <c r="F124" s="37">
        <v>9</v>
      </c>
      <c r="G124" s="37">
        <f>COUNTIF(Wine1!H:H,Snapshot!A124)</f>
        <v>8</v>
      </c>
      <c r="P124" s="37"/>
    </row>
    <row r="125" spans="1:16" x14ac:dyDescent="0.25">
      <c r="A125" t="s">
        <v>760</v>
      </c>
      <c r="F125" s="37">
        <v>36</v>
      </c>
      <c r="G125" s="37">
        <f>COUNTIF(Wine1!H:H,Snapshot!A125)</f>
        <v>36</v>
      </c>
      <c r="P125" s="37"/>
    </row>
    <row r="126" spans="1:16" x14ac:dyDescent="0.25">
      <c r="A126" t="s">
        <v>738</v>
      </c>
      <c r="F126" s="37">
        <v>3</v>
      </c>
      <c r="G126" s="37">
        <f>COUNTIF(Wine1!H:H,Snapshot!A126)</f>
        <v>3</v>
      </c>
      <c r="P126" s="37"/>
    </row>
    <row r="127" spans="1:16" x14ac:dyDescent="0.25">
      <c r="A127" t="s">
        <v>856</v>
      </c>
      <c r="F127" s="37">
        <v>15</v>
      </c>
      <c r="G127" s="37">
        <f>COUNTIF(Wine1!H:H,Snapshot!A127)</f>
        <v>15</v>
      </c>
      <c r="P127" s="37"/>
    </row>
    <row r="128" spans="1:16" x14ac:dyDescent="0.25">
      <c r="A128" t="s">
        <v>817</v>
      </c>
      <c r="F128" s="37">
        <v>6</v>
      </c>
      <c r="G128" s="37">
        <f>COUNTIF(Wine1!H:H,Snapshot!A128)</f>
        <v>6</v>
      </c>
      <c r="P128" s="37"/>
    </row>
    <row r="129" spans="1:16" x14ac:dyDescent="0.25">
      <c r="A129" t="s">
        <v>744</v>
      </c>
      <c r="F129" s="37">
        <v>1</v>
      </c>
      <c r="G129" s="37">
        <f>COUNTIF(Wine1!H:H,Snapshot!A129)</f>
        <v>1</v>
      </c>
      <c r="P129" s="37"/>
    </row>
    <row r="130" spans="1:16" x14ac:dyDescent="0.25">
      <c r="A130" t="s">
        <v>1892</v>
      </c>
      <c r="F130" s="37">
        <v>1</v>
      </c>
      <c r="G130" s="37">
        <f>COUNTIF(Wine1!H:H,Snapshot!A130)</f>
        <v>1</v>
      </c>
      <c r="P130" s="37"/>
    </row>
    <row r="131" spans="1:16" x14ac:dyDescent="0.25">
      <c r="A131" t="s">
        <v>1826</v>
      </c>
      <c r="F131" s="37">
        <v>5</v>
      </c>
      <c r="G131" s="37">
        <f>COUNTIF(Wine1!H:H,Snapshot!A131)</f>
        <v>5</v>
      </c>
      <c r="P131" s="37"/>
    </row>
    <row r="132" spans="1:16" x14ac:dyDescent="0.25">
      <c r="A132" t="s">
        <v>757</v>
      </c>
      <c r="F132" s="37">
        <v>1</v>
      </c>
      <c r="G132" s="37">
        <f>COUNTIF(Wine1!H:H,Snapshot!A132)</f>
        <v>1</v>
      </c>
      <c r="P132" s="37"/>
    </row>
    <row r="133" spans="1:16" x14ac:dyDescent="0.25">
      <c r="A133" t="s">
        <v>1193</v>
      </c>
      <c r="F133" s="37">
        <v>7</v>
      </c>
      <c r="G133" s="37">
        <f>COUNTIF(Wine1!H:H,Snapshot!A133)</f>
        <v>7</v>
      </c>
      <c r="P133" s="37"/>
    </row>
    <row r="134" spans="1:16" x14ac:dyDescent="0.25">
      <c r="A134" t="s">
        <v>1678</v>
      </c>
      <c r="F134" s="37">
        <v>1</v>
      </c>
      <c r="G134" s="37">
        <f>COUNTIF(Wine1!H:H,Snapshot!A134)</f>
        <v>1</v>
      </c>
      <c r="P134" s="37"/>
    </row>
    <row r="135" spans="1:16" x14ac:dyDescent="0.25">
      <c r="A135" t="s">
        <v>849</v>
      </c>
      <c r="F135" s="37">
        <v>7</v>
      </c>
      <c r="G135" s="37">
        <f>COUNTIF(Wine1!H:H,Snapshot!A135)</f>
        <v>7</v>
      </c>
      <c r="P135" s="37"/>
    </row>
    <row r="136" spans="1:16" x14ac:dyDescent="0.25">
      <c r="A136" t="s">
        <v>793</v>
      </c>
      <c r="F136" s="37">
        <v>5</v>
      </c>
      <c r="G136" s="37">
        <f>COUNTIF(Wine1!H:H,Snapshot!A136)</f>
        <v>5</v>
      </c>
      <c r="P136" s="37"/>
    </row>
    <row r="137" spans="1:16" x14ac:dyDescent="0.25">
      <c r="A137" t="s">
        <v>750</v>
      </c>
      <c r="F137" s="37">
        <v>7</v>
      </c>
      <c r="G137" s="37">
        <f>COUNTIF(Wine1!H:H,Snapshot!A137)</f>
        <v>7</v>
      </c>
      <c r="P137" s="37"/>
    </row>
    <row r="138" spans="1:16" x14ac:dyDescent="0.25">
      <c r="A138" t="s">
        <v>1765</v>
      </c>
      <c r="F138" s="37">
        <v>1</v>
      </c>
      <c r="G138" s="37">
        <f>COUNTIF(Wine1!H:H,Snapshot!A138)</f>
        <v>1</v>
      </c>
      <c r="P138" s="37"/>
    </row>
    <row r="139" spans="1:16" x14ac:dyDescent="0.25">
      <c r="A139" t="s">
        <v>1322</v>
      </c>
      <c r="F139" s="37">
        <v>3</v>
      </c>
      <c r="G139" s="37">
        <f>COUNTIF(Wine1!H:H,Snapshot!A139)</f>
        <v>3</v>
      </c>
      <c r="P139" s="37"/>
    </row>
    <row r="140" spans="1:16" x14ac:dyDescent="0.25">
      <c r="A140" t="s">
        <v>798</v>
      </c>
      <c r="F140" s="37">
        <v>2</v>
      </c>
      <c r="G140" s="37">
        <f>COUNTIF(Wine1!H:H,Snapshot!A140)</f>
        <v>2</v>
      </c>
      <c r="P140" s="37"/>
    </row>
    <row r="141" spans="1:16" x14ac:dyDescent="0.25">
      <c r="A141" t="s">
        <v>270</v>
      </c>
      <c r="F141" s="37">
        <v>4</v>
      </c>
      <c r="G141" s="37">
        <f>COUNTIF(Wine1!H:H,Snapshot!A141)</f>
        <v>4</v>
      </c>
      <c r="P141" s="37"/>
    </row>
    <row r="142" spans="1:16" x14ac:dyDescent="0.25">
      <c r="A142" t="s">
        <v>810</v>
      </c>
      <c r="F142" s="37">
        <v>5</v>
      </c>
      <c r="G142" s="37">
        <f>COUNTIF(Wine1!H:H,Snapshot!A142)</f>
        <v>5</v>
      </c>
      <c r="P142" s="37"/>
    </row>
    <row r="143" spans="1:16" x14ac:dyDescent="0.25">
      <c r="A143" t="s">
        <v>746</v>
      </c>
      <c r="F143" s="37">
        <v>10</v>
      </c>
      <c r="G143" s="37">
        <f>COUNTIF(Wine1!H:H,Snapshot!A143)</f>
        <v>10</v>
      </c>
      <c r="P143" s="37"/>
    </row>
    <row r="144" spans="1:16" x14ac:dyDescent="0.25">
      <c r="A144" t="s">
        <v>755</v>
      </c>
      <c r="F144" s="37">
        <v>1</v>
      </c>
      <c r="G144" s="37">
        <f>COUNTIF(Wine1!H:H,Snapshot!A144)</f>
        <v>1</v>
      </c>
      <c r="P144" s="37"/>
    </row>
    <row r="145" spans="1:16" x14ac:dyDescent="0.25">
      <c r="A145" t="s">
        <v>832</v>
      </c>
      <c r="F145" s="37">
        <v>30</v>
      </c>
      <c r="G145" s="37">
        <f>COUNTIF(Wine1!H:H,Snapshot!A145)</f>
        <v>30</v>
      </c>
      <c r="P145" s="37"/>
    </row>
    <row r="146" spans="1:16" x14ac:dyDescent="0.25">
      <c r="A146" t="s">
        <v>1328</v>
      </c>
      <c r="F146" s="37">
        <v>2</v>
      </c>
      <c r="G146" s="37">
        <f>COUNTIF(Wine1!H:H,Snapshot!A146)</f>
        <v>2</v>
      </c>
      <c r="P146" s="37"/>
    </row>
    <row r="147" spans="1:16" x14ac:dyDescent="0.25">
      <c r="A147" t="s">
        <v>831</v>
      </c>
      <c r="F147" s="37">
        <v>2</v>
      </c>
      <c r="G147" s="37">
        <f>COUNTIF(Wine1!H:H,Snapshot!A147)</f>
        <v>2</v>
      </c>
      <c r="P147" s="37"/>
    </row>
    <row r="148" spans="1:16" x14ac:dyDescent="0.25">
      <c r="A148" t="s">
        <v>1421</v>
      </c>
      <c r="F148" s="37">
        <v>1</v>
      </c>
      <c r="G148" s="37">
        <f>COUNTIF(Wine1!H:H,Snapshot!A148)</f>
        <v>1</v>
      </c>
      <c r="P148" s="37"/>
    </row>
    <row r="149" spans="1:16" x14ac:dyDescent="0.25">
      <c r="A149" t="s">
        <v>1626</v>
      </c>
      <c r="F149" s="37">
        <v>5</v>
      </c>
      <c r="G149" s="37">
        <f>COUNTIF(Wine1!H:H,Snapshot!A149)</f>
        <v>5</v>
      </c>
      <c r="P149" s="37"/>
    </row>
    <row r="150" spans="1:16" x14ac:dyDescent="0.25">
      <c r="A150" t="s">
        <v>1432</v>
      </c>
      <c r="F150" s="37">
        <v>3</v>
      </c>
      <c r="G150" s="37">
        <f>COUNTIF(Wine1!H:H,Snapshot!A150)</f>
        <v>3</v>
      </c>
      <c r="P150" s="37"/>
    </row>
    <row r="151" spans="1:16" x14ac:dyDescent="0.25">
      <c r="A151" t="s">
        <v>1758</v>
      </c>
      <c r="F151" s="37">
        <v>1</v>
      </c>
      <c r="G151" s="37">
        <f>COUNTIF(Wine1!H:H,Snapshot!A151)</f>
        <v>1</v>
      </c>
      <c r="P151" s="37"/>
    </row>
    <row r="152" spans="1:16" x14ac:dyDescent="0.25">
      <c r="A152" t="s">
        <v>1859</v>
      </c>
      <c r="F152" s="37">
        <v>6</v>
      </c>
      <c r="G152" s="37">
        <f>COUNTIF(Wine1!H:H,Snapshot!A152)</f>
        <v>5</v>
      </c>
      <c r="P152" s="37"/>
    </row>
    <row r="153" spans="1:16" x14ac:dyDescent="0.25">
      <c r="A153" t="s">
        <v>1138</v>
      </c>
      <c r="F153" s="37">
        <v>4</v>
      </c>
      <c r="G153" s="37">
        <f>COUNTIF(Wine1!H:H,Snapshot!A153)</f>
        <v>4</v>
      </c>
      <c r="P153" s="37"/>
    </row>
    <row r="154" spans="1:16" x14ac:dyDescent="0.25">
      <c r="A154" t="s">
        <v>1575</v>
      </c>
      <c r="F154" s="37">
        <v>2</v>
      </c>
      <c r="G154" s="37">
        <f>COUNTIF(Wine1!H:H,Snapshot!A154)</f>
        <v>2</v>
      </c>
      <c r="P154" s="37"/>
    </row>
    <row r="155" spans="1:16" x14ac:dyDescent="0.25">
      <c r="A155" t="s">
        <v>818</v>
      </c>
      <c r="F155" s="37">
        <v>56</v>
      </c>
      <c r="G155" s="37">
        <f>COUNTIF(Wine1!H:H,Snapshot!A155)</f>
        <v>55</v>
      </c>
      <c r="P155" s="37"/>
    </row>
    <row r="156" spans="1:16" x14ac:dyDescent="0.25">
      <c r="A156" t="s">
        <v>773</v>
      </c>
      <c r="F156" s="37">
        <v>5</v>
      </c>
      <c r="G156" s="37">
        <f>COUNTIF(Wine1!H:H,Snapshot!A156)</f>
        <v>5</v>
      </c>
      <c r="P156" s="37"/>
    </row>
    <row r="157" spans="1:16" x14ac:dyDescent="0.25">
      <c r="A157" t="s">
        <v>747</v>
      </c>
      <c r="F157" s="37">
        <v>2</v>
      </c>
      <c r="G157" s="37">
        <f>COUNTIF(Wine1!H:H,Snapshot!A157)</f>
        <v>2</v>
      </c>
      <c r="P157" s="37"/>
    </row>
    <row r="158" spans="1:16" x14ac:dyDescent="0.25">
      <c r="A158" t="s">
        <v>751</v>
      </c>
      <c r="F158" s="37">
        <v>6</v>
      </c>
      <c r="G158" s="37">
        <f>COUNTIF(Wine1!H:H,Snapshot!A158)</f>
        <v>6</v>
      </c>
      <c r="P158" s="37"/>
    </row>
    <row r="159" spans="1:16" x14ac:dyDescent="0.25">
      <c r="A159" t="s">
        <v>752</v>
      </c>
      <c r="F159" s="37">
        <v>1</v>
      </c>
      <c r="G159" s="37">
        <f>COUNTIF(Wine1!H:H,Snapshot!A159)</f>
        <v>1</v>
      </c>
      <c r="P159" s="37"/>
    </row>
    <row r="160" spans="1:16" x14ac:dyDescent="0.25">
      <c r="A160" t="s">
        <v>786</v>
      </c>
      <c r="F160" s="37">
        <v>11</v>
      </c>
      <c r="G160" s="37">
        <f>COUNTIF(Wine1!H:H,Snapshot!A160)</f>
        <v>10</v>
      </c>
      <c r="P160" s="37"/>
    </row>
    <row r="161" spans="1:7" x14ac:dyDescent="0.25">
      <c r="A161" t="s">
        <v>769</v>
      </c>
      <c r="F161" s="37">
        <v>20</v>
      </c>
      <c r="G161" s="37">
        <f>COUNTIF(Wine1!H:H,Snapshot!A161)</f>
        <v>19</v>
      </c>
    </row>
    <row r="162" spans="1:7" x14ac:dyDescent="0.25">
      <c r="A162" t="s">
        <v>260</v>
      </c>
      <c r="F162" s="37">
        <v>100</v>
      </c>
      <c r="G162" s="37">
        <f>COUNTIF(Wine1!H:H,Snapshot!A162)</f>
        <v>100</v>
      </c>
    </row>
    <row r="163" spans="1:7" x14ac:dyDescent="0.25">
      <c r="A163" t="s">
        <v>753</v>
      </c>
      <c r="F163" s="37">
        <v>9</v>
      </c>
      <c r="G163" s="37">
        <f>COUNTIF(Wine1!H:H,Snapshot!A163)</f>
        <v>9</v>
      </c>
    </row>
    <row r="164" spans="1:7" x14ac:dyDescent="0.25">
      <c r="A164" t="s">
        <v>1780</v>
      </c>
      <c r="F164" s="37">
        <v>1</v>
      </c>
      <c r="G164" s="37">
        <f>COUNTIF(Wine1!H:H,Snapshot!A164)</f>
        <v>1</v>
      </c>
    </row>
    <row r="165" spans="1:7" x14ac:dyDescent="0.25">
      <c r="A165" t="s">
        <v>1675</v>
      </c>
      <c r="F165" s="37">
        <v>1</v>
      </c>
      <c r="G165" s="37">
        <f>COUNTIF(Wine1!H:H,Snapshot!A165)</f>
        <v>1</v>
      </c>
    </row>
    <row r="166" spans="1:7" x14ac:dyDescent="0.25">
      <c r="A166" t="s">
        <v>741</v>
      </c>
      <c r="F166" s="37">
        <v>2</v>
      </c>
      <c r="G166" s="37">
        <f>COUNTIF(Wine1!H:H,Snapshot!A166)</f>
        <v>2</v>
      </c>
    </row>
    <row r="167" spans="1:7" x14ac:dyDescent="0.25">
      <c r="A167" t="s">
        <v>761</v>
      </c>
      <c r="F167" s="37">
        <v>4</v>
      </c>
      <c r="G167" s="37">
        <f>COUNTIF(Wine1!H:H,Snapshot!A167)</f>
        <v>4</v>
      </c>
    </row>
    <row r="168" spans="1:7" x14ac:dyDescent="0.25">
      <c r="A168" t="s">
        <v>762</v>
      </c>
      <c r="F168" s="37">
        <v>39</v>
      </c>
      <c r="G168" s="37">
        <f>COUNTIF(Wine1!H:H,Snapshot!A168)</f>
        <v>49</v>
      </c>
    </row>
    <row r="169" spans="1:7" x14ac:dyDescent="0.25">
      <c r="A169" t="s">
        <v>763</v>
      </c>
      <c r="F169" s="37">
        <v>4</v>
      </c>
      <c r="G169" s="37">
        <f>COUNTIF(Wine1!H:H,Snapshot!A169)</f>
        <v>4</v>
      </c>
    </row>
    <row r="170" spans="1:7" x14ac:dyDescent="0.25">
      <c r="A170" t="s">
        <v>764</v>
      </c>
      <c r="F170" s="37">
        <v>46</v>
      </c>
      <c r="G170" s="37">
        <f>COUNTIF(Wine1!H:H,Snapshot!A170)</f>
        <v>46</v>
      </c>
    </row>
    <row r="171" spans="1:7" x14ac:dyDescent="0.25">
      <c r="A171" t="s">
        <v>1426</v>
      </c>
      <c r="F171" s="37">
        <v>10</v>
      </c>
      <c r="G171" s="37">
        <f>COUNTIF(Wine1!H:H,Snapshot!A171)</f>
        <v>10</v>
      </c>
    </row>
    <row r="172" spans="1:7" x14ac:dyDescent="0.25">
      <c r="A172" t="s">
        <v>765</v>
      </c>
      <c r="F172" s="37">
        <v>15</v>
      </c>
      <c r="G172" s="37">
        <f>COUNTIF(Wine1!H:H,Snapshot!A172)</f>
        <v>15</v>
      </c>
    </row>
    <row r="173" spans="1:7" x14ac:dyDescent="0.25">
      <c r="A173" t="s">
        <v>772</v>
      </c>
      <c r="F173" s="37">
        <v>1</v>
      </c>
      <c r="G173" s="37">
        <f>COUNTIF(Wine1!H:H,Snapshot!A173)</f>
        <v>1</v>
      </c>
    </row>
    <row r="174" spans="1:7" x14ac:dyDescent="0.25">
      <c r="A174" t="s">
        <v>1762</v>
      </c>
      <c r="F174" s="37">
        <v>1</v>
      </c>
      <c r="G174" s="37">
        <f>COUNTIF(Wine1!H:H,Snapshot!A174)</f>
        <v>1</v>
      </c>
    </row>
    <row r="175" spans="1:7" x14ac:dyDescent="0.25">
      <c r="A175" t="s">
        <v>796</v>
      </c>
      <c r="F175" s="37">
        <v>78</v>
      </c>
      <c r="G175" s="37">
        <f>COUNTIF(Wine1!H:H,Snapshot!A175)</f>
        <v>76</v>
      </c>
    </row>
    <row r="176" spans="1:7" x14ac:dyDescent="0.25">
      <c r="A176" t="s">
        <v>794</v>
      </c>
      <c r="F176" s="37">
        <v>11</v>
      </c>
      <c r="G176" s="37">
        <f>COUNTIF(Wine1!H:H,Snapshot!A176)</f>
        <v>11</v>
      </c>
    </row>
    <row r="177" spans="1:7" x14ac:dyDescent="0.25">
      <c r="A177" t="s">
        <v>734</v>
      </c>
      <c r="F177" s="37">
        <v>4</v>
      </c>
      <c r="G177" s="37">
        <f>COUNTIF(Wine1!H:H,Snapshot!A177)</f>
        <v>4</v>
      </c>
    </row>
    <row r="178" spans="1:7" x14ac:dyDescent="0.25">
      <c r="A178" t="s">
        <v>1190</v>
      </c>
      <c r="F178" s="37">
        <v>38</v>
      </c>
      <c r="G178" s="37">
        <f>COUNTIF(Wine1!H:H,Snapshot!A178)</f>
        <v>38</v>
      </c>
    </row>
    <row r="179" spans="1:7" x14ac:dyDescent="0.25">
      <c r="A179" t="s">
        <v>803</v>
      </c>
      <c r="F179" s="37">
        <v>14</v>
      </c>
      <c r="G179" s="37">
        <f>COUNTIF(Wine1!H:H,Snapshot!A179)</f>
        <v>13</v>
      </c>
    </row>
    <row r="180" spans="1:7" x14ac:dyDescent="0.25">
      <c r="A180" t="s">
        <v>800</v>
      </c>
      <c r="F180" s="37">
        <v>48</v>
      </c>
      <c r="G180" s="37">
        <f>COUNTIF(Wine1!H:H,Snapshot!A180)</f>
        <v>48</v>
      </c>
    </row>
    <row r="181" spans="1:7" x14ac:dyDescent="0.25">
      <c r="A181" t="s">
        <v>1769</v>
      </c>
      <c r="F181" s="37">
        <v>1</v>
      </c>
      <c r="G181" s="37">
        <f>COUNTIF(Wine1!H:H,Snapshot!A181)</f>
        <v>1</v>
      </c>
    </row>
    <row r="182" spans="1:7" x14ac:dyDescent="0.25">
      <c r="A182" t="s">
        <v>1461</v>
      </c>
      <c r="F182" s="37">
        <v>7</v>
      </c>
      <c r="G182" s="37">
        <f>COUNTIF(Wine1!H:H,Snapshot!A182)</f>
        <v>7</v>
      </c>
    </row>
    <row r="183" spans="1:7" x14ac:dyDescent="0.25">
      <c r="A183" t="s">
        <v>1816</v>
      </c>
      <c r="F183" s="37">
        <v>6</v>
      </c>
      <c r="G183" s="37">
        <f>COUNTIF(Wine1!H:H,Snapshot!A183)</f>
        <v>5</v>
      </c>
    </row>
  </sheetData>
  <sortState xmlns:xlrd2="http://schemas.microsoft.com/office/spreadsheetml/2017/richdata2" ref="A87:A1357">
    <sortCondition ref="A87:A135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6AC15-279A-410C-B52A-43240232D85F}">
  <dimension ref="A1:V43"/>
  <sheetViews>
    <sheetView zoomScale="115" zoomScaleNormal="115" workbookViewId="0">
      <selection activeCell="A36" sqref="A36"/>
    </sheetView>
  </sheetViews>
  <sheetFormatPr defaultRowHeight="15" x14ac:dyDescent="0.25"/>
  <cols>
    <col min="1" max="1" width="10.5703125" customWidth="1"/>
    <col min="2" max="2" width="24" bestFit="1" customWidth="1"/>
    <col min="3" max="3" width="42.42578125" bestFit="1" customWidth="1"/>
    <col min="4" max="4" width="37" style="37" customWidth="1"/>
    <col min="5" max="7" width="10.5703125" customWidth="1"/>
    <col min="8" max="8" width="11.85546875" customWidth="1"/>
    <col min="9" max="13" width="11.140625" style="37" customWidth="1"/>
    <col min="14" max="14" width="31.7109375" bestFit="1" customWidth="1"/>
    <col min="15" max="15" width="42.42578125" bestFit="1" customWidth="1"/>
    <col min="16" max="16" width="10.5703125" customWidth="1"/>
    <col min="17" max="19" width="10.5703125" style="37" customWidth="1"/>
    <col min="20" max="20" width="10.5703125" customWidth="1"/>
  </cols>
  <sheetData>
    <row r="1" spans="1:22" x14ac:dyDescent="0.25">
      <c r="B1" t="s">
        <v>1391</v>
      </c>
      <c r="H1" s="37"/>
      <c r="N1" s="37"/>
      <c r="O1" t="s">
        <v>1390</v>
      </c>
      <c r="P1" s="37"/>
      <c r="T1" s="37"/>
    </row>
    <row r="2" spans="1:22" x14ac:dyDescent="0.25">
      <c r="A2" s="100" t="s">
        <v>1516</v>
      </c>
      <c r="B2" s="100" t="s">
        <v>1</v>
      </c>
      <c r="C2" s="100" t="s">
        <v>1517</v>
      </c>
      <c r="D2" s="100" t="s">
        <v>1518</v>
      </c>
      <c r="E2" s="100" t="s">
        <v>1453</v>
      </c>
      <c r="F2" s="100" t="s">
        <v>179</v>
      </c>
      <c r="G2" s="100" t="s">
        <v>289</v>
      </c>
      <c r="H2" s="2" t="s">
        <v>191</v>
      </c>
      <c r="I2" s="2"/>
      <c r="J2" s="104" t="s">
        <v>209</v>
      </c>
      <c r="K2" s="104" t="s">
        <v>193</v>
      </c>
      <c r="L2" s="104" t="s">
        <v>711</v>
      </c>
      <c r="M2" s="104" t="s">
        <v>620</v>
      </c>
      <c r="N2" s="37" t="s">
        <v>0</v>
      </c>
      <c r="O2" s="37" t="s">
        <v>1</v>
      </c>
      <c r="P2" s="37" t="s">
        <v>1517</v>
      </c>
      <c r="Q2" s="37" t="s">
        <v>1526</v>
      </c>
      <c r="R2" s="37" t="s">
        <v>1518</v>
      </c>
      <c r="S2" s="37" t="s">
        <v>209</v>
      </c>
      <c r="T2" s="37" t="s">
        <v>179</v>
      </c>
      <c r="U2" t="s">
        <v>436</v>
      </c>
      <c r="V2" t="s">
        <v>191</v>
      </c>
    </row>
    <row r="3" spans="1:22" x14ac:dyDescent="0.25">
      <c r="A3" s="100">
        <v>2017</v>
      </c>
      <c r="B3" s="100" t="s">
        <v>1184</v>
      </c>
      <c r="C3" s="100" t="s">
        <v>1184</v>
      </c>
      <c r="D3" s="100" t="s">
        <v>1513</v>
      </c>
      <c r="E3" s="100">
        <f>IF(F3&lt;Expenses!$C$30,1,IF(F3&lt;Expenses!$C$31,2,IF(F3&lt;Expenses!$C$32,3,4)))</f>
        <v>3</v>
      </c>
      <c r="F3" s="100">
        <v>50</v>
      </c>
      <c r="G3" s="100">
        <v>3</v>
      </c>
      <c r="H3" s="2">
        <f t="shared" ref="H3:H38" si="0">F3*G3</f>
        <v>150</v>
      </c>
      <c r="I3" s="2"/>
      <c r="J3" s="104">
        <v>1</v>
      </c>
      <c r="K3" s="104">
        <f>SUMIF(E:E,J3,G:G)</f>
        <v>36</v>
      </c>
      <c r="L3" s="104">
        <f>VLOOKUP(J3,Expenses!$B$44:$H$49,7,FALSE)</f>
        <v>130</v>
      </c>
      <c r="M3" s="104">
        <f>L3-K3</f>
        <v>94</v>
      </c>
      <c r="N3">
        <v>2015</v>
      </c>
      <c r="O3" t="s">
        <v>1392</v>
      </c>
      <c r="P3" t="s">
        <v>1393</v>
      </c>
      <c r="S3" s="100">
        <f>IF(T3&lt;Expenses!$C$30,1,IF(T3&lt;Expenses!$C$31,2,IF(T3&lt;Expenses!$C$32,3,4)))</f>
        <v>4</v>
      </c>
      <c r="T3">
        <v>70</v>
      </c>
      <c r="V3">
        <f>Table8[[#This Row],[Price]]*Table8[[#This Row],[qty]]</f>
        <v>0</v>
      </c>
    </row>
    <row r="4" spans="1:22" x14ac:dyDescent="0.25">
      <c r="A4" s="101">
        <v>2015</v>
      </c>
      <c r="B4" s="100" t="s">
        <v>111</v>
      </c>
      <c r="C4" s="100" t="s">
        <v>26</v>
      </c>
      <c r="D4" s="100" t="s">
        <v>264</v>
      </c>
      <c r="E4" s="100">
        <f>IF(F4&lt;Expenses!$C$30,1,IF(F4&lt;Expenses!$C$31,2,IF(F4&lt;Expenses!$C$32,3,4)))</f>
        <v>4</v>
      </c>
      <c r="F4" s="100">
        <v>75</v>
      </c>
      <c r="G4" s="100">
        <v>2</v>
      </c>
      <c r="H4" s="2">
        <f t="shared" si="0"/>
        <v>150</v>
      </c>
      <c r="I4" s="2"/>
      <c r="J4" s="104">
        <v>2</v>
      </c>
      <c r="K4" s="104">
        <f>SUMIF(E:E,J4,G:G)</f>
        <v>6</v>
      </c>
      <c r="L4" s="104">
        <f>VLOOKUP(J4,Expenses!$B$44:$H$49,7,FALSE)</f>
        <v>52</v>
      </c>
      <c r="M4" s="104">
        <f>L4-K4</f>
        <v>46</v>
      </c>
      <c r="N4">
        <v>2015</v>
      </c>
      <c r="O4" t="s">
        <v>1394</v>
      </c>
      <c r="P4" s="37" t="s">
        <v>1393</v>
      </c>
      <c r="S4" s="37">
        <f>IF(T4&lt;Expenses!$C$30,1,IF(T4&lt;Expenses!$C$31,2,IF(T4&lt;Expenses!$C$32,3,4)))</f>
        <v>3</v>
      </c>
      <c r="T4">
        <v>50</v>
      </c>
      <c r="V4">
        <f>Table8[[#This Row],[Price]]*Table8[[#This Row],[qty]]</f>
        <v>0</v>
      </c>
    </row>
    <row r="5" spans="1:22" s="37" customFormat="1" x14ac:dyDescent="0.25">
      <c r="A5" s="100">
        <v>2018</v>
      </c>
      <c r="B5" s="100" t="s">
        <v>232</v>
      </c>
      <c r="C5" s="100" t="s">
        <v>233</v>
      </c>
      <c r="D5" s="100" t="s">
        <v>281</v>
      </c>
      <c r="E5" s="100">
        <f>IF(F5&lt;Expenses!$C$30,1,IF(F5&lt;Expenses!$C$31,2,IF(F5&lt;Expenses!$C$32,3,4)))</f>
        <v>3</v>
      </c>
      <c r="F5" s="100">
        <v>40</v>
      </c>
      <c r="G5" s="100">
        <v>4</v>
      </c>
      <c r="H5" s="2">
        <f t="shared" si="0"/>
        <v>160</v>
      </c>
      <c r="I5" s="2"/>
      <c r="J5" s="104">
        <v>3</v>
      </c>
      <c r="K5" s="104">
        <f>SUMIF(E:E,J5,G:G)</f>
        <v>67</v>
      </c>
      <c r="L5" s="104">
        <f>VLOOKUP(J5,Expenses!$B$44:$H$49,7,FALSE)</f>
        <v>36</v>
      </c>
      <c r="M5" s="104">
        <f>L5-K5</f>
        <v>-31</v>
      </c>
      <c r="N5">
        <v>2015</v>
      </c>
      <c r="O5" t="s">
        <v>1395</v>
      </c>
      <c r="P5" t="s">
        <v>1393</v>
      </c>
      <c r="S5" s="37">
        <f>IF(T5&lt;Expenses!$C$30,1,IF(T5&lt;Expenses!$C$31,2,IF(T5&lt;Expenses!$C$32,3,4)))</f>
        <v>4</v>
      </c>
      <c r="T5">
        <v>65</v>
      </c>
      <c r="U5"/>
      <c r="V5">
        <f>Table8[[#This Row],[Price]]*Table8[[#This Row],[qty]]</f>
        <v>0</v>
      </c>
    </row>
    <row r="6" spans="1:22" x14ac:dyDescent="0.25">
      <c r="A6" s="100">
        <v>2015</v>
      </c>
      <c r="B6" s="100" t="s">
        <v>1433</v>
      </c>
      <c r="C6" s="100" t="s">
        <v>19</v>
      </c>
      <c r="D6" s="100" t="s">
        <v>266</v>
      </c>
      <c r="E6" s="100">
        <f>IF(F6&lt;Expenses!$C$30,1,IF(F6&lt;Expenses!$C$31,2,IF(F6&lt;Expenses!$C$32,3,4)))</f>
        <v>3</v>
      </c>
      <c r="F6" s="100">
        <v>50</v>
      </c>
      <c r="G6" s="100">
        <v>3</v>
      </c>
      <c r="H6" s="2">
        <f t="shared" si="0"/>
        <v>150</v>
      </c>
      <c r="I6" s="2"/>
      <c r="J6" s="104">
        <v>4</v>
      </c>
      <c r="K6" s="104">
        <f>SUMIF(E:E,J6,G:G)</f>
        <v>29</v>
      </c>
      <c r="L6" s="104">
        <f>VLOOKUP(J6,Expenses!$B$44:$H$49,7,FALSE)</f>
        <v>9</v>
      </c>
      <c r="M6" s="104">
        <f>L6-K6</f>
        <v>-20</v>
      </c>
      <c r="N6" s="37">
        <v>2016</v>
      </c>
      <c r="O6" s="37" t="s">
        <v>75</v>
      </c>
      <c r="P6" s="37" t="s">
        <v>76</v>
      </c>
      <c r="Q6" s="37" t="s">
        <v>1139</v>
      </c>
      <c r="S6" s="37">
        <f>IF(T6&lt;Expenses!$C$30,1,IF(T6&lt;Expenses!$C$31,2,IF(T6&lt;Expenses!$C$32,3,4)))</f>
        <v>1</v>
      </c>
      <c r="T6" s="37"/>
      <c r="U6" s="37"/>
      <c r="V6" s="37">
        <f>Table8[[#This Row],[Price]]*Table8[[#This Row],[qty]]</f>
        <v>0</v>
      </c>
    </row>
    <row r="7" spans="1:22" s="37" customFormat="1" x14ac:dyDescent="0.25">
      <c r="A7" s="100">
        <v>2012</v>
      </c>
      <c r="B7" s="100" t="s">
        <v>842</v>
      </c>
      <c r="C7" s="100" t="s">
        <v>32</v>
      </c>
      <c r="D7" s="100" t="s">
        <v>1515</v>
      </c>
      <c r="E7" s="100">
        <f>IF(F7&lt;Expenses!$C$30,1,IF(F7&lt;Expenses!$C$31,2,IF(F7&lt;Expenses!$C$32,3,4)))</f>
        <v>3</v>
      </c>
      <c r="F7" s="100">
        <v>38</v>
      </c>
      <c r="G7" s="100">
        <v>3</v>
      </c>
      <c r="H7" s="2">
        <f t="shared" si="0"/>
        <v>114</v>
      </c>
      <c r="I7" s="2"/>
      <c r="J7" s="104"/>
      <c r="K7" s="104">
        <f>SUBTOTAL(109,Table9[Column2])</f>
        <v>138</v>
      </c>
      <c r="L7" s="104"/>
      <c r="M7" s="104"/>
      <c r="N7">
        <v>2000</v>
      </c>
      <c r="O7" t="s">
        <v>1396</v>
      </c>
      <c r="P7" t="s">
        <v>1397</v>
      </c>
      <c r="S7" s="37">
        <f>IF(T7&lt;Expenses!$C$30,1,IF(T7&lt;Expenses!$C$31,2,IF(T7&lt;Expenses!$C$32,3,4)))</f>
        <v>4</v>
      </c>
      <c r="T7">
        <v>150</v>
      </c>
      <c r="V7" s="37">
        <f>Table8[[#This Row],[Price]]*Table8[[#This Row],[qty]]</f>
        <v>0</v>
      </c>
    </row>
    <row r="8" spans="1:22" s="37" customFormat="1" x14ac:dyDescent="0.25">
      <c r="A8" s="100">
        <v>2015</v>
      </c>
      <c r="B8" s="100" t="s">
        <v>18</v>
      </c>
      <c r="C8" s="100" t="s">
        <v>19</v>
      </c>
      <c r="D8" s="100" t="s">
        <v>266</v>
      </c>
      <c r="E8" s="100">
        <f>IF(F8&lt;Expenses!$C$30,1,IF(F8&lt;Expenses!$C$31,2,IF(F8&lt;Expenses!$C$32,3,4)))</f>
        <v>4</v>
      </c>
      <c r="F8" s="100">
        <v>65</v>
      </c>
      <c r="G8" s="100">
        <v>3</v>
      </c>
      <c r="H8" s="2">
        <f t="shared" si="0"/>
        <v>195</v>
      </c>
      <c r="I8" s="2"/>
      <c r="J8" s="2"/>
      <c r="K8" s="2"/>
      <c r="L8" s="2"/>
      <c r="M8" s="2"/>
      <c r="S8" s="10">
        <f>IF(T8&lt;Expenses!$C$30,1,IF(T8&lt;Expenses!$C$31,2,IF(T8&lt;Expenses!$C$32,3,4)))</f>
        <v>1</v>
      </c>
      <c r="V8" s="10">
        <f>Table8[[#This Row],[Price]]*Table8[[#This Row],[qty]]</f>
        <v>0</v>
      </c>
    </row>
    <row r="9" spans="1:22" x14ac:dyDescent="0.25">
      <c r="A9" s="37">
        <v>2015</v>
      </c>
      <c r="B9" s="37" t="s">
        <v>1395</v>
      </c>
      <c r="C9" s="37" t="s">
        <v>1393</v>
      </c>
      <c r="D9" s="100" t="s">
        <v>266</v>
      </c>
      <c r="E9" s="100">
        <f>IF(F9&lt;Expenses!$C$30,1,IF(F9&lt;Expenses!$C$31,2,IF(F9&lt;Expenses!$C$32,3,4)))</f>
        <v>4</v>
      </c>
      <c r="F9" s="100">
        <v>65</v>
      </c>
      <c r="G9" s="100">
        <v>3</v>
      </c>
      <c r="H9" s="2">
        <f t="shared" si="0"/>
        <v>195</v>
      </c>
      <c r="I9" s="2"/>
      <c r="J9" s="2"/>
      <c r="K9" s="2"/>
      <c r="L9" s="2"/>
      <c r="M9" s="2"/>
      <c r="N9" s="37">
        <v>1999</v>
      </c>
      <c r="O9" s="37" t="s">
        <v>1529</v>
      </c>
      <c r="P9" s="37" t="s">
        <v>1528</v>
      </c>
      <c r="Q9" s="37" t="s">
        <v>1527</v>
      </c>
      <c r="S9" s="37">
        <f>IF(T9&lt;Expenses!$C$30,1,IF(T9&lt;Expenses!$C$31,2,IF(T9&lt;Expenses!$C$32,3,4)))</f>
        <v>1</v>
      </c>
      <c r="T9" s="37"/>
      <c r="V9">
        <f>Table8[[#This Row],[Price]]*Table8[[#This Row],[qty]]</f>
        <v>0</v>
      </c>
    </row>
    <row r="10" spans="1:22" x14ac:dyDescent="0.25">
      <c r="A10" s="100">
        <v>2017</v>
      </c>
      <c r="B10" s="100" t="s">
        <v>854</v>
      </c>
      <c r="C10" s="100" t="s">
        <v>854</v>
      </c>
      <c r="D10" s="100" t="s">
        <v>282</v>
      </c>
      <c r="E10" s="100">
        <f>IF(F10&lt;Expenses!$C$30,1,IF(F10&lt;Expenses!$C$31,2,IF(F10&lt;Expenses!$C$32,3,4)))</f>
        <v>1</v>
      </c>
      <c r="F10" s="100">
        <v>16</v>
      </c>
      <c r="G10" s="100">
        <v>12</v>
      </c>
      <c r="H10" s="2">
        <f t="shared" si="0"/>
        <v>192</v>
      </c>
      <c r="I10" s="2"/>
      <c r="J10" s="2"/>
      <c r="K10" s="2"/>
      <c r="L10" s="2"/>
      <c r="M10" s="2"/>
      <c r="N10" s="37">
        <v>2001</v>
      </c>
      <c r="O10" s="37" t="s">
        <v>105</v>
      </c>
      <c r="P10" s="37" t="s">
        <v>106</v>
      </c>
      <c r="Q10" s="37" t="s">
        <v>1527</v>
      </c>
      <c r="S10" s="37">
        <f>IF(T10&lt;Expenses!$C$30,1,IF(T10&lt;Expenses!$C$31,2,IF(T10&lt;Expenses!$C$32,3,4)))</f>
        <v>3</v>
      </c>
      <c r="T10" s="37">
        <v>50</v>
      </c>
      <c r="V10">
        <f>Table8[[#This Row],[Price]]*Table8[[#This Row],[qty]]</f>
        <v>0</v>
      </c>
    </row>
    <row r="11" spans="1:22" x14ac:dyDescent="0.25">
      <c r="A11" s="100"/>
      <c r="B11" s="100" t="s">
        <v>45</v>
      </c>
      <c r="C11" s="100" t="s">
        <v>46</v>
      </c>
      <c r="D11" s="100" t="s">
        <v>1513</v>
      </c>
      <c r="E11" s="100">
        <f>IF(F11&lt;Expenses!$C$30,1,IF(F11&lt;Expenses!$C$31,2,IF(F11&lt;Expenses!$C$32,3,4)))</f>
        <v>3</v>
      </c>
      <c r="F11" s="100">
        <v>30</v>
      </c>
      <c r="G11" s="100">
        <v>4</v>
      </c>
      <c r="H11" s="2">
        <f t="shared" si="0"/>
        <v>120</v>
      </c>
      <c r="I11" s="2"/>
      <c r="J11" s="2"/>
      <c r="K11" s="2"/>
      <c r="L11" s="2"/>
      <c r="M11" s="2"/>
      <c r="N11">
        <v>1995</v>
      </c>
      <c r="O11" t="s">
        <v>20</v>
      </c>
      <c r="P11" s="37" t="s">
        <v>21</v>
      </c>
      <c r="Q11" s="37" t="s">
        <v>1527</v>
      </c>
      <c r="S11" s="37">
        <f>IF(T11&lt;Expenses!$C$30,1,IF(T11&lt;Expenses!$C$31,2,IF(T11&lt;Expenses!$C$32,3,4)))</f>
        <v>4</v>
      </c>
      <c r="T11">
        <v>125</v>
      </c>
      <c r="V11">
        <f>Table8[[#This Row],[Price]]*Table8[[#This Row],[qty]]</f>
        <v>0</v>
      </c>
    </row>
    <row r="12" spans="1:22" x14ac:dyDescent="0.25">
      <c r="A12" s="100">
        <v>2016</v>
      </c>
      <c r="B12" s="100" t="s">
        <v>72</v>
      </c>
      <c r="C12" s="100" t="s">
        <v>73</v>
      </c>
      <c r="D12" s="100" t="s">
        <v>266</v>
      </c>
      <c r="E12" s="100">
        <f>IF(F12&lt;Expenses!$C$30,1,IF(F12&lt;Expenses!$C$31,2,IF(F12&lt;Expenses!$C$32,3,4)))</f>
        <v>3</v>
      </c>
      <c r="F12" s="100">
        <v>35</v>
      </c>
      <c r="G12" s="100">
        <v>4</v>
      </c>
      <c r="H12" s="2">
        <f t="shared" si="0"/>
        <v>140</v>
      </c>
      <c r="I12" s="2"/>
      <c r="J12" s="2"/>
      <c r="K12" s="2"/>
      <c r="L12" s="2"/>
      <c r="M12" s="2"/>
      <c r="N12">
        <v>1999</v>
      </c>
      <c r="O12" t="s">
        <v>1398</v>
      </c>
      <c r="P12" t="s">
        <v>1399</v>
      </c>
      <c r="S12" s="37">
        <f>IF(T12&lt;Expenses!$C$30,1,IF(T12&lt;Expenses!$C$31,2,IF(T12&lt;Expenses!$C$32,3,4)))</f>
        <v>4</v>
      </c>
      <c r="T12">
        <v>85</v>
      </c>
      <c r="V12">
        <f>Table8[[#This Row],[Price]]*Table8[[#This Row],[qty]]</f>
        <v>0</v>
      </c>
    </row>
    <row r="13" spans="1:22" x14ac:dyDescent="0.25">
      <c r="A13" s="100">
        <v>2011</v>
      </c>
      <c r="B13" s="100" t="s">
        <v>1216</v>
      </c>
      <c r="C13" s="100" t="s">
        <v>106</v>
      </c>
      <c r="D13" s="100" t="s">
        <v>1519</v>
      </c>
      <c r="E13" s="100">
        <f>IF(F13&lt;Expenses!$C$30,1,IF(F13&lt;Expenses!$C$31,2,IF(F13&lt;Expenses!$C$32,3,4)))</f>
        <v>1</v>
      </c>
      <c r="F13" s="100">
        <v>15</v>
      </c>
      <c r="G13" s="100">
        <v>12</v>
      </c>
      <c r="H13" s="2">
        <f t="shared" si="0"/>
        <v>180</v>
      </c>
      <c r="I13" s="2"/>
      <c r="J13" s="2"/>
      <c r="K13" s="2"/>
      <c r="L13" s="2"/>
      <c r="M13" s="2"/>
      <c r="S13" s="10"/>
      <c r="V13" s="10">
        <f>SUBTOTAL(109,Table8[Total])</f>
        <v>0</v>
      </c>
    </row>
    <row r="14" spans="1:22" x14ac:dyDescent="0.25">
      <c r="A14" s="100">
        <v>2018</v>
      </c>
      <c r="B14" s="100" t="s">
        <v>1216</v>
      </c>
      <c r="C14" s="100" t="s">
        <v>108</v>
      </c>
      <c r="D14" s="100" t="s">
        <v>1519</v>
      </c>
      <c r="E14" s="100">
        <f>IF(F14&lt;Expenses!$C$30,1,IF(F14&lt;Expenses!$C$31,2,IF(F14&lt;Expenses!$C$32,3,4)))</f>
        <v>1</v>
      </c>
      <c r="F14" s="100">
        <v>15</v>
      </c>
      <c r="G14" s="100">
        <v>12</v>
      </c>
      <c r="H14" s="2">
        <f t="shared" si="0"/>
        <v>180</v>
      </c>
      <c r="I14" s="2"/>
      <c r="J14" s="2"/>
      <c r="K14" s="2"/>
      <c r="L14" s="2"/>
      <c r="M14" s="2"/>
    </row>
    <row r="15" spans="1:22" x14ac:dyDescent="0.25">
      <c r="A15" s="100">
        <v>2016</v>
      </c>
      <c r="B15" s="100" t="s">
        <v>116</v>
      </c>
      <c r="C15" s="100" t="s">
        <v>116</v>
      </c>
      <c r="D15" s="100" t="s">
        <v>279</v>
      </c>
      <c r="E15" s="100">
        <f>IF(F15&lt;Expenses!$C$30,1,IF(F15&lt;Expenses!$C$31,2,IF(F15&lt;Expenses!$C$32,3,4)))</f>
        <v>3</v>
      </c>
      <c r="F15" s="100">
        <v>60</v>
      </c>
      <c r="G15" s="100">
        <v>3</v>
      </c>
      <c r="H15" s="2">
        <f t="shared" si="0"/>
        <v>180</v>
      </c>
      <c r="I15" s="2"/>
      <c r="J15" s="2"/>
      <c r="K15" s="2"/>
      <c r="L15" s="2"/>
      <c r="M15" s="2"/>
    </row>
    <row r="16" spans="1:22" s="37" customFormat="1" x14ac:dyDescent="0.25">
      <c r="A16" s="100">
        <v>2017</v>
      </c>
      <c r="B16" s="100" t="s">
        <v>386</v>
      </c>
      <c r="C16" s="100" t="s">
        <v>845</v>
      </c>
      <c r="D16" s="100" t="s">
        <v>267</v>
      </c>
      <c r="E16" s="100">
        <f>IF(F16&lt;Expenses!$C$30,1,IF(F16&lt;Expenses!$C$31,2,IF(F16&lt;Expenses!$C$32,3,4)))</f>
        <v>3</v>
      </c>
      <c r="F16" s="100">
        <v>55</v>
      </c>
      <c r="G16" s="100">
        <v>3</v>
      </c>
      <c r="H16" s="2">
        <f t="shared" si="0"/>
        <v>165</v>
      </c>
      <c r="I16" s="2"/>
      <c r="J16" s="2"/>
      <c r="K16" s="2"/>
      <c r="L16" s="2"/>
      <c r="M16" s="2"/>
      <c r="N16"/>
      <c r="O16"/>
      <c r="P16"/>
      <c r="T16"/>
    </row>
    <row r="17" spans="1:20" s="37" customFormat="1" x14ac:dyDescent="0.25">
      <c r="A17" s="100">
        <v>2015</v>
      </c>
      <c r="B17" s="100" t="s">
        <v>428</v>
      </c>
      <c r="C17" s="100" t="s">
        <v>429</v>
      </c>
      <c r="D17" s="100" t="s">
        <v>268</v>
      </c>
      <c r="E17" s="100">
        <f>IF(F17&lt;Expenses!$C$30,1,IF(F17&lt;Expenses!$C$31,2,IF(F17&lt;Expenses!$C$32,3,4)))</f>
        <v>3</v>
      </c>
      <c r="F17" s="100">
        <v>30</v>
      </c>
      <c r="G17" s="100">
        <v>3</v>
      </c>
      <c r="H17" s="2">
        <f t="shared" si="0"/>
        <v>90</v>
      </c>
      <c r="I17" s="2"/>
      <c r="J17" s="2"/>
      <c r="K17" s="2"/>
      <c r="L17" s="2"/>
      <c r="M17" s="2"/>
      <c r="N17"/>
      <c r="O17"/>
      <c r="P17"/>
      <c r="T17"/>
    </row>
    <row r="18" spans="1:20" s="37" customFormat="1" x14ac:dyDescent="0.25">
      <c r="A18" s="100">
        <v>2015</v>
      </c>
      <c r="B18" s="100" t="s">
        <v>107</v>
      </c>
      <c r="C18" s="100" t="s">
        <v>106</v>
      </c>
      <c r="D18" s="100" t="s">
        <v>1520</v>
      </c>
      <c r="E18" s="100">
        <f>IF(F18&lt;Expenses!$C$30,1,IF(F18&lt;Expenses!$C$31,2,IF(F18&lt;Expenses!$C$32,3,4)))</f>
        <v>3</v>
      </c>
      <c r="F18" s="100">
        <v>60</v>
      </c>
      <c r="G18" s="100">
        <v>2</v>
      </c>
      <c r="H18" s="2">
        <f t="shared" si="0"/>
        <v>120</v>
      </c>
      <c r="I18" s="2"/>
      <c r="J18" s="2"/>
      <c r="K18" s="2"/>
      <c r="L18" s="2"/>
      <c r="M18" s="2"/>
    </row>
    <row r="19" spans="1:20" x14ac:dyDescent="0.25">
      <c r="A19" s="100">
        <v>2015</v>
      </c>
      <c r="B19" s="100" t="s">
        <v>1124</v>
      </c>
      <c r="C19" s="100" t="s">
        <v>19</v>
      </c>
      <c r="D19" s="100" t="s">
        <v>266</v>
      </c>
      <c r="E19" s="100">
        <f>IF(F19&lt;Expenses!$C$30,1,IF(F19&lt;Expenses!$C$31,2,IF(F19&lt;Expenses!$C$32,3,4)))</f>
        <v>4</v>
      </c>
      <c r="F19" s="100">
        <v>72</v>
      </c>
      <c r="G19" s="100">
        <v>3</v>
      </c>
      <c r="H19" s="2">
        <f t="shared" si="0"/>
        <v>216</v>
      </c>
      <c r="I19" s="2"/>
      <c r="J19" s="2"/>
      <c r="K19" s="2"/>
      <c r="L19" s="2"/>
      <c r="M19" s="2"/>
      <c r="N19" s="37"/>
      <c r="O19" s="37"/>
      <c r="P19" s="37"/>
      <c r="T19" s="37"/>
    </row>
    <row r="20" spans="1:20" x14ac:dyDescent="0.25">
      <c r="A20" s="100">
        <v>2010</v>
      </c>
      <c r="B20" s="100" t="s">
        <v>221</v>
      </c>
      <c r="C20" s="100" t="s">
        <v>222</v>
      </c>
      <c r="D20" s="100" t="s">
        <v>1521</v>
      </c>
      <c r="E20" s="100">
        <f>IF(F20&lt;Expenses!$C$30,1,IF(F20&lt;Expenses!$C$31,2,IF(F20&lt;Expenses!$C$32,3,4)))</f>
        <v>4</v>
      </c>
      <c r="F20" s="100">
        <v>65</v>
      </c>
      <c r="G20" s="100">
        <v>3</v>
      </c>
      <c r="H20" s="2">
        <f t="shared" si="0"/>
        <v>195</v>
      </c>
      <c r="I20" s="2"/>
      <c r="J20" s="2"/>
      <c r="K20" s="2"/>
      <c r="L20" s="2"/>
      <c r="M20" s="2"/>
      <c r="N20" s="37"/>
      <c r="O20" s="37"/>
      <c r="P20" s="37"/>
      <c r="T20" s="37"/>
    </row>
    <row r="21" spans="1:20" s="37" customFormat="1" x14ac:dyDescent="0.25">
      <c r="A21" s="100">
        <v>2005</v>
      </c>
      <c r="B21" s="100" t="s">
        <v>221</v>
      </c>
      <c r="C21" s="100" t="s">
        <v>1463</v>
      </c>
      <c r="D21" s="100" t="s">
        <v>1521</v>
      </c>
      <c r="E21" s="100">
        <f>IF(F21&lt;Expenses!$C$30,1,IF(F21&lt;Expenses!$C$31,2,IF(F21&lt;Expenses!$C$32,3,4)))</f>
        <v>4</v>
      </c>
      <c r="F21" s="100">
        <v>150</v>
      </c>
      <c r="G21" s="102">
        <v>2</v>
      </c>
      <c r="H21" s="2">
        <f t="shared" si="0"/>
        <v>300</v>
      </c>
      <c r="I21" s="2"/>
      <c r="J21" s="2"/>
      <c r="K21" s="2"/>
      <c r="L21" s="2"/>
      <c r="M21" s="2"/>
      <c r="N21"/>
      <c r="O21"/>
      <c r="P21"/>
      <c r="T21"/>
    </row>
    <row r="22" spans="1:20" s="37" customFormat="1" x14ac:dyDescent="0.25">
      <c r="A22" s="100">
        <v>2011</v>
      </c>
      <c r="B22" s="100" t="s">
        <v>221</v>
      </c>
      <c r="C22" s="100" t="s">
        <v>1274</v>
      </c>
      <c r="D22" s="100" t="s">
        <v>1521</v>
      </c>
      <c r="E22" s="100">
        <f>IF(F22&lt;Expenses!$C$30,1,IF(F22&lt;Expenses!$C$31,2,IF(F22&lt;Expenses!$C$32,3,4)))</f>
        <v>3</v>
      </c>
      <c r="F22" s="100">
        <v>37</v>
      </c>
      <c r="G22" s="100">
        <v>4</v>
      </c>
      <c r="H22" s="2">
        <f t="shared" si="0"/>
        <v>148</v>
      </c>
      <c r="I22" s="2"/>
      <c r="J22" s="2"/>
      <c r="K22" s="2"/>
      <c r="L22" s="2"/>
      <c r="M22" s="2"/>
      <c r="N22"/>
      <c r="O22"/>
      <c r="P22"/>
      <c r="T22"/>
    </row>
    <row r="23" spans="1:20" s="37" customFormat="1" x14ac:dyDescent="0.25">
      <c r="A23" s="100">
        <v>2007</v>
      </c>
      <c r="B23" s="100" t="s">
        <v>1263</v>
      </c>
      <c r="C23" s="100" t="s">
        <v>1264</v>
      </c>
      <c r="D23" s="100" t="s">
        <v>1521</v>
      </c>
      <c r="E23" s="100">
        <f>IF(F23&lt;Expenses!$C$30,1,IF(F23&lt;Expenses!$C$31,2,IF(F23&lt;Expenses!$C$32,3,4)))</f>
        <v>3</v>
      </c>
      <c r="F23" s="100">
        <v>40</v>
      </c>
      <c r="G23" s="100">
        <v>4</v>
      </c>
      <c r="H23" s="2">
        <f t="shared" si="0"/>
        <v>160</v>
      </c>
      <c r="I23" s="2"/>
      <c r="J23" s="2"/>
      <c r="K23" s="2"/>
      <c r="L23" s="2"/>
      <c r="M23" s="2"/>
    </row>
    <row r="24" spans="1:20" s="37" customFormat="1" x14ac:dyDescent="0.25">
      <c r="A24" s="100">
        <v>1995</v>
      </c>
      <c r="B24" s="100" t="s">
        <v>1263</v>
      </c>
      <c r="C24" s="100" t="s">
        <v>1464</v>
      </c>
      <c r="D24" s="100" t="s">
        <v>1521</v>
      </c>
      <c r="E24" s="100">
        <f>IF(F24&lt;Expenses!$C$30,1,IF(F24&lt;Expenses!$C$31,2,IF(F24&lt;Expenses!$C$32,3,4)))</f>
        <v>4</v>
      </c>
      <c r="F24" s="100">
        <v>140</v>
      </c>
      <c r="G24" s="100">
        <v>2</v>
      </c>
      <c r="H24" s="2">
        <f t="shared" si="0"/>
        <v>280</v>
      </c>
      <c r="I24" s="2"/>
      <c r="J24" s="2"/>
      <c r="K24" s="2"/>
      <c r="L24" s="2"/>
      <c r="M24" s="2"/>
    </row>
    <row r="25" spans="1:20" s="37" customFormat="1" x14ac:dyDescent="0.25">
      <c r="A25" s="100">
        <v>2016</v>
      </c>
      <c r="B25" s="100" t="s">
        <v>250</v>
      </c>
      <c r="C25" s="100" t="s">
        <v>1275</v>
      </c>
      <c r="D25" s="100"/>
      <c r="E25" s="100">
        <f>IF(F25&lt;Expenses!$C$30,1,IF(F25&lt;Expenses!$C$31,2,IF(F25&lt;Expenses!$C$32,3,4)))</f>
        <v>3</v>
      </c>
      <c r="F25" s="100">
        <v>40</v>
      </c>
      <c r="G25" s="100">
        <v>4</v>
      </c>
      <c r="H25" s="2">
        <f t="shared" si="0"/>
        <v>160</v>
      </c>
      <c r="I25" s="2"/>
      <c r="J25" s="2"/>
      <c r="K25" s="2"/>
      <c r="L25" s="2"/>
      <c r="M25" s="2"/>
    </row>
    <row r="26" spans="1:20" s="37" customFormat="1" x14ac:dyDescent="0.25">
      <c r="A26" s="100">
        <v>2016</v>
      </c>
      <c r="B26" s="100" t="s">
        <v>37</v>
      </c>
      <c r="C26" s="100" t="s">
        <v>53</v>
      </c>
      <c r="D26" s="100" t="s">
        <v>264</v>
      </c>
      <c r="E26" s="100">
        <f>IF(F26&lt;Expenses!$C$30,1,IF(F26&lt;Expenses!$C$31,2,IF(F26&lt;Expenses!$C$32,3,4)))</f>
        <v>3</v>
      </c>
      <c r="F26" s="100">
        <v>60</v>
      </c>
      <c r="G26" s="100">
        <v>3</v>
      </c>
      <c r="H26" s="2">
        <f t="shared" si="0"/>
        <v>180</v>
      </c>
      <c r="I26" s="2"/>
      <c r="J26" s="2"/>
      <c r="K26" s="2"/>
      <c r="L26" s="2"/>
      <c r="M26" s="2"/>
    </row>
    <row r="27" spans="1:20" s="37" customFormat="1" x14ac:dyDescent="0.25">
      <c r="A27" s="100">
        <v>2018</v>
      </c>
      <c r="B27" s="100" t="s">
        <v>120</v>
      </c>
      <c r="C27" s="100" t="s">
        <v>121</v>
      </c>
      <c r="D27" s="100"/>
      <c r="E27" s="100">
        <f>IF(F27&lt;Expenses!$C$30,1,IF(F27&lt;Expenses!$C$31,2,IF(F27&lt;Expenses!$C$32,3,4)))</f>
        <v>4</v>
      </c>
      <c r="F27" s="100">
        <v>65</v>
      </c>
      <c r="G27" s="100">
        <v>2</v>
      </c>
      <c r="H27" s="2">
        <f t="shared" si="0"/>
        <v>130</v>
      </c>
      <c r="I27" s="2"/>
      <c r="J27" s="2"/>
      <c r="K27" s="2"/>
      <c r="L27" s="2"/>
      <c r="M27" s="2"/>
    </row>
    <row r="28" spans="1:20" s="37" customFormat="1" x14ac:dyDescent="0.25">
      <c r="A28" s="100">
        <v>2017</v>
      </c>
      <c r="B28" s="100" t="s">
        <v>248</v>
      </c>
      <c r="C28" s="100" t="s">
        <v>249</v>
      </c>
      <c r="D28" s="100" t="s">
        <v>249</v>
      </c>
      <c r="E28" s="100">
        <f>IF(F28&lt;Expenses!$C$30,1,IF(F28&lt;Expenses!$C$31,2,IF(F28&lt;Expenses!$C$32,3,4)))</f>
        <v>3</v>
      </c>
      <c r="F28" s="100">
        <v>55</v>
      </c>
      <c r="G28" s="100">
        <v>3</v>
      </c>
      <c r="H28" s="2">
        <f t="shared" si="0"/>
        <v>165</v>
      </c>
      <c r="I28" s="2"/>
      <c r="J28" s="2"/>
      <c r="K28" s="2"/>
      <c r="L28" s="2"/>
      <c r="M28" s="2"/>
    </row>
    <row r="29" spans="1:20" s="37" customFormat="1" x14ac:dyDescent="0.25">
      <c r="A29" s="100">
        <v>2015</v>
      </c>
      <c r="B29" s="100" t="s">
        <v>248</v>
      </c>
      <c r="C29" s="100" t="s">
        <v>1465</v>
      </c>
      <c r="D29" s="100" t="s">
        <v>1522</v>
      </c>
      <c r="E29" s="100">
        <f>IF(F29&lt;Expenses!$C$30,1,IF(F29&lt;Expenses!$C$31,2,IF(F29&lt;Expenses!$C$32,3,4)))</f>
        <v>4</v>
      </c>
      <c r="F29" s="100">
        <v>65</v>
      </c>
      <c r="G29" s="100">
        <v>4</v>
      </c>
      <c r="H29" s="2">
        <f t="shared" si="0"/>
        <v>260</v>
      </c>
      <c r="I29" s="2"/>
      <c r="J29" s="2"/>
      <c r="K29" s="2"/>
      <c r="L29" s="2"/>
      <c r="M29" s="2"/>
    </row>
    <row r="30" spans="1:20" s="37" customFormat="1" x14ac:dyDescent="0.25">
      <c r="A30" s="100">
        <v>2017</v>
      </c>
      <c r="B30" s="100" t="s">
        <v>210</v>
      </c>
      <c r="C30" s="100" t="s">
        <v>211</v>
      </c>
      <c r="D30" s="100" t="s">
        <v>211</v>
      </c>
      <c r="E30" s="100">
        <f>IF(F30&lt;Expenses!$C$30,1,IF(F30&lt;Expenses!$C$31,2,IF(F30&lt;Expenses!$C$32,3,4)))</f>
        <v>3</v>
      </c>
      <c r="F30" s="100">
        <v>30</v>
      </c>
      <c r="G30" s="100">
        <v>3</v>
      </c>
      <c r="H30" s="2">
        <f t="shared" si="0"/>
        <v>90</v>
      </c>
      <c r="I30" s="2"/>
      <c r="J30" s="2"/>
      <c r="K30" s="2"/>
      <c r="L30" s="2"/>
      <c r="M30" s="2"/>
    </row>
    <row r="31" spans="1:20" x14ac:dyDescent="0.25">
      <c r="A31" s="100">
        <v>2016</v>
      </c>
      <c r="B31" s="100" t="s">
        <v>210</v>
      </c>
      <c r="C31" s="100" t="s">
        <v>1423</v>
      </c>
      <c r="D31" s="100"/>
      <c r="E31" s="100">
        <f>IF(F31&lt;Expenses!$C$30,1,IF(F31&lt;Expenses!$C$31,2,IF(F31&lt;Expenses!$C$32,3,4)))</f>
        <v>3</v>
      </c>
      <c r="F31" s="100">
        <v>30</v>
      </c>
      <c r="G31" s="100">
        <v>3</v>
      </c>
      <c r="H31" s="2">
        <f t="shared" si="0"/>
        <v>90</v>
      </c>
      <c r="I31" s="2"/>
      <c r="J31" s="2"/>
      <c r="K31" s="2"/>
      <c r="L31" s="2"/>
      <c r="M31" s="2"/>
      <c r="N31" s="37"/>
      <c r="O31" s="37"/>
      <c r="P31" s="37"/>
      <c r="T31" s="37"/>
    </row>
    <row r="32" spans="1:20" s="37" customFormat="1" x14ac:dyDescent="0.25">
      <c r="A32" s="100"/>
      <c r="B32" s="100" t="s">
        <v>15</v>
      </c>
      <c r="C32" s="100" t="s">
        <v>16</v>
      </c>
      <c r="D32" s="100"/>
      <c r="E32" s="100">
        <f>IF(F32&lt;Expenses!$C$30,1,IF(F32&lt;Expenses!$C$31,2,IF(F32&lt;Expenses!$C$32,3,4)))</f>
        <v>3</v>
      </c>
      <c r="F32" s="100">
        <v>60</v>
      </c>
      <c r="G32" s="100">
        <v>2</v>
      </c>
      <c r="H32" s="2">
        <f t="shared" si="0"/>
        <v>120</v>
      </c>
      <c r="I32" s="2"/>
      <c r="J32" s="2"/>
      <c r="K32" s="2"/>
      <c r="L32" s="2"/>
      <c r="M32" s="2"/>
    </row>
    <row r="33" spans="1:20" s="37" customFormat="1" x14ac:dyDescent="0.25">
      <c r="A33" s="100"/>
      <c r="B33" s="100" t="s">
        <v>452</v>
      </c>
      <c r="C33" s="100" t="s">
        <v>453</v>
      </c>
      <c r="D33" s="100"/>
      <c r="E33" s="100">
        <f>IF(F33&lt;Expenses!$C$30,1,IF(F33&lt;Expenses!$C$31,2,IF(F33&lt;Expenses!$C$32,3,4)))</f>
        <v>3</v>
      </c>
      <c r="F33" s="100">
        <v>40</v>
      </c>
      <c r="G33" s="100">
        <v>3</v>
      </c>
      <c r="H33" s="2">
        <f t="shared" si="0"/>
        <v>120</v>
      </c>
      <c r="I33" s="2"/>
      <c r="J33" s="2"/>
      <c r="K33" s="2"/>
      <c r="L33" s="2"/>
      <c r="M33" s="2"/>
      <c r="N33"/>
      <c r="O33"/>
      <c r="P33"/>
      <c r="T33"/>
    </row>
    <row r="34" spans="1:20" s="37" customFormat="1" x14ac:dyDescent="0.25">
      <c r="A34" s="100">
        <v>2016</v>
      </c>
      <c r="B34" s="100" t="s">
        <v>100</v>
      </c>
      <c r="C34" s="100" t="s">
        <v>101</v>
      </c>
      <c r="D34" s="100" t="s">
        <v>267</v>
      </c>
      <c r="E34" s="100">
        <f>IF(F34&lt;Expenses!$C$30,1,IF(F34&lt;Expenses!$C$31,2,IF(F34&lt;Expenses!$C$32,3,4)))</f>
        <v>2</v>
      </c>
      <c r="F34" s="100">
        <v>20</v>
      </c>
      <c r="G34" s="100">
        <v>6</v>
      </c>
      <c r="H34" s="2">
        <f t="shared" si="0"/>
        <v>120</v>
      </c>
      <c r="I34" s="2"/>
      <c r="J34" s="2"/>
      <c r="K34" s="2"/>
      <c r="L34" s="2"/>
      <c r="M34" s="2"/>
    </row>
    <row r="35" spans="1:20" s="37" customFormat="1" x14ac:dyDescent="0.25">
      <c r="A35" s="100">
        <v>2018</v>
      </c>
      <c r="B35" s="100" t="s">
        <v>91</v>
      </c>
      <c r="C35" s="100" t="s">
        <v>1236</v>
      </c>
      <c r="D35" s="100" t="s">
        <v>279</v>
      </c>
      <c r="E35" s="100">
        <f>IF(F35&lt;Expenses!$C$30,1,IF(F35&lt;Expenses!$C$31,2,IF(F35&lt;Expenses!$C$32,3,4)))</f>
        <v>3</v>
      </c>
      <c r="F35" s="100">
        <v>60</v>
      </c>
      <c r="G35" s="100">
        <v>3</v>
      </c>
      <c r="H35" s="2">
        <f t="shared" si="0"/>
        <v>180</v>
      </c>
      <c r="I35" s="2"/>
      <c r="J35" s="2"/>
      <c r="K35" s="2"/>
      <c r="L35" s="2"/>
      <c r="M35" s="2"/>
    </row>
    <row r="36" spans="1:20" s="37" customFormat="1" x14ac:dyDescent="0.25">
      <c r="A36" s="100">
        <v>2017</v>
      </c>
      <c r="B36" s="100" t="s">
        <v>91</v>
      </c>
      <c r="C36" s="100" t="s">
        <v>304</v>
      </c>
      <c r="D36" s="100" t="s">
        <v>279</v>
      </c>
      <c r="E36" s="100">
        <f>IF(F36&lt;Expenses!$C$30,1,IF(F36&lt;Expenses!$C$31,2,IF(F36&lt;Expenses!$C$32,3,4)))</f>
        <v>4</v>
      </c>
      <c r="F36" s="100">
        <v>225</v>
      </c>
      <c r="G36" s="100">
        <v>2</v>
      </c>
      <c r="H36" s="2">
        <f t="shared" si="0"/>
        <v>450</v>
      </c>
      <c r="I36" s="2"/>
      <c r="J36" s="2"/>
      <c r="K36" s="2"/>
      <c r="L36" s="2"/>
      <c r="M36" s="2"/>
    </row>
    <row r="37" spans="1:20" s="37" customFormat="1" x14ac:dyDescent="0.25">
      <c r="A37" s="100">
        <v>2017</v>
      </c>
      <c r="B37" s="100" t="s">
        <v>859</v>
      </c>
      <c r="C37" s="100" t="s">
        <v>860</v>
      </c>
      <c r="D37" s="100" t="s">
        <v>279</v>
      </c>
      <c r="E37" s="100">
        <f>IF(F37&lt;Expenses!$C$30,1,IF(F37&lt;Expenses!$C$31,2,IF(F37&lt;Expenses!$C$32,3,4)))</f>
        <v>3</v>
      </c>
      <c r="F37" s="100">
        <v>60</v>
      </c>
      <c r="G37" s="100">
        <v>3</v>
      </c>
      <c r="H37" s="2">
        <f t="shared" si="0"/>
        <v>180</v>
      </c>
      <c r="I37" s="2"/>
      <c r="J37" s="2"/>
      <c r="K37" s="2"/>
      <c r="L37" s="2"/>
      <c r="M37" s="2"/>
    </row>
    <row r="38" spans="1:20" s="37" customFormat="1" x14ac:dyDescent="0.25">
      <c r="A38" s="100">
        <v>2015</v>
      </c>
      <c r="B38" s="100" t="s">
        <v>1392</v>
      </c>
      <c r="C38" s="100" t="s">
        <v>19</v>
      </c>
      <c r="D38" s="100" t="s">
        <v>266</v>
      </c>
      <c r="E38" s="100">
        <f>IF(F38&lt;Expenses!$C$30,1,IF(F38&lt;Expenses!$C$31,2,IF(F38&lt;Expenses!$C$32,3,4)))</f>
        <v>4</v>
      </c>
      <c r="F38" s="100">
        <v>80</v>
      </c>
      <c r="G38" s="102">
        <v>3</v>
      </c>
      <c r="H38" s="2">
        <f t="shared" si="0"/>
        <v>240</v>
      </c>
      <c r="I38" s="2"/>
      <c r="J38" s="2"/>
      <c r="K38" s="2"/>
      <c r="L38" s="2"/>
      <c r="M38" s="2"/>
    </row>
    <row r="39" spans="1:20" s="37" customFormat="1" x14ac:dyDescent="0.25">
      <c r="A39" s="105"/>
      <c r="B39" s="105"/>
      <c r="C39" s="105"/>
      <c r="D39" s="105"/>
      <c r="E39" s="105"/>
      <c r="F39" s="105"/>
      <c r="G39" s="105"/>
      <c r="H39" s="106">
        <f>SUBTOTAL(109,Table7[Total])</f>
        <v>6265</v>
      </c>
      <c r="I39" s="2"/>
      <c r="J39" s="2"/>
      <c r="K39" s="2"/>
      <c r="L39" s="2"/>
      <c r="M39" s="2"/>
    </row>
    <row r="40" spans="1:20" s="37" customFormat="1" x14ac:dyDescent="0.25">
      <c r="H40" s="2"/>
      <c r="I40" s="2"/>
      <c r="J40" s="2"/>
      <c r="K40" s="2"/>
      <c r="L40" s="2"/>
      <c r="M40" s="2"/>
    </row>
    <row r="41" spans="1:20" s="37" customFormat="1" x14ac:dyDescent="0.25">
      <c r="H41" s="2"/>
      <c r="I41" s="2"/>
      <c r="J41" s="2"/>
      <c r="K41" s="2"/>
      <c r="L41" s="2"/>
      <c r="M41" s="2"/>
    </row>
    <row r="42" spans="1:20" x14ac:dyDescent="0.25">
      <c r="A42" s="37"/>
      <c r="B42" s="37"/>
      <c r="C42" s="37"/>
      <c r="E42" s="37"/>
      <c r="F42" s="37"/>
      <c r="G42" s="37"/>
      <c r="H42" s="2"/>
      <c r="I42" s="11"/>
      <c r="J42" s="11"/>
      <c r="K42" s="11"/>
      <c r="L42" s="11"/>
      <c r="M42" s="11"/>
      <c r="N42" s="37"/>
      <c r="O42" s="37"/>
      <c r="P42" s="37"/>
      <c r="T42" s="37"/>
    </row>
    <row r="43" spans="1:20" x14ac:dyDescent="0.25">
      <c r="H43" s="11">
        <f>SUM(H3:H38)</f>
        <v>6265</v>
      </c>
      <c r="N43" s="37"/>
      <c r="O43" s="37"/>
      <c r="P43" s="37"/>
      <c r="T43" s="37"/>
    </row>
  </sheetData>
  <sortState xmlns:xlrd2="http://schemas.microsoft.com/office/spreadsheetml/2017/richdata2" ref="A5:H40">
    <sortCondition ref="B5:B40"/>
  </sortState>
  <phoneticPr fontId="19" type="noConversion"/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AB06C-8F66-490C-A7F8-E68535BC7EC6}">
  <dimension ref="A1:AJ66"/>
  <sheetViews>
    <sheetView workbookViewId="0">
      <selection activeCell="E4" sqref="E4"/>
    </sheetView>
  </sheetViews>
  <sheetFormatPr defaultRowHeight="15" x14ac:dyDescent="0.25"/>
  <cols>
    <col min="1" max="1" width="26.7109375" bestFit="1" customWidth="1"/>
    <col min="3" max="3" width="10.5703125" bestFit="1" customWidth="1"/>
  </cols>
  <sheetData>
    <row r="1" spans="1:36" x14ac:dyDescent="0.25">
      <c r="A1" t="s">
        <v>256</v>
      </c>
      <c r="B1" t="s">
        <v>191</v>
      </c>
      <c r="C1" t="s">
        <v>291</v>
      </c>
      <c r="D1" s="21">
        <v>2020</v>
      </c>
      <c r="E1" s="21">
        <v>2021</v>
      </c>
      <c r="F1" s="21">
        <v>2022</v>
      </c>
      <c r="G1" s="21">
        <v>2023</v>
      </c>
      <c r="H1" s="21">
        <v>2024</v>
      </c>
      <c r="I1" s="21">
        <v>2025</v>
      </c>
      <c r="J1" s="21">
        <v>2026</v>
      </c>
      <c r="K1" s="21">
        <v>2027</v>
      </c>
      <c r="L1" s="21">
        <v>2028</v>
      </c>
      <c r="M1" s="21">
        <v>2029</v>
      </c>
      <c r="N1" s="21">
        <v>2030</v>
      </c>
      <c r="O1" s="21">
        <v>2031</v>
      </c>
      <c r="P1" s="21">
        <v>2032</v>
      </c>
      <c r="Q1" s="21">
        <v>2033</v>
      </c>
      <c r="R1" s="21">
        <v>2034</v>
      </c>
      <c r="S1" s="21">
        <v>2035</v>
      </c>
      <c r="T1" s="21">
        <v>2036</v>
      </c>
      <c r="U1" s="21">
        <v>2037</v>
      </c>
      <c r="V1" s="21">
        <v>2038</v>
      </c>
      <c r="W1" s="21">
        <v>2039</v>
      </c>
      <c r="X1" s="21">
        <v>2040</v>
      </c>
      <c r="Y1" s="21">
        <v>2041</v>
      </c>
      <c r="Z1" s="21">
        <v>2042</v>
      </c>
      <c r="AA1" s="21">
        <v>2043</v>
      </c>
      <c r="AB1" s="21">
        <v>2044</v>
      </c>
      <c r="AC1" s="21">
        <v>2045</v>
      </c>
      <c r="AD1" s="21">
        <v>2046</v>
      </c>
      <c r="AE1" s="21">
        <v>2047</v>
      </c>
      <c r="AF1" s="21">
        <v>2048</v>
      </c>
      <c r="AG1" s="21">
        <v>2049</v>
      </c>
      <c r="AH1" s="21">
        <v>2050</v>
      </c>
      <c r="AI1" s="21">
        <v>2051</v>
      </c>
      <c r="AJ1" s="21">
        <v>2052</v>
      </c>
    </row>
    <row r="2" spans="1:36" x14ac:dyDescent="0.25">
      <c r="A2" t="s">
        <v>285</v>
      </c>
      <c r="B2">
        <f>SUMIF(Wine1!E:E,Identifier!A2,Wine1!I:I)</f>
        <v>1</v>
      </c>
      <c r="C2" s="2">
        <f>SUMIF(Wine1!E:E,Identifier!A2,Wine1!AC:AC)</f>
        <v>40</v>
      </c>
      <c r="D2">
        <f>COUNTIFS(Wine1!$E:$E,Identifier!$A2,Wine1!$AA:$AA,Identifier!D$1)</f>
        <v>0</v>
      </c>
      <c r="E2" s="37">
        <f>COUNTIFS(Wine1!$E:$E,Identifier!$A2,Wine1!$AA:$AA,Identifier!E$1)</f>
        <v>0</v>
      </c>
      <c r="F2" s="37">
        <f>COUNTIFS(Wine1!$E:$E,Identifier!$A2,Wine1!$AA:$AA,Identifier!F$1)</f>
        <v>0</v>
      </c>
      <c r="G2" s="37">
        <f>COUNTIFS(Wine1!$E:$E,Identifier!$A2,Wine1!$AA:$AA,Identifier!G$1)</f>
        <v>0</v>
      </c>
      <c r="H2" s="37">
        <f>COUNTIFS(Wine1!$E:$E,Identifier!$A2,Wine1!$AA:$AA,Identifier!H$1)</f>
        <v>0</v>
      </c>
      <c r="I2" s="37">
        <f>COUNTIFS(Wine1!$E:$E,Identifier!$A2,Wine1!$AA:$AA,Identifier!I$1)</f>
        <v>1</v>
      </c>
      <c r="J2" s="37">
        <f>COUNTIFS(Wine1!$E:$E,Identifier!$A2,Wine1!$AA:$AA,Identifier!J$1)</f>
        <v>0</v>
      </c>
      <c r="K2" s="37">
        <f>COUNTIFS(Wine1!$E:$E,Identifier!$A2,Wine1!$AA:$AA,Identifier!K$1)</f>
        <v>0</v>
      </c>
      <c r="L2" s="37">
        <f>COUNTIFS(Wine1!$E:$E,Identifier!$A2,Wine1!$AA:$AA,Identifier!L$1)</f>
        <v>0</v>
      </c>
      <c r="M2" s="37">
        <f>COUNTIFS(Wine1!$E:$E,Identifier!$A2,Wine1!$AA:$AA,Identifier!M$1)</f>
        <v>0</v>
      </c>
      <c r="N2" s="37">
        <f>COUNTIFS(Wine1!$E:$E,Identifier!$A2,Wine1!$AA:$AA,Identifier!N$1)</f>
        <v>0</v>
      </c>
      <c r="O2" s="37">
        <f>COUNTIFS(Wine1!$E:$E,Identifier!$A2,Wine1!$AA:$AA,Identifier!O$1)</f>
        <v>0</v>
      </c>
      <c r="P2" s="37">
        <f>COUNTIFS(Wine1!$E:$E,Identifier!$A2,Wine1!$AA:$AA,Identifier!P$1)</f>
        <v>0</v>
      </c>
      <c r="Q2" s="37">
        <f>COUNTIFS(Wine1!$E:$E,Identifier!$A2,Wine1!$AA:$AA,Identifier!Q$1)</f>
        <v>0</v>
      </c>
      <c r="R2" s="37">
        <f>COUNTIFS(Wine1!$E:$E,Identifier!$A2,Wine1!$AA:$AA,Identifier!R$1)</f>
        <v>0</v>
      </c>
      <c r="S2" s="37">
        <f>COUNTIFS(Wine1!$E:$E,Identifier!$A2,Wine1!$AA:$AA,Identifier!S$1)</f>
        <v>0</v>
      </c>
      <c r="T2" s="37">
        <f>COUNTIFS(Wine1!$E:$E,Identifier!$A2,Wine1!$AA:$AA,Identifier!T$1)</f>
        <v>0</v>
      </c>
      <c r="U2" s="37">
        <f>COUNTIFS(Wine1!$E:$E,Identifier!$A2,Wine1!$AA:$AA,Identifier!U$1)</f>
        <v>0</v>
      </c>
      <c r="V2" s="37">
        <f>COUNTIFS(Wine1!$E:$E,Identifier!$A2,Wine1!$AA:$AA,Identifier!V$1)</f>
        <v>0</v>
      </c>
      <c r="W2" s="37">
        <f>COUNTIFS(Wine1!$E:$E,Identifier!$A2,Wine1!$AA:$AA,Identifier!W$1)</f>
        <v>0</v>
      </c>
      <c r="X2" s="37">
        <f>COUNTIFS(Wine1!$E:$E,Identifier!$A2,Wine1!$AA:$AA,Identifier!X$1)</f>
        <v>0</v>
      </c>
      <c r="Y2" s="37">
        <f>COUNTIFS(Wine1!$E:$E,Identifier!$A2,Wine1!$AA:$AA,Identifier!Y$1)</f>
        <v>0</v>
      </c>
      <c r="Z2" s="37">
        <f>COUNTIFS(Wine1!$E:$E,Identifier!$A2,Wine1!$AA:$AA,Identifier!Z$1)</f>
        <v>0</v>
      </c>
      <c r="AA2" s="37">
        <f>COUNTIFS(Wine1!$E:$E,Identifier!$A2,Wine1!$AA:$AA,Identifier!AA$1)</f>
        <v>0</v>
      </c>
      <c r="AB2" s="37">
        <f>COUNTIFS(Wine1!$E:$E,Identifier!$A2,Wine1!$AA:$AA,Identifier!AB$1)</f>
        <v>0</v>
      </c>
      <c r="AC2" s="37">
        <f>COUNTIFS(Wine1!$E:$E,Identifier!$A2,Wine1!$AA:$AA,Identifier!AC$1)</f>
        <v>0</v>
      </c>
      <c r="AD2" s="37">
        <f>COUNTIFS(Wine1!$E:$E,Identifier!$A2,Wine1!$AA:$AA,Identifier!AD$1)</f>
        <v>0</v>
      </c>
      <c r="AE2" s="37">
        <f>COUNTIFS(Wine1!$E:$E,Identifier!$A2,Wine1!$AA:$AA,Identifier!AE$1)</f>
        <v>0</v>
      </c>
      <c r="AF2" s="37">
        <f>COUNTIFS(Wine1!$E:$E,Identifier!$A2,Wine1!$AA:$AA,Identifier!AF$1)</f>
        <v>0</v>
      </c>
      <c r="AG2" s="37">
        <f>COUNTIFS(Wine1!$E:$E,Identifier!$A2,Wine1!$AA:$AA,Identifier!AG$1)</f>
        <v>0</v>
      </c>
      <c r="AH2" s="37">
        <f>COUNTIFS(Wine1!$E:$E,Identifier!$A2,Wine1!$AA:$AA,Identifier!AH$1)</f>
        <v>0</v>
      </c>
      <c r="AI2" s="37">
        <f>COUNTIFS(Wine1!$E:$E,Identifier!$A2,Wine1!$AA:$AA,Identifier!AI$1)</f>
        <v>0</v>
      </c>
      <c r="AJ2" s="37">
        <f>COUNTIFS(Wine1!$E:$E,Identifier!$A2,Wine1!$AA:$AA,Identifier!AJ$1)</f>
        <v>0</v>
      </c>
    </row>
    <row r="3" spans="1:36" x14ac:dyDescent="0.25">
      <c r="A3" t="s">
        <v>264</v>
      </c>
      <c r="B3" s="37">
        <f>SUMIF(Wine1!E:E,Identifier!A3,Wine1!I:I)</f>
        <v>1</v>
      </c>
      <c r="C3" s="2">
        <f>SUMIF(Wine1!E:E,Identifier!A3,Wine1!AC:AC)</f>
        <v>120</v>
      </c>
      <c r="D3" s="37">
        <f>COUNTIFS(Wine1!E:E,Identifier!A3,Wine1!AA:AA,Identifier!D$1)</f>
        <v>0</v>
      </c>
      <c r="E3" s="37">
        <f>COUNTIFS(Wine1!$E:$E,Identifier!$A3,Wine1!$AA:$AA,Identifier!E$1)</f>
        <v>0</v>
      </c>
      <c r="F3" s="37">
        <f>COUNTIFS(Wine1!$E:$E,Identifier!$A3,Wine1!$AA:$AA,Identifier!F$1)</f>
        <v>0</v>
      </c>
      <c r="G3" s="37">
        <f>COUNTIFS(Wine1!$E:$E,Identifier!$A3,Wine1!$AA:$AA,Identifier!G$1)</f>
        <v>0</v>
      </c>
      <c r="H3" s="37">
        <f>COUNTIFS(Wine1!$E:$E,Identifier!$A3,Wine1!$AA:$AA,Identifier!H$1)</f>
        <v>0</v>
      </c>
      <c r="I3" s="37">
        <f>COUNTIFS(Wine1!$E:$E,Identifier!$A3,Wine1!$AA:$AA,Identifier!I$1)</f>
        <v>0</v>
      </c>
      <c r="J3" s="37">
        <f>COUNTIFS(Wine1!$E:$E,Identifier!$A3,Wine1!$AA:$AA,Identifier!J$1)</f>
        <v>1</v>
      </c>
      <c r="K3" s="37">
        <f>COUNTIFS(Wine1!$E:$E,Identifier!$A3,Wine1!$AA:$AA,Identifier!K$1)</f>
        <v>0</v>
      </c>
      <c r="L3" s="37">
        <f>COUNTIFS(Wine1!$E:$E,Identifier!$A3,Wine1!$AA:$AA,Identifier!L$1)</f>
        <v>0</v>
      </c>
      <c r="M3" s="37">
        <f>COUNTIFS(Wine1!$E:$E,Identifier!$A3,Wine1!$AA:$AA,Identifier!M$1)</f>
        <v>0</v>
      </c>
      <c r="N3" s="37">
        <f>COUNTIFS(Wine1!$E:$E,Identifier!$A3,Wine1!$AA:$AA,Identifier!N$1)</f>
        <v>0</v>
      </c>
      <c r="O3" s="37">
        <f>COUNTIFS(Wine1!$E:$E,Identifier!$A3,Wine1!$AA:$AA,Identifier!O$1)</f>
        <v>0</v>
      </c>
      <c r="P3" s="37">
        <f>COUNTIFS(Wine1!$E:$E,Identifier!$A3,Wine1!$AA:$AA,Identifier!P$1)</f>
        <v>0</v>
      </c>
      <c r="Q3" s="37">
        <f>COUNTIFS(Wine1!$E:$E,Identifier!$A3,Wine1!$AA:$AA,Identifier!Q$1)</f>
        <v>0</v>
      </c>
      <c r="R3" s="37">
        <f>COUNTIFS(Wine1!$E:$E,Identifier!$A3,Wine1!$AA:$AA,Identifier!R$1)</f>
        <v>0</v>
      </c>
      <c r="S3" s="37">
        <f>COUNTIFS(Wine1!$E:$E,Identifier!$A3,Wine1!$AA:$AA,Identifier!S$1)</f>
        <v>0</v>
      </c>
      <c r="T3" s="37">
        <f>COUNTIFS(Wine1!$E:$E,Identifier!$A3,Wine1!$AA:$AA,Identifier!T$1)</f>
        <v>0</v>
      </c>
      <c r="U3" s="37">
        <f>COUNTIFS(Wine1!$E:$E,Identifier!$A3,Wine1!$AA:$AA,Identifier!U$1)</f>
        <v>0</v>
      </c>
      <c r="V3" s="37">
        <f>COUNTIFS(Wine1!$E:$E,Identifier!$A3,Wine1!$AA:$AA,Identifier!V$1)</f>
        <v>0</v>
      </c>
      <c r="W3" s="37">
        <f>COUNTIFS(Wine1!$E:$E,Identifier!$A3,Wine1!$AA:$AA,Identifier!W$1)</f>
        <v>0</v>
      </c>
      <c r="X3" s="37">
        <f>COUNTIFS(Wine1!$E:$E,Identifier!$A3,Wine1!$AA:$AA,Identifier!X$1)</f>
        <v>0</v>
      </c>
      <c r="Y3" s="37">
        <f>COUNTIFS(Wine1!$E:$E,Identifier!$A3,Wine1!$AA:$AA,Identifier!Y$1)</f>
        <v>0</v>
      </c>
      <c r="Z3" s="37">
        <f>COUNTIFS(Wine1!$E:$E,Identifier!$A3,Wine1!$AA:$AA,Identifier!Z$1)</f>
        <v>0</v>
      </c>
      <c r="AA3" s="37">
        <f>COUNTIFS(Wine1!$E:$E,Identifier!$A3,Wine1!$AA:$AA,Identifier!AA$1)</f>
        <v>0</v>
      </c>
      <c r="AB3" s="37">
        <f>COUNTIFS(Wine1!$E:$E,Identifier!$A3,Wine1!$AA:$AA,Identifier!AB$1)</f>
        <v>0</v>
      </c>
      <c r="AC3" s="37">
        <f>COUNTIFS(Wine1!$E:$E,Identifier!$A3,Wine1!$AA:$AA,Identifier!AC$1)</f>
        <v>0</v>
      </c>
      <c r="AD3" s="37">
        <f>COUNTIFS(Wine1!$E:$E,Identifier!$A3,Wine1!$AA:$AA,Identifier!AD$1)</f>
        <v>0</v>
      </c>
      <c r="AE3" s="37">
        <f>COUNTIFS(Wine1!$E:$E,Identifier!$A3,Wine1!$AA:$AA,Identifier!AE$1)</f>
        <v>0</v>
      </c>
      <c r="AF3" s="37">
        <f>COUNTIFS(Wine1!$E:$E,Identifier!$A3,Wine1!$AA:$AA,Identifier!AF$1)</f>
        <v>0</v>
      </c>
      <c r="AG3" s="37">
        <f>COUNTIFS(Wine1!$E:$E,Identifier!$A3,Wine1!$AA:$AA,Identifier!AG$1)</f>
        <v>0</v>
      </c>
      <c r="AH3" s="37">
        <f>COUNTIFS(Wine1!$E:$E,Identifier!$A3,Wine1!$AA:$AA,Identifier!AH$1)</f>
        <v>0</v>
      </c>
      <c r="AI3" s="37">
        <f>COUNTIFS(Wine1!$E:$E,Identifier!$A3,Wine1!$AA:$AA,Identifier!AI$1)</f>
        <v>0</v>
      </c>
      <c r="AJ3" s="37">
        <f>COUNTIFS(Wine1!$E:$E,Identifier!$A3,Wine1!$AA:$AA,Identifier!AJ$1)</f>
        <v>0</v>
      </c>
    </row>
    <row r="4" spans="1:36" x14ac:dyDescent="0.25">
      <c r="A4" t="s">
        <v>313</v>
      </c>
      <c r="B4" s="37">
        <f>SUMIF(Wine1!E:E,Identifier!A4,Wine1!I:I)</f>
        <v>31</v>
      </c>
      <c r="C4" s="2">
        <f>SUMIF(Wine1!E:E,Identifier!A4,Wine1!AC:AC)</f>
        <v>1758.5400000000004</v>
      </c>
      <c r="D4" s="37">
        <f>COUNTIFS(Wine1!E:E,Identifier!A4,Wine1!AA:AA,Identifier!D$1)</f>
        <v>0</v>
      </c>
      <c r="E4" s="37">
        <f>COUNTIFS(Wine1!$E:$E,Identifier!$A4,Wine1!$AA:$AA,Identifier!E$1)</f>
        <v>3</v>
      </c>
      <c r="F4" s="37">
        <f>COUNTIFS(Wine1!$E:$E,Identifier!$A4,Wine1!$AA:$AA,Identifier!F$1)</f>
        <v>1</v>
      </c>
      <c r="G4" s="37">
        <f>COUNTIFS(Wine1!$E:$E,Identifier!$A4,Wine1!$AA:$AA,Identifier!G$1)</f>
        <v>1</v>
      </c>
      <c r="H4" s="37">
        <f>COUNTIFS(Wine1!$E:$E,Identifier!$A4,Wine1!$AA:$AA,Identifier!H$1)</f>
        <v>3</v>
      </c>
      <c r="I4" s="37">
        <f>COUNTIFS(Wine1!$E:$E,Identifier!$A4,Wine1!$AA:$AA,Identifier!I$1)</f>
        <v>2</v>
      </c>
      <c r="J4" s="37">
        <f>COUNTIFS(Wine1!$E:$E,Identifier!$A4,Wine1!$AA:$AA,Identifier!J$1)</f>
        <v>3</v>
      </c>
      <c r="K4" s="37">
        <f>COUNTIFS(Wine1!$E:$E,Identifier!$A4,Wine1!$AA:$AA,Identifier!K$1)</f>
        <v>3</v>
      </c>
      <c r="L4" s="37">
        <f>COUNTIFS(Wine1!$E:$E,Identifier!$A4,Wine1!$AA:$AA,Identifier!L$1)</f>
        <v>6</v>
      </c>
      <c r="M4" s="37">
        <f>COUNTIFS(Wine1!$E:$E,Identifier!$A4,Wine1!$AA:$AA,Identifier!M$1)</f>
        <v>4</v>
      </c>
      <c r="N4" s="37">
        <f>COUNTIFS(Wine1!$E:$E,Identifier!$A4,Wine1!$AA:$AA,Identifier!N$1)</f>
        <v>1</v>
      </c>
      <c r="O4" s="37">
        <f>COUNTIFS(Wine1!$E:$E,Identifier!$A4,Wine1!$AA:$AA,Identifier!O$1)</f>
        <v>1</v>
      </c>
      <c r="P4" s="37">
        <f>COUNTIFS(Wine1!$E:$E,Identifier!$A4,Wine1!$AA:$AA,Identifier!P$1)</f>
        <v>2</v>
      </c>
      <c r="Q4" s="37">
        <f>COUNTIFS(Wine1!$E:$E,Identifier!$A4,Wine1!$AA:$AA,Identifier!Q$1)</f>
        <v>0</v>
      </c>
      <c r="R4" s="37">
        <f>COUNTIFS(Wine1!$E:$E,Identifier!$A4,Wine1!$AA:$AA,Identifier!R$1)</f>
        <v>0</v>
      </c>
      <c r="S4" s="37">
        <f>COUNTIFS(Wine1!$E:$E,Identifier!$A4,Wine1!$AA:$AA,Identifier!S$1)</f>
        <v>1</v>
      </c>
      <c r="T4" s="37">
        <f>COUNTIFS(Wine1!$E:$E,Identifier!$A4,Wine1!$AA:$AA,Identifier!T$1)</f>
        <v>0</v>
      </c>
      <c r="U4" s="37">
        <f>COUNTIFS(Wine1!$E:$E,Identifier!$A4,Wine1!$AA:$AA,Identifier!U$1)</f>
        <v>0</v>
      </c>
      <c r="V4" s="37">
        <f>COUNTIFS(Wine1!$E:$E,Identifier!$A4,Wine1!$AA:$AA,Identifier!V$1)</f>
        <v>0</v>
      </c>
      <c r="W4" s="37">
        <f>COUNTIFS(Wine1!$E:$E,Identifier!$A4,Wine1!$AA:$AA,Identifier!W$1)</f>
        <v>0</v>
      </c>
      <c r="X4" s="37">
        <f>COUNTIFS(Wine1!$E:$E,Identifier!$A4,Wine1!$AA:$AA,Identifier!X$1)</f>
        <v>0</v>
      </c>
      <c r="Y4" s="37">
        <f>COUNTIFS(Wine1!$E:$E,Identifier!$A4,Wine1!$AA:$AA,Identifier!Y$1)</f>
        <v>0</v>
      </c>
      <c r="Z4" s="37">
        <f>COUNTIFS(Wine1!$E:$E,Identifier!$A4,Wine1!$AA:$AA,Identifier!Z$1)</f>
        <v>0</v>
      </c>
      <c r="AA4" s="37">
        <f>COUNTIFS(Wine1!$E:$E,Identifier!$A4,Wine1!$AA:$AA,Identifier!AA$1)</f>
        <v>0</v>
      </c>
      <c r="AB4" s="37">
        <f>COUNTIFS(Wine1!$E:$E,Identifier!$A4,Wine1!$AA:$AA,Identifier!AB$1)</f>
        <v>0</v>
      </c>
      <c r="AC4" s="37">
        <f>COUNTIFS(Wine1!$E:$E,Identifier!$A4,Wine1!$AA:$AA,Identifier!AC$1)</f>
        <v>0</v>
      </c>
      <c r="AD4" s="37">
        <f>COUNTIFS(Wine1!$E:$E,Identifier!$A4,Wine1!$AA:$AA,Identifier!AD$1)</f>
        <v>0</v>
      </c>
      <c r="AE4" s="37">
        <f>COUNTIFS(Wine1!$E:$E,Identifier!$A4,Wine1!$AA:$AA,Identifier!AE$1)</f>
        <v>0</v>
      </c>
      <c r="AF4" s="37">
        <f>COUNTIFS(Wine1!$E:$E,Identifier!$A4,Wine1!$AA:$AA,Identifier!AF$1)</f>
        <v>0</v>
      </c>
      <c r="AG4" s="37">
        <f>COUNTIFS(Wine1!$E:$E,Identifier!$A4,Wine1!$AA:$AA,Identifier!AG$1)</f>
        <v>0</v>
      </c>
      <c r="AH4" s="37">
        <f>COUNTIFS(Wine1!$E:$E,Identifier!$A4,Wine1!$AA:$AA,Identifier!AH$1)</f>
        <v>0</v>
      </c>
      <c r="AI4" s="37">
        <f>COUNTIFS(Wine1!$E:$E,Identifier!$A4,Wine1!$AA:$AA,Identifier!AI$1)</f>
        <v>0</v>
      </c>
      <c r="AJ4" s="37">
        <f>COUNTIFS(Wine1!$E:$E,Identifier!$A4,Wine1!$AA:$AA,Identifier!AJ$1)</f>
        <v>0</v>
      </c>
    </row>
    <row r="5" spans="1:36" x14ac:dyDescent="0.25">
      <c r="A5" t="s">
        <v>249</v>
      </c>
      <c r="B5" s="37">
        <f>SUMIF(Wine1!E:E,Identifier!A5,Wine1!I:I)</f>
        <v>0</v>
      </c>
      <c r="C5" s="2">
        <f>SUMIF(Wine1!E:E,Identifier!A5,Wine1!AC:AC)</f>
        <v>0</v>
      </c>
      <c r="D5" s="37">
        <f>COUNTIFS(Wine1!E:E,Identifier!A5,Wine1!AA:AA,Identifier!D$1)</f>
        <v>0</v>
      </c>
      <c r="E5" s="37">
        <f>COUNTIFS(Wine1!$E:$E,Identifier!$A5,Wine1!$AA:$AA,Identifier!E$1)</f>
        <v>0</v>
      </c>
      <c r="F5" s="37">
        <f>COUNTIFS(Wine1!$E:$E,Identifier!$A5,Wine1!$AA:$AA,Identifier!F$1)</f>
        <v>0</v>
      </c>
      <c r="G5" s="37">
        <f>COUNTIFS(Wine1!$E:$E,Identifier!$A5,Wine1!$AA:$AA,Identifier!G$1)</f>
        <v>0</v>
      </c>
      <c r="H5" s="37">
        <f>COUNTIFS(Wine1!$E:$E,Identifier!$A5,Wine1!$AA:$AA,Identifier!H$1)</f>
        <v>0</v>
      </c>
      <c r="I5" s="37">
        <f>COUNTIFS(Wine1!$E:$E,Identifier!$A5,Wine1!$AA:$AA,Identifier!I$1)</f>
        <v>0</v>
      </c>
      <c r="J5" s="37">
        <f>COUNTIFS(Wine1!$E:$E,Identifier!$A5,Wine1!$AA:$AA,Identifier!J$1)</f>
        <v>0</v>
      </c>
      <c r="K5" s="37">
        <f>COUNTIFS(Wine1!$E:$E,Identifier!$A5,Wine1!$AA:$AA,Identifier!K$1)</f>
        <v>0</v>
      </c>
      <c r="L5" s="37">
        <f>COUNTIFS(Wine1!$E:$E,Identifier!$A5,Wine1!$AA:$AA,Identifier!L$1)</f>
        <v>0</v>
      </c>
      <c r="M5" s="37">
        <f>COUNTIFS(Wine1!$E:$E,Identifier!$A5,Wine1!$AA:$AA,Identifier!M$1)</f>
        <v>0</v>
      </c>
      <c r="N5" s="37">
        <f>COUNTIFS(Wine1!$E:$E,Identifier!$A5,Wine1!$AA:$AA,Identifier!N$1)</f>
        <v>0</v>
      </c>
      <c r="O5" s="37">
        <f>COUNTIFS(Wine1!$E:$E,Identifier!$A5,Wine1!$AA:$AA,Identifier!O$1)</f>
        <v>0</v>
      </c>
      <c r="P5" s="37">
        <f>COUNTIFS(Wine1!$E:$E,Identifier!$A5,Wine1!$AA:$AA,Identifier!P$1)</f>
        <v>0</v>
      </c>
      <c r="Q5" s="37">
        <f>COUNTIFS(Wine1!$E:$E,Identifier!$A5,Wine1!$AA:$AA,Identifier!Q$1)</f>
        <v>0</v>
      </c>
      <c r="R5" s="37">
        <f>COUNTIFS(Wine1!$E:$E,Identifier!$A5,Wine1!$AA:$AA,Identifier!R$1)</f>
        <v>0</v>
      </c>
      <c r="S5" s="37">
        <f>COUNTIFS(Wine1!$E:$E,Identifier!$A5,Wine1!$AA:$AA,Identifier!S$1)</f>
        <v>0</v>
      </c>
      <c r="T5" s="37">
        <f>COUNTIFS(Wine1!$E:$E,Identifier!$A5,Wine1!$AA:$AA,Identifier!T$1)</f>
        <v>0</v>
      </c>
      <c r="U5" s="37">
        <f>COUNTIFS(Wine1!$E:$E,Identifier!$A5,Wine1!$AA:$AA,Identifier!U$1)</f>
        <v>0</v>
      </c>
      <c r="V5" s="37">
        <f>COUNTIFS(Wine1!$E:$E,Identifier!$A5,Wine1!$AA:$AA,Identifier!V$1)</f>
        <v>0</v>
      </c>
      <c r="W5" s="37">
        <f>COUNTIFS(Wine1!$E:$E,Identifier!$A5,Wine1!$AA:$AA,Identifier!W$1)</f>
        <v>0</v>
      </c>
      <c r="X5" s="37">
        <f>COUNTIFS(Wine1!$E:$E,Identifier!$A5,Wine1!$AA:$AA,Identifier!X$1)</f>
        <v>0</v>
      </c>
      <c r="Y5" s="37">
        <f>COUNTIFS(Wine1!$E:$E,Identifier!$A5,Wine1!$AA:$AA,Identifier!Y$1)</f>
        <v>0</v>
      </c>
      <c r="Z5" s="37">
        <f>COUNTIFS(Wine1!$E:$E,Identifier!$A5,Wine1!$AA:$AA,Identifier!Z$1)</f>
        <v>0</v>
      </c>
      <c r="AA5" s="37">
        <f>COUNTIFS(Wine1!$E:$E,Identifier!$A5,Wine1!$AA:$AA,Identifier!AA$1)</f>
        <v>0</v>
      </c>
      <c r="AB5" s="37">
        <f>COUNTIFS(Wine1!$E:$E,Identifier!$A5,Wine1!$AA:$AA,Identifier!AB$1)</f>
        <v>0</v>
      </c>
      <c r="AC5" s="37">
        <f>COUNTIFS(Wine1!$E:$E,Identifier!$A5,Wine1!$AA:$AA,Identifier!AC$1)</f>
        <v>0</v>
      </c>
      <c r="AD5" s="37">
        <f>COUNTIFS(Wine1!$E:$E,Identifier!$A5,Wine1!$AA:$AA,Identifier!AD$1)</f>
        <v>0</v>
      </c>
      <c r="AE5" s="37">
        <f>COUNTIFS(Wine1!$E:$E,Identifier!$A5,Wine1!$AA:$AA,Identifier!AE$1)</f>
        <v>0</v>
      </c>
      <c r="AF5" s="37">
        <f>COUNTIFS(Wine1!$E:$E,Identifier!$A5,Wine1!$AA:$AA,Identifier!AF$1)</f>
        <v>0</v>
      </c>
      <c r="AG5" s="37">
        <f>COUNTIFS(Wine1!$E:$E,Identifier!$A5,Wine1!$AA:$AA,Identifier!AG$1)</f>
        <v>0</v>
      </c>
      <c r="AH5" s="37">
        <f>COUNTIFS(Wine1!$E:$E,Identifier!$A5,Wine1!$AA:$AA,Identifier!AH$1)</f>
        <v>0</v>
      </c>
      <c r="AI5" s="37">
        <f>COUNTIFS(Wine1!$E:$E,Identifier!$A5,Wine1!$AA:$AA,Identifier!AI$1)</f>
        <v>0</v>
      </c>
      <c r="AJ5" s="37">
        <f>COUNTIFS(Wine1!$E:$E,Identifier!$A5,Wine1!$AA:$AA,Identifier!AJ$1)</f>
        <v>0</v>
      </c>
    </row>
    <row r="6" spans="1:36" x14ac:dyDescent="0.25">
      <c r="A6" t="s">
        <v>268</v>
      </c>
      <c r="B6" s="37">
        <f>SUMIF(Wine1!E:E,Identifier!A6,Wine1!I:I)</f>
        <v>0</v>
      </c>
      <c r="C6" s="2">
        <f>SUMIF(Wine1!E:E,Identifier!A6,Wine1!AC:AC)</f>
        <v>0</v>
      </c>
      <c r="D6" s="37">
        <f>COUNTIFS(Wine1!E:E,Identifier!A6,Wine1!AA:AA,Identifier!D$1)</f>
        <v>0</v>
      </c>
      <c r="E6" s="37">
        <f>COUNTIFS(Wine1!$E:$E,Identifier!$A6,Wine1!$AA:$AA,Identifier!E$1)</f>
        <v>0</v>
      </c>
      <c r="F6" s="37">
        <f>COUNTIFS(Wine1!$E:$E,Identifier!$A6,Wine1!$AA:$AA,Identifier!F$1)</f>
        <v>0</v>
      </c>
      <c r="G6" s="37">
        <f>COUNTIFS(Wine1!$E:$E,Identifier!$A6,Wine1!$AA:$AA,Identifier!G$1)</f>
        <v>0</v>
      </c>
      <c r="H6" s="37">
        <f>COUNTIFS(Wine1!$E:$E,Identifier!$A6,Wine1!$AA:$AA,Identifier!H$1)</f>
        <v>0</v>
      </c>
      <c r="I6" s="37">
        <f>COUNTIFS(Wine1!$E:$E,Identifier!$A6,Wine1!$AA:$AA,Identifier!I$1)</f>
        <v>0</v>
      </c>
      <c r="J6" s="37">
        <f>COUNTIFS(Wine1!$E:$E,Identifier!$A6,Wine1!$AA:$AA,Identifier!J$1)</f>
        <v>0</v>
      </c>
      <c r="K6" s="37">
        <f>COUNTIFS(Wine1!$E:$E,Identifier!$A6,Wine1!$AA:$AA,Identifier!K$1)</f>
        <v>0</v>
      </c>
      <c r="L6" s="37">
        <f>COUNTIFS(Wine1!$E:$E,Identifier!$A6,Wine1!$AA:$AA,Identifier!L$1)</f>
        <v>0</v>
      </c>
      <c r="M6" s="37">
        <f>COUNTIFS(Wine1!$E:$E,Identifier!$A6,Wine1!$AA:$AA,Identifier!M$1)</f>
        <v>0</v>
      </c>
      <c r="N6" s="37">
        <f>COUNTIFS(Wine1!$E:$E,Identifier!$A6,Wine1!$AA:$AA,Identifier!N$1)</f>
        <v>0</v>
      </c>
      <c r="O6" s="37">
        <f>COUNTIFS(Wine1!$E:$E,Identifier!$A6,Wine1!$AA:$AA,Identifier!O$1)</f>
        <v>0</v>
      </c>
      <c r="P6" s="37">
        <f>COUNTIFS(Wine1!$E:$E,Identifier!$A6,Wine1!$AA:$AA,Identifier!P$1)</f>
        <v>0</v>
      </c>
      <c r="Q6" s="37">
        <f>COUNTIFS(Wine1!$E:$E,Identifier!$A6,Wine1!$AA:$AA,Identifier!Q$1)</f>
        <v>0</v>
      </c>
      <c r="R6" s="37">
        <f>COUNTIFS(Wine1!$E:$E,Identifier!$A6,Wine1!$AA:$AA,Identifier!R$1)</f>
        <v>0</v>
      </c>
      <c r="S6" s="37">
        <f>COUNTIFS(Wine1!$E:$E,Identifier!$A6,Wine1!$AA:$AA,Identifier!S$1)</f>
        <v>0</v>
      </c>
      <c r="T6" s="37">
        <f>COUNTIFS(Wine1!$E:$E,Identifier!$A6,Wine1!$AA:$AA,Identifier!T$1)</f>
        <v>0</v>
      </c>
      <c r="U6" s="37">
        <f>COUNTIFS(Wine1!$E:$E,Identifier!$A6,Wine1!$AA:$AA,Identifier!U$1)</f>
        <v>0</v>
      </c>
      <c r="V6" s="37">
        <f>COUNTIFS(Wine1!$E:$E,Identifier!$A6,Wine1!$AA:$AA,Identifier!V$1)</f>
        <v>0</v>
      </c>
      <c r="W6" s="37">
        <f>COUNTIFS(Wine1!$E:$E,Identifier!$A6,Wine1!$AA:$AA,Identifier!W$1)</f>
        <v>0</v>
      </c>
      <c r="X6" s="37">
        <f>COUNTIFS(Wine1!$E:$E,Identifier!$A6,Wine1!$AA:$AA,Identifier!X$1)</f>
        <v>0</v>
      </c>
      <c r="Y6" s="37">
        <f>COUNTIFS(Wine1!$E:$E,Identifier!$A6,Wine1!$AA:$AA,Identifier!Y$1)</f>
        <v>0</v>
      </c>
      <c r="Z6" s="37">
        <f>COUNTIFS(Wine1!$E:$E,Identifier!$A6,Wine1!$AA:$AA,Identifier!Z$1)</f>
        <v>0</v>
      </c>
      <c r="AA6" s="37">
        <f>COUNTIFS(Wine1!$E:$E,Identifier!$A6,Wine1!$AA:$AA,Identifier!AA$1)</f>
        <v>0</v>
      </c>
      <c r="AB6" s="37">
        <f>COUNTIFS(Wine1!$E:$E,Identifier!$A6,Wine1!$AA:$AA,Identifier!AB$1)</f>
        <v>0</v>
      </c>
      <c r="AC6" s="37">
        <f>COUNTIFS(Wine1!$E:$E,Identifier!$A6,Wine1!$AA:$AA,Identifier!AC$1)</f>
        <v>0</v>
      </c>
      <c r="AD6" s="37">
        <f>COUNTIFS(Wine1!$E:$E,Identifier!$A6,Wine1!$AA:$AA,Identifier!AD$1)</f>
        <v>0</v>
      </c>
      <c r="AE6" s="37">
        <f>COUNTIFS(Wine1!$E:$E,Identifier!$A6,Wine1!$AA:$AA,Identifier!AE$1)</f>
        <v>0</v>
      </c>
      <c r="AF6" s="37">
        <f>COUNTIFS(Wine1!$E:$E,Identifier!$A6,Wine1!$AA:$AA,Identifier!AF$1)</f>
        <v>0</v>
      </c>
      <c r="AG6" s="37">
        <f>COUNTIFS(Wine1!$E:$E,Identifier!$A6,Wine1!$AA:$AA,Identifier!AG$1)</f>
        <v>0</v>
      </c>
      <c r="AH6" s="37">
        <f>COUNTIFS(Wine1!$E:$E,Identifier!$A6,Wine1!$AA:$AA,Identifier!AH$1)</f>
        <v>0</v>
      </c>
      <c r="AI6" s="37">
        <f>COUNTIFS(Wine1!$E:$E,Identifier!$A6,Wine1!$AA:$AA,Identifier!AI$1)</f>
        <v>0</v>
      </c>
      <c r="AJ6" s="37">
        <f>COUNTIFS(Wine1!$E:$E,Identifier!$A6,Wine1!$AA:$AA,Identifier!AJ$1)</f>
        <v>0</v>
      </c>
    </row>
    <row r="7" spans="1:36" x14ac:dyDescent="0.25">
      <c r="A7" t="s">
        <v>269</v>
      </c>
      <c r="B7" s="37">
        <f>SUMIF(Wine1!E:E,Identifier!A7,Wine1!I:I)</f>
        <v>0</v>
      </c>
      <c r="C7" s="2">
        <f>SUMIF(Wine1!E:E,Identifier!A7,Wine1!AC:AC)</f>
        <v>0</v>
      </c>
      <c r="D7" s="37">
        <f>COUNTIFS(Wine1!E:E,Identifier!A7,Wine1!AA:AA,Identifier!D$1)</f>
        <v>0</v>
      </c>
      <c r="E7" s="37">
        <f>COUNTIFS(Wine1!$E:$E,Identifier!$A7,Wine1!$AA:$AA,Identifier!E$1)</f>
        <v>0</v>
      </c>
      <c r="F7" s="37">
        <f>COUNTIFS(Wine1!$E:$E,Identifier!$A7,Wine1!$AA:$AA,Identifier!F$1)</f>
        <v>0</v>
      </c>
      <c r="G7" s="37">
        <f>COUNTIFS(Wine1!$E:$E,Identifier!$A7,Wine1!$AA:$AA,Identifier!G$1)</f>
        <v>0</v>
      </c>
      <c r="H7" s="37">
        <f>COUNTIFS(Wine1!$E:$E,Identifier!$A7,Wine1!$AA:$AA,Identifier!H$1)</f>
        <v>0</v>
      </c>
      <c r="I7" s="37">
        <f>COUNTIFS(Wine1!$E:$E,Identifier!$A7,Wine1!$AA:$AA,Identifier!I$1)</f>
        <v>0</v>
      </c>
      <c r="J7" s="37">
        <f>COUNTIFS(Wine1!$E:$E,Identifier!$A7,Wine1!$AA:$AA,Identifier!J$1)</f>
        <v>0</v>
      </c>
      <c r="K7" s="37">
        <f>COUNTIFS(Wine1!$E:$E,Identifier!$A7,Wine1!$AA:$AA,Identifier!K$1)</f>
        <v>0</v>
      </c>
      <c r="L7" s="37">
        <f>COUNTIFS(Wine1!$E:$E,Identifier!$A7,Wine1!$AA:$AA,Identifier!L$1)</f>
        <v>0</v>
      </c>
      <c r="M7" s="37">
        <f>COUNTIFS(Wine1!$E:$E,Identifier!$A7,Wine1!$AA:$AA,Identifier!M$1)</f>
        <v>0</v>
      </c>
      <c r="N7" s="37">
        <f>COUNTIFS(Wine1!$E:$E,Identifier!$A7,Wine1!$AA:$AA,Identifier!N$1)</f>
        <v>0</v>
      </c>
      <c r="O7" s="37">
        <f>COUNTIFS(Wine1!$E:$E,Identifier!$A7,Wine1!$AA:$AA,Identifier!O$1)</f>
        <v>0</v>
      </c>
      <c r="P7" s="37">
        <f>COUNTIFS(Wine1!$E:$E,Identifier!$A7,Wine1!$AA:$AA,Identifier!P$1)</f>
        <v>0</v>
      </c>
      <c r="Q7" s="37">
        <f>COUNTIFS(Wine1!$E:$E,Identifier!$A7,Wine1!$AA:$AA,Identifier!Q$1)</f>
        <v>0</v>
      </c>
      <c r="R7" s="37">
        <f>COUNTIFS(Wine1!$E:$E,Identifier!$A7,Wine1!$AA:$AA,Identifier!R$1)</f>
        <v>0</v>
      </c>
      <c r="S7" s="37">
        <f>COUNTIFS(Wine1!$E:$E,Identifier!$A7,Wine1!$AA:$AA,Identifier!S$1)</f>
        <v>0</v>
      </c>
      <c r="T7" s="37">
        <f>COUNTIFS(Wine1!$E:$E,Identifier!$A7,Wine1!$AA:$AA,Identifier!T$1)</f>
        <v>0</v>
      </c>
      <c r="U7" s="37">
        <f>COUNTIFS(Wine1!$E:$E,Identifier!$A7,Wine1!$AA:$AA,Identifier!U$1)</f>
        <v>0</v>
      </c>
      <c r="V7" s="37">
        <f>COUNTIFS(Wine1!$E:$E,Identifier!$A7,Wine1!$AA:$AA,Identifier!V$1)</f>
        <v>0</v>
      </c>
      <c r="W7" s="37">
        <f>COUNTIFS(Wine1!$E:$E,Identifier!$A7,Wine1!$AA:$AA,Identifier!W$1)</f>
        <v>0</v>
      </c>
      <c r="X7" s="37">
        <f>COUNTIFS(Wine1!$E:$E,Identifier!$A7,Wine1!$AA:$AA,Identifier!X$1)</f>
        <v>0</v>
      </c>
      <c r="Y7" s="37">
        <f>COUNTIFS(Wine1!$E:$E,Identifier!$A7,Wine1!$AA:$AA,Identifier!Y$1)</f>
        <v>0</v>
      </c>
      <c r="Z7" s="37">
        <f>COUNTIFS(Wine1!$E:$E,Identifier!$A7,Wine1!$AA:$AA,Identifier!Z$1)</f>
        <v>0</v>
      </c>
      <c r="AA7" s="37">
        <f>COUNTIFS(Wine1!$E:$E,Identifier!$A7,Wine1!$AA:$AA,Identifier!AA$1)</f>
        <v>0</v>
      </c>
      <c r="AB7" s="37">
        <f>COUNTIFS(Wine1!$E:$E,Identifier!$A7,Wine1!$AA:$AA,Identifier!AB$1)</f>
        <v>0</v>
      </c>
      <c r="AC7" s="37">
        <f>COUNTIFS(Wine1!$E:$E,Identifier!$A7,Wine1!$AA:$AA,Identifier!AC$1)</f>
        <v>0</v>
      </c>
      <c r="AD7" s="37">
        <f>COUNTIFS(Wine1!$E:$E,Identifier!$A7,Wine1!$AA:$AA,Identifier!AD$1)</f>
        <v>0</v>
      </c>
      <c r="AE7" s="37">
        <f>COUNTIFS(Wine1!$E:$E,Identifier!$A7,Wine1!$AA:$AA,Identifier!AE$1)</f>
        <v>0</v>
      </c>
      <c r="AF7" s="37">
        <f>COUNTIFS(Wine1!$E:$E,Identifier!$A7,Wine1!$AA:$AA,Identifier!AF$1)</f>
        <v>0</v>
      </c>
      <c r="AG7" s="37">
        <f>COUNTIFS(Wine1!$E:$E,Identifier!$A7,Wine1!$AA:$AA,Identifier!AG$1)</f>
        <v>0</v>
      </c>
      <c r="AH7" s="37">
        <f>COUNTIFS(Wine1!$E:$E,Identifier!$A7,Wine1!$AA:$AA,Identifier!AH$1)</f>
        <v>0</v>
      </c>
      <c r="AI7" s="37">
        <f>COUNTIFS(Wine1!$E:$E,Identifier!$A7,Wine1!$AA:$AA,Identifier!AI$1)</f>
        <v>0</v>
      </c>
      <c r="AJ7" s="37">
        <f>COUNTIFS(Wine1!$E:$E,Identifier!$A7,Wine1!$AA:$AA,Identifier!AJ$1)</f>
        <v>0</v>
      </c>
    </row>
    <row r="8" spans="1:36" x14ac:dyDescent="0.25">
      <c r="A8" t="s">
        <v>266</v>
      </c>
      <c r="B8" s="37">
        <f>SUMIF(Wine1!E:E,Identifier!A8,Wine1!I:I)</f>
        <v>0</v>
      </c>
      <c r="C8" s="2">
        <f>SUMIF(Wine1!E:E,Identifier!A8,Wine1!AC:AC)</f>
        <v>0</v>
      </c>
      <c r="D8" s="37">
        <f>COUNTIFS(Wine1!E:E,Identifier!A8,Wine1!AA:AA,Identifier!D$1)</f>
        <v>0</v>
      </c>
      <c r="E8" s="37">
        <f>COUNTIFS(Wine1!$E:$E,Identifier!$A8,Wine1!$AA:$AA,Identifier!E$1)</f>
        <v>0</v>
      </c>
      <c r="F8" s="37">
        <f>COUNTIFS(Wine1!$E:$E,Identifier!$A8,Wine1!$AA:$AA,Identifier!F$1)</f>
        <v>0</v>
      </c>
      <c r="G8" s="37">
        <f>COUNTIFS(Wine1!$E:$E,Identifier!$A8,Wine1!$AA:$AA,Identifier!G$1)</f>
        <v>0</v>
      </c>
      <c r="H8" s="37">
        <f>COUNTIFS(Wine1!$E:$E,Identifier!$A8,Wine1!$AA:$AA,Identifier!H$1)</f>
        <v>0</v>
      </c>
      <c r="I8" s="37">
        <f>COUNTIFS(Wine1!$E:$E,Identifier!$A8,Wine1!$AA:$AA,Identifier!I$1)</f>
        <v>0</v>
      </c>
      <c r="J8" s="37">
        <f>COUNTIFS(Wine1!$E:$E,Identifier!$A8,Wine1!$AA:$AA,Identifier!J$1)</f>
        <v>0</v>
      </c>
      <c r="K8" s="37">
        <f>COUNTIFS(Wine1!$E:$E,Identifier!$A8,Wine1!$AA:$AA,Identifier!K$1)</f>
        <v>0</v>
      </c>
      <c r="L8" s="37">
        <f>COUNTIFS(Wine1!$E:$E,Identifier!$A8,Wine1!$AA:$AA,Identifier!L$1)</f>
        <v>0</v>
      </c>
      <c r="M8" s="37">
        <f>COUNTIFS(Wine1!$E:$E,Identifier!$A8,Wine1!$AA:$AA,Identifier!M$1)</f>
        <v>0</v>
      </c>
      <c r="N8" s="37">
        <f>COUNTIFS(Wine1!$E:$E,Identifier!$A8,Wine1!$AA:$AA,Identifier!N$1)</f>
        <v>0</v>
      </c>
      <c r="O8" s="37">
        <f>COUNTIFS(Wine1!$E:$E,Identifier!$A8,Wine1!$AA:$AA,Identifier!O$1)</f>
        <v>0</v>
      </c>
      <c r="P8" s="37">
        <f>COUNTIFS(Wine1!$E:$E,Identifier!$A8,Wine1!$AA:$AA,Identifier!P$1)</f>
        <v>0</v>
      </c>
      <c r="Q8" s="37">
        <f>COUNTIFS(Wine1!$E:$E,Identifier!$A8,Wine1!$AA:$AA,Identifier!Q$1)</f>
        <v>0</v>
      </c>
      <c r="R8" s="37">
        <f>COUNTIFS(Wine1!$E:$E,Identifier!$A8,Wine1!$AA:$AA,Identifier!R$1)</f>
        <v>0</v>
      </c>
      <c r="S8" s="37">
        <f>COUNTIFS(Wine1!$E:$E,Identifier!$A8,Wine1!$AA:$AA,Identifier!S$1)</f>
        <v>0</v>
      </c>
      <c r="T8" s="37">
        <f>COUNTIFS(Wine1!$E:$E,Identifier!$A8,Wine1!$AA:$AA,Identifier!T$1)</f>
        <v>0</v>
      </c>
      <c r="U8" s="37">
        <f>COUNTIFS(Wine1!$E:$E,Identifier!$A8,Wine1!$AA:$AA,Identifier!U$1)</f>
        <v>0</v>
      </c>
      <c r="V8" s="37">
        <f>COUNTIFS(Wine1!$E:$E,Identifier!$A8,Wine1!$AA:$AA,Identifier!V$1)</f>
        <v>0</v>
      </c>
      <c r="W8" s="37">
        <f>COUNTIFS(Wine1!$E:$E,Identifier!$A8,Wine1!$AA:$AA,Identifier!W$1)</f>
        <v>0</v>
      </c>
      <c r="X8" s="37">
        <f>COUNTIFS(Wine1!$E:$E,Identifier!$A8,Wine1!$AA:$AA,Identifier!X$1)</f>
        <v>0</v>
      </c>
      <c r="Y8" s="37">
        <f>COUNTIFS(Wine1!$E:$E,Identifier!$A8,Wine1!$AA:$AA,Identifier!Y$1)</f>
        <v>0</v>
      </c>
      <c r="Z8" s="37">
        <f>COUNTIFS(Wine1!$E:$E,Identifier!$A8,Wine1!$AA:$AA,Identifier!Z$1)</f>
        <v>0</v>
      </c>
      <c r="AA8" s="37">
        <f>COUNTIFS(Wine1!$E:$E,Identifier!$A8,Wine1!$AA:$AA,Identifier!AA$1)</f>
        <v>0</v>
      </c>
      <c r="AB8" s="37">
        <f>COUNTIFS(Wine1!$E:$E,Identifier!$A8,Wine1!$AA:$AA,Identifier!AB$1)</f>
        <v>0</v>
      </c>
      <c r="AC8" s="37">
        <f>COUNTIFS(Wine1!$E:$E,Identifier!$A8,Wine1!$AA:$AA,Identifier!AC$1)</f>
        <v>0</v>
      </c>
      <c r="AD8" s="37">
        <f>COUNTIFS(Wine1!$E:$E,Identifier!$A8,Wine1!$AA:$AA,Identifier!AD$1)</f>
        <v>0</v>
      </c>
      <c r="AE8" s="37">
        <f>COUNTIFS(Wine1!$E:$E,Identifier!$A8,Wine1!$AA:$AA,Identifier!AE$1)</f>
        <v>0</v>
      </c>
      <c r="AF8" s="37">
        <f>COUNTIFS(Wine1!$E:$E,Identifier!$A8,Wine1!$AA:$AA,Identifier!AF$1)</f>
        <v>0</v>
      </c>
      <c r="AG8" s="37">
        <f>COUNTIFS(Wine1!$E:$E,Identifier!$A8,Wine1!$AA:$AA,Identifier!AG$1)</f>
        <v>0</v>
      </c>
      <c r="AH8" s="37">
        <f>COUNTIFS(Wine1!$E:$E,Identifier!$A8,Wine1!$AA:$AA,Identifier!AH$1)</f>
        <v>0</v>
      </c>
      <c r="AI8" s="37">
        <f>COUNTIFS(Wine1!$E:$E,Identifier!$A8,Wine1!$AA:$AA,Identifier!AI$1)</f>
        <v>0</v>
      </c>
      <c r="AJ8" s="37">
        <f>COUNTIFS(Wine1!$E:$E,Identifier!$A8,Wine1!$AA:$AA,Identifier!AJ$1)</f>
        <v>0</v>
      </c>
    </row>
    <row r="9" spans="1:36" x14ac:dyDescent="0.25">
      <c r="A9" t="s">
        <v>265</v>
      </c>
      <c r="B9" s="37">
        <f>SUMIF(Wine1!E:E,Identifier!A9,Wine1!I:I)</f>
        <v>0</v>
      </c>
      <c r="C9" s="2">
        <f>SUMIF(Wine1!E:E,Identifier!A9,Wine1!AC:AC)</f>
        <v>0</v>
      </c>
      <c r="D9" s="37">
        <f>COUNTIFS(Wine1!E:E,Identifier!A9,Wine1!AA:AA,Identifier!D$1)</f>
        <v>0</v>
      </c>
      <c r="E9" s="37">
        <f>COUNTIFS(Wine1!$E:$E,Identifier!$A9,Wine1!$AA:$AA,Identifier!E$1)</f>
        <v>0</v>
      </c>
      <c r="F9" s="37">
        <f>COUNTIFS(Wine1!$E:$E,Identifier!$A9,Wine1!$AA:$AA,Identifier!F$1)</f>
        <v>0</v>
      </c>
      <c r="G9" s="37">
        <f>COUNTIFS(Wine1!$E:$E,Identifier!$A9,Wine1!$AA:$AA,Identifier!G$1)</f>
        <v>0</v>
      </c>
      <c r="H9" s="37">
        <f>COUNTIFS(Wine1!$E:$E,Identifier!$A9,Wine1!$AA:$AA,Identifier!H$1)</f>
        <v>0</v>
      </c>
      <c r="I9" s="37">
        <f>COUNTIFS(Wine1!$E:$E,Identifier!$A9,Wine1!$AA:$AA,Identifier!I$1)</f>
        <v>0</v>
      </c>
      <c r="J9" s="37">
        <f>COUNTIFS(Wine1!$E:$E,Identifier!$A9,Wine1!$AA:$AA,Identifier!J$1)</f>
        <v>0</v>
      </c>
      <c r="K9" s="37">
        <f>COUNTIFS(Wine1!$E:$E,Identifier!$A9,Wine1!$AA:$AA,Identifier!K$1)</f>
        <v>0</v>
      </c>
      <c r="L9" s="37">
        <f>COUNTIFS(Wine1!$E:$E,Identifier!$A9,Wine1!$AA:$AA,Identifier!L$1)</f>
        <v>0</v>
      </c>
      <c r="M9" s="37">
        <f>COUNTIFS(Wine1!$E:$E,Identifier!$A9,Wine1!$AA:$AA,Identifier!M$1)</f>
        <v>0</v>
      </c>
      <c r="N9" s="37">
        <f>COUNTIFS(Wine1!$E:$E,Identifier!$A9,Wine1!$AA:$AA,Identifier!N$1)</f>
        <v>0</v>
      </c>
      <c r="O9" s="37">
        <f>COUNTIFS(Wine1!$E:$E,Identifier!$A9,Wine1!$AA:$AA,Identifier!O$1)</f>
        <v>0</v>
      </c>
      <c r="P9" s="37">
        <f>COUNTIFS(Wine1!$E:$E,Identifier!$A9,Wine1!$AA:$AA,Identifier!P$1)</f>
        <v>0</v>
      </c>
      <c r="Q9" s="37">
        <f>COUNTIFS(Wine1!$E:$E,Identifier!$A9,Wine1!$AA:$AA,Identifier!Q$1)</f>
        <v>0</v>
      </c>
      <c r="R9" s="37">
        <f>COUNTIFS(Wine1!$E:$E,Identifier!$A9,Wine1!$AA:$AA,Identifier!R$1)</f>
        <v>0</v>
      </c>
      <c r="S9" s="37">
        <f>COUNTIFS(Wine1!$E:$E,Identifier!$A9,Wine1!$AA:$AA,Identifier!S$1)</f>
        <v>0</v>
      </c>
      <c r="T9" s="37">
        <f>COUNTIFS(Wine1!$E:$E,Identifier!$A9,Wine1!$AA:$AA,Identifier!T$1)</f>
        <v>0</v>
      </c>
      <c r="U9" s="37">
        <f>COUNTIFS(Wine1!$E:$E,Identifier!$A9,Wine1!$AA:$AA,Identifier!U$1)</f>
        <v>0</v>
      </c>
      <c r="V9" s="37">
        <f>COUNTIFS(Wine1!$E:$E,Identifier!$A9,Wine1!$AA:$AA,Identifier!V$1)</f>
        <v>0</v>
      </c>
      <c r="W9" s="37">
        <f>COUNTIFS(Wine1!$E:$E,Identifier!$A9,Wine1!$AA:$AA,Identifier!W$1)</f>
        <v>0</v>
      </c>
      <c r="X9" s="37">
        <f>COUNTIFS(Wine1!$E:$E,Identifier!$A9,Wine1!$AA:$AA,Identifier!X$1)</f>
        <v>0</v>
      </c>
      <c r="Y9" s="37">
        <f>COUNTIFS(Wine1!$E:$E,Identifier!$A9,Wine1!$AA:$AA,Identifier!Y$1)</f>
        <v>0</v>
      </c>
      <c r="Z9" s="37">
        <f>COUNTIFS(Wine1!$E:$E,Identifier!$A9,Wine1!$AA:$AA,Identifier!Z$1)</f>
        <v>0</v>
      </c>
      <c r="AA9" s="37">
        <f>COUNTIFS(Wine1!$E:$E,Identifier!$A9,Wine1!$AA:$AA,Identifier!AA$1)</f>
        <v>0</v>
      </c>
      <c r="AB9" s="37">
        <f>COUNTIFS(Wine1!$E:$E,Identifier!$A9,Wine1!$AA:$AA,Identifier!AB$1)</f>
        <v>0</v>
      </c>
      <c r="AC9" s="37">
        <f>COUNTIFS(Wine1!$E:$E,Identifier!$A9,Wine1!$AA:$AA,Identifier!AC$1)</f>
        <v>0</v>
      </c>
      <c r="AD9" s="37">
        <f>COUNTIFS(Wine1!$E:$E,Identifier!$A9,Wine1!$AA:$AA,Identifier!AD$1)</f>
        <v>0</v>
      </c>
      <c r="AE9" s="37">
        <f>COUNTIFS(Wine1!$E:$E,Identifier!$A9,Wine1!$AA:$AA,Identifier!AE$1)</f>
        <v>0</v>
      </c>
      <c r="AF9" s="37">
        <f>COUNTIFS(Wine1!$E:$E,Identifier!$A9,Wine1!$AA:$AA,Identifier!AF$1)</f>
        <v>0</v>
      </c>
      <c r="AG9" s="37">
        <f>COUNTIFS(Wine1!$E:$E,Identifier!$A9,Wine1!$AA:$AA,Identifier!AG$1)</f>
        <v>0</v>
      </c>
      <c r="AH9" s="37">
        <f>COUNTIFS(Wine1!$E:$E,Identifier!$A9,Wine1!$AA:$AA,Identifier!AH$1)</f>
        <v>0</v>
      </c>
      <c r="AI9" s="37">
        <f>COUNTIFS(Wine1!$E:$E,Identifier!$A9,Wine1!$AA:$AA,Identifier!AI$1)</f>
        <v>0</v>
      </c>
      <c r="AJ9" s="37">
        <f>COUNTIFS(Wine1!$E:$E,Identifier!$A9,Wine1!$AA:$AA,Identifier!AJ$1)</f>
        <v>0</v>
      </c>
    </row>
    <row r="10" spans="1:36" x14ac:dyDescent="0.25">
      <c r="A10" t="s">
        <v>279</v>
      </c>
      <c r="B10" s="37">
        <f>SUMIF(Wine1!E:E,Identifier!A10,Wine1!I:I)</f>
        <v>0</v>
      </c>
      <c r="C10" s="2">
        <f>SUMIF(Wine1!E:E,Identifier!A10,Wine1!AC:AC)</f>
        <v>0</v>
      </c>
      <c r="D10" s="37">
        <f>COUNTIFS(Wine1!E:E,Identifier!A10,Wine1!AA:AA,Identifier!D$1)</f>
        <v>0</v>
      </c>
      <c r="E10" s="37">
        <f>COUNTIFS(Wine1!$E:$E,Identifier!$A10,Wine1!$AA:$AA,Identifier!E$1)</f>
        <v>0</v>
      </c>
      <c r="F10" s="37">
        <f>COUNTIFS(Wine1!$E:$E,Identifier!$A10,Wine1!$AA:$AA,Identifier!F$1)</f>
        <v>0</v>
      </c>
      <c r="G10" s="37">
        <f>COUNTIFS(Wine1!$E:$E,Identifier!$A10,Wine1!$AA:$AA,Identifier!G$1)</f>
        <v>0</v>
      </c>
      <c r="H10" s="37">
        <f>COUNTIFS(Wine1!$E:$E,Identifier!$A10,Wine1!$AA:$AA,Identifier!H$1)</f>
        <v>0</v>
      </c>
      <c r="I10" s="37">
        <f>COUNTIFS(Wine1!$E:$E,Identifier!$A10,Wine1!$AA:$AA,Identifier!I$1)</f>
        <v>0</v>
      </c>
      <c r="J10" s="37">
        <f>COUNTIFS(Wine1!$E:$E,Identifier!$A10,Wine1!$AA:$AA,Identifier!J$1)</f>
        <v>0</v>
      </c>
      <c r="K10" s="37">
        <f>COUNTIFS(Wine1!$E:$E,Identifier!$A10,Wine1!$AA:$AA,Identifier!K$1)</f>
        <v>0</v>
      </c>
      <c r="L10" s="37">
        <f>COUNTIFS(Wine1!$E:$E,Identifier!$A10,Wine1!$AA:$AA,Identifier!L$1)</f>
        <v>0</v>
      </c>
      <c r="M10" s="37">
        <f>COUNTIFS(Wine1!$E:$E,Identifier!$A10,Wine1!$AA:$AA,Identifier!M$1)</f>
        <v>0</v>
      </c>
      <c r="N10" s="37">
        <f>COUNTIFS(Wine1!$E:$E,Identifier!$A10,Wine1!$AA:$AA,Identifier!N$1)</f>
        <v>0</v>
      </c>
      <c r="O10" s="37">
        <f>COUNTIFS(Wine1!$E:$E,Identifier!$A10,Wine1!$AA:$AA,Identifier!O$1)</f>
        <v>0</v>
      </c>
      <c r="P10" s="37">
        <f>COUNTIFS(Wine1!$E:$E,Identifier!$A10,Wine1!$AA:$AA,Identifier!P$1)</f>
        <v>0</v>
      </c>
      <c r="Q10" s="37">
        <f>COUNTIFS(Wine1!$E:$E,Identifier!$A10,Wine1!$AA:$AA,Identifier!Q$1)</f>
        <v>0</v>
      </c>
      <c r="R10" s="37">
        <f>COUNTIFS(Wine1!$E:$E,Identifier!$A10,Wine1!$AA:$AA,Identifier!R$1)</f>
        <v>0</v>
      </c>
      <c r="S10" s="37">
        <f>COUNTIFS(Wine1!$E:$E,Identifier!$A10,Wine1!$AA:$AA,Identifier!S$1)</f>
        <v>0</v>
      </c>
      <c r="T10" s="37">
        <f>COUNTIFS(Wine1!$E:$E,Identifier!$A10,Wine1!$AA:$AA,Identifier!T$1)</f>
        <v>0</v>
      </c>
      <c r="U10" s="37">
        <f>COUNTIFS(Wine1!$E:$E,Identifier!$A10,Wine1!$AA:$AA,Identifier!U$1)</f>
        <v>0</v>
      </c>
      <c r="V10" s="37">
        <f>COUNTIFS(Wine1!$E:$E,Identifier!$A10,Wine1!$AA:$AA,Identifier!V$1)</f>
        <v>0</v>
      </c>
      <c r="W10" s="37">
        <f>COUNTIFS(Wine1!$E:$E,Identifier!$A10,Wine1!$AA:$AA,Identifier!W$1)</f>
        <v>0</v>
      </c>
      <c r="X10" s="37">
        <f>COUNTIFS(Wine1!$E:$E,Identifier!$A10,Wine1!$AA:$AA,Identifier!X$1)</f>
        <v>0</v>
      </c>
      <c r="Y10" s="37">
        <f>COUNTIFS(Wine1!$E:$E,Identifier!$A10,Wine1!$AA:$AA,Identifier!Y$1)</f>
        <v>0</v>
      </c>
      <c r="Z10" s="37">
        <f>COUNTIFS(Wine1!$E:$E,Identifier!$A10,Wine1!$AA:$AA,Identifier!Z$1)</f>
        <v>0</v>
      </c>
      <c r="AA10" s="37">
        <f>COUNTIFS(Wine1!$E:$E,Identifier!$A10,Wine1!$AA:$AA,Identifier!AA$1)</f>
        <v>0</v>
      </c>
      <c r="AB10" s="37">
        <f>COUNTIFS(Wine1!$E:$E,Identifier!$A10,Wine1!$AA:$AA,Identifier!AB$1)</f>
        <v>0</v>
      </c>
      <c r="AC10" s="37">
        <f>COUNTIFS(Wine1!$E:$E,Identifier!$A10,Wine1!$AA:$AA,Identifier!AC$1)</f>
        <v>0</v>
      </c>
      <c r="AD10" s="37">
        <f>COUNTIFS(Wine1!$E:$E,Identifier!$A10,Wine1!$AA:$AA,Identifier!AD$1)</f>
        <v>0</v>
      </c>
      <c r="AE10" s="37">
        <f>COUNTIFS(Wine1!$E:$E,Identifier!$A10,Wine1!$AA:$AA,Identifier!AE$1)</f>
        <v>0</v>
      </c>
      <c r="AF10" s="37">
        <f>COUNTIFS(Wine1!$E:$E,Identifier!$A10,Wine1!$AA:$AA,Identifier!AF$1)</f>
        <v>0</v>
      </c>
      <c r="AG10" s="37">
        <f>COUNTIFS(Wine1!$E:$E,Identifier!$A10,Wine1!$AA:$AA,Identifier!AG$1)</f>
        <v>0</v>
      </c>
      <c r="AH10" s="37">
        <f>COUNTIFS(Wine1!$E:$E,Identifier!$A10,Wine1!$AA:$AA,Identifier!AH$1)</f>
        <v>0</v>
      </c>
      <c r="AI10" s="37">
        <f>COUNTIFS(Wine1!$E:$E,Identifier!$A10,Wine1!$AA:$AA,Identifier!AI$1)</f>
        <v>0</v>
      </c>
      <c r="AJ10" s="37">
        <f>COUNTIFS(Wine1!$E:$E,Identifier!$A10,Wine1!$AA:$AA,Identifier!AJ$1)</f>
        <v>0</v>
      </c>
    </row>
    <row r="11" spans="1:36" x14ac:dyDescent="0.25">
      <c r="A11" t="s">
        <v>32</v>
      </c>
      <c r="B11" s="37">
        <f>SUMIF(Wine1!E:E,Identifier!A11,Wine1!I:I)</f>
        <v>16</v>
      </c>
      <c r="C11" s="2">
        <f>SUMIF(Wine1!E:E,Identifier!A11,Wine1!AC:AC)</f>
        <v>898.88</v>
      </c>
      <c r="D11" s="37">
        <f>COUNTIFS(Wine1!E:E,Identifier!A11,Wine1!AA:AA,Identifier!D$1)</f>
        <v>0</v>
      </c>
      <c r="E11" s="37">
        <f>COUNTIFS(Wine1!$E:$E,Identifier!$A11,Wine1!$AA:$AA,Identifier!E$1)</f>
        <v>1</v>
      </c>
      <c r="F11" s="37">
        <f>COUNTIFS(Wine1!$E:$E,Identifier!$A11,Wine1!$AA:$AA,Identifier!F$1)</f>
        <v>2</v>
      </c>
      <c r="G11" s="37">
        <f>COUNTIFS(Wine1!$E:$E,Identifier!$A11,Wine1!$AA:$AA,Identifier!G$1)</f>
        <v>3</v>
      </c>
      <c r="H11" s="37">
        <f>COUNTIFS(Wine1!$E:$E,Identifier!$A11,Wine1!$AA:$AA,Identifier!H$1)</f>
        <v>2</v>
      </c>
      <c r="I11" s="37">
        <f>COUNTIFS(Wine1!$E:$E,Identifier!$A11,Wine1!$AA:$AA,Identifier!I$1)</f>
        <v>1</v>
      </c>
      <c r="J11" s="37">
        <f>COUNTIFS(Wine1!$E:$E,Identifier!$A11,Wine1!$AA:$AA,Identifier!J$1)</f>
        <v>1</v>
      </c>
      <c r="K11" s="37">
        <f>COUNTIFS(Wine1!$E:$E,Identifier!$A11,Wine1!$AA:$AA,Identifier!K$1)</f>
        <v>0</v>
      </c>
      <c r="L11" s="37">
        <f>COUNTIFS(Wine1!$E:$E,Identifier!$A11,Wine1!$AA:$AA,Identifier!L$1)</f>
        <v>1</v>
      </c>
      <c r="M11" s="37">
        <f>COUNTIFS(Wine1!$E:$E,Identifier!$A11,Wine1!$AA:$AA,Identifier!M$1)</f>
        <v>1</v>
      </c>
      <c r="N11" s="37">
        <f>COUNTIFS(Wine1!$E:$E,Identifier!$A11,Wine1!$AA:$AA,Identifier!N$1)</f>
        <v>3</v>
      </c>
      <c r="O11" s="37">
        <f>COUNTIFS(Wine1!$E:$E,Identifier!$A11,Wine1!$AA:$AA,Identifier!O$1)</f>
        <v>0</v>
      </c>
      <c r="P11" s="37">
        <f>COUNTIFS(Wine1!$E:$E,Identifier!$A11,Wine1!$AA:$AA,Identifier!P$1)</f>
        <v>1</v>
      </c>
      <c r="Q11" s="37">
        <f>COUNTIFS(Wine1!$E:$E,Identifier!$A11,Wine1!$AA:$AA,Identifier!Q$1)</f>
        <v>0</v>
      </c>
      <c r="R11" s="37">
        <f>COUNTIFS(Wine1!$E:$E,Identifier!$A11,Wine1!$AA:$AA,Identifier!R$1)</f>
        <v>0</v>
      </c>
      <c r="S11" s="37">
        <f>COUNTIFS(Wine1!$E:$E,Identifier!$A11,Wine1!$AA:$AA,Identifier!S$1)</f>
        <v>0</v>
      </c>
      <c r="T11" s="37">
        <f>COUNTIFS(Wine1!$E:$E,Identifier!$A11,Wine1!$AA:$AA,Identifier!T$1)</f>
        <v>0</v>
      </c>
      <c r="U11" s="37">
        <f>COUNTIFS(Wine1!$E:$E,Identifier!$A11,Wine1!$AA:$AA,Identifier!U$1)</f>
        <v>0</v>
      </c>
      <c r="V11" s="37">
        <f>COUNTIFS(Wine1!$E:$E,Identifier!$A11,Wine1!$AA:$AA,Identifier!V$1)</f>
        <v>0</v>
      </c>
      <c r="W11" s="37">
        <f>COUNTIFS(Wine1!$E:$E,Identifier!$A11,Wine1!$AA:$AA,Identifier!W$1)</f>
        <v>0</v>
      </c>
      <c r="X11" s="37">
        <f>COUNTIFS(Wine1!$E:$E,Identifier!$A11,Wine1!$AA:$AA,Identifier!X$1)</f>
        <v>0</v>
      </c>
      <c r="Y11" s="37">
        <f>COUNTIFS(Wine1!$E:$E,Identifier!$A11,Wine1!$AA:$AA,Identifier!Y$1)</f>
        <v>0</v>
      </c>
      <c r="Z11" s="37">
        <f>COUNTIFS(Wine1!$E:$E,Identifier!$A11,Wine1!$AA:$AA,Identifier!Z$1)</f>
        <v>0</v>
      </c>
      <c r="AA11" s="37">
        <f>COUNTIFS(Wine1!$E:$E,Identifier!$A11,Wine1!$AA:$AA,Identifier!AA$1)</f>
        <v>0</v>
      </c>
      <c r="AB11" s="37">
        <f>COUNTIFS(Wine1!$E:$E,Identifier!$A11,Wine1!$AA:$AA,Identifier!AB$1)</f>
        <v>0</v>
      </c>
      <c r="AC11" s="37">
        <f>COUNTIFS(Wine1!$E:$E,Identifier!$A11,Wine1!$AA:$AA,Identifier!AC$1)</f>
        <v>0</v>
      </c>
      <c r="AD11" s="37">
        <f>COUNTIFS(Wine1!$E:$E,Identifier!$A11,Wine1!$AA:$AA,Identifier!AD$1)</f>
        <v>0</v>
      </c>
      <c r="AE11" s="37">
        <f>COUNTIFS(Wine1!$E:$E,Identifier!$A11,Wine1!$AA:$AA,Identifier!AE$1)</f>
        <v>0</v>
      </c>
      <c r="AF11" s="37">
        <f>COUNTIFS(Wine1!$E:$E,Identifier!$A11,Wine1!$AA:$AA,Identifier!AF$1)</f>
        <v>0</v>
      </c>
      <c r="AG11" s="37">
        <f>COUNTIFS(Wine1!$E:$E,Identifier!$A11,Wine1!$AA:$AA,Identifier!AG$1)</f>
        <v>0</v>
      </c>
      <c r="AH11" s="37">
        <f>COUNTIFS(Wine1!$E:$E,Identifier!$A11,Wine1!$AA:$AA,Identifier!AH$1)</f>
        <v>0</v>
      </c>
      <c r="AI11" s="37">
        <f>COUNTIFS(Wine1!$E:$E,Identifier!$A11,Wine1!$AA:$AA,Identifier!AI$1)</f>
        <v>0</v>
      </c>
      <c r="AJ11" s="37">
        <f>COUNTIFS(Wine1!$E:$E,Identifier!$A11,Wine1!$AA:$AA,Identifier!AJ$1)</f>
        <v>0</v>
      </c>
    </row>
    <row r="12" spans="1:36" x14ac:dyDescent="0.25">
      <c r="A12" t="s">
        <v>416</v>
      </c>
      <c r="B12" s="37">
        <f>SUMIF(Wine1!E:E,Identifier!A12,Wine1!I:I)</f>
        <v>1</v>
      </c>
      <c r="C12" s="2">
        <f>SUMIF(Wine1!E:E,Identifier!A12,Wine1!AC:AC)</f>
        <v>60</v>
      </c>
      <c r="D12" s="37">
        <f>COUNTIFS(Wine1!E:E,Identifier!A12,Wine1!AA:AA,Identifier!D$1)</f>
        <v>0</v>
      </c>
      <c r="E12" s="37">
        <f>COUNTIFS(Wine1!$E:$E,Identifier!$A12,Wine1!$AA:$AA,Identifier!E$1)</f>
        <v>0</v>
      </c>
      <c r="F12" s="37">
        <f>COUNTIFS(Wine1!$E:$E,Identifier!$A12,Wine1!$AA:$AA,Identifier!F$1)</f>
        <v>0</v>
      </c>
      <c r="G12" s="37">
        <f>COUNTIFS(Wine1!$E:$E,Identifier!$A12,Wine1!$AA:$AA,Identifier!G$1)</f>
        <v>0</v>
      </c>
      <c r="H12" s="37">
        <f>COUNTIFS(Wine1!$E:$E,Identifier!$A12,Wine1!$AA:$AA,Identifier!H$1)</f>
        <v>0</v>
      </c>
      <c r="I12" s="37">
        <f>COUNTIFS(Wine1!$E:$E,Identifier!$A12,Wine1!$AA:$AA,Identifier!I$1)</f>
        <v>0</v>
      </c>
      <c r="J12" s="37">
        <f>COUNTIFS(Wine1!$E:$E,Identifier!$A12,Wine1!$AA:$AA,Identifier!J$1)</f>
        <v>0</v>
      </c>
      <c r="K12" s="37">
        <f>COUNTIFS(Wine1!$E:$E,Identifier!$A12,Wine1!$AA:$AA,Identifier!K$1)</f>
        <v>0</v>
      </c>
      <c r="L12" s="37">
        <f>COUNTIFS(Wine1!$E:$E,Identifier!$A12,Wine1!$AA:$AA,Identifier!L$1)</f>
        <v>1</v>
      </c>
      <c r="M12" s="37">
        <f>COUNTIFS(Wine1!$E:$E,Identifier!$A12,Wine1!$AA:$AA,Identifier!M$1)</f>
        <v>0</v>
      </c>
      <c r="N12" s="37">
        <f>COUNTIFS(Wine1!$E:$E,Identifier!$A12,Wine1!$AA:$AA,Identifier!N$1)</f>
        <v>0</v>
      </c>
      <c r="O12" s="37">
        <f>COUNTIFS(Wine1!$E:$E,Identifier!$A12,Wine1!$AA:$AA,Identifier!O$1)</f>
        <v>0</v>
      </c>
      <c r="P12" s="37">
        <f>COUNTIFS(Wine1!$E:$E,Identifier!$A12,Wine1!$AA:$AA,Identifier!P$1)</f>
        <v>0</v>
      </c>
      <c r="Q12" s="37">
        <f>COUNTIFS(Wine1!$E:$E,Identifier!$A12,Wine1!$AA:$AA,Identifier!Q$1)</f>
        <v>0</v>
      </c>
      <c r="R12" s="37">
        <f>COUNTIFS(Wine1!$E:$E,Identifier!$A12,Wine1!$AA:$AA,Identifier!R$1)</f>
        <v>0</v>
      </c>
      <c r="S12" s="37">
        <f>COUNTIFS(Wine1!$E:$E,Identifier!$A12,Wine1!$AA:$AA,Identifier!S$1)</f>
        <v>0</v>
      </c>
      <c r="T12" s="37">
        <f>COUNTIFS(Wine1!$E:$E,Identifier!$A12,Wine1!$AA:$AA,Identifier!T$1)</f>
        <v>0</v>
      </c>
      <c r="U12" s="37">
        <f>COUNTIFS(Wine1!$E:$E,Identifier!$A12,Wine1!$AA:$AA,Identifier!U$1)</f>
        <v>0</v>
      </c>
      <c r="V12" s="37">
        <f>COUNTIFS(Wine1!$E:$E,Identifier!$A12,Wine1!$AA:$AA,Identifier!V$1)</f>
        <v>0</v>
      </c>
      <c r="W12" s="37">
        <f>COUNTIFS(Wine1!$E:$E,Identifier!$A12,Wine1!$AA:$AA,Identifier!W$1)</f>
        <v>0</v>
      </c>
      <c r="X12" s="37">
        <f>COUNTIFS(Wine1!$E:$E,Identifier!$A12,Wine1!$AA:$AA,Identifier!X$1)</f>
        <v>0</v>
      </c>
      <c r="Y12" s="37">
        <f>COUNTIFS(Wine1!$E:$E,Identifier!$A12,Wine1!$AA:$AA,Identifier!Y$1)</f>
        <v>0</v>
      </c>
      <c r="Z12" s="37">
        <f>COUNTIFS(Wine1!$E:$E,Identifier!$A12,Wine1!$AA:$AA,Identifier!Z$1)</f>
        <v>0</v>
      </c>
      <c r="AA12" s="37">
        <f>COUNTIFS(Wine1!$E:$E,Identifier!$A12,Wine1!$AA:$AA,Identifier!AA$1)</f>
        <v>0</v>
      </c>
      <c r="AB12" s="37">
        <f>COUNTIFS(Wine1!$E:$E,Identifier!$A12,Wine1!$AA:$AA,Identifier!AB$1)</f>
        <v>0</v>
      </c>
      <c r="AC12" s="37">
        <f>COUNTIFS(Wine1!$E:$E,Identifier!$A12,Wine1!$AA:$AA,Identifier!AC$1)</f>
        <v>0</v>
      </c>
      <c r="AD12" s="37">
        <f>COUNTIFS(Wine1!$E:$E,Identifier!$A12,Wine1!$AA:$AA,Identifier!AD$1)</f>
        <v>0</v>
      </c>
      <c r="AE12" s="37">
        <f>COUNTIFS(Wine1!$E:$E,Identifier!$A12,Wine1!$AA:$AA,Identifier!AE$1)</f>
        <v>0</v>
      </c>
      <c r="AF12" s="37">
        <f>COUNTIFS(Wine1!$E:$E,Identifier!$A12,Wine1!$AA:$AA,Identifier!AF$1)</f>
        <v>0</v>
      </c>
      <c r="AG12" s="37">
        <f>COUNTIFS(Wine1!$E:$E,Identifier!$A12,Wine1!$AA:$AA,Identifier!AG$1)</f>
        <v>0</v>
      </c>
      <c r="AH12" s="37">
        <f>COUNTIFS(Wine1!$E:$E,Identifier!$A12,Wine1!$AA:$AA,Identifier!AH$1)</f>
        <v>0</v>
      </c>
      <c r="AI12" s="37">
        <f>COUNTIFS(Wine1!$E:$E,Identifier!$A12,Wine1!$AA:$AA,Identifier!AI$1)</f>
        <v>0</v>
      </c>
      <c r="AJ12" s="37">
        <f>COUNTIFS(Wine1!$E:$E,Identifier!$A12,Wine1!$AA:$AA,Identifier!AJ$1)</f>
        <v>0</v>
      </c>
    </row>
    <row r="13" spans="1:36" x14ac:dyDescent="0.25">
      <c r="A13" t="s">
        <v>259</v>
      </c>
      <c r="B13" s="37">
        <f>SUMIF(Wine1!E:E,Identifier!A13,Wine1!I:I)</f>
        <v>3</v>
      </c>
      <c r="C13" s="2">
        <f>SUMIF(Wine1!E:E,Identifier!A13,Wine1!AC:AC)</f>
        <v>195</v>
      </c>
      <c r="D13" s="37">
        <f>COUNTIFS(Wine1!E:E,Identifier!A13,Wine1!AA:AA,Identifier!D$1)</f>
        <v>0</v>
      </c>
      <c r="E13" s="37">
        <f>COUNTIFS(Wine1!$E:$E,Identifier!$A13,Wine1!$AA:$AA,Identifier!E$1)</f>
        <v>0</v>
      </c>
      <c r="F13" s="37">
        <f>COUNTIFS(Wine1!$E:$E,Identifier!$A13,Wine1!$AA:$AA,Identifier!F$1)</f>
        <v>1</v>
      </c>
      <c r="G13" s="37">
        <f>COUNTIFS(Wine1!$E:$E,Identifier!$A13,Wine1!$AA:$AA,Identifier!G$1)</f>
        <v>0</v>
      </c>
      <c r="H13" s="37">
        <f>COUNTIFS(Wine1!$E:$E,Identifier!$A13,Wine1!$AA:$AA,Identifier!H$1)</f>
        <v>1</v>
      </c>
      <c r="I13" s="37">
        <f>COUNTIFS(Wine1!$E:$E,Identifier!$A13,Wine1!$AA:$AA,Identifier!I$1)</f>
        <v>0</v>
      </c>
      <c r="J13" s="37">
        <f>COUNTIFS(Wine1!$E:$E,Identifier!$A13,Wine1!$AA:$AA,Identifier!J$1)</f>
        <v>0</v>
      </c>
      <c r="K13" s="37">
        <f>COUNTIFS(Wine1!$E:$E,Identifier!$A13,Wine1!$AA:$AA,Identifier!K$1)</f>
        <v>1</v>
      </c>
      <c r="L13" s="37">
        <f>COUNTIFS(Wine1!$E:$E,Identifier!$A13,Wine1!$AA:$AA,Identifier!L$1)</f>
        <v>0</v>
      </c>
      <c r="M13" s="37">
        <f>COUNTIFS(Wine1!$E:$E,Identifier!$A13,Wine1!$AA:$AA,Identifier!M$1)</f>
        <v>0</v>
      </c>
      <c r="N13" s="37">
        <f>COUNTIFS(Wine1!$E:$E,Identifier!$A13,Wine1!$AA:$AA,Identifier!N$1)</f>
        <v>0</v>
      </c>
      <c r="O13" s="37">
        <f>COUNTIFS(Wine1!$E:$E,Identifier!$A13,Wine1!$AA:$AA,Identifier!O$1)</f>
        <v>0</v>
      </c>
      <c r="P13" s="37">
        <f>COUNTIFS(Wine1!$E:$E,Identifier!$A13,Wine1!$AA:$AA,Identifier!P$1)</f>
        <v>0</v>
      </c>
      <c r="Q13" s="37">
        <f>COUNTIFS(Wine1!$E:$E,Identifier!$A13,Wine1!$AA:$AA,Identifier!Q$1)</f>
        <v>0</v>
      </c>
      <c r="R13" s="37">
        <f>COUNTIFS(Wine1!$E:$E,Identifier!$A13,Wine1!$AA:$AA,Identifier!R$1)</f>
        <v>0</v>
      </c>
      <c r="S13" s="37">
        <f>COUNTIFS(Wine1!$E:$E,Identifier!$A13,Wine1!$AA:$AA,Identifier!S$1)</f>
        <v>0</v>
      </c>
      <c r="T13" s="37">
        <f>COUNTIFS(Wine1!$E:$E,Identifier!$A13,Wine1!$AA:$AA,Identifier!T$1)</f>
        <v>0</v>
      </c>
      <c r="U13" s="37">
        <f>COUNTIFS(Wine1!$E:$E,Identifier!$A13,Wine1!$AA:$AA,Identifier!U$1)</f>
        <v>0</v>
      </c>
      <c r="V13" s="37">
        <f>COUNTIFS(Wine1!$E:$E,Identifier!$A13,Wine1!$AA:$AA,Identifier!V$1)</f>
        <v>0</v>
      </c>
      <c r="W13" s="37">
        <f>COUNTIFS(Wine1!$E:$E,Identifier!$A13,Wine1!$AA:$AA,Identifier!W$1)</f>
        <v>0</v>
      </c>
      <c r="X13" s="37">
        <f>COUNTIFS(Wine1!$E:$E,Identifier!$A13,Wine1!$AA:$AA,Identifier!X$1)</f>
        <v>0</v>
      </c>
      <c r="Y13" s="37">
        <f>COUNTIFS(Wine1!$E:$E,Identifier!$A13,Wine1!$AA:$AA,Identifier!Y$1)</f>
        <v>0</v>
      </c>
      <c r="Z13" s="37">
        <f>COUNTIFS(Wine1!$E:$E,Identifier!$A13,Wine1!$AA:$AA,Identifier!Z$1)</f>
        <v>0</v>
      </c>
      <c r="AA13" s="37">
        <f>COUNTIFS(Wine1!$E:$E,Identifier!$A13,Wine1!$AA:$AA,Identifier!AA$1)</f>
        <v>0</v>
      </c>
      <c r="AB13" s="37">
        <f>COUNTIFS(Wine1!$E:$E,Identifier!$A13,Wine1!$AA:$AA,Identifier!AB$1)</f>
        <v>0</v>
      </c>
      <c r="AC13" s="37">
        <f>COUNTIFS(Wine1!$E:$E,Identifier!$A13,Wine1!$AA:$AA,Identifier!AC$1)</f>
        <v>0</v>
      </c>
      <c r="AD13" s="37">
        <f>COUNTIFS(Wine1!$E:$E,Identifier!$A13,Wine1!$AA:$AA,Identifier!AD$1)</f>
        <v>0</v>
      </c>
      <c r="AE13" s="37">
        <f>COUNTIFS(Wine1!$E:$E,Identifier!$A13,Wine1!$AA:$AA,Identifier!AE$1)</f>
        <v>0</v>
      </c>
      <c r="AF13" s="37">
        <f>COUNTIFS(Wine1!$E:$E,Identifier!$A13,Wine1!$AA:$AA,Identifier!AF$1)</f>
        <v>0</v>
      </c>
      <c r="AG13" s="37">
        <f>COUNTIFS(Wine1!$E:$E,Identifier!$A13,Wine1!$AA:$AA,Identifier!AG$1)</f>
        <v>0</v>
      </c>
      <c r="AH13" s="37">
        <f>COUNTIFS(Wine1!$E:$E,Identifier!$A13,Wine1!$AA:$AA,Identifier!AH$1)</f>
        <v>0</v>
      </c>
      <c r="AI13" s="37">
        <f>COUNTIFS(Wine1!$E:$E,Identifier!$A13,Wine1!$AA:$AA,Identifier!AI$1)</f>
        <v>0</v>
      </c>
      <c r="AJ13" s="37">
        <f>COUNTIFS(Wine1!$E:$E,Identifier!$A13,Wine1!$AA:$AA,Identifier!AJ$1)</f>
        <v>0</v>
      </c>
    </row>
    <row r="14" spans="1:36" x14ac:dyDescent="0.25">
      <c r="A14" t="s">
        <v>267</v>
      </c>
      <c r="B14" s="37">
        <f>SUMIF(Wine1!E:E,Identifier!A14,Wine1!I:I)</f>
        <v>0</v>
      </c>
      <c r="C14" s="2">
        <f>SUMIF(Wine1!E:E,Identifier!A14,Wine1!AC:AC)</f>
        <v>0</v>
      </c>
      <c r="D14" s="37">
        <f>COUNTIFS(Wine1!E:E,Identifier!A14,Wine1!AA:AA,Identifier!D$1)</f>
        <v>0</v>
      </c>
      <c r="E14" s="37">
        <f>COUNTIFS(Wine1!$E:$E,Identifier!$A14,Wine1!$AA:$AA,Identifier!E$1)</f>
        <v>0</v>
      </c>
      <c r="F14" s="37">
        <f>COUNTIFS(Wine1!$E:$E,Identifier!$A14,Wine1!$AA:$AA,Identifier!F$1)</f>
        <v>0</v>
      </c>
      <c r="G14" s="37">
        <f>COUNTIFS(Wine1!$E:$E,Identifier!$A14,Wine1!$AA:$AA,Identifier!G$1)</f>
        <v>0</v>
      </c>
      <c r="H14" s="37">
        <f>COUNTIFS(Wine1!$E:$E,Identifier!$A14,Wine1!$AA:$AA,Identifier!H$1)</f>
        <v>0</v>
      </c>
      <c r="I14" s="37">
        <f>COUNTIFS(Wine1!$E:$E,Identifier!$A14,Wine1!$AA:$AA,Identifier!I$1)</f>
        <v>0</v>
      </c>
      <c r="J14" s="37">
        <f>COUNTIFS(Wine1!$E:$E,Identifier!$A14,Wine1!$AA:$AA,Identifier!J$1)</f>
        <v>0</v>
      </c>
      <c r="K14" s="37">
        <f>COUNTIFS(Wine1!$E:$E,Identifier!$A14,Wine1!$AA:$AA,Identifier!K$1)</f>
        <v>0</v>
      </c>
      <c r="L14" s="37">
        <f>COUNTIFS(Wine1!$E:$E,Identifier!$A14,Wine1!$AA:$AA,Identifier!L$1)</f>
        <v>0</v>
      </c>
      <c r="M14" s="37">
        <f>COUNTIFS(Wine1!$E:$E,Identifier!$A14,Wine1!$AA:$AA,Identifier!M$1)</f>
        <v>0</v>
      </c>
      <c r="N14" s="37">
        <f>COUNTIFS(Wine1!$E:$E,Identifier!$A14,Wine1!$AA:$AA,Identifier!N$1)</f>
        <v>0</v>
      </c>
      <c r="O14" s="37">
        <f>COUNTIFS(Wine1!$E:$E,Identifier!$A14,Wine1!$AA:$AA,Identifier!O$1)</f>
        <v>0</v>
      </c>
      <c r="P14" s="37">
        <f>COUNTIFS(Wine1!$E:$E,Identifier!$A14,Wine1!$AA:$AA,Identifier!P$1)</f>
        <v>0</v>
      </c>
      <c r="Q14" s="37">
        <f>COUNTIFS(Wine1!$E:$E,Identifier!$A14,Wine1!$AA:$AA,Identifier!Q$1)</f>
        <v>0</v>
      </c>
      <c r="R14" s="37">
        <f>COUNTIFS(Wine1!$E:$E,Identifier!$A14,Wine1!$AA:$AA,Identifier!R$1)</f>
        <v>0</v>
      </c>
      <c r="S14" s="37">
        <f>COUNTIFS(Wine1!$E:$E,Identifier!$A14,Wine1!$AA:$AA,Identifier!S$1)</f>
        <v>0</v>
      </c>
      <c r="T14" s="37">
        <f>COUNTIFS(Wine1!$E:$E,Identifier!$A14,Wine1!$AA:$AA,Identifier!T$1)</f>
        <v>0</v>
      </c>
      <c r="U14" s="37">
        <f>COUNTIFS(Wine1!$E:$E,Identifier!$A14,Wine1!$AA:$AA,Identifier!U$1)</f>
        <v>0</v>
      </c>
      <c r="V14" s="37">
        <f>COUNTIFS(Wine1!$E:$E,Identifier!$A14,Wine1!$AA:$AA,Identifier!V$1)</f>
        <v>0</v>
      </c>
      <c r="W14" s="37">
        <f>COUNTIFS(Wine1!$E:$E,Identifier!$A14,Wine1!$AA:$AA,Identifier!W$1)</f>
        <v>0</v>
      </c>
      <c r="X14" s="37">
        <f>COUNTIFS(Wine1!$E:$E,Identifier!$A14,Wine1!$AA:$AA,Identifier!X$1)</f>
        <v>0</v>
      </c>
      <c r="Y14" s="37">
        <f>COUNTIFS(Wine1!$E:$E,Identifier!$A14,Wine1!$AA:$AA,Identifier!Y$1)</f>
        <v>0</v>
      </c>
      <c r="Z14" s="37">
        <f>COUNTIFS(Wine1!$E:$E,Identifier!$A14,Wine1!$AA:$AA,Identifier!Z$1)</f>
        <v>0</v>
      </c>
      <c r="AA14" s="37">
        <f>COUNTIFS(Wine1!$E:$E,Identifier!$A14,Wine1!$AA:$AA,Identifier!AA$1)</f>
        <v>0</v>
      </c>
      <c r="AB14" s="37">
        <f>COUNTIFS(Wine1!$E:$E,Identifier!$A14,Wine1!$AA:$AA,Identifier!AB$1)</f>
        <v>0</v>
      </c>
      <c r="AC14" s="37">
        <f>COUNTIFS(Wine1!$E:$E,Identifier!$A14,Wine1!$AA:$AA,Identifier!AC$1)</f>
        <v>0</v>
      </c>
      <c r="AD14" s="37">
        <f>COUNTIFS(Wine1!$E:$E,Identifier!$A14,Wine1!$AA:$AA,Identifier!AD$1)</f>
        <v>0</v>
      </c>
      <c r="AE14" s="37">
        <f>COUNTIFS(Wine1!$E:$E,Identifier!$A14,Wine1!$AA:$AA,Identifier!AE$1)</f>
        <v>0</v>
      </c>
      <c r="AF14" s="37">
        <f>COUNTIFS(Wine1!$E:$E,Identifier!$A14,Wine1!$AA:$AA,Identifier!AF$1)</f>
        <v>0</v>
      </c>
      <c r="AG14" s="37">
        <f>COUNTIFS(Wine1!$E:$E,Identifier!$A14,Wine1!$AA:$AA,Identifier!AG$1)</f>
        <v>0</v>
      </c>
      <c r="AH14" s="37">
        <f>COUNTIFS(Wine1!$E:$E,Identifier!$A14,Wine1!$AA:$AA,Identifier!AH$1)</f>
        <v>0</v>
      </c>
      <c r="AI14" s="37">
        <f>COUNTIFS(Wine1!$E:$E,Identifier!$A14,Wine1!$AA:$AA,Identifier!AI$1)</f>
        <v>0</v>
      </c>
      <c r="AJ14" s="37">
        <f>COUNTIFS(Wine1!$E:$E,Identifier!$A14,Wine1!$AA:$AA,Identifier!AJ$1)</f>
        <v>0</v>
      </c>
    </row>
    <row r="15" spans="1:36" x14ac:dyDescent="0.25">
      <c r="A15" t="s">
        <v>310</v>
      </c>
      <c r="B15" s="37">
        <f>SUMIF(Wine1!E:E,Identifier!A15,Wine1!I:I)</f>
        <v>0</v>
      </c>
      <c r="C15" s="2">
        <f>SUMIF(Wine1!E:E,Identifier!A15,Wine1!AC:AC)</f>
        <v>0</v>
      </c>
      <c r="D15" s="37">
        <f>COUNTIFS(Wine1!E:E,Identifier!A15,Wine1!AA:AA,Identifier!D$1)</f>
        <v>0</v>
      </c>
      <c r="E15" s="37">
        <f>COUNTIFS(Wine1!$E:$E,Identifier!$A15,Wine1!$AA:$AA,Identifier!E$1)</f>
        <v>0</v>
      </c>
      <c r="F15" s="37">
        <f>COUNTIFS(Wine1!$E:$E,Identifier!$A15,Wine1!$AA:$AA,Identifier!F$1)</f>
        <v>0</v>
      </c>
      <c r="G15" s="37">
        <f>COUNTIFS(Wine1!$E:$E,Identifier!$A15,Wine1!$AA:$AA,Identifier!G$1)</f>
        <v>0</v>
      </c>
      <c r="H15" s="37">
        <f>COUNTIFS(Wine1!$E:$E,Identifier!$A15,Wine1!$AA:$AA,Identifier!H$1)</f>
        <v>0</v>
      </c>
      <c r="I15" s="37">
        <f>COUNTIFS(Wine1!$E:$E,Identifier!$A15,Wine1!$AA:$AA,Identifier!I$1)</f>
        <v>0</v>
      </c>
      <c r="J15" s="37">
        <f>COUNTIFS(Wine1!$E:$E,Identifier!$A15,Wine1!$AA:$AA,Identifier!J$1)</f>
        <v>0</v>
      </c>
      <c r="K15" s="37">
        <f>COUNTIFS(Wine1!$E:$E,Identifier!$A15,Wine1!$AA:$AA,Identifier!K$1)</f>
        <v>0</v>
      </c>
      <c r="L15" s="37">
        <f>COUNTIFS(Wine1!$E:$E,Identifier!$A15,Wine1!$AA:$AA,Identifier!L$1)</f>
        <v>0</v>
      </c>
      <c r="M15" s="37">
        <f>COUNTIFS(Wine1!$E:$E,Identifier!$A15,Wine1!$AA:$AA,Identifier!M$1)</f>
        <v>0</v>
      </c>
      <c r="N15" s="37">
        <f>COUNTIFS(Wine1!$E:$E,Identifier!$A15,Wine1!$AA:$AA,Identifier!N$1)</f>
        <v>0</v>
      </c>
      <c r="O15" s="37">
        <f>COUNTIFS(Wine1!$E:$E,Identifier!$A15,Wine1!$AA:$AA,Identifier!O$1)</f>
        <v>0</v>
      </c>
      <c r="P15" s="37">
        <f>COUNTIFS(Wine1!$E:$E,Identifier!$A15,Wine1!$AA:$AA,Identifier!P$1)</f>
        <v>0</v>
      </c>
      <c r="Q15" s="37">
        <f>COUNTIFS(Wine1!$E:$E,Identifier!$A15,Wine1!$AA:$AA,Identifier!Q$1)</f>
        <v>0</v>
      </c>
      <c r="R15" s="37">
        <f>COUNTIFS(Wine1!$E:$E,Identifier!$A15,Wine1!$AA:$AA,Identifier!R$1)</f>
        <v>0</v>
      </c>
      <c r="S15" s="37">
        <f>COUNTIFS(Wine1!$E:$E,Identifier!$A15,Wine1!$AA:$AA,Identifier!S$1)</f>
        <v>0</v>
      </c>
      <c r="T15" s="37">
        <f>COUNTIFS(Wine1!$E:$E,Identifier!$A15,Wine1!$AA:$AA,Identifier!T$1)</f>
        <v>0</v>
      </c>
      <c r="U15" s="37">
        <f>COUNTIFS(Wine1!$E:$E,Identifier!$A15,Wine1!$AA:$AA,Identifier!U$1)</f>
        <v>0</v>
      </c>
      <c r="V15" s="37">
        <f>COUNTIFS(Wine1!$E:$E,Identifier!$A15,Wine1!$AA:$AA,Identifier!V$1)</f>
        <v>0</v>
      </c>
      <c r="W15" s="37">
        <f>COUNTIFS(Wine1!$E:$E,Identifier!$A15,Wine1!$AA:$AA,Identifier!W$1)</f>
        <v>0</v>
      </c>
      <c r="X15" s="37">
        <f>COUNTIFS(Wine1!$E:$E,Identifier!$A15,Wine1!$AA:$AA,Identifier!X$1)</f>
        <v>0</v>
      </c>
      <c r="Y15" s="37">
        <f>COUNTIFS(Wine1!$E:$E,Identifier!$A15,Wine1!$AA:$AA,Identifier!Y$1)</f>
        <v>0</v>
      </c>
      <c r="Z15" s="37">
        <f>COUNTIFS(Wine1!$E:$E,Identifier!$A15,Wine1!$AA:$AA,Identifier!Z$1)</f>
        <v>0</v>
      </c>
      <c r="AA15" s="37">
        <f>COUNTIFS(Wine1!$E:$E,Identifier!$A15,Wine1!$AA:$AA,Identifier!AA$1)</f>
        <v>0</v>
      </c>
      <c r="AB15" s="37">
        <f>COUNTIFS(Wine1!$E:$E,Identifier!$A15,Wine1!$AA:$AA,Identifier!AB$1)</f>
        <v>0</v>
      </c>
      <c r="AC15" s="37">
        <f>COUNTIFS(Wine1!$E:$E,Identifier!$A15,Wine1!$AA:$AA,Identifier!AC$1)</f>
        <v>0</v>
      </c>
      <c r="AD15" s="37">
        <f>COUNTIFS(Wine1!$E:$E,Identifier!$A15,Wine1!$AA:$AA,Identifier!AD$1)</f>
        <v>0</v>
      </c>
      <c r="AE15" s="37">
        <f>COUNTIFS(Wine1!$E:$E,Identifier!$A15,Wine1!$AA:$AA,Identifier!AE$1)</f>
        <v>0</v>
      </c>
      <c r="AF15" s="37">
        <f>COUNTIFS(Wine1!$E:$E,Identifier!$A15,Wine1!$AA:$AA,Identifier!AF$1)</f>
        <v>0</v>
      </c>
      <c r="AG15" s="37">
        <f>COUNTIFS(Wine1!$E:$E,Identifier!$A15,Wine1!$AA:$AA,Identifier!AG$1)</f>
        <v>0</v>
      </c>
      <c r="AH15" s="37">
        <f>COUNTIFS(Wine1!$E:$E,Identifier!$A15,Wine1!$AA:$AA,Identifier!AH$1)</f>
        <v>0</v>
      </c>
      <c r="AI15" s="37">
        <f>COUNTIFS(Wine1!$E:$E,Identifier!$A15,Wine1!$AA:$AA,Identifier!AI$1)</f>
        <v>0</v>
      </c>
      <c r="AJ15" s="37">
        <f>COUNTIFS(Wine1!$E:$E,Identifier!$A15,Wine1!$AA:$AA,Identifier!AJ$1)</f>
        <v>0</v>
      </c>
    </row>
    <row r="16" spans="1:36" x14ac:dyDescent="0.25">
      <c r="A16" t="s">
        <v>262</v>
      </c>
      <c r="B16" s="37">
        <f>SUMIF(Wine1!E:E,Identifier!A16,Wine1!I:I)</f>
        <v>2</v>
      </c>
      <c r="C16" s="2">
        <f>SUMIF(Wine1!E:E,Identifier!A16,Wine1!AC:AC)</f>
        <v>59.629999999999995</v>
      </c>
      <c r="D16" s="37">
        <f>COUNTIFS(Wine1!E:E,Identifier!A16,Wine1!AA:AA,Identifier!D$1)</f>
        <v>1</v>
      </c>
      <c r="E16" s="37">
        <f>COUNTIFS(Wine1!$E:$E,Identifier!$A16,Wine1!$AA:$AA,Identifier!E$1)</f>
        <v>0</v>
      </c>
      <c r="F16" s="37">
        <f>COUNTIFS(Wine1!$E:$E,Identifier!$A16,Wine1!$AA:$AA,Identifier!F$1)</f>
        <v>0</v>
      </c>
      <c r="G16" s="37">
        <f>COUNTIFS(Wine1!$E:$E,Identifier!$A16,Wine1!$AA:$AA,Identifier!G$1)</f>
        <v>1</v>
      </c>
      <c r="H16" s="37">
        <f>COUNTIFS(Wine1!$E:$E,Identifier!$A16,Wine1!$AA:$AA,Identifier!H$1)</f>
        <v>0</v>
      </c>
      <c r="I16" s="37">
        <f>COUNTIFS(Wine1!$E:$E,Identifier!$A16,Wine1!$AA:$AA,Identifier!I$1)</f>
        <v>0</v>
      </c>
      <c r="J16" s="37">
        <f>COUNTIFS(Wine1!$E:$E,Identifier!$A16,Wine1!$AA:$AA,Identifier!J$1)</f>
        <v>0</v>
      </c>
      <c r="K16" s="37">
        <f>COUNTIFS(Wine1!$E:$E,Identifier!$A16,Wine1!$AA:$AA,Identifier!K$1)</f>
        <v>0</v>
      </c>
      <c r="L16" s="37">
        <f>COUNTIFS(Wine1!$E:$E,Identifier!$A16,Wine1!$AA:$AA,Identifier!L$1)</f>
        <v>0</v>
      </c>
      <c r="M16" s="37">
        <f>COUNTIFS(Wine1!$E:$E,Identifier!$A16,Wine1!$AA:$AA,Identifier!M$1)</f>
        <v>0</v>
      </c>
      <c r="N16" s="37">
        <f>COUNTIFS(Wine1!$E:$E,Identifier!$A16,Wine1!$AA:$AA,Identifier!N$1)</f>
        <v>0</v>
      </c>
      <c r="O16" s="37">
        <f>COUNTIFS(Wine1!$E:$E,Identifier!$A16,Wine1!$AA:$AA,Identifier!O$1)</f>
        <v>0</v>
      </c>
      <c r="P16" s="37">
        <f>COUNTIFS(Wine1!$E:$E,Identifier!$A16,Wine1!$AA:$AA,Identifier!P$1)</f>
        <v>0</v>
      </c>
      <c r="Q16" s="37">
        <f>COUNTIFS(Wine1!$E:$E,Identifier!$A16,Wine1!$AA:$AA,Identifier!Q$1)</f>
        <v>0</v>
      </c>
      <c r="R16" s="37">
        <f>COUNTIFS(Wine1!$E:$E,Identifier!$A16,Wine1!$AA:$AA,Identifier!R$1)</f>
        <v>0</v>
      </c>
      <c r="S16" s="37">
        <f>COUNTIFS(Wine1!$E:$E,Identifier!$A16,Wine1!$AA:$AA,Identifier!S$1)</f>
        <v>0</v>
      </c>
      <c r="T16" s="37">
        <f>COUNTIFS(Wine1!$E:$E,Identifier!$A16,Wine1!$AA:$AA,Identifier!T$1)</f>
        <v>0</v>
      </c>
      <c r="U16" s="37">
        <f>COUNTIFS(Wine1!$E:$E,Identifier!$A16,Wine1!$AA:$AA,Identifier!U$1)</f>
        <v>0</v>
      </c>
      <c r="V16" s="37">
        <f>COUNTIFS(Wine1!$E:$E,Identifier!$A16,Wine1!$AA:$AA,Identifier!V$1)</f>
        <v>0</v>
      </c>
      <c r="W16" s="37">
        <f>COUNTIFS(Wine1!$E:$E,Identifier!$A16,Wine1!$AA:$AA,Identifier!W$1)</f>
        <v>0</v>
      </c>
      <c r="X16" s="37">
        <f>COUNTIFS(Wine1!$E:$E,Identifier!$A16,Wine1!$AA:$AA,Identifier!X$1)</f>
        <v>0</v>
      </c>
      <c r="Y16" s="37">
        <f>COUNTIFS(Wine1!$E:$E,Identifier!$A16,Wine1!$AA:$AA,Identifier!Y$1)</f>
        <v>0</v>
      </c>
      <c r="Z16" s="37">
        <f>COUNTIFS(Wine1!$E:$E,Identifier!$A16,Wine1!$AA:$AA,Identifier!Z$1)</f>
        <v>0</v>
      </c>
      <c r="AA16" s="37">
        <f>COUNTIFS(Wine1!$E:$E,Identifier!$A16,Wine1!$AA:$AA,Identifier!AA$1)</f>
        <v>0</v>
      </c>
      <c r="AB16" s="37">
        <f>COUNTIFS(Wine1!$E:$E,Identifier!$A16,Wine1!$AA:$AA,Identifier!AB$1)</f>
        <v>0</v>
      </c>
      <c r="AC16" s="37">
        <f>COUNTIFS(Wine1!$E:$E,Identifier!$A16,Wine1!$AA:$AA,Identifier!AC$1)</f>
        <v>0</v>
      </c>
      <c r="AD16" s="37">
        <f>COUNTIFS(Wine1!$E:$E,Identifier!$A16,Wine1!$AA:$AA,Identifier!AD$1)</f>
        <v>0</v>
      </c>
      <c r="AE16" s="37">
        <f>COUNTIFS(Wine1!$E:$E,Identifier!$A16,Wine1!$AA:$AA,Identifier!AE$1)</f>
        <v>0</v>
      </c>
      <c r="AF16" s="37">
        <f>COUNTIFS(Wine1!$E:$E,Identifier!$A16,Wine1!$AA:$AA,Identifier!AF$1)</f>
        <v>0</v>
      </c>
      <c r="AG16" s="37">
        <f>COUNTIFS(Wine1!$E:$E,Identifier!$A16,Wine1!$AA:$AA,Identifier!AG$1)</f>
        <v>0</v>
      </c>
      <c r="AH16" s="37">
        <f>COUNTIFS(Wine1!$E:$E,Identifier!$A16,Wine1!$AA:$AA,Identifier!AH$1)</f>
        <v>0</v>
      </c>
      <c r="AI16" s="37">
        <f>COUNTIFS(Wine1!$E:$E,Identifier!$A16,Wine1!$AA:$AA,Identifier!AI$1)</f>
        <v>0</v>
      </c>
      <c r="AJ16" s="37">
        <f>COUNTIFS(Wine1!$E:$E,Identifier!$A16,Wine1!$AA:$AA,Identifier!AJ$1)</f>
        <v>0</v>
      </c>
    </row>
    <row r="17" spans="1:36" x14ac:dyDescent="0.25">
      <c r="A17" t="s">
        <v>336</v>
      </c>
      <c r="B17" s="37">
        <f>SUMIF(Wine1!E:E,Identifier!A17,Wine1!I:I)</f>
        <v>10</v>
      </c>
      <c r="C17" s="2">
        <f>SUMIF(Wine1!E:E,Identifier!A17,Wine1!AC:AC)</f>
        <v>149.9</v>
      </c>
      <c r="D17" s="37">
        <f>COUNTIFS(Wine1!E:E,Identifier!A17,Wine1!AA:AA,Identifier!D$1)</f>
        <v>0</v>
      </c>
      <c r="E17" s="37">
        <f>COUNTIFS(Wine1!$E:$E,Identifier!$A17,Wine1!$AA:$AA,Identifier!E$1)</f>
        <v>1</v>
      </c>
      <c r="F17" s="37">
        <f>COUNTIFS(Wine1!$E:$E,Identifier!$A17,Wine1!$AA:$AA,Identifier!F$1)</f>
        <v>1</v>
      </c>
      <c r="G17" s="37">
        <f>COUNTIFS(Wine1!$E:$E,Identifier!$A17,Wine1!$AA:$AA,Identifier!G$1)</f>
        <v>1</v>
      </c>
      <c r="H17" s="37">
        <f>COUNTIFS(Wine1!$E:$E,Identifier!$A17,Wine1!$AA:$AA,Identifier!H$1)</f>
        <v>1</v>
      </c>
      <c r="I17" s="37">
        <f>COUNTIFS(Wine1!$E:$E,Identifier!$A17,Wine1!$AA:$AA,Identifier!I$1)</f>
        <v>2</v>
      </c>
      <c r="J17" s="37">
        <f>COUNTIFS(Wine1!$E:$E,Identifier!$A17,Wine1!$AA:$AA,Identifier!J$1)</f>
        <v>1</v>
      </c>
      <c r="K17" s="37">
        <f>COUNTIFS(Wine1!$E:$E,Identifier!$A17,Wine1!$AA:$AA,Identifier!K$1)</f>
        <v>1</v>
      </c>
      <c r="L17" s="37">
        <f>COUNTIFS(Wine1!$E:$E,Identifier!$A17,Wine1!$AA:$AA,Identifier!L$1)</f>
        <v>1</v>
      </c>
      <c r="M17" s="37">
        <f>COUNTIFS(Wine1!$E:$E,Identifier!$A17,Wine1!$AA:$AA,Identifier!M$1)</f>
        <v>1</v>
      </c>
      <c r="N17" s="37">
        <f>COUNTIFS(Wine1!$E:$E,Identifier!$A17,Wine1!$AA:$AA,Identifier!N$1)</f>
        <v>0</v>
      </c>
      <c r="O17" s="37">
        <f>COUNTIFS(Wine1!$E:$E,Identifier!$A17,Wine1!$AA:$AA,Identifier!O$1)</f>
        <v>0</v>
      </c>
      <c r="P17" s="37">
        <f>COUNTIFS(Wine1!$E:$E,Identifier!$A17,Wine1!$AA:$AA,Identifier!P$1)</f>
        <v>0</v>
      </c>
      <c r="Q17" s="37">
        <f>COUNTIFS(Wine1!$E:$E,Identifier!$A17,Wine1!$AA:$AA,Identifier!Q$1)</f>
        <v>0</v>
      </c>
      <c r="R17" s="37">
        <f>COUNTIFS(Wine1!$E:$E,Identifier!$A17,Wine1!$AA:$AA,Identifier!R$1)</f>
        <v>0</v>
      </c>
      <c r="S17" s="37">
        <f>COUNTIFS(Wine1!$E:$E,Identifier!$A17,Wine1!$AA:$AA,Identifier!S$1)</f>
        <v>0</v>
      </c>
      <c r="T17" s="37">
        <f>COUNTIFS(Wine1!$E:$E,Identifier!$A17,Wine1!$AA:$AA,Identifier!T$1)</f>
        <v>0</v>
      </c>
      <c r="U17" s="37">
        <f>COUNTIFS(Wine1!$E:$E,Identifier!$A17,Wine1!$AA:$AA,Identifier!U$1)</f>
        <v>0</v>
      </c>
      <c r="V17" s="37">
        <f>COUNTIFS(Wine1!$E:$E,Identifier!$A17,Wine1!$AA:$AA,Identifier!V$1)</f>
        <v>0</v>
      </c>
      <c r="W17" s="37">
        <f>COUNTIFS(Wine1!$E:$E,Identifier!$A17,Wine1!$AA:$AA,Identifier!W$1)</f>
        <v>0</v>
      </c>
      <c r="X17" s="37">
        <f>COUNTIFS(Wine1!$E:$E,Identifier!$A17,Wine1!$AA:$AA,Identifier!X$1)</f>
        <v>0</v>
      </c>
      <c r="Y17" s="37">
        <f>COUNTIFS(Wine1!$E:$E,Identifier!$A17,Wine1!$AA:$AA,Identifier!Y$1)</f>
        <v>0</v>
      </c>
      <c r="Z17" s="37">
        <f>COUNTIFS(Wine1!$E:$E,Identifier!$A17,Wine1!$AA:$AA,Identifier!Z$1)</f>
        <v>0</v>
      </c>
      <c r="AA17" s="37">
        <f>COUNTIFS(Wine1!$E:$E,Identifier!$A17,Wine1!$AA:$AA,Identifier!AA$1)</f>
        <v>0</v>
      </c>
      <c r="AB17" s="37">
        <f>COUNTIFS(Wine1!$E:$E,Identifier!$A17,Wine1!$AA:$AA,Identifier!AB$1)</f>
        <v>0</v>
      </c>
      <c r="AC17" s="37">
        <f>COUNTIFS(Wine1!$E:$E,Identifier!$A17,Wine1!$AA:$AA,Identifier!AC$1)</f>
        <v>0</v>
      </c>
      <c r="AD17" s="37">
        <f>COUNTIFS(Wine1!$E:$E,Identifier!$A17,Wine1!$AA:$AA,Identifier!AD$1)</f>
        <v>0</v>
      </c>
      <c r="AE17" s="37">
        <f>COUNTIFS(Wine1!$E:$E,Identifier!$A17,Wine1!$AA:$AA,Identifier!AE$1)</f>
        <v>0</v>
      </c>
      <c r="AF17" s="37">
        <f>COUNTIFS(Wine1!$E:$E,Identifier!$A17,Wine1!$AA:$AA,Identifier!AF$1)</f>
        <v>0</v>
      </c>
      <c r="AG17" s="37">
        <f>COUNTIFS(Wine1!$E:$E,Identifier!$A17,Wine1!$AA:$AA,Identifier!AG$1)</f>
        <v>0</v>
      </c>
      <c r="AH17" s="37">
        <f>COUNTIFS(Wine1!$E:$E,Identifier!$A17,Wine1!$AA:$AA,Identifier!AH$1)</f>
        <v>0</v>
      </c>
      <c r="AI17" s="37">
        <f>COUNTIFS(Wine1!$E:$E,Identifier!$A17,Wine1!$AA:$AA,Identifier!AI$1)</f>
        <v>0</v>
      </c>
      <c r="AJ17" s="37">
        <f>COUNTIFS(Wine1!$E:$E,Identifier!$A17,Wine1!$AA:$AA,Identifier!AJ$1)</f>
        <v>0</v>
      </c>
    </row>
    <row r="18" spans="1:36" x14ac:dyDescent="0.25">
      <c r="A18" t="s">
        <v>110</v>
      </c>
      <c r="B18" s="37">
        <f>SUMIF(Wine1!E:E,Identifier!A18,Wine1!I:I)</f>
        <v>1</v>
      </c>
      <c r="C18" s="2">
        <f>SUMIF(Wine1!E:E,Identifier!A18,Wine1!AC:AC)</f>
        <v>22</v>
      </c>
      <c r="D18" s="37">
        <f>COUNTIFS(Wine1!E:E,Identifier!A18,Wine1!AA:AA,Identifier!D$1)</f>
        <v>0</v>
      </c>
      <c r="E18" s="37">
        <f>COUNTIFS(Wine1!$E:$E,Identifier!$A18,Wine1!$AA:$AA,Identifier!E$1)</f>
        <v>0</v>
      </c>
      <c r="F18" s="37">
        <f>COUNTIFS(Wine1!$E:$E,Identifier!$A18,Wine1!$AA:$AA,Identifier!F$1)</f>
        <v>0</v>
      </c>
      <c r="G18" s="37">
        <f>COUNTIFS(Wine1!$E:$E,Identifier!$A18,Wine1!$AA:$AA,Identifier!G$1)</f>
        <v>1</v>
      </c>
      <c r="H18" s="37">
        <f>COUNTIFS(Wine1!$E:$E,Identifier!$A18,Wine1!$AA:$AA,Identifier!H$1)</f>
        <v>0</v>
      </c>
      <c r="I18" s="37">
        <f>COUNTIFS(Wine1!$E:$E,Identifier!$A18,Wine1!$AA:$AA,Identifier!I$1)</f>
        <v>0</v>
      </c>
      <c r="J18" s="37">
        <f>COUNTIFS(Wine1!$E:$E,Identifier!$A18,Wine1!$AA:$AA,Identifier!J$1)</f>
        <v>0</v>
      </c>
      <c r="K18" s="37">
        <f>COUNTIFS(Wine1!$E:$E,Identifier!$A18,Wine1!$AA:$AA,Identifier!K$1)</f>
        <v>0</v>
      </c>
      <c r="L18" s="37">
        <f>COUNTIFS(Wine1!$E:$E,Identifier!$A18,Wine1!$AA:$AA,Identifier!L$1)</f>
        <v>0</v>
      </c>
      <c r="M18" s="37">
        <f>COUNTIFS(Wine1!$E:$E,Identifier!$A18,Wine1!$AA:$AA,Identifier!M$1)</f>
        <v>0</v>
      </c>
      <c r="N18" s="37">
        <f>COUNTIFS(Wine1!$E:$E,Identifier!$A18,Wine1!$AA:$AA,Identifier!N$1)</f>
        <v>0</v>
      </c>
      <c r="O18" s="37">
        <f>COUNTIFS(Wine1!$E:$E,Identifier!$A18,Wine1!$AA:$AA,Identifier!O$1)</f>
        <v>0</v>
      </c>
      <c r="P18" s="37">
        <f>COUNTIFS(Wine1!$E:$E,Identifier!$A18,Wine1!$AA:$AA,Identifier!P$1)</f>
        <v>0</v>
      </c>
      <c r="Q18" s="37">
        <f>COUNTIFS(Wine1!$E:$E,Identifier!$A18,Wine1!$AA:$AA,Identifier!Q$1)</f>
        <v>0</v>
      </c>
      <c r="R18" s="37">
        <f>COUNTIFS(Wine1!$E:$E,Identifier!$A18,Wine1!$AA:$AA,Identifier!R$1)</f>
        <v>0</v>
      </c>
      <c r="S18" s="37">
        <f>COUNTIFS(Wine1!$E:$E,Identifier!$A18,Wine1!$AA:$AA,Identifier!S$1)</f>
        <v>0</v>
      </c>
      <c r="T18" s="37">
        <f>COUNTIFS(Wine1!$E:$E,Identifier!$A18,Wine1!$AA:$AA,Identifier!T$1)</f>
        <v>0</v>
      </c>
      <c r="U18" s="37">
        <f>COUNTIFS(Wine1!$E:$E,Identifier!$A18,Wine1!$AA:$AA,Identifier!U$1)</f>
        <v>0</v>
      </c>
      <c r="V18" s="37">
        <f>COUNTIFS(Wine1!$E:$E,Identifier!$A18,Wine1!$AA:$AA,Identifier!V$1)</f>
        <v>0</v>
      </c>
      <c r="W18" s="37">
        <f>COUNTIFS(Wine1!$E:$E,Identifier!$A18,Wine1!$AA:$AA,Identifier!W$1)</f>
        <v>0</v>
      </c>
      <c r="X18" s="37">
        <f>COUNTIFS(Wine1!$E:$E,Identifier!$A18,Wine1!$AA:$AA,Identifier!X$1)</f>
        <v>0</v>
      </c>
      <c r="Y18" s="37">
        <f>COUNTIFS(Wine1!$E:$E,Identifier!$A18,Wine1!$AA:$AA,Identifier!Y$1)</f>
        <v>0</v>
      </c>
      <c r="Z18" s="37">
        <f>COUNTIFS(Wine1!$E:$E,Identifier!$A18,Wine1!$AA:$AA,Identifier!Z$1)</f>
        <v>0</v>
      </c>
      <c r="AA18" s="37">
        <f>COUNTIFS(Wine1!$E:$E,Identifier!$A18,Wine1!$AA:$AA,Identifier!AA$1)</f>
        <v>0</v>
      </c>
      <c r="AB18" s="37">
        <f>COUNTIFS(Wine1!$E:$E,Identifier!$A18,Wine1!$AA:$AA,Identifier!AB$1)</f>
        <v>0</v>
      </c>
      <c r="AC18" s="37">
        <f>COUNTIFS(Wine1!$E:$E,Identifier!$A18,Wine1!$AA:$AA,Identifier!AC$1)</f>
        <v>0</v>
      </c>
      <c r="AD18" s="37">
        <f>COUNTIFS(Wine1!$E:$E,Identifier!$A18,Wine1!$AA:$AA,Identifier!AD$1)</f>
        <v>0</v>
      </c>
      <c r="AE18" s="37">
        <f>COUNTIFS(Wine1!$E:$E,Identifier!$A18,Wine1!$AA:$AA,Identifier!AE$1)</f>
        <v>0</v>
      </c>
      <c r="AF18" s="37">
        <f>COUNTIFS(Wine1!$E:$E,Identifier!$A18,Wine1!$AA:$AA,Identifier!AF$1)</f>
        <v>0</v>
      </c>
      <c r="AG18" s="37">
        <f>COUNTIFS(Wine1!$E:$E,Identifier!$A18,Wine1!$AA:$AA,Identifier!AG$1)</f>
        <v>0</v>
      </c>
      <c r="AH18" s="37">
        <f>COUNTIFS(Wine1!$E:$E,Identifier!$A18,Wine1!$AA:$AA,Identifier!AH$1)</f>
        <v>0</v>
      </c>
      <c r="AI18" s="37">
        <f>COUNTIFS(Wine1!$E:$E,Identifier!$A18,Wine1!$AA:$AA,Identifier!AI$1)</f>
        <v>0</v>
      </c>
      <c r="AJ18" s="37">
        <f>COUNTIFS(Wine1!$E:$E,Identifier!$A18,Wine1!$AA:$AA,Identifier!AJ$1)</f>
        <v>0</v>
      </c>
    </row>
    <row r="19" spans="1:36" x14ac:dyDescent="0.25">
      <c r="A19" t="s">
        <v>227</v>
      </c>
      <c r="B19" s="37">
        <f>SUMIF(Wine1!E:E,Identifier!A19,Wine1!I:I)</f>
        <v>3</v>
      </c>
      <c r="C19" s="2">
        <f>SUMIF(Wine1!E:E,Identifier!A19,Wine1!AC:AC)</f>
        <v>65.97</v>
      </c>
      <c r="D19" s="37">
        <f>COUNTIFS(Wine1!E:E,Identifier!A19,Wine1!AA:AA,Identifier!D$1)</f>
        <v>0</v>
      </c>
      <c r="E19" s="37">
        <f>COUNTIFS(Wine1!$E:$E,Identifier!$A19,Wine1!$AA:$AA,Identifier!E$1)</f>
        <v>1</v>
      </c>
      <c r="F19" s="37">
        <f>COUNTIFS(Wine1!$E:$E,Identifier!$A19,Wine1!$AA:$AA,Identifier!F$1)</f>
        <v>0</v>
      </c>
      <c r="G19" s="37">
        <f>COUNTIFS(Wine1!$E:$E,Identifier!$A19,Wine1!$AA:$AA,Identifier!G$1)</f>
        <v>1</v>
      </c>
      <c r="H19" s="37">
        <f>COUNTIFS(Wine1!$E:$E,Identifier!$A19,Wine1!$AA:$AA,Identifier!H$1)</f>
        <v>0</v>
      </c>
      <c r="I19" s="37">
        <f>COUNTIFS(Wine1!$E:$E,Identifier!$A19,Wine1!$AA:$AA,Identifier!I$1)</f>
        <v>1</v>
      </c>
      <c r="J19" s="37">
        <f>COUNTIFS(Wine1!$E:$E,Identifier!$A19,Wine1!$AA:$AA,Identifier!J$1)</f>
        <v>0</v>
      </c>
      <c r="K19" s="37">
        <f>COUNTIFS(Wine1!$E:$E,Identifier!$A19,Wine1!$AA:$AA,Identifier!K$1)</f>
        <v>0</v>
      </c>
      <c r="L19" s="37">
        <f>COUNTIFS(Wine1!$E:$E,Identifier!$A19,Wine1!$AA:$AA,Identifier!L$1)</f>
        <v>0</v>
      </c>
      <c r="M19" s="37">
        <f>COUNTIFS(Wine1!$E:$E,Identifier!$A19,Wine1!$AA:$AA,Identifier!M$1)</f>
        <v>0</v>
      </c>
      <c r="N19" s="37">
        <f>COUNTIFS(Wine1!$E:$E,Identifier!$A19,Wine1!$AA:$AA,Identifier!N$1)</f>
        <v>0</v>
      </c>
      <c r="O19" s="37">
        <f>COUNTIFS(Wine1!$E:$E,Identifier!$A19,Wine1!$AA:$AA,Identifier!O$1)</f>
        <v>0</v>
      </c>
      <c r="P19" s="37">
        <f>COUNTIFS(Wine1!$E:$E,Identifier!$A19,Wine1!$AA:$AA,Identifier!P$1)</f>
        <v>0</v>
      </c>
      <c r="Q19" s="37">
        <f>COUNTIFS(Wine1!$E:$E,Identifier!$A19,Wine1!$AA:$AA,Identifier!Q$1)</f>
        <v>0</v>
      </c>
      <c r="R19" s="37">
        <f>COUNTIFS(Wine1!$E:$E,Identifier!$A19,Wine1!$AA:$AA,Identifier!R$1)</f>
        <v>0</v>
      </c>
      <c r="S19" s="37">
        <f>COUNTIFS(Wine1!$E:$E,Identifier!$A19,Wine1!$AA:$AA,Identifier!S$1)</f>
        <v>0</v>
      </c>
      <c r="T19" s="37">
        <f>COUNTIFS(Wine1!$E:$E,Identifier!$A19,Wine1!$AA:$AA,Identifier!T$1)</f>
        <v>0</v>
      </c>
      <c r="U19" s="37">
        <f>COUNTIFS(Wine1!$E:$E,Identifier!$A19,Wine1!$AA:$AA,Identifier!U$1)</f>
        <v>0</v>
      </c>
      <c r="V19" s="37">
        <f>COUNTIFS(Wine1!$E:$E,Identifier!$A19,Wine1!$AA:$AA,Identifier!V$1)</f>
        <v>0</v>
      </c>
      <c r="W19" s="37">
        <f>COUNTIFS(Wine1!$E:$E,Identifier!$A19,Wine1!$AA:$AA,Identifier!W$1)</f>
        <v>0</v>
      </c>
      <c r="X19" s="37">
        <f>COUNTIFS(Wine1!$E:$E,Identifier!$A19,Wine1!$AA:$AA,Identifier!X$1)</f>
        <v>0</v>
      </c>
      <c r="Y19" s="37">
        <f>COUNTIFS(Wine1!$E:$E,Identifier!$A19,Wine1!$AA:$AA,Identifier!Y$1)</f>
        <v>0</v>
      </c>
      <c r="Z19" s="37">
        <f>COUNTIFS(Wine1!$E:$E,Identifier!$A19,Wine1!$AA:$AA,Identifier!Z$1)</f>
        <v>0</v>
      </c>
      <c r="AA19" s="37">
        <f>COUNTIFS(Wine1!$E:$E,Identifier!$A19,Wine1!$AA:$AA,Identifier!AA$1)</f>
        <v>0</v>
      </c>
      <c r="AB19" s="37">
        <f>COUNTIFS(Wine1!$E:$E,Identifier!$A19,Wine1!$AA:$AA,Identifier!AB$1)</f>
        <v>0</v>
      </c>
      <c r="AC19" s="37">
        <f>COUNTIFS(Wine1!$E:$E,Identifier!$A19,Wine1!$AA:$AA,Identifier!AC$1)</f>
        <v>0</v>
      </c>
      <c r="AD19" s="37">
        <f>COUNTIFS(Wine1!$E:$E,Identifier!$A19,Wine1!$AA:$AA,Identifier!AD$1)</f>
        <v>0</v>
      </c>
      <c r="AE19" s="37">
        <f>COUNTIFS(Wine1!$E:$E,Identifier!$A19,Wine1!$AA:$AA,Identifier!AE$1)</f>
        <v>0</v>
      </c>
      <c r="AF19" s="37">
        <f>COUNTIFS(Wine1!$E:$E,Identifier!$A19,Wine1!$AA:$AA,Identifier!AF$1)</f>
        <v>0</v>
      </c>
      <c r="AG19" s="37">
        <f>COUNTIFS(Wine1!$E:$E,Identifier!$A19,Wine1!$AA:$AA,Identifier!AG$1)</f>
        <v>0</v>
      </c>
      <c r="AH19" s="37">
        <f>COUNTIFS(Wine1!$E:$E,Identifier!$A19,Wine1!$AA:$AA,Identifier!AH$1)</f>
        <v>0</v>
      </c>
      <c r="AI19" s="37">
        <f>COUNTIFS(Wine1!$E:$E,Identifier!$A19,Wine1!$AA:$AA,Identifier!AI$1)</f>
        <v>0</v>
      </c>
      <c r="AJ19" s="37">
        <f>COUNTIFS(Wine1!$E:$E,Identifier!$A19,Wine1!$AA:$AA,Identifier!AJ$1)</f>
        <v>0</v>
      </c>
    </row>
    <row r="20" spans="1:36" x14ac:dyDescent="0.25">
      <c r="A20" t="s">
        <v>284</v>
      </c>
      <c r="B20" s="37">
        <f>SUMIF(Wine1!E:E,Identifier!A20,Wine1!I:I)</f>
        <v>3</v>
      </c>
      <c r="C20" s="2">
        <f>SUMIF(Wine1!E:E,Identifier!A20,Wine1!AC:AC)</f>
        <v>191</v>
      </c>
      <c r="D20" s="37">
        <f>COUNTIFS(Wine1!E:E,Identifier!A20,Wine1!AA:AA,Identifier!D$1)</f>
        <v>0</v>
      </c>
      <c r="E20" s="37">
        <f>COUNTIFS(Wine1!$E:$E,Identifier!$A20,Wine1!$AA:$AA,Identifier!E$1)</f>
        <v>1</v>
      </c>
      <c r="F20" s="37">
        <f>COUNTIFS(Wine1!$E:$E,Identifier!$A20,Wine1!$AA:$AA,Identifier!F$1)</f>
        <v>0</v>
      </c>
      <c r="G20" s="37">
        <f>COUNTIFS(Wine1!$E:$E,Identifier!$A20,Wine1!$AA:$AA,Identifier!G$1)</f>
        <v>0</v>
      </c>
      <c r="H20" s="37">
        <f>COUNTIFS(Wine1!$E:$E,Identifier!$A20,Wine1!$AA:$AA,Identifier!H$1)</f>
        <v>1</v>
      </c>
      <c r="I20" s="37">
        <f>COUNTIFS(Wine1!$E:$E,Identifier!$A20,Wine1!$AA:$AA,Identifier!I$1)</f>
        <v>0</v>
      </c>
      <c r="J20" s="37">
        <f>COUNTIFS(Wine1!$E:$E,Identifier!$A20,Wine1!$AA:$AA,Identifier!J$1)</f>
        <v>0</v>
      </c>
      <c r="K20" s="37">
        <f>COUNTIFS(Wine1!$E:$E,Identifier!$A20,Wine1!$AA:$AA,Identifier!K$1)</f>
        <v>0</v>
      </c>
      <c r="L20" s="37">
        <f>COUNTIFS(Wine1!$E:$E,Identifier!$A20,Wine1!$AA:$AA,Identifier!L$1)</f>
        <v>1</v>
      </c>
      <c r="M20" s="37">
        <f>COUNTIFS(Wine1!$E:$E,Identifier!$A20,Wine1!$AA:$AA,Identifier!M$1)</f>
        <v>0</v>
      </c>
      <c r="N20" s="37">
        <f>COUNTIFS(Wine1!$E:$E,Identifier!$A20,Wine1!$AA:$AA,Identifier!N$1)</f>
        <v>0</v>
      </c>
      <c r="O20" s="37">
        <f>COUNTIFS(Wine1!$E:$E,Identifier!$A20,Wine1!$AA:$AA,Identifier!O$1)</f>
        <v>0</v>
      </c>
      <c r="P20" s="37">
        <f>COUNTIFS(Wine1!$E:$E,Identifier!$A20,Wine1!$AA:$AA,Identifier!P$1)</f>
        <v>0</v>
      </c>
      <c r="Q20" s="37">
        <f>COUNTIFS(Wine1!$E:$E,Identifier!$A20,Wine1!$AA:$AA,Identifier!Q$1)</f>
        <v>0</v>
      </c>
      <c r="R20" s="37">
        <f>COUNTIFS(Wine1!$E:$E,Identifier!$A20,Wine1!$AA:$AA,Identifier!R$1)</f>
        <v>0</v>
      </c>
      <c r="S20" s="37">
        <f>COUNTIFS(Wine1!$E:$E,Identifier!$A20,Wine1!$AA:$AA,Identifier!S$1)</f>
        <v>0</v>
      </c>
      <c r="T20" s="37">
        <f>COUNTIFS(Wine1!$E:$E,Identifier!$A20,Wine1!$AA:$AA,Identifier!T$1)</f>
        <v>0</v>
      </c>
      <c r="U20" s="37">
        <f>COUNTIFS(Wine1!$E:$E,Identifier!$A20,Wine1!$AA:$AA,Identifier!U$1)</f>
        <v>0</v>
      </c>
      <c r="V20" s="37">
        <f>COUNTIFS(Wine1!$E:$E,Identifier!$A20,Wine1!$AA:$AA,Identifier!V$1)</f>
        <v>0</v>
      </c>
      <c r="W20" s="37">
        <f>COUNTIFS(Wine1!$E:$E,Identifier!$A20,Wine1!$AA:$AA,Identifier!W$1)</f>
        <v>0</v>
      </c>
      <c r="X20" s="37">
        <f>COUNTIFS(Wine1!$E:$E,Identifier!$A20,Wine1!$AA:$AA,Identifier!X$1)</f>
        <v>0</v>
      </c>
      <c r="Y20" s="37">
        <f>COUNTIFS(Wine1!$E:$E,Identifier!$A20,Wine1!$AA:$AA,Identifier!Y$1)</f>
        <v>0</v>
      </c>
      <c r="Z20" s="37">
        <f>COUNTIFS(Wine1!$E:$E,Identifier!$A20,Wine1!$AA:$AA,Identifier!Z$1)</f>
        <v>0</v>
      </c>
      <c r="AA20" s="37">
        <f>COUNTIFS(Wine1!$E:$E,Identifier!$A20,Wine1!$AA:$AA,Identifier!AA$1)</f>
        <v>0</v>
      </c>
      <c r="AB20" s="37">
        <f>COUNTIFS(Wine1!$E:$E,Identifier!$A20,Wine1!$AA:$AA,Identifier!AB$1)</f>
        <v>0</v>
      </c>
      <c r="AC20" s="37">
        <f>COUNTIFS(Wine1!$E:$E,Identifier!$A20,Wine1!$AA:$AA,Identifier!AC$1)</f>
        <v>0</v>
      </c>
      <c r="AD20" s="37">
        <f>COUNTIFS(Wine1!$E:$E,Identifier!$A20,Wine1!$AA:$AA,Identifier!AD$1)</f>
        <v>0</v>
      </c>
      <c r="AE20" s="37">
        <f>COUNTIFS(Wine1!$E:$E,Identifier!$A20,Wine1!$AA:$AA,Identifier!AE$1)</f>
        <v>0</v>
      </c>
      <c r="AF20" s="37">
        <f>COUNTIFS(Wine1!$E:$E,Identifier!$A20,Wine1!$AA:$AA,Identifier!AF$1)</f>
        <v>0</v>
      </c>
      <c r="AG20" s="37">
        <f>COUNTIFS(Wine1!$E:$E,Identifier!$A20,Wine1!$AA:$AA,Identifier!AG$1)</f>
        <v>0</v>
      </c>
      <c r="AH20" s="37">
        <f>COUNTIFS(Wine1!$E:$E,Identifier!$A20,Wine1!$AA:$AA,Identifier!AH$1)</f>
        <v>0</v>
      </c>
      <c r="AI20" s="37">
        <f>COUNTIFS(Wine1!$E:$E,Identifier!$A20,Wine1!$AA:$AA,Identifier!AI$1)</f>
        <v>0</v>
      </c>
      <c r="AJ20" s="37">
        <f>COUNTIFS(Wine1!$E:$E,Identifier!$A20,Wine1!$AA:$AA,Identifier!AJ$1)</f>
        <v>0</v>
      </c>
    </row>
    <row r="21" spans="1:36" x14ac:dyDescent="0.25">
      <c r="A21" t="s">
        <v>283</v>
      </c>
      <c r="B21" s="37">
        <f>SUMIF(Wine1!E:E,Identifier!A21,Wine1!I:I)</f>
        <v>0</v>
      </c>
      <c r="C21" s="2">
        <f>SUMIF(Wine1!E:E,Identifier!A21,Wine1!AC:AC)</f>
        <v>0</v>
      </c>
      <c r="D21" s="37">
        <f>COUNTIFS(Wine1!E:E,Identifier!A21,Wine1!AA:AA,Identifier!D$1)</f>
        <v>0</v>
      </c>
      <c r="E21" s="37">
        <f>COUNTIFS(Wine1!$E:$E,Identifier!$A21,Wine1!$AA:$AA,Identifier!E$1)</f>
        <v>0</v>
      </c>
      <c r="F21" s="37">
        <f>COUNTIFS(Wine1!$E:$E,Identifier!$A21,Wine1!$AA:$AA,Identifier!F$1)</f>
        <v>0</v>
      </c>
      <c r="G21" s="37">
        <f>COUNTIFS(Wine1!$E:$E,Identifier!$A21,Wine1!$AA:$AA,Identifier!G$1)</f>
        <v>0</v>
      </c>
      <c r="H21" s="37">
        <f>COUNTIFS(Wine1!$E:$E,Identifier!$A21,Wine1!$AA:$AA,Identifier!H$1)</f>
        <v>0</v>
      </c>
      <c r="I21" s="37">
        <f>COUNTIFS(Wine1!$E:$E,Identifier!$A21,Wine1!$AA:$AA,Identifier!I$1)</f>
        <v>0</v>
      </c>
      <c r="J21" s="37">
        <f>COUNTIFS(Wine1!$E:$E,Identifier!$A21,Wine1!$AA:$AA,Identifier!J$1)</f>
        <v>0</v>
      </c>
      <c r="K21" s="37">
        <f>COUNTIFS(Wine1!$E:$E,Identifier!$A21,Wine1!$AA:$AA,Identifier!K$1)</f>
        <v>0</v>
      </c>
      <c r="L21" s="37">
        <f>COUNTIFS(Wine1!$E:$E,Identifier!$A21,Wine1!$AA:$AA,Identifier!L$1)</f>
        <v>0</v>
      </c>
      <c r="M21" s="37">
        <f>COUNTIFS(Wine1!$E:$E,Identifier!$A21,Wine1!$AA:$AA,Identifier!M$1)</f>
        <v>0</v>
      </c>
      <c r="N21" s="37">
        <f>COUNTIFS(Wine1!$E:$E,Identifier!$A21,Wine1!$AA:$AA,Identifier!N$1)</f>
        <v>0</v>
      </c>
      <c r="O21" s="37">
        <f>COUNTIFS(Wine1!$E:$E,Identifier!$A21,Wine1!$AA:$AA,Identifier!O$1)</f>
        <v>0</v>
      </c>
      <c r="P21" s="37">
        <f>COUNTIFS(Wine1!$E:$E,Identifier!$A21,Wine1!$AA:$AA,Identifier!P$1)</f>
        <v>0</v>
      </c>
      <c r="Q21" s="37">
        <f>COUNTIFS(Wine1!$E:$E,Identifier!$A21,Wine1!$AA:$AA,Identifier!Q$1)</f>
        <v>0</v>
      </c>
      <c r="R21" s="37">
        <f>COUNTIFS(Wine1!$E:$E,Identifier!$A21,Wine1!$AA:$AA,Identifier!R$1)</f>
        <v>0</v>
      </c>
      <c r="S21" s="37">
        <f>COUNTIFS(Wine1!$E:$E,Identifier!$A21,Wine1!$AA:$AA,Identifier!S$1)</f>
        <v>0</v>
      </c>
      <c r="T21" s="37">
        <f>COUNTIFS(Wine1!$E:$E,Identifier!$A21,Wine1!$AA:$AA,Identifier!T$1)</f>
        <v>0</v>
      </c>
      <c r="U21" s="37">
        <f>COUNTIFS(Wine1!$E:$E,Identifier!$A21,Wine1!$AA:$AA,Identifier!U$1)</f>
        <v>0</v>
      </c>
      <c r="V21" s="37">
        <f>COUNTIFS(Wine1!$E:$E,Identifier!$A21,Wine1!$AA:$AA,Identifier!V$1)</f>
        <v>0</v>
      </c>
      <c r="W21" s="37">
        <f>COUNTIFS(Wine1!$E:$E,Identifier!$A21,Wine1!$AA:$AA,Identifier!W$1)</f>
        <v>0</v>
      </c>
      <c r="X21" s="37">
        <f>COUNTIFS(Wine1!$E:$E,Identifier!$A21,Wine1!$AA:$AA,Identifier!X$1)</f>
        <v>0</v>
      </c>
      <c r="Y21" s="37">
        <f>COUNTIFS(Wine1!$E:$E,Identifier!$A21,Wine1!$AA:$AA,Identifier!Y$1)</f>
        <v>0</v>
      </c>
      <c r="Z21" s="37">
        <f>COUNTIFS(Wine1!$E:$E,Identifier!$A21,Wine1!$AA:$AA,Identifier!Z$1)</f>
        <v>0</v>
      </c>
      <c r="AA21" s="37">
        <f>COUNTIFS(Wine1!$E:$E,Identifier!$A21,Wine1!$AA:$AA,Identifier!AA$1)</f>
        <v>0</v>
      </c>
      <c r="AB21" s="37">
        <f>COUNTIFS(Wine1!$E:$E,Identifier!$A21,Wine1!$AA:$AA,Identifier!AB$1)</f>
        <v>0</v>
      </c>
      <c r="AC21" s="37">
        <f>COUNTIFS(Wine1!$E:$E,Identifier!$A21,Wine1!$AA:$AA,Identifier!AC$1)</f>
        <v>0</v>
      </c>
      <c r="AD21" s="37">
        <f>COUNTIFS(Wine1!$E:$E,Identifier!$A21,Wine1!$AA:$AA,Identifier!AD$1)</f>
        <v>0</v>
      </c>
      <c r="AE21" s="37">
        <f>COUNTIFS(Wine1!$E:$E,Identifier!$A21,Wine1!$AA:$AA,Identifier!AE$1)</f>
        <v>0</v>
      </c>
      <c r="AF21" s="37">
        <f>COUNTIFS(Wine1!$E:$E,Identifier!$A21,Wine1!$AA:$AA,Identifier!AF$1)</f>
        <v>0</v>
      </c>
      <c r="AG21" s="37">
        <f>COUNTIFS(Wine1!$E:$E,Identifier!$A21,Wine1!$AA:$AA,Identifier!AG$1)</f>
        <v>0</v>
      </c>
      <c r="AH21" s="37">
        <f>COUNTIFS(Wine1!$E:$E,Identifier!$A21,Wine1!$AA:$AA,Identifier!AH$1)</f>
        <v>0</v>
      </c>
      <c r="AI21" s="37">
        <f>COUNTIFS(Wine1!$E:$E,Identifier!$A21,Wine1!$AA:$AA,Identifier!AI$1)</f>
        <v>0</v>
      </c>
      <c r="AJ21" s="37">
        <f>COUNTIFS(Wine1!$E:$E,Identifier!$A21,Wine1!$AA:$AA,Identifier!AJ$1)</f>
        <v>0</v>
      </c>
    </row>
    <row r="22" spans="1:36" x14ac:dyDescent="0.25">
      <c r="A22" t="s">
        <v>286</v>
      </c>
      <c r="B22" s="37">
        <f>SUMIF(Wine1!E:E,Identifier!A22,Wine1!I:I)</f>
        <v>10</v>
      </c>
      <c r="C22" s="2">
        <f>SUMIF(Wine1!E:E,Identifier!A22,Wine1!AC:AC)</f>
        <v>141.1</v>
      </c>
      <c r="D22" s="37">
        <f>COUNTIFS(Wine1!E:E,Identifier!A22,Wine1!AA:AA,Identifier!D$1)</f>
        <v>3</v>
      </c>
      <c r="E22" s="37">
        <f>COUNTIFS(Wine1!$E:$E,Identifier!$A22,Wine1!$AA:$AA,Identifier!E$1)</f>
        <v>2</v>
      </c>
      <c r="F22" s="37">
        <f>COUNTIFS(Wine1!$E:$E,Identifier!$A22,Wine1!$AA:$AA,Identifier!F$1)</f>
        <v>1</v>
      </c>
      <c r="G22" s="37">
        <f>COUNTIFS(Wine1!$E:$E,Identifier!$A22,Wine1!$AA:$AA,Identifier!G$1)</f>
        <v>1</v>
      </c>
      <c r="H22" s="37">
        <f>COUNTIFS(Wine1!$E:$E,Identifier!$A22,Wine1!$AA:$AA,Identifier!H$1)</f>
        <v>1</v>
      </c>
      <c r="I22" s="37">
        <f>COUNTIFS(Wine1!$E:$E,Identifier!$A22,Wine1!$AA:$AA,Identifier!I$1)</f>
        <v>2</v>
      </c>
      <c r="J22" s="37">
        <f>COUNTIFS(Wine1!$E:$E,Identifier!$A22,Wine1!$AA:$AA,Identifier!J$1)</f>
        <v>0</v>
      </c>
      <c r="K22" s="37">
        <f>COUNTIFS(Wine1!$E:$E,Identifier!$A22,Wine1!$AA:$AA,Identifier!K$1)</f>
        <v>0</v>
      </c>
      <c r="L22" s="37">
        <f>COUNTIFS(Wine1!$E:$E,Identifier!$A22,Wine1!$AA:$AA,Identifier!L$1)</f>
        <v>0</v>
      </c>
      <c r="M22" s="37">
        <f>COUNTIFS(Wine1!$E:$E,Identifier!$A22,Wine1!$AA:$AA,Identifier!M$1)</f>
        <v>0</v>
      </c>
      <c r="N22" s="37">
        <f>COUNTIFS(Wine1!$E:$E,Identifier!$A22,Wine1!$AA:$AA,Identifier!N$1)</f>
        <v>0</v>
      </c>
      <c r="O22" s="37">
        <f>COUNTIFS(Wine1!$E:$E,Identifier!$A22,Wine1!$AA:$AA,Identifier!O$1)</f>
        <v>0</v>
      </c>
      <c r="P22" s="37">
        <f>COUNTIFS(Wine1!$E:$E,Identifier!$A22,Wine1!$AA:$AA,Identifier!P$1)</f>
        <v>0</v>
      </c>
      <c r="Q22" s="37">
        <f>COUNTIFS(Wine1!$E:$E,Identifier!$A22,Wine1!$AA:$AA,Identifier!Q$1)</f>
        <v>0</v>
      </c>
      <c r="R22" s="37">
        <f>COUNTIFS(Wine1!$E:$E,Identifier!$A22,Wine1!$AA:$AA,Identifier!R$1)</f>
        <v>0</v>
      </c>
      <c r="S22" s="37">
        <f>COUNTIFS(Wine1!$E:$E,Identifier!$A22,Wine1!$AA:$AA,Identifier!S$1)</f>
        <v>0</v>
      </c>
      <c r="T22" s="37">
        <f>COUNTIFS(Wine1!$E:$E,Identifier!$A22,Wine1!$AA:$AA,Identifier!T$1)</f>
        <v>0</v>
      </c>
      <c r="U22" s="37">
        <f>COUNTIFS(Wine1!$E:$E,Identifier!$A22,Wine1!$AA:$AA,Identifier!U$1)</f>
        <v>0</v>
      </c>
      <c r="V22" s="37">
        <f>COUNTIFS(Wine1!$E:$E,Identifier!$A22,Wine1!$AA:$AA,Identifier!V$1)</f>
        <v>0</v>
      </c>
      <c r="W22" s="37">
        <f>COUNTIFS(Wine1!$E:$E,Identifier!$A22,Wine1!$AA:$AA,Identifier!W$1)</f>
        <v>0</v>
      </c>
      <c r="X22" s="37">
        <f>COUNTIFS(Wine1!$E:$E,Identifier!$A22,Wine1!$AA:$AA,Identifier!X$1)</f>
        <v>0</v>
      </c>
      <c r="Y22" s="37">
        <f>COUNTIFS(Wine1!$E:$E,Identifier!$A22,Wine1!$AA:$AA,Identifier!Y$1)</f>
        <v>0</v>
      </c>
      <c r="Z22" s="37">
        <f>COUNTIFS(Wine1!$E:$E,Identifier!$A22,Wine1!$AA:$AA,Identifier!Z$1)</f>
        <v>0</v>
      </c>
      <c r="AA22" s="37">
        <f>COUNTIFS(Wine1!$E:$E,Identifier!$A22,Wine1!$AA:$AA,Identifier!AA$1)</f>
        <v>0</v>
      </c>
      <c r="AB22" s="37">
        <f>COUNTIFS(Wine1!$E:$E,Identifier!$A22,Wine1!$AA:$AA,Identifier!AB$1)</f>
        <v>0</v>
      </c>
      <c r="AC22" s="37">
        <f>COUNTIFS(Wine1!$E:$E,Identifier!$A22,Wine1!$AA:$AA,Identifier!AC$1)</f>
        <v>0</v>
      </c>
      <c r="AD22" s="37">
        <f>COUNTIFS(Wine1!$E:$E,Identifier!$A22,Wine1!$AA:$AA,Identifier!AD$1)</f>
        <v>0</v>
      </c>
      <c r="AE22" s="37">
        <f>COUNTIFS(Wine1!$E:$E,Identifier!$A22,Wine1!$AA:$AA,Identifier!AE$1)</f>
        <v>0</v>
      </c>
      <c r="AF22" s="37">
        <f>COUNTIFS(Wine1!$E:$E,Identifier!$A22,Wine1!$AA:$AA,Identifier!AF$1)</f>
        <v>0</v>
      </c>
      <c r="AG22" s="37">
        <f>COUNTIFS(Wine1!$E:$E,Identifier!$A22,Wine1!$AA:$AA,Identifier!AG$1)</f>
        <v>0</v>
      </c>
      <c r="AH22" s="37">
        <f>COUNTIFS(Wine1!$E:$E,Identifier!$A22,Wine1!$AA:$AA,Identifier!AH$1)</f>
        <v>0</v>
      </c>
      <c r="AI22" s="37">
        <f>COUNTIFS(Wine1!$E:$E,Identifier!$A22,Wine1!$AA:$AA,Identifier!AI$1)</f>
        <v>0</v>
      </c>
      <c r="AJ22" s="37">
        <f>COUNTIFS(Wine1!$E:$E,Identifier!$A22,Wine1!$AA:$AA,Identifier!AJ$1)</f>
        <v>0</v>
      </c>
    </row>
    <row r="23" spans="1:36" x14ac:dyDescent="0.25">
      <c r="A23" t="s">
        <v>417</v>
      </c>
      <c r="B23" s="37">
        <f>SUMIF(Wine1!E:E,Identifier!A23,Wine1!I:I)</f>
        <v>25</v>
      </c>
      <c r="C23" s="2">
        <f>SUMIF(Wine1!E:E,Identifier!A23,Wine1!AC:AC)</f>
        <v>361.84999999999997</v>
      </c>
      <c r="D23" s="37">
        <f>COUNTIFS(Wine1!E:E,Identifier!A23,Wine1!AA:AA,Identifier!D$1)</f>
        <v>0</v>
      </c>
      <c r="E23" s="37">
        <f>COUNTIFS(Wine1!$E:$E,Identifier!$A23,Wine1!$AA:$AA,Identifier!E$1)</f>
        <v>6</v>
      </c>
      <c r="F23" s="37">
        <f>COUNTIFS(Wine1!$E:$E,Identifier!$A23,Wine1!$AA:$AA,Identifier!F$1)</f>
        <v>6</v>
      </c>
      <c r="G23" s="37">
        <f>COUNTIFS(Wine1!$E:$E,Identifier!$A23,Wine1!$AA:$AA,Identifier!G$1)</f>
        <v>5</v>
      </c>
      <c r="H23" s="37">
        <f>COUNTIFS(Wine1!$E:$E,Identifier!$A23,Wine1!$AA:$AA,Identifier!H$1)</f>
        <v>5</v>
      </c>
      <c r="I23" s="37">
        <f>COUNTIFS(Wine1!$E:$E,Identifier!$A23,Wine1!$AA:$AA,Identifier!I$1)</f>
        <v>3</v>
      </c>
      <c r="J23" s="37">
        <f>COUNTIFS(Wine1!$E:$E,Identifier!$A23,Wine1!$AA:$AA,Identifier!J$1)</f>
        <v>0</v>
      </c>
      <c r="K23" s="37">
        <f>COUNTIFS(Wine1!$E:$E,Identifier!$A23,Wine1!$AA:$AA,Identifier!K$1)</f>
        <v>0</v>
      </c>
      <c r="L23" s="37">
        <f>COUNTIFS(Wine1!$E:$E,Identifier!$A23,Wine1!$AA:$AA,Identifier!L$1)</f>
        <v>0</v>
      </c>
      <c r="M23" s="37">
        <f>COUNTIFS(Wine1!$E:$E,Identifier!$A23,Wine1!$AA:$AA,Identifier!M$1)</f>
        <v>0</v>
      </c>
      <c r="N23" s="37">
        <f>COUNTIFS(Wine1!$E:$E,Identifier!$A23,Wine1!$AA:$AA,Identifier!N$1)</f>
        <v>0</v>
      </c>
      <c r="O23" s="37">
        <f>COUNTIFS(Wine1!$E:$E,Identifier!$A23,Wine1!$AA:$AA,Identifier!O$1)</f>
        <v>0</v>
      </c>
      <c r="P23" s="37">
        <f>COUNTIFS(Wine1!$E:$E,Identifier!$A23,Wine1!$AA:$AA,Identifier!P$1)</f>
        <v>0</v>
      </c>
      <c r="Q23" s="37">
        <f>COUNTIFS(Wine1!$E:$E,Identifier!$A23,Wine1!$AA:$AA,Identifier!Q$1)</f>
        <v>0</v>
      </c>
      <c r="R23" s="37">
        <f>COUNTIFS(Wine1!$E:$E,Identifier!$A23,Wine1!$AA:$AA,Identifier!R$1)</f>
        <v>0</v>
      </c>
      <c r="S23" s="37">
        <f>COUNTIFS(Wine1!$E:$E,Identifier!$A23,Wine1!$AA:$AA,Identifier!S$1)</f>
        <v>0</v>
      </c>
      <c r="T23" s="37">
        <f>COUNTIFS(Wine1!$E:$E,Identifier!$A23,Wine1!$AA:$AA,Identifier!T$1)</f>
        <v>0</v>
      </c>
      <c r="U23" s="37">
        <f>COUNTIFS(Wine1!$E:$E,Identifier!$A23,Wine1!$AA:$AA,Identifier!U$1)</f>
        <v>0</v>
      </c>
      <c r="V23" s="37">
        <f>COUNTIFS(Wine1!$E:$E,Identifier!$A23,Wine1!$AA:$AA,Identifier!V$1)</f>
        <v>0</v>
      </c>
      <c r="W23" s="37">
        <f>COUNTIFS(Wine1!$E:$E,Identifier!$A23,Wine1!$AA:$AA,Identifier!W$1)</f>
        <v>0</v>
      </c>
      <c r="X23" s="37">
        <f>COUNTIFS(Wine1!$E:$E,Identifier!$A23,Wine1!$AA:$AA,Identifier!X$1)</f>
        <v>0</v>
      </c>
      <c r="Y23" s="37">
        <f>COUNTIFS(Wine1!$E:$E,Identifier!$A23,Wine1!$AA:$AA,Identifier!Y$1)</f>
        <v>0</v>
      </c>
      <c r="Z23" s="37">
        <f>COUNTIFS(Wine1!$E:$E,Identifier!$A23,Wine1!$AA:$AA,Identifier!Z$1)</f>
        <v>0</v>
      </c>
      <c r="AA23" s="37">
        <f>COUNTIFS(Wine1!$E:$E,Identifier!$A23,Wine1!$AA:$AA,Identifier!AA$1)</f>
        <v>0</v>
      </c>
      <c r="AB23" s="37">
        <f>COUNTIFS(Wine1!$E:$E,Identifier!$A23,Wine1!$AA:$AA,Identifier!AB$1)</f>
        <v>0</v>
      </c>
      <c r="AC23" s="37">
        <f>COUNTIFS(Wine1!$E:$E,Identifier!$A23,Wine1!$AA:$AA,Identifier!AC$1)</f>
        <v>0</v>
      </c>
      <c r="AD23" s="37">
        <f>COUNTIFS(Wine1!$E:$E,Identifier!$A23,Wine1!$AA:$AA,Identifier!AD$1)</f>
        <v>0</v>
      </c>
      <c r="AE23" s="37">
        <f>COUNTIFS(Wine1!$E:$E,Identifier!$A23,Wine1!$AA:$AA,Identifier!AE$1)</f>
        <v>0</v>
      </c>
      <c r="AF23" s="37">
        <f>COUNTIFS(Wine1!$E:$E,Identifier!$A23,Wine1!$AA:$AA,Identifier!AF$1)</f>
        <v>0</v>
      </c>
      <c r="AG23" s="37">
        <f>COUNTIFS(Wine1!$E:$E,Identifier!$A23,Wine1!$AA:$AA,Identifier!AG$1)</f>
        <v>0</v>
      </c>
      <c r="AH23" s="37">
        <f>COUNTIFS(Wine1!$E:$E,Identifier!$A23,Wine1!$AA:$AA,Identifier!AH$1)</f>
        <v>0</v>
      </c>
      <c r="AI23" s="37">
        <f>COUNTIFS(Wine1!$E:$E,Identifier!$A23,Wine1!$AA:$AA,Identifier!AI$1)</f>
        <v>0</v>
      </c>
      <c r="AJ23" s="37">
        <f>COUNTIFS(Wine1!$E:$E,Identifier!$A23,Wine1!$AA:$AA,Identifier!AJ$1)</f>
        <v>0</v>
      </c>
    </row>
    <row r="24" spans="1:36" x14ac:dyDescent="0.25">
      <c r="A24" t="s">
        <v>281</v>
      </c>
      <c r="B24" s="37">
        <f>SUMIF(Wine1!E:E,Identifier!A24,Wine1!I:I)</f>
        <v>1</v>
      </c>
      <c r="C24" s="2">
        <f>SUMIF(Wine1!E:E,Identifier!A24,Wine1!AC:AC)</f>
        <v>5.71</v>
      </c>
      <c r="D24" s="37">
        <f>COUNTIFS(Wine1!E:E,Identifier!A24,Wine1!AA:AA,Identifier!D$1)</f>
        <v>1</v>
      </c>
      <c r="E24" s="37">
        <f>COUNTIFS(Wine1!$E:$E,Identifier!$A24,Wine1!$AA:$AA,Identifier!E$1)</f>
        <v>0</v>
      </c>
      <c r="F24" s="37">
        <f>COUNTIFS(Wine1!$E:$E,Identifier!$A24,Wine1!$AA:$AA,Identifier!F$1)</f>
        <v>0</v>
      </c>
      <c r="G24" s="37">
        <f>COUNTIFS(Wine1!$E:$E,Identifier!$A24,Wine1!$AA:$AA,Identifier!G$1)</f>
        <v>0</v>
      </c>
      <c r="H24" s="37">
        <f>COUNTIFS(Wine1!$E:$E,Identifier!$A24,Wine1!$AA:$AA,Identifier!H$1)</f>
        <v>0</v>
      </c>
      <c r="I24" s="37">
        <f>COUNTIFS(Wine1!$E:$E,Identifier!$A24,Wine1!$AA:$AA,Identifier!I$1)</f>
        <v>0</v>
      </c>
      <c r="J24" s="37">
        <f>COUNTIFS(Wine1!$E:$E,Identifier!$A24,Wine1!$AA:$AA,Identifier!J$1)</f>
        <v>0</v>
      </c>
      <c r="K24" s="37">
        <f>COUNTIFS(Wine1!$E:$E,Identifier!$A24,Wine1!$AA:$AA,Identifier!K$1)</f>
        <v>0</v>
      </c>
      <c r="L24" s="37">
        <f>COUNTIFS(Wine1!$E:$E,Identifier!$A24,Wine1!$AA:$AA,Identifier!L$1)</f>
        <v>0</v>
      </c>
      <c r="M24" s="37">
        <f>COUNTIFS(Wine1!$E:$E,Identifier!$A24,Wine1!$AA:$AA,Identifier!M$1)</f>
        <v>0</v>
      </c>
      <c r="N24" s="37">
        <f>COUNTIFS(Wine1!$E:$E,Identifier!$A24,Wine1!$AA:$AA,Identifier!N$1)</f>
        <v>0</v>
      </c>
      <c r="O24" s="37">
        <f>COUNTIFS(Wine1!$E:$E,Identifier!$A24,Wine1!$AA:$AA,Identifier!O$1)</f>
        <v>0</v>
      </c>
      <c r="P24" s="37">
        <f>COUNTIFS(Wine1!$E:$E,Identifier!$A24,Wine1!$AA:$AA,Identifier!P$1)</f>
        <v>0</v>
      </c>
      <c r="Q24" s="37">
        <f>COUNTIFS(Wine1!$E:$E,Identifier!$A24,Wine1!$AA:$AA,Identifier!Q$1)</f>
        <v>0</v>
      </c>
      <c r="R24" s="37">
        <f>COUNTIFS(Wine1!$E:$E,Identifier!$A24,Wine1!$AA:$AA,Identifier!R$1)</f>
        <v>0</v>
      </c>
      <c r="S24" s="37">
        <f>COUNTIFS(Wine1!$E:$E,Identifier!$A24,Wine1!$AA:$AA,Identifier!S$1)</f>
        <v>0</v>
      </c>
      <c r="T24" s="37">
        <f>COUNTIFS(Wine1!$E:$E,Identifier!$A24,Wine1!$AA:$AA,Identifier!T$1)</f>
        <v>0</v>
      </c>
      <c r="U24" s="37">
        <f>COUNTIFS(Wine1!$E:$E,Identifier!$A24,Wine1!$AA:$AA,Identifier!U$1)</f>
        <v>0</v>
      </c>
      <c r="V24" s="37">
        <f>COUNTIFS(Wine1!$E:$E,Identifier!$A24,Wine1!$AA:$AA,Identifier!V$1)</f>
        <v>0</v>
      </c>
      <c r="W24" s="37">
        <f>COUNTIFS(Wine1!$E:$E,Identifier!$A24,Wine1!$AA:$AA,Identifier!W$1)</f>
        <v>0</v>
      </c>
      <c r="X24" s="37">
        <f>COUNTIFS(Wine1!$E:$E,Identifier!$A24,Wine1!$AA:$AA,Identifier!X$1)</f>
        <v>0</v>
      </c>
      <c r="Y24" s="37">
        <f>COUNTIFS(Wine1!$E:$E,Identifier!$A24,Wine1!$AA:$AA,Identifier!Y$1)</f>
        <v>0</v>
      </c>
      <c r="Z24" s="37">
        <f>COUNTIFS(Wine1!$E:$E,Identifier!$A24,Wine1!$AA:$AA,Identifier!Z$1)</f>
        <v>0</v>
      </c>
      <c r="AA24" s="37">
        <f>COUNTIFS(Wine1!$E:$E,Identifier!$A24,Wine1!$AA:$AA,Identifier!AA$1)</f>
        <v>0</v>
      </c>
      <c r="AB24" s="37">
        <f>COUNTIFS(Wine1!$E:$E,Identifier!$A24,Wine1!$AA:$AA,Identifier!AB$1)</f>
        <v>0</v>
      </c>
      <c r="AC24" s="37">
        <f>COUNTIFS(Wine1!$E:$E,Identifier!$A24,Wine1!$AA:$AA,Identifier!AC$1)</f>
        <v>0</v>
      </c>
      <c r="AD24" s="37">
        <f>COUNTIFS(Wine1!$E:$E,Identifier!$A24,Wine1!$AA:$AA,Identifier!AD$1)</f>
        <v>0</v>
      </c>
      <c r="AE24" s="37">
        <f>COUNTIFS(Wine1!$E:$E,Identifier!$A24,Wine1!$AA:$AA,Identifier!AE$1)</f>
        <v>0</v>
      </c>
      <c r="AF24" s="37">
        <f>COUNTIFS(Wine1!$E:$E,Identifier!$A24,Wine1!$AA:$AA,Identifier!AF$1)</f>
        <v>0</v>
      </c>
      <c r="AG24" s="37">
        <f>COUNTIFS(Wine1!$E:$E,Identifier!$A24,Wine1!$AA:$AA,Identifier!AG$1)</f>
        <v>0</v>
      </c>
      <c r="AH24" s="37">
        <f>COUNTIFS(Wine1!$E:$E,Identifier!$A24,Wine1!$AA:$AA,Identifier!AH$1)</f>
        <v>0</v>
      </c>
      <c r="AI24" s="37">
        <f>COUNTIFS(Wine1!$E:$E,Identifier!$A24,Wine1!$AA:$AA,Identifier!AI$1)</f>
        <v>0</v>
      </c>
      <c r="AJ24" s="37">
        <f>COUNTIFS(Wine1!$E:$E,Identifier!$A24,Wine1!$AA:$AA,Identifier!AJ$1)</f>
        <v>0</v>
      </c>
    </row>
    <row r="25" spans="1:36" x14ac:dyDescent="0.25">
      <c r="A25" t="s">
        <v>363</v>
      </c>
      <c r="B25" s="37">
        <f>SUMIF(Wine1!E:E,Identifier!A25,Wine1!I:I)</f>
        <v>4</v>
      </c>
      <c r="C25" s="2">
        <f>SUMIF(Wine1!E:E,Identifier!A25,Wine1!AC:AC)</f>
        <v>158.93</v>
      </c>
      <c r="D25" s="37">
        <f>COUNTIFS(Wine1!E:E,Identifier!A25,Wine1!AA:AA,Identifier!D$1)</f>
        <v>1</v>
      </c>
      <c r="E25" s="37">
        <f>COUNTIFS(Wine1!$E:$E,Identifier!$A25,Wine1!$AA:$AA,Identifier!E$1)</f>
        <v>0</v>
      </c>
      <c r="F25" s="37">
        <f>COUNTIFS(Wine1!$E:$E,Identifier!$A25,Wine1!$AA:$AA,Identifier!F$1)</f>
        <v>0</v>
      </c>
      <c r="G25" s="37">
        <f>COUNTIFS(Wine1!$E:$E,Identifier!$A25,Wine1!$AA:$AA,Identifier!G$1)</f>
        <v>0</v>
      </c>
      <c r="H25" s="37">
        <f>COUNTIFS(Wine1!$E:$E,Identifier!$A25,Wine1!$AA:$AA,Identifier!H$1)</f>
        <v>0</v>
      </c>
      <c r="I25" s="37">
        <f>COUNTIFS(Wine1!$E:$E,Identifier!$A25,Wine1!$AA:$AA,Identifier!I$1)</f>
        <v>0</v>
      </c>
      <c r="J25" s="37">
        <f>COUNTIFS(Wine1!$E:$E,Identifier!$A25,Wine1!$AA:$AA,Identifier!J$1)</f>
        <v>1</v>
      </c>
      <c r="K25" s="37">
        <f>COUNTIFS(Wine1!$E:$E,Identifier!$A25,Wine1!$AA:$AA,Identifier!K$1)</f>
        <v>0</v>
      </c>
      <c r="L25" s="37">
        <f>COUNTIFS(Wine1!$E:$E,Identifier!$A25,Wine1!$AA:$AA,Identifier!L$1)</f>
        <v>1</v>
      </c>
      <c r="M25" s="37">
        <f>COUNTIFS(Wine1!$E:$E,Identifier!$A25,Wine1!$AA:$AA,Identifier!M$1)</f>
        <v>0</v>
      </c>
      <c r="N25" s="37">
        <f>COUNTIFS(Wine1!$E:$E,Identifier!$A25,Wine1!$AA:$AA,Identifier!N$1)</f>
        <v>1</v>
      </c>
      <c r="O25" s="37">
        <f>COUNTIFS(Wine1!$E:$E,Identifier!$A25,Wine1!$AA:$AA,Identifier!O$1)</f>
        <v>0</v>
      </c>
      <c r="P25" s="37">
        <f>COUNTIFS(Wine1!$E:$E,Identifier!$A25,Wine1!$AA:$AA,Identifier!P$1)</f>
        <v>0</v>
      </c>
      <c r="Q25" s="37">
        <f>COUNTIFS(Wine1!$E:$E,Identifier!$A25,Wine1!$AA:$AA,Identifier!Q$1)</f>
        <v>0</v>
      </c>
      <c r="R25" s="37">
        <f>COUNTIFS(Wine1!$E:$E,Identifier!$A25,Wine1!$AA:$AA,Identifier!R$1)</f>
        <v>0</v>
      </c>
      <c r="S25" s="37">
        <f>COUNTIFS(Wine1!$E:$E,Identifier!$A25,Wine1!$AA:$AA,Identifier!S$1)</f>
        <v>0</v>
      </c>
      <c r="T25" s="37">
        <f>COUNTIFS(Wine1!$E:$E,Identifier!$A25,Wine1!$AA:$AA,Identifier!T$1)</f>
        <v>0</v>
      </c>
      <c r="U25" s="37">
        <f>COUNTIFS(Wine1!$E:$E,Identifier!$A25,Wine1!$AA:$AA,Identifier!U$1)</f>
        <v>0</v>
      </c>
      <c r="V25" s="37">
        <f>COUNTIFS(Wine1!$E:$E,Identifier!$A25,Wine1!$AA:$AA,Identifier!V$1)</f>
        <v>0</v>
      </c>
      <c r="W25" s="37">
        <f>COUNTIFS(Wine1!$E:$E,Identifier!$A25,Wine1!$AA:$AA,Identifier!W$1)</f>
        <v>0</v>
      </c>
      <c r="X25" s="37">
        <f>COUNTIFS(Wine1!$E:$E,Identifier!$A25,Wine1!$AA:$AA,Identifier!X$1)</f>
        <v>0</v>
      </c>
      <c r="Y25" s="37">
        <f>COUNTIFS(Wine1!$E:$E,Identifier!$A25,Wine1!$AA:$AA,Identifier!Y$1)</f>
        <v>0</v>
      </c>
      <c r="Z25" s="37">
        <f>COUNTIFS(Wine1!$E:$E,Identifier!$A25,Wine1!$AA:$AA,Identifier!Z$1)</f>
        <v>0</v>
      </c>
      <c r="AA25" s="37">
        <f>COUNTIFS(Wine1!$E:$E,Identifier!$A25,Wine1!$AA:$AA,Identifier!AA$1)</f>
        <v>0</v>
      </c>
      <c r="AB25" s="37">
        <f>COUNTIFS(Wine1!$E:$E,Identifier!$A25,Wine1!$AA:$AA,Identifier!AB$1)</f>
        <v>0</v>
      </c>
      <c r="AC25" s="37">
        <f>COUNTIFS(Wine1!$E:$E,Identifier!$A25,Wine1!$AA:$AA,Identifier!AC$1)</f>
        <v>0</v>
      </c>
      <c r="AD25" s="37">
        <f>COUNTIFS(Wine1!$E:$E,Identifier!$A25,Wine1!$AA:$AA,Identifier!AD$1)</f>
        <v>0</v>
      </c>
      <c r="AE25" s="37">
        <f>COUNTIFS(Wine1!$E:$E,Identifier!$A25,Wine1!$AA:$AA,Identifier!AE$1)</f>
        <v>0</v>
      </c>
      <c r="AF25" s="37">
        <f>COUNTIFS(Wine1!$E:$E,Identifier!$A25,Wine1!$AA:$AA,Identifier!AF$1)</f>
        <v>0</v>
      </c>
      <c r="AG25" s="37">
        <f>COUNTIFS(Wine1!$E:$E,Identifier!$A25,Wine1!$AA:$AA,Identifier!AG$1)</f>
        <v>0</v>
      </c>
      <c r="AH25" s="37">
        <f>COUNTIFS(Wine1!$E:$E,Identifier!$A25,Wine1!$AA:$AA,Identifier!AH$1)</f>
        <v>0</v>
      </c>
      <c r="AI25" s="37">
        <f>COUNTIFS(Wine1!$E:$E,Identifier!$A25,Wine1!$AA:$AA,Identifier!AI$1)</f>
        <v>0</v>
      </c>
      <c r="AJ25" s="37">
        <f>COUNTIFS(Wine1!$E:$E,Identifier!$A25,Wine1!$AA:$AA,Identifier!AJ$1)</f>
        <v>0</v>
      </c>
    </row>
    <row r="26" spans="1:36" x14ac:dyDescent="0.25">
      <c r="A26" t="s">
        <v>612</v>
      </c>
      <c r="B26" s="37">
        <f>SUMIF(Wine1!E:E,Identifier!A26,Wine1!I:I)</f>
        <v>2</v>
      </c>
      <c r="C26" s="2">
        <f>SUMIF(Wine1!E:E,Identifier!A26,Wine1!AC:AC)</f>
        <v>64.321804720037022</v>
      </c>
      <c r="D26" s="37">
        <f>COUNTIFS(Wine1!E:E,Identifier!A26,Wine1!AA:AA,Identifier!D$1)</f>
        <v>2</v>
      </c>
      <c r="E26" s="37">
        <f>COUNTIFS(Wine1!$E:$E,Identifier!$A26,Wine1!$AA:$AA,Identifier!E$1)</f>
        <v>0</v>
      </c>
      <c r="F26" s="37">
        <f>COUNTIFS(Wine1!$E:$E,Identifier!$A26,Wine1!$AA:$AA,Identifier!F$1)</f>
        <v>0</v>
      </c>
      <c r="G26" s="37">
        <f>COUNTIFS(Wine1!$E:$E,Identifier!$A26,Wine1!$AA:$AA,Identifier!G$1)</f>
        <v>0</v>
      </c>
      <c r="H26" s="37">
        <f>COUNTIFS(Wine1!$E:$E,Identifier!$A26,Wine1!$AA:$AA,Identifier!H$1)</f>
        <v>0</v>
      </c>
      <c r="I26" s="37">
        <f>COUNTIFS(Wine1!$E:$E,Identifier!$A26,Wine1!$AA:$AA,Identifier!I$1)</f>
        <v>0</v>
      </c>
      <c r="J26" s="37">
        <f>COUNTIFS(Wine1!$E:$E,Identifier!$A26,Wine1!$AA:$AA,Identifier!J$1)</f>
        <v>0</v>
      </c>
      <c r="K26" s="37">
        <f>COUNTIFS(Wine1!$E:$E,Identifier!$A26,Wine1!$AA:$AA,Identifier!K$1)</f>
        <v>0</v>
      </c>
      <c r="L26" s="37">
        <f>COUNTIFS(Wine1!$E:$E,Identifier!$A26,Wine1!$AA:$AA,Identifier!L$1)</f>
        <v>0</v>
      </c>
      <c r="M26" s="37">
        <f>COUNTIFS(Wine1!$E:$E,Identifier!$A26,Wine1!$AA:$AA,Identifier!M$1)</f>
        <v>0</v>
      </c>
      <c r="N26" s="37">
        <f>COUNTIFS(Wine1!$E:$E,Identifier!$A26,Wine1!$AA:$AA,Identifier!N$1)</f>
        <v>0</v>
      </c>
      <c r="O26" s="37">
        <f>COUNTIFS(Wine1!$E:$E,Identifier!$A26,Wine1!$AA:$AA,Identifier!O$1)</f>
        <v>0</v>
      </c>
      <c r="P26" s="37">
        <f>COUNTIFS(Wine1!$E:$E,Identifier!$A26,Wine1!$AA:$AA,Identifier!P$1)</f>
        <v>0</v>
      </c>
      <c r="Q26" s="37">
        <f>COUNTIFS(Wine1!$E:$E,Identifier!$A26,Wine1!$AA:$AA,Identifier!Q$1)</f>
        <v>0</v>
      </c>
      <c r="R26" s="37">
        <f>COUNTIFS(Wine1!$E:$E,Identifier!$A26,Wine1!$AA:$AA,Identifier!R$1)</f>
        <v>0</v>
      </c>
      <c r="S26" s="37">
        <f>COUNTIFS(Wine1!$E:$E,Identifier!$A26,Wine1!$AA:$AA,Identifier!S$1)</f>
        <v>0</v>
      </c>
      <c r="T26" s="37">
        <f>COUNTIFS(Wine1!$E:$E,Identifier!$A26,Wine1!$AA:$AA,Identifier!T$1)</f>
        <v>0</v>
      </c>
      <c r="U26" s="37">
        <f>COUNTIFS(Wine1!$E:$E,Identifier!$A26,Wine1!$AA:$AA,Identifier!U$1)</f>
        <v>0</v>
      </c>
      <c r="V26" s="37">
        <f>COUNTIFS(Wine1!$E:$E,Identifier!$A26,Wine1!$AA:$AA,Identifier!V$1)</f>
        <v>0</v>
      </c>
      <c r="W26" s="37">
        <f>COUNTIFS(Wine1!$E:$E,Identifier!$A26,Wine1!$AA:$AA,Identifier!W$1)</f>
        <v>0</v>
      </c>
      <c r="X26" s="37">
        <f>COUNTIFS(Wine1!$E:$E,Identifier!$A26,Wine1!$AA:$AA,Identifier!X$1)</f>
        <v>0</v>
      </c>
      <c r="Y26" s="37">
        <f>COUNTIFS(Wine1!$E:$E,Identifier!$A26,Wine1!$AA:$AA,Identifier!Y$1)</f>
        <v>0</v>
      </c>
      <c r="Z26" s="37">
        <f>COUNTIFS(Wine1!$E:$E,Identifier!$A26,Wine1!$AA:$AA,Identifier!Z$1)</f>
        <v>0</v>
      </c>
      <c r="AA26" s="37">
        <f>COUNTIFS(Wine1!$E:$E,Identifier!$A26,Wine1!$AA:$AA,Identifier!AA$1)</f>
        <v>0</v>
      </c>
      <c r="AB26" s="37">
        <f>COUNTIFS(Wine1!$E:$E,Identifier!$A26,Wine1!$AA:$AA,Identifier!AB$1)</f>
        <v>0</v>
      </c>
      <c r="AC26" s="37">
        <f>COUNTIFS(Wine1!$E:$E,Identifier!$A26,Wine1!$AA:$AA,Identifier!AC$1)</f>
        <v>0</v>
      </c>
      <c r="AD26" s="37">
        <f>COUNTIFS(Wine1!$E:$E,Identifier!$A26,Wine1!$AA:$AA,Identifier!AD$1)</f>
        <v>0</v>
      </c>
      <c r="AE26" s="37">
        <f>COUNTIFS(Wine1!$E:$E,Identifier!$A26,Wine1!$AA:$AA,Identifier!AE$1)</f>
        <v>0</v>
      </c>
      <c r="AF26" s="37">
        <f>COUNTIFS(Wine1!$E:$E,Identifier!$A26,Wine1!$AA:$AA,Identifier!AF$1)</f>
        <v>0</v>
      </c>
      <c r="AG26" s="37">
        <f>COUNTIFS(Wine1!$E:$E,Identifier!$A26,Wine1!$AA:$AA,Identifier!AG$1)</f>
        <v>0</v>
      </c>
      <c r="AH26" s="37">
        <f>COUNTIFS(Wine1!$E:$E,Identifier!$A26,Wine1!$AA:$AA,Identifier!AH$1)</f>
        <v>0</v>
      </c>
      <c r="AI26" s="37">
        <f>COUNTIFS(Wine1!$E:$E,Identifier!$A26,Wine1!$AA:$AA,Identifier!AI$1)</f>
        <v>0</v>
      </c>
      <c r="AJ26" s="37">
        <f>COUNTIFS(Wine1!$E:$E,Identifier!$A26,Wine1!$AA:$AA,Identifier!AJ$1)</f>
        <v>0</v>
      </c>
    </row>
    <row r="27" spans="1:36" x14ac:dyDescent="0.25">
      <c r="A27" t="s">
        <v>275</v>
      </c>
      <c r="B27" s="37">
        <f>SUMIF(Wine1!E:E,Identifier!A27,Wine1!I:I)</f>
        <v>2</v>
      </c>
      <c r="C27" s="2">
        <f>SUMIF(Wine1!E:E,Identifier!A27,Wine1!AC:AC)</f>
        <v>108</v>
      </c>
      <c r="D27" s="37">
        <f>COUNTIFS(Wine1!E:E,Identifier!A27,Wine1!AA:AA,Identifier!D$1)</f>
        <v>0</v>
      </c>
      <c r="E27" s="37">
        <f>COUNTIFS(Wine1!$E:$E,Identifier!$A27,Wine1!$AA:$AA,Identifier!E$1)</f>
        <v>0</v>
      </c>
      <c r="F27" s="37">
        <f>COUNTIFS(Wine1!$E:$E,Identifier!$A27,Wine1!$AA:$AA,Identifier!F$1)</f>
        <v>0</v>
      </c>
      <c r="G27" s="37">
        <f>COUNTIFS(Wine1!$E:$E,Identifier!$A27,Wine1!$AA:$AA,Identifier!G$1)</f>
        <v>0</v>
      </c>
      <c r="H27" s="37">
        <f>COUNTIFS(Wine1!$E:$E,Identifier!$A27,Wine1!$AA:$AA,Identifier!H$1)</f>
        <v>0</v>
      </c>
      <c r="I27" s="37">
        <f>COUNTIFS(Wine1!$E:$E,Identifier!$A27,Wine1!$AA:$AA,Identifier!I$1)</f>
        <v>0</v>
      </c>
      <c r="J27" s="37">
        <f>COUNTIFS(Wine1!$E:$E,Identifier!$A27,Wine1!$AA:$AA,Identifier!J$1)</f>
        <v>0</v>
      </c>
      <c r="K27" s="37">
        <f>COUNTIFS(Wine1!$E:$E,Identifier!$A27,Wine1!$AA:$AA,Identifier!K$1)</f>
        <v>0</v>
      </c>
      <c r="L27" s="37">
        <f>COUNTIFS(Wine1!$E:$E,Identifier!$A27,Wine1!$AA:$AA,Identifier!L$1)</f>
        <v>1</v>
      </c>
      <c r="M27" s="37">
        <f>COUNTIFS(Wine1!$E:$E,Identifier!$A27,Wine1!$AA:$AA,Identifier!M$1)</f>
        <v>0</v>
      </c>
      <c r="N27" s="37">
        <f>COUNTIFS(Wine1!$E:$E,Identifier!$A27,Wine1!$AA:$AA,Identifier!N$1)</f>
        <v>0</v>
      </c>
      <c r="O27" s="37">
        <f>COUNTIFS(Wine1!$E:$E,Identifier!$A27,Wine1!$AA:$AA,Identifier!O$1)</f>
        <v>0</v>
      </c>
      <c r="P27" s="37">
        <f>COUNTIFS(Wine1!$E:$E,Identifier!$A27,Wine1!$AA:$AA,Identifier!P$1)</f>
        <v>0</v>
      </c>
      <c r="Q27" s="37">
        <f>COUNTIFS(Wine1!$E:$E,Identifier!$A27,Wine1!$AA:$AA,Identifier!Q$1)</f>
        <v>0</v>
      </c>
      <c r="R27" s="37">
        <f>COUNTIFS(Wine1!$E:$E,Identifier!$A27,Wine1!$AA:$AA,Identifier!R$1)</f>
        <v>0</v>
      </c>
      <c r="S27" s="37">
        <f>COUNTIFS(Wine1!$E:$E,Identifier!$A27,Wine1!$AA:$AA,Identifier!S$1)</f>
        <v>1</v>
      </c>
      <c r="T27" s="37">
        <f>COUNTIFS(Wine1!$E:$E,Identifier!$A27,Wine1!$AA:$AA,Identifier!T$1)</f>
        <v>0</v>
      </c>
      <c r="U27" s="37">
        <f>COUNTIFS(Wine1!$E:$E,Identifier!$A27,Wine1!$AA:$AA,Identifier!U$1)</f>
        <v>0</v>
      </c>
      <c r="V27" s="37">
        <f>COUNTIFS(Wine1!$E:$E,Identifier!$A27,Wine1!$AA:$AA,Identifier!V$1)</f>
        <v>0</v>
      </c>
      <c r="W27" s="37">
        <f>COUNTIFS(Wine1!$E:$E,Identifier!$A27,Wine1!$AA:$AA,Identifier!W$1)</f>
        <v>0</v>
      </c>
      <c r="X27" s="37">
        <f>COUNTIFS(Wine1!$E:$E,Identifier!$A27,Wine1!$AA:$AA,Identifier!X$1)</f>
        <v>0</v>
      </c>
      <c r="Y27" s="37">
        <f>COUNTIFS(Wine1!$E:$E,Identifier!$A27,Wine1!$AA:$AA,Identifier!Y$1)</f>
        <v>0</v>
      </c>
      <c r="Z27" s="37">
        <f>COUNTIFS(Wine1!$E:$E,Identifier!$A27,Wine1!$AA:$AA,Identifier!Z$1)</f>
        <v>0</v>
      </c>
      <c r="AA27" s="37">
        <f>COUNTIFS(Wine1!$E:$E,Identifier!$A27,Wine1!$AA:$AA,Identifier!AA$1)</f>
        <v>0</v>
      </c>
      <c r="AB27" s="37">
        <f>COUNTIFS(Wine1!$E:$E,Identifier!$A27,Wine1!$AA:$AA,Identifier!AB$1)</f>
        <v>0</v>
      </c>
      <c r="AC27" s="37">
        <f>COUNTIFS(Wine1!$E:$E,Identifier!$A27,Wine1!$AA:$AA,Identifier!AC$1)</f>
        <v>0</v>
      </c>
      <c r="AD27" s="37">
        <f>COUNTIFS(Wine1!$E:$E,Identifier!$A27,Wine1!$AA:$AA,Identifier!AD$1)</f>
        <v>0</v>
      </c>
      <c r="AE27" s="37">
        <f>COUNTIFS(Wine1!$E:$E,Identifier!$A27,Wine1!$AA:$AA,Identifier!AE$1)</f>
        <v>0</v>
      </c>
      <c r="AF27" s="37">
        <f>COUNTIFS(Wine1!$E:$E,Identifier!$A27,Wine1!$AA:$AA,Identifier!AF$1)</f>
        <v>0</v>
      </c>
      <c r="AG27" s="37">
        <f>COUNTIFS(Wine1!$E:$E,Identifier!$A27,Wine1!$AA:$AA,Identifier!AG$1)</f>
        <v>0</v>
      </c>
      <c r="AH27" s="37">
        <f>COUNTIFS(Wine1!$E:$E,Identifier!$A27,Wine1!$AA:$AA,Identifier!AH$1)</f>
        <v>0</v>
      </c>
      <c r="AI27" s="37">
        <f>COUNTIFS(Wine1!$E:$E,Identifier!$A27,Wine1!$AA:$AA,Identifier!AI$1)</f>
        <v>0</v>
      </c>
      <c r="AJ27" s="37">
        <f>COUNTIFS(Wine1!$E:$E,Identifier!$A27,Wine1!$AA:$AA,Identifier!AJ$1)</f>
        <v>0</v>
      </c>
    </row>
    <row r="28" spans="1:36" x14ac:dyDescent="0.25">
      <c r="A28" t="s">
        <v>282</v>
      </c>
      <c r="B28" s="37">
        <f>SUMIF(Wine1!E:E,Identifier!A28,Wine1!I:I)</f>
        <v>6</v>
      </c>
      <c r="C28" s="2">
        <f>SUMIF(Wine1!E:E,Identifier!A28,Wine1!AC:AC)</f>
        <v>269.94</v>
      </c>
      <c r="D28" s="37">
        <f>COUNTIFS(Wine1!E:E,Identifier!A28,Wine1!AA:AA,Identifier!D$1)</f>
        <v>0</v>
      </c>
      <c r="E28" s="37">
        <f>COUNTIFS(Wine1!$E:$E,Identifier!$A28,Wine1!$AA:$AA,Identifier!E$1)</f>
        <v>0</v>
      </c>
      <c r="F28" s="37">
        <f>COUNTIFS(Wine1!$E:$E,Identifier!$A28,Wine1!$AA:$AA,Identifier!F$1)</f>
        <v>0</v>
      </c>
      <c r="G28" s="37">
        <f>COUNTIFS(Wine1!$E:$E,Identifier!$A28,Wine1!$AA:$AA,Identifier!G$1)</f>
        <v>1</v>
      </c>
      <c r="H28" s="37">
        <f>COUNTIFS(Wine1!$E:$E,Identifier!$A28,Wine1!$AA:$AA,Identifier!H$1)</f>
        <v>2</v>
      </c>
      <c r="I28" s="37">
        <f>COUNTIFS(Wine1!$E:$E,Identifier!$A28,Wine1!$AA:$AA,Identifier!I$1)</f>
        <v>1</v>
      </c>
      <c r="J28" s="37">
        <f>COUNTIFS(Wine1!$E:$E,Identifier!$A28,Wine1!$AA:$AA,Identifier!J$1)</f>
        <v>0</v>
      </c>
      <c r="K28" s="37">
        <f>COUNTIFS(Wine1!$E:$E,Identifier!$A28,Wine1!$AA:$AA,Identifier!K$1)</f>
        <v>1</v>
      </c>
      <c r="L28" s="37">
        <f>COUNTIFS(Wine1!$E:$E,Identifier!$A28,Wine1!$AA:$AA,Identifier!L$1)</f>
        <v>1</v>
      </c>
      <c r="M28" s="37">
        <f>COUNTIFS(Wine1!$E:$E,Identifier!$A28,Wine1!$AA:$AA,Identifier!M$1)</f>
        <v>0</v>
      </c>
      <c r="N28" s="37">
        <f>COUNTIFS(Wine1!$E:$E,Identifier!$A28,Wine1!$AA:$AA,Identifier!N$1)</f>
        <v>0</v>
      </c>
      <c r="O28" s="37">
        <f>COUNTIFS(Wine1!$E:$E,Identifier!$A28,Wine1!$AA:$AA,Identifier!O$1)</f>
        <v>0</v>
      </c>
      <c r="P28" s="37">
        <f>COUNTIFS(Wine1!$E:$E,Identifier!$A28,Wine1!$AA:$AA,Identifier!P$1)</f>
        <v>0</v>
      </c>
      <c r="Q28" s="37">
        <f>COUNTIFS(Wine1!$E:$E,Identifier!$A28,Wine1!$AA:$AA,Identifier!Q$1)</f>
        <v>0</v>
      </c>
      <c r="R28" s="37">
        <f>COUNTIFS(Wine1!$E:$E,Identifier!$A28,Wine1!$AA:$AA,Identifier!R$1)</f>
        <v>0</v>
      </c>
      <c r="S28" s="37">
        <f>COUNTIFS(Wine1!$E:$E,Identifier!$A28,Wine1!$AA:$AA,Identifier!S$1)</f>
        <v>0</v>
      </c>
      <c r="T28" s="37">
        <f>COUNTIFS(Wine1!$E:$E,Identifier!$A28,Wine1!$AA:$AA,Identifier!T$1)</f>
        <v>0</v>
      </c>
      <c r="U28" s="37">
        <f>COUNTIFS(Wine1!$E:$E,Identifier!$A28,Wine1!$AA:$AA,Identifier!U$1)</f>
        <v>0</v>
      </c>
      <c r="V28" s="37">
        <f>COUNTIFS(Wine1!$E:$E,Identifier!$A28,Wine1!$AA:$AA,Identifier!V$1)</f>
        <v>0</v>
      </c>
      <c r="W28" s="37">
        <f>COUNTIFS(Wine1!$E:$E,Identifier!$A28,Wine1!$AA:$AA,Identifier!W$1)</f>
        <v>0</v>
      </c>
      <c r="X28" s="37">
        <f>COUNTIFS(Wine1!$E:$E,Identifier!$A28,Wine1!$AA:$AA,Identifier!X$1)</f>
        <v>0</v>
      </c>
      <c r="Y28" s="37">
        <f>COUNTIFS(Wine1!$E:$E,Identifier!$A28,Wine1!$AA:$AA,Identifier!Y$1)</f>
        <v>0</v>
      </c>
      <c r="Z28" s="37">
        <f>COUNTIFS(Wine1!$E:$E,Identifier!$A28,Wine1!$AA:$AA,Identifier!Z$1)</f>
        <v>0</v>
      </c>
      <c r="AA28" s="37">
        <f>COUNTIFS(Wine1!$E:$E,Identifier!$A28,Wine1!$AA:$AA,Identifier!AA$1)</f>
        <v>0</v>
      </c>
      <c r="AB28" s="37">
        <f>COUNTIFS(Wine1!$E:$E,Identifier!$A28,Wine1!$AA:$AA,Identifier!AB$1)</f>
        <v>0</v>
      </c>
      <c r="AC28" s="37">
        <f>COUNTIFS(Wine1!$E:$E,Identifier!$A28,Wine1!$AA:$AA,Identifier!AC$1)</f>
        <v>0</v>
      </c>
      <c r="AD28" s="37">
        <f>COUNTIFS(Wine1!$E:$E,Identifier!$A28,Wine1!$AA:$AA,Identifier!AD$1)</f>
        <v>0</v>
      </c>
      <c r="AE28" s="37">
        <f>COUNTIFS(Wine1!$E:$E,Identifier!$A28,Wine1!$AA:$AA,Identifier!AE$1)</f>
        <v>0</v>
      </c>
      <c r="AF28" s="37">
        <f>COUNTIFS(Wine1!$E:$E,Identifier!$A28,Wine1!$AA:$AA,Identifier!AF$1)</f>
        <v>0</v>
      </c>
      <c r="AG28" s="37">
        <f>COUNTIFS(Wine1!$E:$E,Identifier!$A28,Wine1!$AA:$AA,Identifier!AG$1)</f>
        <v>0</v>
      </c>
      <c r="AH28" s="37">
        <f>COUNTIFS(Wine1!$E:$E,Identifier!$A28,Wine1!$AA:$AA,Identifier!AH$1)</f>
        <v>0</v>
      </c>
      <c r="AI28" s="37">
        <f>COUNTIFS(Wine1!$E:$E,Identifier!$A28,Wine1!$AA:$AA,Identifier!AI$1)</f>
        <v>0</v>
      </c>
      <c r="AJ28" s="37">
        <f>COUNTIFS(Wine1!$E:$E,Identifier!$A28,Wine1!$AA:$AA,Identifier!AJ$1)</f>
        <v>0</v>
      </c>
    </row>
    <row r="29" spans="1:36" x14ac:dyDescent="0.25">
      <c r="A29" t="s">
        <v>1226</v>
      </c>
      <c r="B29" s="37">
        <f>SUMIF(Wine1!E:E,Identifier!A29,Wine1!I:I)</f>
        <v>0</v>
      </c>
      <c r="C29" s="2">
        <f>SUMIF(Wine1!E:E,Identifier!A29,Wine1!AC:AC)</f>
        <v>0</v>
      </c>
      <c r="D29" s="37">
        <f>COUNTIFS(Wine1!E:E,Identifier!A29,Wine1!AA:AA,Identifier!D$1)</f>
        <v>0</v>
      </c>
      <c r="E29" s="37">
        <f>COUNTIFS(Wine1!$E:$E,Identifier!$A29,Wine1!$AA:$AA,Identifier!E$1)</f>
        <v>0</v>
      </c>
      <c r="F29" s="37">
        <f>COUNTIFS(Wine1!$E:$E,Identifier!$A29,Wine1!$AA:$AA,Identifier!F$1)</f>
        <v>0</v>
      </c>
      <c r="G29" s="37">
        <f>COUNTIFS(Wine1!$E:$E,Identifier!$A29,Wine1!$AA:$AA,Identifier!G$1)</f>
        <v>0</v>
      </c>
      <c r="H29" s="37">
        <f>COUNTIFS(Wine1!$E:$E,Identifier!$A29,Wine1!$AA:$AA,Identifier!H$1)</f>
        <v>0</v>
      </c>
      <c r="I29" s="37">
        <f>COUNTIFS(Wine1!$E:$E,Identifier!$A29,Wine1!$AA:$AA,Identifier!I$1)</f>
        <v>0</v>
      </c>
      <c r="J29" s="37">
        <f>COUNTIFS(Wine1!$E:$E,Identifier!$A29,Wine1!$AA:$AA,Identifier!J$1)</f>
        <v>0</v>
      </c>
      <c r="K29" s="37">
        <f>COUNTIFS(Wine1!$E:$E,Identifier!$A29,Wine1!$AA:$AA,Identifier!K$1)</f>
        <v>0</v>
      </c>
      <c r="L29" s="37">
        <f>COUNTIFS(Wine1!$E:$E,Identifier!$A29,Wine1!$AA:$AA,Identifier!L$1)</f>
        <v>0</v>
      </c>
      <c r="M29" s="37">
        <f>COUNTIFS(Wine1!$E:$E,Identifier!$A29,Wine1!$AA:$AA,Identifier!M$1)</f>
        <v>0</v>
      </c>
      <c r="N29" s="37">
        <f>COUNTIFS(Wine1!$E:$E,Identifier!$A29,Wine1!$AA:$AA,Identifier!N$1)</f>
        <v>0</v>
      </c>
      <c r="O29" s="37">
        <f>COUNTIFS(Wine1!$E:$E,Identifier!$A29,Wine1!$AA:$AA,Identifier!O$1)</f>
        <v>0</v>
      </c>
      <c r="P29" s="37">
        <f>COUNTIFS(Wine1!$E:$E,Identifier!$A29,Wine1!$AA:$AA,Identifier!P$1)</f>
        <v>0</v>
      </c>
      <c r="Q29" s="37">
        <f>COUNTIFS(Wine1!$E:$E,Identifier!$A29,Wine1!$AA:$AA,Identifier!Q$1)</f>
        <v>0</v>
      </c>
      <c r="R29" s="37">
        <f>COUNTIFS(Wine1!$E:$E,Identifier!$A29,Wine1!$AA:$AA,Identifier!R$1)</f>
        <v>0</v>
      </c>
      <c r="S29" s="37">
        <f>COUNTIFS(Wine1!$E:$E,Identifier!$A29,Wine1!$AA:$AA,Identifier!S$1)</f>
        <v>0</v>
      </c>
      <c r="T29" s="37">
        <f>COUNTIFS(Wine1!$E:$E,Identifier!$A29,Wine1!$AA:$AA,Identifier!T$1)</f>
        <v>0</v>
      </c>
      <c r="U29" s="37">
        <f>COUNTIFS(Wine1!$E:$E,Identifier!$A29,Wine1!$AA:$AA,Identifier!U$1)</f>
        <v>0</v>
      </c>
      <c r="V29" s="37">
        <f>COUNTIFS(Wine1!$E:$E,Identifier!$A29,Wine1!$AA:$AA,Identifier!V$1)</f>
        <v>0</v>
      </c>
      <c r="W29" s="37">
        <f>COUNTIFS(Wine1!$E:$E,Identifier!$A29,Wine1!$AA:$AA,Identifier!W$1)</f>
        <v>0</v>
      </c>
      <c r="X29" s="37">
        <f>COUNTIFS(Wine1!$E:$E,Identifier!$A29,Wine1!$AA:$AA,Identifier!X$1)</f>
        <v>0</v>
      </c>
      <c r="Y29" s="37">
        <f>COUNTIFS(Wine1!$E:$E,Identifier!$A29,Wine1!$AA:$AA,Identifier!Y$1)</f>
        <v>0</v>
      </c>
      <c r="Z29" s="37">
        <f>COUNTIFS(Wine1!$E:$E,Identifier!$A29,Wine1!$AA:$AA,Identifier!Z$1)</f>
        <v>0</v>
      </c>
      <c r="AA29" s="37">
        <f>COUNTIFS(Wine1!$E:$E,Identifier!$A29,Wine1!$AA:$AA,Identifier!AA$1)</f>
        <v>0</v>
      </c>
      <c r="AB29" s="37">
        <f>COUNTIFS(Wine1!$E:$E,Identifier!$A29,Wine1!$AA:$AA,Identifier!AB$1)</f>
        <v>0</v>
      </c>
      <c r="AC29" s="37">
        <f>COUNTIFS(Wine1!$E:$E,Identifier!$A29,Wine1!$AA:$AA,Identifier!AC$1)</f>
        <v>0</v>
      </c>
      <c r="AD29" s="37">
        <f>COUNTIFS(Wine1!$E:$E,Identifier!$A29,Wine1!$AA:$AA,Identifier!AD$1)</f>
        <v>0</v>
      </c>
      <c r="AE29" s="37">
        <f>COUNTIFS(Wine1!$E:$E,Identifier!$A29,Wine1!$AA:$AA,Identifier!AE$1)</f>
        <v>0</v>
      </c>
      <c r="AF29" s="37">
        <f>COUNTIFS(Wine1!$E:$E,Identifier!$A29,Wine1!$AA:$AA,Identifier!AF$1)</f>
        <v>0</v>
      </c>
      <c r="AG29" s="37">
        <f>COUNTIFS(Wine1!$E:$E,Identifier!$A29,Wine1!$AA:$AA,Identifier!AG$1)</f>
        <v>0</v>
      </c>
      <c r="AH29" s="37">
        <f>COUNTIFS(Wine1!$E:$E,Identifier!$A29,Wine1!$AA:$AA,Identifier!AH$1)</f>
        <v>0</v>
      </c>
      <c r="AI29" s="37">
        <f>COUNTIFS(Wine1!$E:$E,Identifier!$A29,Wine1!$AA:$AA,Identifier!AI$1)</f>
        <v>0</v>
      </c>
      <c r="AJ29" s="37">
        <f>COUNTIFS(Wine1!$E:$E,Identifier!$A29,Wine1!$AA:$AA,Identifier!AJ$1)</f>
        <v>0</v>
      </c>
    </row>
    <row r="30" spans="1:36" x14ac:dyDescent="0.25">
      <c r="A30" t="s">
        <v>1224</v>
      </c>
      <c r="B30" s="37">
        <f>SUMIF(Wine1!E:E,Identifier!A30,Wine1!I:I)</f>
        <v>1</v>
      </c>
      <c r="C30" s="2">
        <f>SUMIF(Wine1!E:E,Identifier!A30,Wine1!AC:AC)</f>
        <v>35</v>
      </c>
      <c r="D30" s="37">
        <f>COUNTIFS(Wine1!E:E,Identifier!A30,Wine1!AA:AA,Identifier!D$1)</f>
        <v>0</v>
      </c>
      <c r="E30" s="37">
        <f>COUNTIFS(Wine1!$E:$E,Identifier!$A30,Wine1!$AA:$AA,Identifier!E$1)</f>
        <v>1</v>
      </c>
      <c r="F30" s="37">
        <f>COUNTIFS(Wine1!$E:$E,Identifier!$A30,Wine1!$AA:$AA,Identifier!F$1)</f>
        <v>0</v>
      </c>
      <c r="G30" s="37">
        <f>COUNTIFS(Wine1!$E:$E,Identifier!$A30,Wine1!$AA:$AA,Identifier!G$1)</f>
        <v>0</v>
      </c>
      <c r="H30" s="37">
        <f>COUNTIFS(Wine1!$E:$E,Identifier!$A30,Wine1!$AA:$AA,Identifier!H$1)</f>
        <v>0</v>
      </c>
      <c r="I30" s="37">
        <f>COUNTIFS(Wine1!$E:$E,Identifier!$A30,Wine1!$AA:$AA,Identifier!I$1)</f>
        <v>0</v>
      </c>
      <c r="J30" s="37">
        <f>COUNTIFS(Wine1!$E:$E,Identifier!$A30,Wine1!$AA:$AA,Identifier!J$1)</f>
        <v>0</v>
      </c>
      <c r="K30" s="37">
        <f>COUNTIFS(Wine1!$E:$E,Identifier!$A30,Wine1!$AA:$AA,Identifier!K$1)</f>
        <v>0</v>
      </c>
      <c r="L30" s="37">
        <f>COUNTIFS(Wine1!$E:$E,Identifier!$A30,Wine1!$AA:$AA,Identifier!L$1)</f>
        <v>0</v>
      </c>
      <c r="M30" s="37">
        <f>COUNTIFS(Wine1!$E:$E,Identifier!$A30,Wine1!$AA:$AA,Identifier!M$1)</f>
        <v>0</v>
      </c>
      <c r="N30" s="37">
        <f>COUNTIFS(Wine1!$E:$E,Identifier!$A30,Wine1!$AA:$AA,Identifier!N$1)</f>
        <v>0</v>
      </c>
      <c r="O30" s="37">
        <f>COUNTIFS(Wine1!$E:$E,Identifier!$A30,Wine1!$AA:$AA,Identifier!O$1)</f>
        <v>0</v>
      </c>
      <c r="P30" s="37">
        <f>COUNTIFS(Wine1!$E:$E,Identifier!$A30,Wine1!$AA:$AA,Identifier!P$1)</f>
        <v>0</v>
      </c>
      <c r="Q30" s="37">
        <f>COUNTIFS(Wine1!$E:$E,Identifier!$A30,Wine1!$AA:$AA,Identifier!Q$1)</f>
        <v>0</v>
      </c>
      <c r="R30" s="37">
        <f>COUNTIFS(Wine1!$E:$E,Identifier!$A30,Wine1!$AA:$AA,Identifier!R$1)</f>
        <v>0</v>
      </c>
      <c r="S30" s="37">
        <f>COUNTIFS(Wine1!$E:$E,Identifier!$A30,Wine1!$AA:$AA,Identifier!S$1)</f>
        <v>0</v>
      </c>
      <c r="T30" s="37">
        <f>COUNTIFS(Wine1!$E:$E,Identifier!$A30,Wine1!$AA:$AA,Identifier!T$1)</f>
        <v>0</v>
      </c>
      <c r="U30" s="37">
        <f>COUNTIFS(Wine1!$E:$E,Identifier!$A30,Wine1!$AA:$AA,Identifier!U$1)</f>
        <v>0</v>
      </c>
      <c r="V30" s="37">
        <f>COUNTIFS(Wine1!$E:$E,Identifier!$A30,Wine1!$AA:$AA,Identifier!V$1)</f>
        <v>0</v>
      </c>
      <c r="W30" s="37">
        <f>COUNTIFS(Wine1!$E:$E,Identifier!$A30,Wine1!$AA:$AA,Identifier!W$1)</f>
        <v>0</v>
      </c>
      <c r="X30" s="37">
        <f>COUNTIFS(Wine1!$E:$E,Identifier!$A30,Wine1!$AA:$AA,Identifier!X$1)</f>
        <v>0</v>
      </c>
      <c r="Y30" s="37">
        <f>COUNTIFS(Wine1!$E:$E,Identifier!$A30,Wine1!$AA:$AA,Identifier!Y$1)</f>
        <v>0</v>
      </c>
      <c r="Z30" s="37">
        <f>COUNTIFS(Wine1!$E:$E,Identifier!$A30,Wine1!$AA:$AA,Identifier!Z$1)</f>
        <v>0</v>
      </c>
      <c r="AA30" s="37">
        <f>COUNTIFS(Wine1!$E:$E,Identifier!$A30,Wine1!$AA:$AA,Identifier!AA$1)</f>
        <v>0</v>
      </c>
      <c r="AB30" s="37">
        <f>COUNTIFS(Wine1!$E:$E,Identifier!$A30,Wine1!$AA:$AA,Identifier!AB$1)</f>
        <v>0</v>
      </c>
      <c r="AC30" s="37">
        <f>COUNTIFS(Wine1!$E:$E,Identifier!$A30,Wine1!$AA:$AA,Identifier!AC$1)</f>
        <v>0</v>
      </c>
      <c r="AD30" s="37">
        <f>COUNTIFS(Wine1!$E:$E,Identifier!$A30,Wine1!$AA:$AA,Identifier!AD$1)</f>
        <v>0</v>
      </c>
      <c r="AE30" s="37">
        <f>COUNTIFS(Wine1!$E:$E,Identifier!$A30,Wine1!$AA:$AA,Identifier!AE$1)</f>
        <v>0</v>
      </c>
      <c r="AF30" s="37">
        <f>COUNTIFS(Wine1!$E:$E,Identifier!$A30,Wine1!$AA:$AA,Identifier!AF$1)</f>
        <v>0</v>
      </c>
      <c r="AG30" s="37">
        <f>COUNTIFS(Wine1!$E:$E,Identifier!$A30,Wine1!$AA:$AA,Identifier!AG$1)</f>
        <v>0</v>
      </c>
      <c r="AH30" s="37">
        <f>COUNTIFS(Wine1!$E:$E,Identifier!$A30,Wine1!$AA:$AA,Identifier!AH$1)</f>
        <v>0</v>
      </c>
      <c r="AI30" s="37">
        <f>COUNTIFS(Wine1!$E:$E,Identifier!$A30,Wine1!$AA:$AA,Identifier!AI$1)</f>
        <v>0</v>
      </c>
      <c r="AJ30" s="37">
        <f>COUNTIFS(Wine1!$E:$E,Identifier!$A30,Wine1!$AA:$AA,Identifier!AJ$1)</f>
        <v>0</v>
      </c>
    </row>
    <row r="31" spans="1:36" x14ac:dyDescent="0.25">
      <c r="A31" t="s">
        <v>288</v>
      </c>
      <c r="B31" s="37">
        <f>SUMIF(Wine1!E:E,Identifier!A31,Wine1!I:I)</f>
        <v>1</v>
      </c>
      <c r="C31" s="2">
        <f>SUMIF(Wine1!E:E,Identifier!A31,Wine1!AC:AC)</f>
        <v>60.61</v>
      </c>
      <c r="D31" s="37">
        <f>COUNTIFS(Wine1!E:E,Identifier!A31,Wine1!AA:AA,Identifier!D$1)</f>
        <v>1</v>
      </c>
      <c r="E31" s="37">
        <f>COUNTIFS(Wine1!$E:$E,Identifier!$A31,Wine1!$AA:$AA,Identifier!E$1)</f>
        <v>0</v>
      </c>
      <c r="F31" s="37">
        <f>COUNTIFS(Wine1!$E:$E,Identifier!$A31,Wine1!$AA:$AA,Identifier!F$1)</f>
        <v>0</v>
      </c>
      <c r="G31" s="37">
        <f>COUNTIFS(Wine1!$E:$E,Identifier!$A31,Wine1!$AA:$AA,Identifier!G$1)</f>
        <v>0</v>
      </c>
      <c r="H31" s="37">
        <f>COUNTIFS(Wine1!$E:$E,Identifier!$A31,Wine1!$AA:$AA,Identifier!H$1)</f>
        <v>0</v>
      </c>
      <c r="I31" s="37">
        <f>COUNTIFS(Wine1!$E:$E,Identifier!$A31,Wine1!$AA:$AA,Identifier!I$1)</f>
        <v>0</v>
      </c>
      <c r="J31" s="37">
        <f>COUNTIFS(Wine1!$E:$E,Identifier!$A31,Wine1!$AA:$AA,Identifier!J$1)</f>
        <v>0</v>
      </c>
      <c r="K31" s="37">
        <f>COUNTIFS(Wine1!$E:$E,Identifier!$A31,Wine1!$AA:$AA,Identifier!K$1)</f>
        <v>0</v>
      </c>
      <c r="L31" s="37">
        <f>COUNTIFS(Wine1!$E:$E,Identifier!$A31,Wine1!$AA:$AA,Identifier!L$1)</f>
        <v>0</v>
      </c>
      <c r="M31" s="37">
        <f>COUNTIFS(Wine1!$E:$E,Identifier!$A31,Wine1!$AA:$AA,Identifier!M$1)</f>
        <v>0</v>
      </c>
      <c r="N31" s="37">
        <f>COUNTIFS(Wine1!$E:$E,Identifier!$A31,Wine1!$AA:$AA,Identifier!N$1)</f>
        <v>0</v>
      </c>
      <c r="O31" s="37">
        <f>COUNTIFS(Wine1!$E:$E,Identifier!$A31,Wine1!$AA:$AA,Identifier!O$1)</f>
        <v>0</v>
      </c>
      <c r="P31" s="37">
        <f>COUNTIFS(Wine1!$E:$E,Identifier!$A31,Wine1!$AA:$AA,Identifier!P$1)</f>
        <v>0</v>
      </c>
      <c r="Q31" s="37">
        <f>COUNTIFS(Wine1!$E:$E,Identifier!$A31,Wine1!$AA:$AA,Identifier!Q$1)</f>
        <v>0</v>
      </c>
      <c r="R31" s="37">
        <f>COUNTIFS(Wine1!$E:$E,Identifier!$A31,Wine1!$AA:$AA,Identifier!R$1)</f>
        <v>0</v>
      </c>
      <c r="S31" s="37">
        <f>COUNTIFS(Wine1!$E:$E,Identifier!$A31,Wine1!$AA:$AA,Identifier!S$1)</f>
        <v>0</v>
      </c>
      <c r="T31" s="37">
        <f>COUNTIFS(Wine1!$E:$E,Identifier!$A31,Wine1!$AA:$AA,Identifier!T$1)</f>
        <v>0</v>
      </c>
      <c r="U31" s="37">
        <f>COUNTIFS(Wine1!$E:$E,Identifier!$A31,Wine1!$AA:$AA,Identifier!U$1)</f>
        <v>0</v>
      </c>
      <c r="V31" s="37">
        <f>COUNTIFS(Wine1!$E:$E,Identifier!$A31,Wine1!$AA:$AA,Identifier!V$1)</f>
        <v>0</v>
      </c>
      <c r="W31" s="37">
        <f>COUNTIFS(Wine1!$E:$E,Identifier!$A31,Wine1!$AA:$AA,Identifier!W$1)</f>
        <v>0</v>
      </c>
      <c r="X31" s="37">
        <f>COUNTIFS(Wine1!$E:$E,Identifier!$A31,Wine1!$AA:$AA,Identifier!X$1)</f>
        <v>0</v>
      </c>
      <c r="Y31" s="37">
        <f>COUNTIFS(Wine1!$E:$E,Identifier!$A31,Wine1!$AA:$AA,Identifier!Y$1)</f>
        <v>0</v>
      </c>
      <c r="Z31" s="37">
        <f>COUNTIFS(Wine1!$E:$E,Identifier!$A31,Wine1!$AA:$AA,Identifier!Z$1)</f>
        <v>0</v>
      </c>
      <c r="AA31" s="37">
        <f>COUNTIFS(Wine1!$E:$E,Identifier!$A31,Wine1!$AA:$AA,Identifier!AA$1)</f>
        <v>0</v>
      </c>
      <c r="AB31" s="37">
        <f>COUNTIFS(Wine1!$E:$E,Identifier!$A31,Wine1!$AA:$AA,Identifier!AB$1)</f>
        <v>0</v>
      </c>
      <c r="AC31" s="37">
        <f>COUNTIFS(Wine1!$E:$E,Identifier!$A31,Wine1!$AA:$AA,Identifier!AC$1)</f>
        <v>0</v>
      </c>
      <c r="AD31" s="37">
        <f>COUNTIFS(Wine1!$E:$E,Identifier!$A31,Wine1!$AA:$AA,Identifier!AD$1)</f>
        <v>0</v>
      </c>
      <c r="AE31" s="37">
        <f>COUNTIFS(Wine1!$E:$E,Identifier!$A31,Wine1!$AA:$AA,Identifier!AE$1)</f>
        <v>0</v>
      </c>
      <c r="AF31" s="37">
        <f>COUNTIFS(Wine1!$E:$E,Identifier!$A31,Wine1!$AA:$AA,Identifier!AF$1)</f>
        <v>0</v>
      </c>
      <c r="AG31" s="37">
        <f>COUNTIFS(Wine1!$E:$E,Identifier!$A31,Wine1!$AA:$AA,Identifier!AG$1)</f>
        <v>0</v>
      </c>
      <c r="AH31" s="37">
        <f>COUNTIFS(Wine1!$E:$E,Identifier!$A31,Wine1!$AA:$AA,Identifier!AH$1)</f>
        <v>0</v>
      </c>
      <c r="AI31" s="37">
        <f>COUNTIFS(Wine1!$E:$E,Identifier!$A31,Wine1!$AA:$AA,Identifier!AI$1)</f>
        <v>0</v>
      </c>
      <c r="AJ31" s="37">
        <f>COUNTIFS(Wine1!$E:$E,Identifier!$A31,Wine1!$AA:$AA,Identifier!AJ$1)</f>
        <v>0</v>
      </c>
    </row>
    <row r="32" spans="1:36" x14ac:dyDescent="0.25">
      <c r="A32" t="s">
        <v>607</v>
      </c>
      <c r="B32" s="37">
        <f>SUMIF(Wine1!E:E,Identifier!A32,Wine1!I:I)</f>
        <v>1</v>
      </c>
      <c r="C32" s="2">
        <f>SUMIF(Wine1!E:E,Identifier!A32,Wine1!AC:AC)</f>
        <v>9.99</v>
      </c>
      <c r="D32" s="37">
        <f>COUNTIFS(Wine1!E:E,Identifier!A32,Wine1!AA:AA,Identifier!D$1)</f>
        <v>1</v>
      </c>
      <c r="E32" s="37">
        <f>COUNTIFS(Wine1!$E:$E,Identifier!$A32,Wine1!$AA:$AA,Identifier!E$1)</f>
        <v>0</v>
      </c>
      <c r="F32" s="37">
        <f>COUNTIFS(Wine1!$E:$E,Identifier!$A32,Wine1!$AA:$AA,Identifier!F$1)</f>
        <v>0</v>
      </c>
      <c r="G32" s="37">
        <f>COUNTIFS(Wine1!$E:$E,Identifier!$A32,Wine1!$AA:$AA,Identifier!G$1)</f>
        <v>0</v>
      </c>
      <c r="H32" s="37">
        <f>COUNTIFS(Wine1!$E:$E,Identifier!$A32,Wine1!$AA:$AA,Identifier!H$1)</f>
        <v>0</v>
      </c>
      <c r="I32" s="37">
        <f>COUNTIFS(Wine1!$E:$E,Identifier!$A32,Wine1!$AA:$AA,Identifier!I$1)</f>
        <v>0</v>
      </c>
      <c r="J32" s="37">
        <f>COUNTIFS(Wine1!$E:$E,Identifier!$A32,Wine1!$AA:$AA,Identifier!J$1)</f>
        <v>0</v>
      </c>
      <c r="K32" s="37">
        <f>COUNTIFS(Wine1!$E:$E,Identifier!$A32,Wine1!$AA:$AA,Identifier!K$1)</f>
        <v>0</v>
      </c>
      <c r="L32" s="37">
        <f>COUNTIFS(Wine1!$E:$E,Identifier!$A32,Wine1!$AA:$AA,Identifier!L$1)</f>
        <v>0</v>
      </c>
      <c r="M32" s="37">
        <f>COUNTIFS(Wine1!$E:$E,Identifier!$A32,Wine1!$AA:$AA,Identifier!M$1)</f>
        <v>0</v>
      </c>
      <c r="N32" s="37">
        <f>COUNTIFS(Wine1!$E:$E,Identifier!$A32,Wine1!$AA:$AA,Identifier!N$1)</f>
        <v>0</v>
      </c>
      <c r="O32" s="37">
        <f>COUNTIFS(Wine1!$E:$E,Identifier!$A32,Wine1!$AA:$AA,Identifier!O$1)</f>
        <v>0</v>
      </c>
      <c r="P32" s="37">
        <f>COUNTIFS(Wine1!$E:$E,Identifier!$A32,Wine1!$AA:$AA,Identifier!P$1)</f>
        <v>0</v>
      </c>
      <c r="Q32" s="37">
        <f>COUNTIFS(Wine1!$E:$E,Identifier!$A32,Wine1!$AA:$AA,Identifier!Q$1)</f>
        <v>0</v>
      </c>
      <c r="R32" s="37">
        <f>COUNTIFS(Wine1!$E:$E,Identifier!$A32,Wine1!$AA:$AA,Identifier!R$1)</f>
        <v>0</v>
      </c>
      <c r="S32" s="37">
        <f>COUNTIFS(Wine1!$E:$E,Identifier!$A32,Wine1!$AA:$AA,Identifier!S$1)</f>
        <v>0</v>
      </c>
      <c r="T32" s="37">
        <f>COUNTIFS(Wine1!$E:$E,Identifier!$A32,Wine1!$AA:$AA,Identifier!T$1)</f>
        <v>0</v>
      </c>
      <c r="U32" s="37">
        <f>COUNTIFS(Wine1!$E:$E,Identifier!$A32,Wine1!$AA:$AA,Identifier!U$1)</f>
        <v>0</v>
      </c>
      <c r="V32" s="37">
        <f>COUNTIFS(Wine1!$E:$E,Identifier!$A32,Wine1!$AA:$AA,Identifier!V$1)</f>
        <v>0</v>
      </c>
      <c r="W32" s="37">
        <f>COUNTIFS(Wine1!$E:$E,Identifier!$A32,Wine1!$AA:$AA,Identifier!W$1)</f>
        <v>0</v>
      </c>
      <c r="X32" s="37">
        <f>COUNTIFS(Wine1!$E:$E,Identifier!$A32,Wine1!$AA:$AA,Identifier!X$1)</f>
        <v>0</v>
      </c>
      <c r="Y32" s="37">
        <f>COUNTIFS(Wine1!$E:$E,Identifier!$A32,Wine1!$AA:$AA,Identifier!Y$1)</f>
        <v>0</v>
      </c>
      <c r="Z32" s="37">
        <f>COUNTIFS(Wine1!$E:$E,Identifier!$A32,Wine1!$AA:$AA,Identifier!Z$1)</f>
        <v>0</v>
      </c>
      <c r="AA32" s="37">
        <f>COUNTIFS(Wine1!$E:$E,Identifier!$A32,Wine1!$AA:$AA,Identifier!AA$1)</f>
        <v>0</v>
      </c>
      <c r="AB32" s="37">
        <f>COUNTIFS(Wine1!$E:$E,Identifier!$A32,Wine1!$AA:$AA,Identifier!AB$1)</f>
        <v>0</v>
      </c>
      <c r="AC32" s="37">
        <f>COUNTIFS(Wine1!$E:$E,Identifier!$A32,Wine1!$AA:$AA,Identifier!AC$1)</f>
        <v>0</v>
      </c>
      <c r="AD32" s="37">
        <f>COUNTIFS(Wine1!$E:$E,Identifier!$A32,Wine1!$AA:$AA,Identifier!AD$1)</f>
        <v>0</v>
      </c>
      <c r="AE32" s="37">
        <f>COUNTIFS(Wine1!$E:$E,Identifier!$A32,Wine1!$AA:$AA,Identifier!AE$1)</f>
        <v>0</v>
      </c>
      <c r="AF32" s="37">
        <f>COUNTIFS(Wine1!$E:$E,Identifier!$A32,Wine1!$AA:$AA,Identifier!AF$1)</f>
        <v>0</v>
      </c>
      <c r="AG32" s="37">
        <f>COUNTIFS(Wine1!$E:$E,Identifier!$A32,Wine1!$AA:$AA,Identifier!AG$1)</f>
        <v>0</v>
      </c>
      <c r="AH32" s="37">
        <f>COUNTIFS(Wine1!$E:$E,Identifier!$A32,Wine1!$AA:$AA,Identifier!AH$1)</f>
        <v>0</v>
      </c>
      <c r="AI32" s="37">
        <f>COUNTIFS(Wine1!$E:$E,Identifier!$A32,Wine1!$AA:$AA,Identifier!AI$1)</f>
        <v>0</v>
      </c>
      <c r="AJ32" s="37">
        <f>COUNTIFS(Wine1!$E:$E,Identifier!$A32,Wine1!$AA:$AA,Identifier!AJ$1)</f>
        <v>0</v>
      </c>
    </row>
    <row r="33" spans="1:36" x14ac:dyDescent="0.25">
      <c r="A33" t="s">
        <v>351</v>
      </c>
      <c r="B33" s="37">
        <f>SUMIF(Wine1!E:E,Identifier!A33,Wine1!I:I)</f>
        <v>0</v>
      </c>
      <c r="C33" s="2">
        <f>SUMIF(Wine1!E:E,Identifier!A33,Wine1!AC:AC)</f>
        <v>0</v>
      </c>
      <c r="D33" s="37">
        <f>COUNTIFS(Wine1!E:E,Identifier!A33,Wine1!AA:AA,Identifier!D$1)</f>
        <v>0</v>
      </c>
      <c r="E33" s="37">
        <f>COUNTIFS(Wine1!$E:$E,Identifier!$A33,Wine1!$AA:$AA,Identifier!E$1)</f>
        <v>0</v>
      </c>
      <c r="F33" s="37">
        <f>COUNTIFS(Wine1!$E:$E,Identifier!$A33,Wine1!$AA:$AA,Identifier!F$1)</f>
        <v>0</v>
      </c>
      <c r="G33" s="37">
        <f>COUNTIFS(Wine1!$E:$E,Identifier!$A33,Wine1!$AA:$AA,Identifier!G$1)</f>
        <v>0</v>
      </c>
      <c r="H33" s="37">
        <f>COUNTIFS(Wine1!$E:$E,Identifier!$A33,Wine1!$AA:$AA,Identifier!H$1)</f>
        <v>0</v>
      </c>
      <c r="I33" s="37">
        <f>COUNTIFS(Wine1!$E:$E,Identifier!$A33,Wine1!$AA:$AA,Identifier!I$1)</f>
        <v>0</v>
      </c>
      <c r="J33" s="37">
        <f>COUNTIFS(Wine1!$E:$E,Identifier!$A33,Wine1!$AA:$AA,Identifier!J$1)</f>
        <v>0</v>
      </c>
      <c r="K33" s="37">
        <f>COUNTIFS(Wine1!$E:$E,Identifier!$A33,Wine1!$AA:$AA,Identifier!K$1)</f>
        <v>0</v>
      </c>
      <c r="L33" s="37">
        <f>COUNTIFS(Wine1!$E:$E,Identifier!$A33,Wine1!$AA:$AA,Identifier!L$1)</f>
        <v>0</v>
      </c>
      <c r="M33" s="37">
        <f>COUNTIFS(Wine1!$E:$E,Identifier!$A33,Wine1!$AA:$AA,Identifier!M$1)</f>
        <v>0</v>
      </c>
      <c r="N33" s="37">
        <f>COUNTIFS(Wine1!$E:$E,Identifier!$A33,Wine1!$AA:$AA,Identifier!N$1)</f>
        <v>0</v>
      </c>
      <c r="O33" s="37">
        <f>COUNTIFS(Wine1!$E:$E,Identifier!$A33,Wine1!$AA:$AA,Identifier!O$1)</f>
        <v>0</v>
      </c>
      <c r="P33" s="37">
        <f>COUNTIFS(Wine1!$E:$E,Identifier!$A33,Wine1!$AA:$AA,Identifier!P$1)</f>
        <v>0</v>
      </c>
      <c r="Q33" s="37">
        <f>COUNTIFS(Wine1!$E:$E,Identifier!$A33,Wine1!$AA:$AA,Identifier!Q$1)</f>
        <v>0</v>
      </c>
      <c r="R33" s="37">
        <f>COUNTIFS(Wine1!$E:$E,Identifier!$A33,Wine1!$AA:$AA,Identifier!R$1)</f>
        <v>0</v>
      </c>
      <c r="S33" s="37">
        <f>COUNTIFS(Wine1!$E:$E,Identifier!$A33,Wine1!$AA:$AA,Identifier!S$1)</f>
        <v>0</v>
      </c>
      <c r="T33" s="37">
        <f>COUNTIFS(Wine1!$E:$E,Identifier!$A33,Wine1!$AA:$AA,Identifier!T$1)</f>
        <v>0</v>
      </c>
      <c r="U33" s="37">
        <f>COUNTIFS(Wine1!$E:$E,Identifier!$A33,Wine1!$AA:$AA,Identifier!U$1)</f>
        <v>0</v>
      </c>
      <c r="V33" s="37">
        <f>COUNTIFS(Wine1!$E:$E,Identifier!$A33,Wine1!$AA:$AA,Identifier!V$1)</f>
        <v>0</v>
      </c>
      <c r="W33" s="37">
        <f>COUNTIFS(Wine1!$E:$E,Identifier!$A33,Wine1!$AA:$AA,Identifier!W$1)</f>
        <v>0</v>
      </c>
      <c r="X33" s="37">
        <f>COUNTIFS(Wine1!$E:$E,Identifier!$A33,Wine1!$AA:$AA,Identifier!X$1)</f>
        <v>0</v>
      </c>
      <c r="Y33" s="37">
        <f>COUNTIFS(Wine1!$E:$E,Identifier!$A33,Wine1!$AA:$AA,Identifier!Y$1)</f>
        <v>0</v>
      </c>
      <c r="Z33" s="37">
        <f>COUNTIFS(Wine1!$E:$E,Identifier!$A33,Wine1!$AA:$AA,Identifier!Z$1)</f>
        <v>0</v>
      </c>
      <c r="AA33" s="37">
        <f>COUNTIFS(Wine1!$E:$E,Identifier!$A33,Wine1!$AA:$AA,Identifier!AA$1)</f>
        <v>0</v>
      </c>
      <c r="AB33" s="37">
        <f>COUNTIFS(Wine1!$E:$E,Identifier!$A33,Wine1!$AA:$AA,Identifier!AB$1)</f>
        <v>0</v>
      </c>
      <c r="AC33" s="37">
        <f>COUNTIFS(Wine1!$E:$E,Identifier!$A33,Wine1!$AA:$AA,Identifier!AC$1)</f>
        <v>0</v>
      </c>
      <c r="AD33" s="37">
        <f>COUNTIFS(Wine1!$E:$E,Identifier!$A33,Wine1!$AA:$AA,Identifier!AD$1)</f>
        <v>0</v>
      </c>
      <c r="AE33" s="37">
        <f>COUNTIFS(Wine1!$E:$E,Identifier!$A33,Wine1!$AA:$AA,Identifier!AE$1)</f>
        <v>0</v>
      </c>
      <c r="AF33" s="37">
        <f>COUNTIFS(Wine1!$E:$E,Identifier!$A33,Wine1!$AA:$AA,Identifier!AF$1)</f>
        <v>0</v>
      </c>
      <c r="AG33" s="37">
        <f>COUNTIFS(Wine1!$E:$E,Identifier!$A33,Wine1!$AA:$AA,Identifier!AG$1)</f>
        <v>0</v>
      </c>
      <c r="AH33" s="37">
        <f>COUNTIFS(Wine1!$E:$E,Identifier!$A33,Wine1!$AA:$AA,Identifier!AH$1)</f>
        <v>0</v>
      </c>
      <c r="AI33" s="37">
        <f>COUNTIFS(Wine1!$E:$E,Identifier!$A33,Wine1!$AA:$AA,Identifier!AI$1)</f>
        <v>0</v>
      </c>
      <c r="AJ33" s="37">
        <f>COUNTIFS(Wine1!$E:$E,Identifier!$A33,Wine1!$AA:$AA,Identifier!AJ$1)</f>
        <v>0</v>
      </c>
    </row>
    <row r="34" spans="1:36" x14ac:dyDescent="0.25">
      <c r="A34" t="s">
        <v>320</v>
      </c>
      <c r="B34" s="37">
        <f>SUMIF(Wine1!E:E,Identifier!A34,Wine1!I:I)</f>
        <v>2</v>
      </c>
      <c r="C34" s="2">
        <f>SUMIF(Wine1!E:E,Identifier!A34,Wine1!AC:AC)</f>
        <v>79.98</v>
      </c>
      <c r="D34" s="37">
        <f>COUNTIFS(Wine1!E:E,Identifier!A34,Wine1!AA:AA,Identifier!D$1)</f>
        <v>0</v>
      </c>
      <c r="E34" s="37">
        <f>COUNTIFS(Wine1!$E:$E,Identifier!$A34,Wine1!$AA:$AA,Identifier!E$1)</f>
        <v>0</v>
      </c>
      <c r="F34" s="37">
        <f>COUNTIFS(Wine1!$E:$E,Identifier!$A34,Wine1!$AA:$AA,Identifier!F$1)</f>
        <v>0</v>
      </c>
      <c r="G34" s="37">
        <f>COUNTIFS(Wine1!$E:$E,Identifier!$A34,Wine1!$AA:$AA,Identifier!G$1)</f>
        <v>0</v>
      </c>
      <c r="H34" s="37">
        <f>COUNTIFS(Wine1!$E:$E,Identifier!$A34,Wine1!$AA:$AA,Identifier!H$1)</f>
        <v>0</v>
      </c>
      <c r="I34" s="37">
        <f>COUNTIFS(Wine1!$E:$E,Identifier!$A34,Wine1!$AA:$AA,Identifier!I$1)</f>
        <v>1</v>
      </c>
      <c r="J34" s="37">
        <f>COUNTIFS(Wine1!$E:$E,Identifier!$A34,Wine1!$AA:$AA,Identifier!J$1)</f>
        <v>0</v>
      </c>
      <c r="K34" s="37">
        <f>COUNTIFS(Wine1!$E:$E,Identifier!$A34,Wine1!$AA:$AA,Identifier!K$1)</f>
        <v>0</v>
      </c>
      <c r="L34" s="37">
        <f>COUNTIFS(Wine1!$E:$E,Identifier!$A34,Wine1!$AA:$AA,Identifier!L$1)</f>
        <v>1</v>
      </c>
      <c r="M34" s="37">
        <f>COUNTIFS(Wine1!$E:$E,Identifier!$A34,Wine1!$AA:$AA,Identifier!M$1)</f>
        <v>0</v>
      </c>
      <c r="N34" s="37">
        <f>COUNTIFS(Wine1!$E:$E,Identifier!$A34,Wine1!$AA:$AA,Identifier!N$1)</f>
        <v>0</v>
      </c>
      <c r="O34" s="37">
        <f>COUNTIFS(Wine1!$E:$E,Identifier!$A34,Wine1!$AA:$AA,Identifier!O$1)</f>
        <v>0</v>
      </c>
      <c r="P34" s="37">
        <f>COUNTIFS(Wine1!$E:$E,Identifier!$A34,Wine1!$AA:$AA,Identifier!P$1)</f>
        <v>0</v>
      </c>
      <c r="Q34" s="37">
        <f>COUNTIFS(Wine1!$E:$E,Identifier!$A34,Wine1!$AA:$AA,Identifier!Q$1)</f>
        <v>0</v>
      </c>
      <c r="R34" s="37">
        <f>COUNTIFS(Wine1!$E:$E,Identifier!$A34,Wine1!$AA:$AA,Identifier!R$1)</f>
        <v>0</v>
      </c>
      <c r="S34" s="37">
        <f>COUNTIFS(Wine1!$E:$E,Identifier!$A34,Wine1!$AA:$AA,Identifier!S$1)</f>
        <v>0</v>
      </c>
      <c r="T34" s="37">
        <f>COUNTIFS(Wine1!$E:$E,Identifier!$A34,Wine1!$AA:$AA,Identifier!T$1)</f>
        <v>0</v>
      </c>
      <c r="U34" s="37">
        <f>COUNTIFS(Wine1!$E:$E,Identifier!$A34,Wine1!$AA:$AA,Identifier!U$1)</f>
        <v>0</v>
      </c>
      <c r="V34" s="37">
        <f>COUNTIFS(Wine1!$E:$E,Identifier!$A34,Wine1!$AA:$AA,Identifier!V$1)</f>
        <v>0</v>
      </c>
      <c r="W34" s="37">
        <f>COUNTIFS(Wine1!$E:$E,Identifier!$A34,Wine1!$AA:$AA,Identifier!W$1)</f>
        <v>0</v>
      </c>
      <c r="X34" s="37">
        <f>COUNTIFS(Wine1!$E:$E,Identifier!$A34,Wine1!$AA:$AA,Identifier!X$1)</f>
        <v>0</v>
      </c>
      <c r="Y34" s="37">
        <f>COUNTIFS(Wine1!$E:$E,Identifier!$A34,Wine1!$AA:$AA,Identifier!Y$1)</f>
        <v>0</v>
      </c>
      <c r="Z34" s="37">
        <f>COUNTIFS(Wine1!$E:$E,Identifier!$A34,Wine1!$AA:$AA,Identifier!Z$1)</f>
        <v>0</v>
      </c>
      <c r="AA34" s="37">
        <f>COUNTIFS(Wine1!$E:$E,Identifier!$A34,Wine1!$AA:$AA,Identifier!AA$1)</f>
        <v>0</v>
      </c>
      <c r="AB34" s="37">
        <f>COUNTIFS(Wine1!$E:$E,Identifier!$A34,Wine1!$AA:$AA,Identifier!AB$1)</f>
        <v>0</v>
      </c>
      <c r="AC34" s="37">
        <f>COUNTIFS(Wine1!$E:$E,Identifier!$A34,Wine1!$AA:$AA,Identifier!AC$1)</f>
        <v>0</v>
      </c>
      <c r="AD34" s="37">
        <f>COUNTIFS(Wine1!$E:$E,Identifier!$A34,Wine1!$AA:$AA,Identifier!AD$1)</f>
        <v>0</v>
      </c>
      <c r="AE34" s="37">
        <f>COUNTIFS(Wine1!$E:$E,Identifier!$A34,Wine1!$AA:$AA,Identifier!AE$1)</f>
        <v>0</v>
      </c>
      <c r="AF34" s="37">
        <f>COUNTIFS(Wine1!$E:$E,Identifier!$A34,Wine1!$AA:$AA,Identifier!AF$1)</f>
        <v>0</v>
      </c>
      <c r="AG34" s="37">
        <f>COUNTIFS(Wine1!$E:$E,Identifier!$A34,Wine1!$AA:$AA,Identifier!AG$1)</f>
        <v>0</v>
      </c>
      <c r="AH34" s="37">
        <f>COUNTIFS(Wine1!$E:$E,Identifier!$A34,Wine1!$AA:$AA,Identifier!AH$1)</f>
        <v>0</v>
      </c>
      <c r="AI34" s="37">
        <f>COUNTIFS(Wine1!$E:$E,Identifier!$A34,Wine1!$AA:$AA,Identifier!AI$1)</f>
        <v>0</v>
      </c>
      <c r="AJ34" s="37">
        <f>COUNTIFS(Wine1!$E:$E,Identifier!$A34,Wine1!$AA:$AA,Identifier!AJ$1)</f>
        <v>0</v>
      </c>
    </row>
    <row r="35" spans="1:36" x14ac:dyDescent="0.25">
      <c r="A35" t="s">
        <v>263</v>
      </c>
      <c r="B35" s="37">
        <f>SUMIF(Wine1!E:E,Identifier!A35,Wine1!I:I)</f>
        <v>9</v>
      </c>
      <c r="C35" s="2">
        <f>SUMIF(Wine1!E:E,Identifier!A35,Wine1!AC:AC)</f>
        <v>296.64</v>
      </c>
      <c r="D35" s="37">
        <f>COUNTIFS(Wine1!E:E,Identifier!A35,Wine1!AA:AA,Identifier!D$1)</f>
        <v>2</v>
      </c>
      <c r="E35" s="37">
        <f>COUNTIFS(Wine1!$E:$E,Identifier!$A35,Wine1!$AA:$AA,Identifier!E$1)</f>
        <v>0</v>
      </c>
      <c r="F35" s="37">
        <f>COUNTIFS(Wine1!$E:$E,Identifier!$A35,Wine1!$AA:$AA,Identifier!F$1)</f>
        <v>2</v>
      </c>
      <c r="G35" s="37">
        <f>COUNTIFS(Wine1!$E:$E,Identifier!$A35,Wine1!$AA:$AA,Identifier!G$1)</f>
        <v>1</v>
      </c>
      <c r="H35" s="37">
        <f>COUNTIFS(Wine1!$E:$E,Identifier!$A35,Wine1!$AA:$AA,Identifier!H$1)</f>
        <v>1</v>
      </c>
      <c r="I35" s="37">
        <f>COUNTIFS(Wine1!$E:$E,Identifier!$A35,Wine1!$AA:$AA,Identifier!I$1)</f>
        <v>0</v>
      </c>
      <c r="J35" s="37">
        <f>COUNTIFS(Wine1!$E:$E,Identifier!$A35,Wine1!$AA:$AA,Identifier!J$1)</f>
        <v>1</v>
      </c>
      <c r="K35" s="37">
        <f>COUNTIFS(Wine1!$E:$E,Identifier!$A35,Wine1!$AA:$AA,Identifier!K$1)</f>
        <v>1</v>
      </c>
      <c r="L35" s="37">
        <f>COUNTIFS(Wine1!$E:$E,Identifier!$A35,Wine1!$AA:$AA,Identifier!L$1)</f>
        <v>0</v>
      </c>
      <c r="M35" s="37">
        <f>COUNTIFS(Wine1!$E:$E,Identifier!$A35,Wine1!$AA:$AA,Identifier!M$1)</f>
        <v>0</v>
      </c>
      <c r="N35" s="37">
        <f>COUNTIFS(Wine1!$E:$E,Identifier!$A35,Wine1!$AA:$AA,Identifier!N$1)</f>
        <v>1</v>
      </c>
      <c r="O35" s="37">
        <f>COUNTIFS(Wine1!$E:$E,Identifier!$A35,Wine1!$AA:$AA,Identifier!O$1)</f>
        <v>0</v>
      </c>
      <c r="P35" s="37">
        <f>COUNTIFS(Wine1!$E:$E,Identifier!$A35,Wine1!$AA:$AA,Identifier!P$1)</f>
        <v>0</v>
      </c>
      <c r="Q35" s="37">
        <f>COUNTIFS(Wine1!$E:$E,Identifier!$A35,Wine1!$AA:$AA,Identifier!Q$1)</f>
        <v>0</v>
      </c>
      <c r="R35" s="37">
        <f>COUNTIFS(Wine1!$E:$E,Identifier!$A35,Wine1!$AA:$AA,Identifier!R$1)</f>
        <v>0</v>
      </c>
      <c r="S35" s="37">
        <f>COUNTIFS(Wine1!$E:$E,Identifier!$A35,Wine1!$AA:$AA,Identifier!S$1)</f>
        <v>0</v>
      </c>
      <c r="T35" s="37">
        <f>COUNTIFS(Wine1!$E:$E,Identifier!$A35,Wine1!$AA:$AA,Identifier!T$1)</f>
        <v>0</v>
      </c>
      <c r="U35" s="37">
        <f>COUNTIFS(Wine1!$E:$E,Identifier!$A35,Wine1!$AA:$AA,Identifier!U$1)</f>
        <v>0</v>
      </c>
      <c r="V35" s="37">
        <f>COUNTIFS(Wine1!$E:$E,Identifier!$A35,Wine1!$AA:$AA,Identifier!V$1)</f>
        <v>0</v>
      </c>
      <c r="W35" s="37">
        <f>COUNTIFS(Wine1!$E:$E,Identifier!$A35,Wine1!$AA:$AA,Identifier!W$1)</f>
        <v>0</v>
      </c>
      <c r="X35" s="37">
        <f>COUNTIFS(Wine1!$E:$E,Identifier!$A35,Wine1!$AA:$AA,Identifier!X$1)</f>
        <v>0</v>
      </c>
      <c r="Y35" s="37">
        <f>COUNTIFS(Wine1!$E:$E,Identifier!$A35,Wine1!$AA:$AA,Identifier!Y$1)</f>
        <v>0</v>
      </c>
      <c r="Z35" s="37">
        <f>COUNTIFS(Wine1!$E:$E,Identifier!$A35,Wine1!$AA:$AA,Identifier!Z$1)</f>
        <v>0</v>
      </c>
      <c r="AA35" s="37">
        <f>COUNTIFS(Wine1!$E:$E,Identifier!$A35,Wine1!$AA:$AA,Identifier!AA$1)</f>
        <v>0</v>
      </c>
      <c r="AB35" s="37">
        <f>COUNTIFS(Wine1!$E:$E,Identifier!$A35,Wine1!$AA:$AA,Identifier!AB$1)</f>
        <v>0</v>
      </c>
      <c r="AC35" s="37">
        <f>COUNTIFS(Wine1!$E:$E,Identifier!$A35,Wine1!$AA:$AA,Identifier!AC$1)</f>
        <v>0</v>
      </c>
      <c r="AD35" s="37">
        <f>COUNTIFS(Wine1!$E:$E,Identifier!$A35,Wine1!$AA:$AA,Identifier!AD$1)</f>
        <v>0</v>
      </c>
      <c r="AE35" s="37">
        <f>COUNTIFS(Wine1!$E:$E,Identifier!$A35,Wine1!$AA:$AA,Identifier!AE$1)</f>
        <v>0</v>
      </c>
      <c r="AF35" s="37">
        <f>COUNTIFS(Wine1!$E:$E,Identifier!$A35,Wine1!$AA:$AA,Identifier!AF$1)</f>
        <v>0</v>
      </c>
      <c r="AG35" s="37">
        <f>COUNTIFS(Wine1!$E:$E,Identifier!$A35,Wine1!$AA:$AA,Identifier!AG$1)</f>
        <v>0</v>
      </c>
      <c r="AH35" s="37">
        <f>COUNTIFS(Wine1!$E:$E,Identifier!$A35,Wine1!$AA:$AA,Identifier!AH$1)</f>
        <v>0</v>
      </c>
      <c r="AI35" s="37">
        <f>COUNTIFS(Wine1!$E:$E,Identifier!$A35,Wine1!$AA:$AA,Identifier!AI$1)</f>
        <v>0</v>
      </c>
      <c r="AJ35" s="37">
        <f>COUNTIFS(Wine1!$E:$E,Identifier!$A35,Wine1!$AA:$AA,Identifier!AJ$1)</f>
        <v>0</v>
      </c>
    </row>
    <row r="36" spans="1:36" x14ac:dyDescent="0.25">
      <c r="A36" t="s">
        <v>257</v>
      </c>
      <c r="B36" s="37">
        <f>SUMIF(Wine1!E:E,Identifier!A36,Wine1!I:I)</f>
        <v>5</v>
      </c>
      <c r="C36" s="2">
        <f>SUMIF(Wine1!E:E,Identifier!A36,Wine1!AC:AC)</f>
        <v>556.29</v>
      </c>
      <c r="D36" s="37">
        <f>COUNTIFS(Wine1!E:E,Identifier!A36,Wine1!AA:AA,Identifier!D$1)</f>
        <v>2</v>
      </c>
      <c r="E36" s="37">
        <f>COUNTIFS(Wine1!$E:$E,Identifier!$A36,Wine1!$AA:$AA,Identifier!E$1)</f>
        <v>0</v>
      </c>
      <c r="F36" s="37">
        <f>COUNTIFS(Wine1!$E:$E,Identifier!$A36,Wine1!$AA:$AA,Identifier!F$1)</f>
        <v>0</v>
      </c>
      <c r="G36" s="37">
        <f>COUNTIFS(Wine1!$E:$E,Identifier!$A36,Wine1!$AA:$AA,Identifier!G$1)</f>
        <v>0</v>
      </c>
      <c r="H36" s="37">
        <f>COUNTIFS(Wine1!$E:$E,Identifier!$A36,Wine1!$AA:$AA,Identifier!H$1)</f>
        <v>1</v>
      </c>
      <c r="I36" s="37">
        <f>COUNTIFS(Wine1!$E:$E,Identifier!$A36,Wine1!$AA:$AA,Identifier!I$1)</f>
        <v>0</v>
      </c>
      <c r="J36" s="37">
        <f>COUNTIFS(Wine1!$E:$E,Identifier!$A36,Wine1!$AA:$AA,Identifier!J$1)</f>
        <v>0</v>
      </c>
      <c r="K36" s="37">
        <f>COUNTIFS(Wine1!$E:$E,Identifier!$A36,Wine1!$AA:$AA,Identifier!K$1)</f>
        <v>0</v>
      </c>
      <c r="L36" s="37">
        <f>COUNTIFS(Wine1!$E:$E,Identifier!$A36,Wine1!$AA:$AA,Identifier!L$1)</f>
        <v>0</v>
      </c>
      <c r="M36" s="37">
        <f>COUNTIFS(Wine1!$E:$E,Identifier!$A36,Wine1!$AA:$AA,Identifier!M$1)</f>
        <v>0</v>
      </c>
      <c r="N36" s="37">
        <f>COUNTIFS(Wine1!$E:$E,Identifier!$A36,Wine1!$AA:$AA,Identifier!N$1)</f>
        <v>0</v>
      </c>
      <c r="O36" s="37">
        <f>COUNTIFS(Wine1!$E:$E,Identifier!$A36,Wine1!$AA:$AA,Identifier!O$1)</f>
        <v>0</v>
      </c>
      <c r="P36" s="37">
        <f>COUNTIFS(Wine1!$E:$E,Identifier!$A36,Wine1!$AA:$AA,Identifier!P$1)</f>
        <v>0</v>
      </c>
      <c r="Q36" s="37">
        <f>COUNTIFS(Wine1!$E:$E,Identifier!$A36,Wine1!$AA:$AA,Identifier!Q$1)</f>
        <v>0</v>
      </c>
      <c r="R36" s="37">
        <f>COUNTIFS(Wine1!$E:$E,Identifier!$A36,Wine1!$AA:$AA,Identifier!R$1)</f>
        <v>0</v>
      </c>
      <c r="S36" s="37">
        <f>COUNTIFS(Wine1!$E:$E,Identifier!$A36,Wine1!$AA:$AA,Identifier!S$1)</f>
        <v>1</v>
      </c>
      <c r="T36" s="37">
        <f>COUNTIFS(Wine1!$E:$E,Identifier!$A36,Wine1!$AA:$AA,Identifier!T$1)</f>
        <v>0</v>
      </c>
      <c r="U36" s="37">
        <f>COUNTIFS(Wine1!$E:$E,Identifier!$A36,Wine1!$AA:$AA,Identifier!U$1)</f>
        <v>0</v>
      </c>
      <c r="V36" s="37">
        <f>COUNTIFS(Wine1!$E:$E,Identifier!$A36,Wine1!$AA:$AA,Identifier!V$1)</f>
        <v>0</v>
      </c>
      <c r="W36" s="37">
        <f>COUNTIFS(Wine1!$E:$E,Identifier!$A36,Wine1!$AA:$AA,Identifier!W$1)</f>
        <v>0</v>
      </c>
      <c r="X36" s="37">
        <f>COUNTIFS(Wine1!$E:$E,Identifier!$A36,Wine1!$AA:$AA,Identifier!X$1)</f>
        <v>0</v>
      </c>
      <c r="Y36" s="37">
        <f>COUNTIFS(Wine1!$E:$E,Identifier!$A36,Wine1!$AA:$AA,Identifier!Y$1)</f>
        <v>0</v>
      </c>
      <c r="Z36" s="37">
        <f>COUNTIFS(Wine1!$E:$E,Identifier!$A36,Wine1!$AA:$AA,Identifier!Z$1)</f>
        <v>0</v>
      </c>
      <c r="AA36" s="37">
        <f>COUNTIFS(Wine1!$E:$E,Identifier!$A36,Wine1!$AA:$AA,Identifier!AA$1)</f>
        <v>0</v>
      </c>
      <c r="AB36" s="37">
        <f>COUNTIFS(Wine1!$E:$E,Identifier!$A36,Wine1!$AA:$AA,Identifier!AB$1)</f>
        <v>0</v>
      </c>
      <c r="AC36" s="37">
        <f>COUNTIFS(Wine1!$E:$E,Identifier!$A36,Wine1!$AA:$AA,Identifier!AC$1)</f>
        <v>0</v>
      </c>
      <c r="AD36" s="37">
        <f>COUNTIFS(Wine1!$E:$E,Identifier!$A36,Wine1!$AA:$AA,Identifier!AD$1)</f>
        <v>0</v>
      </c>
      <c r="AE36" s="37">
        <f>COUNTIFS(Wine1!$E:$E,Identifier!$A36,Wine1!$AA:$AA,Identifier!AE$1)</f>
        <v>0</v>
      </c>
      <c r="AF36" s="37">
        <f>COUNTIFS(Wine1!$E:$E,Identifier!$A36,Wine1!$AA:$AA,Identifier!AF$1)</f>
        <v>0</v>
      </c>
      <c r="AG36" s="37">
        <f>COUNTIFS(Wine1!$E:$E,Identifier!$A36,Wine1!$AA:$AA,Identifier!AG$1)</f>
        <v>0</v>
      </c>
      <c r="AH36" s="37">
        <f>COUNTIFS(Wine1!$E:$E,Identifier!$A36,Wine1!$AA:$AA,Identifier!AH$1)</f>
        <v>1</v>
      </c>
      <c r="AI36" s="37">
        <f>COUNTIFS(Wine1!$E:$E,Identifier!$A36,Wine1!$AA:$AA,Identifier!AI$1)</f>
        <v>0</v>
      </c>
      <c r="AJ36" s="37">
        <f>COUNTIFS(Wine1!$E:$E,Identifier!$A36,Wine1!$AA:$AA,Identifier!AJ$1)</f>
        <v>0</v>
      </c>
    </row>
    <row r="37" spans="1:36" x14ac:dyDescent="0.25">
      <c r="A37" t="s">
        <v>588</v>
      </c>
      <c r="B37" s="37">
        <f>SUMIF(Wine1!E:E,Identifier!A37,Wine1!I:I)</f>
        <v>6</v>
      </c>
      <c r="C37" s="2">
        <f>SUMIF(Wine1!E:E,Identifier!A37,Wine1!AC:AC)</f>
        <v>98.55</v>
      </c>
      <c r="D37" s="37">
        <f>COUNTIFS(Wine1!E:E,Identifier!A37,Wine1!AA:AA,Identifier!D$1)</f>
        <v>4</v>
      </c>
      <c r="E37" s="37">
        <f>COUNTIFS(Wine1!$E:$E,Identifier!$A37,Wine1!$AA:$AA,Identifier!E$1)</f>
        <v>0</v>
      </c>
      <c r="F37" s="37">
        <f>COUNTIFS(Wine1!$E:$E,Identifier!$A37,Wine1!$AA:$AA,Identifier!F$1)</f>
        <v>1</v>
      </c>
      <c r="G37" s="37">
        <f>COUNTIFS(Wine1!$E:$E,Identifier!$A37,Wine1!$AA:$AA,Identifier!G$1)</f>
        <v>1</v>
      </c>
      <c r="H37" s="37">
        <f>COUNTIFS(Wine1!$E:$E,Identifier!$A37,Wine1!$AA:$AA,Identifier!H$1)</f>
        <v>0</v>
      </c>
      <c r="I37" s="37">
        <f>COUNTIFS(Wine1!$E:$E,Identifier!$A37,Wine1!$AA:$AA,Identifier!I$1)</f>
        <v>0</v>
      </c>
      <c r="J37" s="37">
        <f>COUNTIFS(Wine1!$E:$E,Identifier!$A37,Wine1!$AA:$AA,Identifier!J$1)</f>
        <v>0</v>
      </c>
      <c r="K37" s="37">
        <f>COUNTIFS(Wine1!$E:$E,Identifier!$A37,Wine1!$AA:$AA,Identifier!K$1)</f>
        <v>0</v>
      </c>
      <c r="L37" s="37">
        <f>COUNTIFS(Wine1!$E:$E,Identifier!$A37,Wine1!$AA:$AA,Identifier!L$1)</f>
        <v>0</v>
      </c>
      <c r="M37" s="37">
        <f>COUNTIFS(Wine1!$E:$E,Identifier!$A37,Wine1!$AA:$AA,Identifier!M$1)</f>
        <v>0</v>
      </c>
      <c r="N37" s="37">
        <f>COUNTIFS(Wine1!$E:$E,Identifier!$A37,Wine1!$AA:$AA,Identifier!N$1)</f>
        <v>0</v>
      </c>
      <c r="O37" s="37">
        <f>COUNTIFS(Wine1!$E:$E,Identifier!$A37,Wine1!$AA:$AA,Identifier!O$1)</f>
        <v>0</v>
      </c>
      <c r="P37" s="37">
        <f>COUNTIFS(Wine1!$E:$E,Identifier!$A37,Wine1!$AA:$AA,Identifier!P$1)</f>
        <v>0</v>
      </c>
      <c r="Q37" s="37">
        <f>COUNTIFS(Wine1!$E:$E,Identifier!$A37,Wine1!$AA:$AA,Identifier!Q$1)</f>
        <v>0</v>
      </c>
      <c r="R37" s="37">
        <f>COUNTIFS(Wine1!$E:$E,Identifier!$A37,Wine1!$AA:$AA,Identifier!R$1)</f>
        <v>0</v>
      </c>
      <c r="S37" s="37">
        <f>COUNTIFS(Wine1!$E:$E,Identifier!$A37,Wine1!$AA:$AA,Identifier!S$1)</f>
        <v>0</v>
      </c>
      <c r="T37" s="37">
        <f>COUNTIFS(Wine1!$E:$E,Identifier!$A37,Wine1!$AA:$AA,Identifier!T$1)</f>
        <v>0</v>
      </c>
      <c r="U37" s="37">
        <f>COUNTIFS(Wine1!$E:$E,Identifier!$A37,Wine1!$AA:$AA,Identifier!U$1)</f>
        <v>0</v>
      </c>
      <c r="V37" s="37">
        <f>COUNTIFS(Wine1!$E:$E,Identifier!$A37,Wine1!$AA:$AA,Identifier!V$1)</f>
        <v>0</v>
      </c>
      <c r="W37" s="37">
        <f>COUNTIFS(Wine1!$E:$E,Identifier!$A37,Wine1!$AA:$AA,Identifier!W$1)</f>
        <v>0</v>
      </c>
      <c r="X37" s="37">
        <f>COUNTIFS(Wine1!$E:$E,Identifier!$A37,Wine1!$AA:$AA,Identifier!X$1)</f>
        <v>0</v>
      </c>
      <c r="Y37" s="37">
        <f>COUNTIFS(Wine1!$E:$E,Identifier!$A37,Wine1!$AA:$AA,Identifier!Y$1)</f>
        <v>0</v>
      </c>
      <c r="Z37" s="37">
        <f>COUNTIFS(Wine1!$E:$E,Identifier!$A37,Wine1!$AA:$AA,Identifier!Z$1)</f>
        <v>0</v>
      </c>
      <c r="AA37" s="37">
        <f>COUNTIFS(Wine1!$E:$E,Identifier!$A37,Wine1!$AA:$AA,Identifier!AA$1)</f>
        <v>0</v>
      </c>
      <c r="AB37" s="37">
        <f>COUNTIFS(Wine1!$E:$E,Identifier!$A37,Wine1!$AA:$AA,Identifier!AB$1)</f>
        <v>0</v>
      </c>
      <c r="AC37" s="37">
        <f>COUNTIFS(Wine1!$E:$E,Identifier!$A37,Wine1!$AA:$AA,Identifier!AC$1)</f>
        <v>0</v>
      </c>
      <c r="AD37" s="37">
        <f>COUNTIFS(Wine1!$E:$E,Identifier!$A37,Wine1!$AA:$AA,Identifier!AD$1)</f>
        <v>0</v>
      </c>
      <c r="AE37" s="37">
        <f>COUNTIFS(Wine1!$E:$E,Identifier!$A37,Wine1!$AA:$AA,Identifier!AE$1)</f>
        <v>0</v>
      </c>
      <c r="AF37" s="37">
        <f>COUNTIFS(Wine1!$E:$E,Identifier!$A37,Wine1!$AA:$AA,Identifier!AF$1)</f>
        <v>0</v>
      </c>
      <c r="AG37" s="37">
        <f>COUNTIFS(Wine1!$E:$E,Identifier!$A37,Wine1!$AA:$AA,Identifier!AG$1)</f>
        <v>0</v>
      </c>
      <c r="AH37" s="37">
        <f>COUNTIFS(Wine1!$E:$E,Identifier!$A37,Wine1!$AA:$AA,Identifier!AH$1)</f>
        <v>0</v>
      </c>
      <c r="AI37" s="37">
        <f>COUNTIFS(Wine1!$E:$E,Identifier!$A37,Wine1!$AA:$AA,Identifier!AI$1)</f>
        <v>0</v>
      </c>
      <c r="AJ37" s="37">
        <f>COUNTIFS(Wine1!$E:$E,Identifier!$A37,Wine1!$AA:$AA,Identifier!AJ$1)</f>
        <v>0</v>
      </c>
    </row>
    <row r="38" spans="1:36" x14ac:dyDescent="0.25">
      <c r="A38" t="s">
        <v>274</v>
      </c>
      <c r="B38" s="37">
        <f>SUMIF(Wine1!E:E,Identifier!A38,Wine1!I:I)</f>
        <v>23</v>
      </c>
      <c r="C38" s="2">
        <f>SUMIF(Wine1!E:E,Identifier!A38,Wine1!AC:AC)</f>
        <v>826.35000000000025</v>
      </c>
      <c r="D38" s="37">
        <f>COUNTIFS(Wine1!E:E,Identifier!A38,Wine1!AA:AA,Identifier!D$1)</f>
        <v>0</v>
      </c>
      <c r="E38" s="37">
        <f>COUNTIFS(Wine1!$E:$E,Identifier!$A38,Wine1!$AA:$AA,Identifier!E$1)</f>
        <v>3</v>
      </c>
      <c r="F38" s="37">
        <f>COUNTIFS(Wine1!$E:$E,Identifier!$A38,Wine1!$AA:$AA,Identifier!F$1)</f>
        <v>0</v>
      </c>
      <c r="G38" s="37">
        <f>COUNTIFS(Wine1!$E:$E,Identifier!$A38,Wine1!$AA:$AA,Identifier!G$1)</f>
        <v>0</v>
      </c>
      <c r="H38" s="37">
        <f>COUNTIFS(Wine1!$E:$E,Identifier!$A38,Wine1!$AA:$AA,Identifier!H$1)</f>
        <v>1</v>
      </c>
      <c r="I38" s="37">
        <f>COUNTIFS(Wine1!$E:$E,Identifier!$A38,Wine1!$AA:$AA,Identifier!I$1)</f>
        <v>2</v>
      </c>
      <c r="J38" s="37">
        <f>COUNTIFS(Wine1!$E:$E,Identifier!$A38,Wine1!$AA:$AA,Identifier!J$1)</f>
        <v>3</v>
      </c>
      <c r="K38" s="37">
        <f>COUNTIFS(Wine1!$E:$E,Identifier!$A38,Wine1!$AA:$AA,Identifier!K$1)</f>
        <v>2</v>
      </c>
      <c r="L38" s="37">
        <f>COUNTIFS(Wine1!$E:$E,Identifier!$A38,Wine1!$AA:$AA,Identifier!L$1)</f>
        <v>1</v>
      </c>
      <c r="M38" s="37">
        <f>COUNTIFS(Wine1!$E:$E,Identifier!$A38,Wine1!$AA:$AA,Identifier!M$1)</f>
        <v>2</v>
      </c>
      <c r="N38" s="37">
        <f>COUNTIFS(Wine1!$E:$E,Identifier!$A38,Wine1!$AA:$AA,Identifier!N$1)</f>
        <v>2</v>
      </c>
      <c r="O38" s="37">
        <f>COUNTIFS(Wine1!$E:$E,Identifier!$A38,Wine1!$AA:$AA,Identifier!O$1)</f>
        <v>0</v>
      </c>
      <c r="P38" s="37">
        <f>COUNTIFS(Wine1!$E:$E,Identifier!$A38,Wine1!$AA:$AA,Identifier!P$1)</f>
        <v>0</v>
      </c>
      <c r="Q38" s="37">
        <f>COUNTIFS(Wine1!$E:$E,Identifier!$A38,Wine1!$AA:$AA,Identifier!Q$1)</f>
        <v>2</v>
      </c>
      <c r="R38" s="37">
        <f>COUNTIFS(Wine1!$E:$E,Identifier!$A38,Wine1!$AA:$AA,Identifier!R$1)</f>
        <v>2</v>
      </c>
      <c r="S38" s="37">
        <f>COUNTIFS(Wine1!$E:$E,Identifier!$A38,Wine1!$AA:$AA,Identifier!S$1)</f>
        <v>0</v>
      </c>
      <c r="T38" s="37">
        <f>COUNTIFS(Wine1!$E:$E,Identifier!$A38,Wine1!$AA:$AA,Identifier!T$1)</f>
        <v>0</v>
      </c>
      <c r="U38" s="37">
        <f>COUNTIFS(Wine1!$E:$E,Identifier!$A38,Wine1!$AA:$AA,Identifier!U$1)</f>
        <v>2</v>
      </c>
      <c r="V38" s="37">
        <f>COUNTIFS(Wine1!$E:$E,Identifier!$A38,Wine1!$AA:$AA,Identifier!V$1)</f>
        <v>0</v>
      </c>
      <c r="W38" s="37">
        <f>COUNTIFS(Wine1!$E:$E,Identifier!$A38,Wine1!$AA:$AA,Identifier!W$1)</f>
        <v>0</v>
      </c>
      <c r="X38" s="37">
        <f>COUNTIFS(Wine1!$E:$E,Identifier!$A38,Wine1!$AA:$AA,Identifier!X$1)</f>
        <v>0</v>
      </c>
      <c r="Y38" s="37">
        <f>COUNTIFS(Wine1!$E:$E,Identifier!$A38,Wine1!$AA:$AA,Identifier!Y$1)</f>
        <v>1</v>
      </c>
      <c r="Z38" s="37">
        <f>COUNTIFS(Wine1!$E:$E,Identifier!$A38,Wine1!$AA:$AA,Identifier!Z$1)</f>
        <v>0</v>
      </c>
      <c r="AA38" s="37">
        <f>COUNTIFS(Wine1!$E:$E,Identifier!$A38,Wine1!$AA:$AA,Identifier!AA$1)</f>
        <v>0</v>
      </c>
      <c r="AB38" s="37">
        <f>COUNTIFS(Wine1!$E:$E,Identifier!$A38,Wine1!$AA:$AA,Identifier!AB$1)</f>
        <v>0</v>
      </c>
      <c r="AC38" s="37">
        <f>COUNTIFS(Wine1!$E:$E,Identifier!$A38,Wine1!$AA:$AA,Identifier!AC$1)</f>
        <v>0</v>
      </c>
      <c r="AD38" s="37">
        <f>COUNTIFS(Wine1!$E:$E,Identifier!$A38,Wine1!$AA:$AA,Identifier!AD$1)</f>
        <v>0</v>
      </c>
      <c r="AE38" s="37">
        <f>COUNTIFS(Wine1!$E:$E,Identifier!$A38,Wine1!$AA:$AA,Identifier!AE$1)</f>
        <v>0</v>
      </c>
      <c r="AF38" s="37">
        <f>COUNTIFS(Wine1!$E:$E,Identifier!$A38,Wine1!$AA:$AA,Identifier!AF$1)</f>
        <v>0</v>
      </c>
      <c r="AG38" s="37">
        <f>COUNTIFS(Wine1!$E:$E,Identifier!$A38,Wine1!$AA:$AA,Identifier!AG$1)</f>
        <v>0</v>
      </c>
      <c r="AH38" s="37">
        <f>COUNTIFS(Wine1!$E:$E,Identifier!$A38,Wine1!$AA:$AA,Identifier!AH$1)</f>
        <v>0</v>
      </c>
      <c r="AI38" s="37">
        <f>COUNTIFS(Wine1!$E:$E,Identifier!$A38,Wine1!$AA:$AA,Identifier!AI$1)</f>
        <v>0</v>
      </c>
      <c r="AJ38" s="37">
        <f>COUNTIFS(Wine1!$E:$E,Identifier!$A38,Wine1!$AA:$AA,Identifier!AJ$1)</f>
        <v>0</v>
      </c>
    </row>
    <row r="39" spans="1:36" x14ac:dyDescent="0.25">
      <c r="A39" t="s">
        <v>639</v>
      </c>
      <c r="B39" s="37">
        <f>SUMIF(Wine1!E:E,Identifier!A39,Wine1!I:I)</f>
        <v>0</v>
      </c>
      <c r="C39" s="2">
        <f>SUMIF(Wine1!E:E,Identifier!A39,Wine1!AC:AC)</f>
        <v>0</v>
      </c>
      <c r="D39" s="37">
        <f>COUNTIFS(Wine1!E:E,Identifier!A39,Wine1!AA:AA,Identifier!D$1)</f>
        <v>0</v>
      </c>
      <c r="E39" s="37">
        <f>COUNTIFS(Wine1!$E:$E,Identifier!$A39,Wine1!$AA:$AA,Identifier!E$1)</f>
        <v>0</v>
      </c>
      <c r="F39" s="37">
        <f>COUNTIFS(Wine1!$E:$E,Identifier!$A39,Wine1!$AA:$AA,Identifier!F$1)</f>
        <v>0</v>
      </c>
      <c r="G39" s="37">
        <f>COUNTIFS(Wine1!$E:$E,Identifier!$A39,Wine1!$AA:$AA,Identifier!G$1)</f>
        <v>0</v>
      </c>
      <c r="H39" s="37">
        <f>COUNTIFS(Wine1!$E:$E,Identifier!$A39,Wine1!$AA:$AA,Identifier!H$1)</f>
        <v>0</v>
      </c>
      <c r="I39" s="37">
        <f>COUNTIFS(Wine1!$E:$E,Identifier!$A39,Wine1!$AA:$AA,Identifier!I$1)</f>
        <v>0</v>
      </c>
      <c r="J39" s="37">
        <f>COUNTIFS(Wine1!$E:$E,Identifier!$A39,Wine1!$AA:$AA,Identifier!J$1)</f>
        <v>0</v>
      </c>
      <c r="K39" s="37">
        <f>COUNTIFS(Wine1!$E:$E,Identifier!$A39,Wine1!$AA:$AA,Identifier!K$1)</f>
        <v>0</v>
      </c>
      <c r="L39" s="37">
        <f>COUNTIFS(Wine1!$E:$E,Identifier!$A39,Wine1!$AA:$AA,Identifier!L$1)</f>
        <v>0</v>
      </c>
      <c r="M39" s="37">
        <f>COUNTIFS(Wine1!$E:$E,Identifier!$A39,Wine1!$AA:$AA,Identifier!M$1)</f>
        <v>0</v>
      </c>
      <c r="N39" s="37">
        <f>COUNTIFS(Wine1!$E:$E,Identifier!$A39,Wine1!$AA:$AA,Identifier!N$1)</f>
        <v>0</v>
      </c>
      <c r="O39" s="37">
        <f>COUNTIFS(Wine1!$E:$E,Identifier!$A39,Wine1!$AA:$AA,Identifier!O$1)</f>
        <v>0</v>
      </c>
      <c r="P39" s="37">
        <f>COUNTIFS(Wine1!$E:$E,Identifier!$A39,Wine1!$AA:$AA,Identifier!P$1)</f>
        <v>0</v>
      </c>
      <c r="Q39" s="37">
        <f>COUNTIFS(Wine1!$E:$E,Identifier!$A39,Wine1!$AA:$AA,Identifier!Q$1)</f>
        <v>0</v>
      </c>
      <c r="R39" s="37">
        <f>COUNTIFS(Wine1!$E:$E,Identifier!$A39,Wine1!$AA:$AA,Identifier!R$1)</f>
        <v>0</v>
      </c>
      <c r="S39" s="37">
        <f>COUNTIFS(Wine1!$E:$E,Identifier!$A39,Wine1!$AA:$AA,Identifier!S$1)</f>
        <v>0</v>
      </c>
      <c r="T39" s="37">
        <f>COUNTIFS(Wine1!$E:$E,Identifier!$A39,Wine1!$AA:$AA,Identifier!T$1)</f>
        <v>0</v>
      </c>
      <c r="U39" s="37">
        <f>COUNTIFS(Wine1!$E:$E,Identifier!$A39,Wine1!$AA:$AA,Identifier!U$1)</f>
        <v>0</v>
      </c>
      <c r="V39" s="37">
        <f>COUNTIFS(Wine1!$E:$E,Identifier!$A39,Wine1!$AA:$AA,Identifier!V$1)</f>
        <v>0</v>
      </c>
      <c r="W39" s="37">
        <f>COUNTIFS(Wine1!$E:$E,Identifier!$A39,Wine1!$AA:$AA,Identifier!W$1)</f>
        <v>0</v>
      </c>
      <c r="X39" s="37">
        <f>COUNTIFS(Wine1!$E:$E,Identifier!$A39,Wine1!$AA:$AA,Identifier!X$1)</f>
        <v>0</v>
      </c>
      <c r="Y39" s="37">
        <f>COUNTIFS(Wine1!$E:$E,Identifier!$A39,Wine1!$AA:$AA,Identifier!Y$1)</f>
        <v>0</v>
      </c>
      <c r="Z39" s="37">
        <f>COUNTIFS(Wine1!$E:$E,Identifier!$A39,Wine1!$AA:$AA,Identifier!Z$1)</f>
        <v>0</v>
      </c>
      <c r="AA39" s="37">
        <f>COUNTIFS(Wine1!$E:$E,Identifier!$A39,Wine1!$AA:$AA,Identifier!AA$1)</f>
        <v>0</v>
      </c>
      <c r="AB39" s="37">
        <f>COUNTIFS(Wine1!$E:$E,Identifier!$A39,Wine1!$AA:$AA,Identifier!AB$1)</f>
        <v>0</v>
      </c>
      <c r="AC39" s="37">
        <f>COUNTIFS(Wine1!$E:$E,Identifier!$A39,Wine1!$AA:$AA,Identifier!AC$1)</f>
        <v>0</v>
      </c>
      <c r="AD39" s="37">
        <f>COUNTIFS(Wine1!$E:$E,Identifier!$A39,Wine1!$AA:$AA,Identifier!AD$1)</f>
        <v>0</v>
      </c>
      <c r="AE39" s="37">
        <f>COUNTIFS(Wine1!$E:$E,Identifier!$A39,Wine1!$AA:$AA,Identifier!AE$1)</f>
        <v>0</v>
      </c>
      <c r="AF39" s="37">
        <f>COUNTIFS(Wine1!$E:$E,Identifier!$A39,Wine1!$AA:$AA,Identifier!AF$1)</f>
        <v>0</v>
      </c>
      <c r="AG39" s="37">
        <f>COUNTIFS(Wine1!$E:$E,Identifier!$A39,Wine1!$AA:$AA,Identifier!AG$1)</f>
        <v>0</v>
      </c>
      <c r="AH39" s="37">
        <f>COUNTIFS(Wine1!$E:$E,Identifier!$A39,Wine1!$AA:$AA,Identifier!AH$1)</f>
        <v>0</v>
      </c>
      <c r="AI39" s="37">
        <f>COUNTIFS(Wine1!$E:$E,Identifier!$A39,Wine1!$AA:$AA,Identifier!AI$1)</f>
        <v>0</v>
      </c>
      <c r="AJ39" s="37">
        <f>COUNTIFS(Wine1!$E:$E,Identifier!$A39,Wine1!$AA:$AA,Identifier!AJ$1)</f>
        <v>0</v>
      </c>
    </row>
    <row r="40" spans="1:36" x14ac:dyDescent="0.25">
      <c r="A40" t="s">
        <v>637</v>
      </c>
      <c r="B40" s="37">
        <f>SUMIF(Wine1!E:E,Identifier!A40,Wine1!I:I)</f>
        <v>0</v>
      </c>
      <c r="C40" s="2">
        <f>SUMIF(Wine1!E:E,Identifier!A40,Wine1!AC:AC)</f>
        <v>0</v>
      </c>
      <c r="D40" s="37">
        <f>COUNTIFS(Wine1!E:E,Identifier!A40,Wine1!AA:AA,Identifier!D$1)</f>
        <v>0</v>
      </c>
      <c r="E40" s="37">
        <f>COUNTIFS(Wine1!$E:$E,Identifier!$A40,Wine1!$AA:$AA,Identifier!E$1)</f>
        <v>0</v>
      </c>
      <c r="F40" s="37">
        <f>COUNTIFS(Wine1!$E:$E,Identifier!$A40,Wine1!$AA:$AA,Identifier!F$1)</f>
        <v>0</v>
      </c>
      <c r="G40" s="37">
        <f>COUNTIFS(Wine1!$E:$E,Identifier!$A40,Wine1!$AA:$AA,Identifier!G$1)</f>
        <v>0</v>
      </c>
      <c r="H40" s="37">
        <f>COUNTIFS(Wine1!$E:$E,Identifier!$A40,Wine1!$AA:$AA,Identifier!H$1)</f>
        <v>0</v>
      </c>
      <c r="I40" s="37">
        <f>COUNTIFS(Wine1!$E:$E,Identifier!$A40,Wine1!$AA:$AA,Identifier!I$1)</f>
        <v>0</v>
      </c>
      <c r="J40" s="37">
        <f>COUNTIFS(Wine1!$E:$E,Identifier!$A40,Wine1!$AA:$AA,Identifier!J$1)</f>
        <v>0</v>
      </c>
      <c r="K40" s="37">
        <f>COUNTIFS(Wine1!$E:$E,Identifier!$A40,Wine1!$AA:$AA,Identifier!K$1)</f>
        <v>0</v>
      </c>
      <c r="L40" s="37">
        <f>COUNTIFS(Wine1!$E:$E,Identifier!$A40,Wine1!$AA:$AA,Identifier!L$1)</f>
        <v>0</v>
      </c>
      <c r="M40" s="37">
        <f>COUNTIFS(Wine1!$E:$E,Identifier!$A40,Wine1!$AA:$AA,Identifier!M$1)</f>
        <v>0</v>
      </c>
      <c r="N40" s="37">
        <f>COUNTIFS(Wine1!$E:$E,Identifier!$A40,Wine1!$AA:$AA,Identifier!N$1)</f>
        <v>0</v>
      </c>
      <c r="O40" s="37">
        <f>COUNTIFS(Wine1!$E:$E,Identifier!$A40,Wine1!$AA:$AA,Identifier!O$1)</f>
        <v>0</v>
      </c>
      <c r="P40" s="37">
        <f>COUNTIFS(Wine1!$E:$E,Identifier!$A40,Wine1!$AA:$AA,Identifier!P$1)</f>
        <v>0</v>
      </c>
      <c r="Q40" s="37">
        <f>COUNTIFS(Wine1!$E:$E,Identifier!$A40,Wine1!$AA:$AA,Identifier!Q$1)</f>
        <v>0</v>
      </c>
      <c r="R40" s="37">
        <f>COUNTIFS(Wine1!$E:$E,Identifier!$A40,Wine1!$AA:$AA,Identifier!R$1)</f>
        <v>0</v>
      </c>
      <c r="S40" s="37">
        <f>COUNTIFS(Wine1!$E:$E,Identifier!$A40,Wine1!$AA:$AA,Identifier!S$1)</f>
        <v>0</v>
      </c>
      <c r="T40" s="37">
        <f>COUNTIFS(Wine1!$E:$E,Identifier!$A40,Wine1!$AA:$AA,Identifier!T$1)</f>
        <v>0</v>
      </c>
      <c r="U40" s="37">
        <f>COUNTIFS(Wine1!$E:$E,Identifier!$A40,Wine1!$AA:$AA,Identifier!U$1)</f>
        <v>0</v>
      </c>
      <c r="V40" s="37">
        <f>COUNTIFS(Wine1!$E:$E,Identifier!$A40,Wine1!$AA:$AA,Identifier!V$1)</f>
        <v>0</v>
      </c>
      <c r="W40" s="37">
        <f>COUNTIFS(Wine1!$E:$E,Identifier!$A40,Wine1!$AA:$AA,Identifier!W$1)</f>
        <v>0</v>
      </c>
      <c r="X40" s="37">
        <f>COUNTIFS(Wine1!$E:$E,Identifier!$A40,Wine1!$AA:$AA,Identifier!X$1)</f>
        <v>0</v>
      </c>
      <c r="Y40" s="37">
        <f>COUNTIFS(Wine1!$E:$E,Identifier!$A40,Wine1!$AA:$AA,Identifier!Y$1)</f>
        <v>0</v>
      </c>
      <c r="Z40" s="37">
        <f>COUNTIFS(Wine1!$E:$E,Identifier!$A40,Wine1!$AA:$AA,Identifier!Z$1)</f>
        <v>0</v>
      </c>
      <c r="AA40" s="37">
        <f>COUNTIFS(Wine1!$E:$E,Identifier!$A40,Wine1!$AA:$AA,Identifier!AA$1)</f>
        <v>0</v>
      </c>
      <c r="AB40" s="37">
        <f>COUNTIFS(Wine1!$E:$E,Identifier!$A40,Wine1!$AA:$AA,Identifier!AB$1)</f>
        <v>0</v>
      </c>
      <c r="AC40" s="37">
        <f>COUNTIFS(Wine1!$E:$E,Identifier!$A40,Wine1!$AA:$AA,Identifier!AC$1)</f>
        <v>0</v>
      </c>
      <c r="AD40" s="37">
        <f>COUNTIFS(Wine1!$E:$E,Identifier!$A40,Wine1!$AA:$AA,Identifier!AD$1)</f>
        <v>0</v>
      </c>
      <c r="AE40" s="37">
        <f>COUNTIFS(Wine1!$E:$E,Identifier!$A40,Wine1!$AA:$AA,Identifier!AE$1)</f>
        <v>0</v>
      </c>
      <c r="AF40" s="37">
        <f>COUNTIFS(Wine1!$E:$E,Identifier!$A40,Wine1!$AA:$AA,Identifier!AF$1)</f>
        <v>0</v>
      </c>
      <c r="AG40" s="37">
        <f>COUNTIFS(Wine1!$E:$E,Identifier!$A40,Wine1!$AA:$AA,Identifier!AG$1)</f>
        <v>0</v>
      </c>
      <c r="AH40" s="37">
        <f>COUNTIFS(Wine1!$E:$E,Identifier!$A40,Wine1!$AA:$AA,Identifier!AH$1)</f>
        <v>0</v>
      </c>
      <c r="AI40" s="37">
        <f>COUNTIFS(Wine1!$E:$E,Identifier!$A40,Wine1!$AA:$AA,Identifier!AI$1)</f>
        <v>0</v>
      </c>
      <c r="AJ40" s="37">
        <f>COUNTIFS(Wine1!$E:$E,Identifier!$A40,Wine1!$AA:$AA,Identifier!AJ$1)</f>
        <v>0</v>
      </c>
    </row>
    <row r="41" spans="1:36" x14ac:dyDescent="0.25">
      <c r="A41" t="s">
        <v>272</v>
      </c>
      <c r="B41" s="37">
        <f>SUMIF(Wine1!E:E,Identifier!A41,Wine1!I:I)</f>
        <v>2</v>
      </c>
      <c r="C41" s="2">
        <f>SUMIF(Wine1!E:E,Identifier!A41,Wine1!AC:AC)</f>
        <v>49.98</v>
      </c>
      <c r="D41" s="37">
        <f>COUNTIFS(Wine1!E:E,Identifier!A41,Wine1!AA:AA,Identifier!D$1)</f>
        <v>0</v>
      </c>
      <c r="E41" s="37">
        <f>COUNTIFS(Wine1!$E:$E,Identifier!$A41,Wine1!$AA:$AA,Identifier!E$1)</f>
        <v>0</v>
      </c>
      <c r="F41" s="37">
        <f>COUNTIFS(Wine1!$E:$E,Identifier!$A41,Wine1!$AA:$AA,Identifier!F$1)</f>
        <v>1</v>
      </c>
      <c r="G41" s="37">
        <f>COUNTIFS(Wine1!$E:$E,Identifier!$A41,Wine1!$AA:$AA,Identifier!G$1)</f>
        <v>0</v>
      </c>
      <c r="H41" s="37">
        <f>COUNTIFS(Wine1!$E:$E,Identifier!$A41,Wine1!$AA:$AA,Identifier!H$1)</f>
        <v>0</v>
      </c>
      <c r="I41" s="37">
        <f>COUNTIFS(Wine1!$E:$E,Identifier!$A41,Wine1!$AA:$AA,Identifier!I$1)</f>
        <v>0</v>
      </c>
      <c r="J41" s="37">
        <f>COUNTIFS(Wine1!$E:$E,Identifier!$A41,Wine1!$AA:$AA,Identifier!J$1)</f>
        <v>1</v>
      </c>
      <c r="K41" s="37">
        <f>COUNTIFS(Wine1!$E:$E,Identifier!$A41,Wine1!$AA:$AA,Identifier!K$1)</f>
        <v>0</v>
      </c>
      <c r="L41" s="37">
        <f>COUNTIFS(Wine1!$E:$E,Identifier!$A41,Wine1!$AA:$AA,Identifier!L$1)</f>
        <v>0</v>
      </c>
      <c r="M41" s="37">
        <f>COUNTIFS(Wine1!$E:$E,Identifier!$A41,Wine1!$AA:$AA,Identifier!M$1)</f>
        <v>0</v>
      </c>
      <c r="N41" s="37">
        <f>COUNTIFS(Wine1!$E:$E,Identifier!$A41,Wine1!$AA:$AA,Identifier!N$1)</f>
        <v>0</v>
      </c>
      <c r="O41" s="37">
        <f>COUNTIFS(Wine1!$E:$E,Identifier!$A41,Wine1!$AA:$AA,Identifier!O$1)</f>
        <v>0</v>
      </c>
      <c r="P41" s="37">
        <f>COUNTIFS(Wine1!$E:$E,Identifier!$A41,Wine1!$AA:$AA,Identifier!P$1)</f>
        <v>0</v>
      </c>
      <c r="Q41" s="37">
        <f>COUNTIFS(Wine1!$E:$E,Identifier!$A41,Wine1!$AA:$AA,Identifier!Q$1)</f>
        <v>0</v>
      </c>
      <c r="R41" s="37">
        <f>COUNTIFS(Wine1!$E:$E,Identifier!$A41,Wine1!$AA:$AA,Identifier!R$1)</f>
        <v>0</v>
      </c>
      <c r="S41" s="37">
        <f>COUNTIFS(Wine1!$E:$E,Identifier!$A41,Wine1!$AA:$AA,Identifier!S$1)</f>
        <v>0</v>
      </c>
      <c r="T41" s="37">
        <f>COUNTIFS(Wine1!$E:$E,Identifier!$A41,Wine1!$AA:$AA,Identifier!T$1)</f>
        <v>0</v>
      </c>
      <c r="U41" s="37">
        <f>COUNTIFS(Wine1!$E:$E,Identifier!$A41,Wine1!$AA:$AA,Identifier!U$1)</f>
        <v>0</v>
      </c>
      <c r="V41" s="37">
        <f>COUNTIFS(Wine1!$E:$E,Identifier!$A41,Wine1!$AA:$AA,Identifier!V$1)</f>
        <v>0</v>
      </c>
      <c r="W41" s="37">
        <f>COUNTIFS(Wine1!$E:$E,Identifier!$A41,Wine1!$AA:$AA,Identifier!W$1)</f>
        <v>0</v>
      </c>
      <c r="X41" s="37">
        <f>COUNTIFS(Wine1!$E:$E,Identifier!$A41,Wine1!$AA:$AA,Identifier!X$1)</f>
        <v>0</v>
      </c>
      <c r="Y41" s="37">
        <f>COUNTIFS(Wine1!$E:$E,Identifier!$A41,Wine1!$AA:$AA,Identifier!Y$1)</f>
        <v>0</v>
      </c>
      <c r="Z41" s="37">
        <f>COUNTIFS(Wine1!$E:$E,Identifier!$A41,Wine1!$AA:$AA,Identifier!Z$1)</f>
        <v>0</v>
      </c>
      <c r="AA41" s="37">
        <f>COUNTIFS(Wine1!$E:$E,Identifier!$A41,Wine1!$AA:$AA,Identifier!AA$1)</f>
        <v>0</v>
      </c>
      <c r="AB41" s="37">
        <f>COUNTIFS(Wine1!$E:$E,Identifier!$A41,Wine1!$AA:$AA,Identifier!AB$1)</f>
        <v>0</v>
      </c>
      <c r="AC41" s="37">
        <f>COUNTIFS(Wine1!$E:$E,Identifier!$A41,Wine1!$AA:$AA,Identifier!AC$1)</f>
        <v>0</v>
      </c>
      <c r="AD41" s="37">
        <f>COUNTIFS(Wine1!$E:$E,Identifier!$A41,Wine1!$AA:$AA,Identifier!AD$1)</f>
        <v>0</v>
      </c>
      <c r="AE41" s="37">
        <f>COUNTIFS(Wine1!$E:$E,Identifier!$A41,Wine1!$AA:$AA,Identifier!AE$1)</f>
        <v>0</v>
      </c>
      <c r="AF41" s="37">
        <f>COUNTIFS(Wine1!$E:$E,Identifier!$A41,Wine1!$AA:$AA,Identifier!AF$1)</f>
        <v>0</v>
      </c>
      <c r="AG41" s="37">
        <f>COUNTIFS(Wine1!$E:$E,Identifier!$A41,Wine1!$AA:$AA,Identifier!AG$1)</f>
        <v>0</v>
      </c>
      <c r="AH41" s="37">
        <f>COUNTIFS(Wine1!$E:$E,Identifier!$A41,Wine1!$AA:$AA,Identifier!AH$1)</f>
        <v>0</v>
      </c>
      <c r="AI41" s="37">
        <f>COUNTIFS(Wine1!$E:$E,Identifier!$A41,Wine1!$AA:$AA,Identifier!AI$1)</f>
        <v>0</v>
      </c>
      <c r="AJ41" s="37">
        <f>COUNTIFS(Wine1!$E:$E,Identifier!$A41,Wine1!$AA:$AA,Identifier!AJ$1)</f>
        <v>0</v>
      </c>
    </row>
    <row r="42" spans="1:36" x14ac:dyDescent="0.25">
      <c r="A42" t="s">
        <v>280</v>
      </c>
      <c r="B42" s="37">
        <f>SUMIF(Wine1!E:E,Identifier!A42,Wine1!I:I)</f>
        <v>34</v>
      </c>
      <c r="C42" s="2">
        <f>SUMIF(Wine1!E:E,Identifier!A42,Wine1!AC:AC)</f>
        <v>1646.9</v>
      </c>
      <c r="D42" s="37">
        <f>COUNTIFS(Wine1!E:E,Identifier!A42,Wine1!AA:AA,Identifier!D$1)</f>
        <v>2</v>
      </c>
      <c r="E42" s="37">
        <f>COUNTIFS(Wine1!$E:$E,Identifier!$A42,Wine1!$AA:$AA,Identifier!E$1)</f>
        <v>2</v>
      </c>
      <c r="F42" s="37">
        <f>COUNTIFS(Wine1!$E:$E,Identifier!$A42,Wine1!$AA:$AA,Identifier!F$1)</f>
        <v>1</v>
      </c>
      <c r="G42" s="37">
        <f>COUNTIFS(Wine1!$E:$E,Identifier!$A42,Wine1!$AA:$AA,Identifier!G$1)</f>
        <v>2</v>
      </c>
      <c r="H42" s="37">
        <f>COUNTIFS(Wine1!$E:$E,Identifier!$A42,Wine1!$AA:$AA,Identifier!H$1)</f>
        <v>5</v>
      </c>
      <c r="I42" s="37">
        <f>COUNTIFS(Wine1!$E:$E,Identifier!$A42,Wine1!$AA:$AA,Identifier!I$1)</f>
        <v>5</v>
      </c>
      <c r="J42" s="37">
        <f>COUNTIFS(Wine1!$E:$E,Identifier!$A42,Wine1!$AA:$AA,Identifier!J$1)</f>
        <v>4</v>
      </c>
      <c r="K42" s="37">
        <f>COUNTIFS(Wine1!$E:$E,Identifier!$A42,Wine1!$AA:$AA,Identifier!K$1)</f>
        <v>4</v>
      </c>
      <c r="L42" s="37">
        <f>COUNTIFS(Wine1!$E:$E,Identifier!$A42,Wine1!$AA:$AA,Identifier!L$1)</f>
        <v>2</v>
      </c>
      <c r="M42" s="37">
        <f>COUNTIFS(Wine1!$E:$E,Identifier!$A42,Wine1!$AA:$AA,Identifier!M$1)</f>
        <v>2</v>
      </c>
      <c r="N42" s="37">
        <f>COUNTIFS(Wine1!$E:$E,Identifier!$A42,Wine1!$AA:$AA,Identifier!N$1)</f>
        <v>2</v>
      </c>
      <c r="O42" s="37">
        <f>COUNTIFS(Wine1!$E:$E,Identifier!$A42,Wine1!$AA:$AA,Identifier!O$1)</f>
        <v>0</v>
      </c>
      <c r="P42" s="37">
        <f>COUNTIFS(Wine1!$E:$E,Identifier!$A42,Wine1!$AA:$AA,Identifier!P$1)</f>
        <v>1</v>
      </c>
      <c r="Q42" s="37">
        <f>COUNTIFS(Wine1!$E:$E,Identifier!$A42,Wine1!$AA:$AA,Identifier!Q$1)</f>
        <v>1</v>
      </c>
      <c r="R42" s="37">
        <f>COUNTIFS(Wine1!$E:$E,Identifier!$A42,Wine1!$AA:$AA,Identifier!R$1)</f>
        <v>1</v>
      </c>
      <c r="S42" s="37">
        <f>COUNTIFS(Wine1!$E:$E,Identifier!$A42,Wine1!$AA:$AA,Identifier!S$1)</f>
        <v>0</v>
      </c>
      <c r="T42" s="37">
        <f>COUNTIFS(Wine1!$E:$E,Identifier!$A42,Wine1!$AA:$AA,Identifier!T$1)</f>
        <v>0</v>
      </c>
      <c r="U42" s="37">
        <f>COUNTIFS(Wine1!$E:$E,Identifier!$A42,Wine1!$AA:$AA,Identifier!U$1)</f>
        <v>0</v>
      </c>
      <c r="V42" s="37">
        <f>COUNTIFS(Wine1!$E:$E,Identifier!$A42,Wine1!$AA:$AA,Identifier!V$1)</f>
        <v>0</v>
      </c>
      <c r="W42" s="37">
        <f>COUNTIFS(Wine1!$E:$E,Identifier!$A42,Wine1!$AA:$AA,Identifier!W$1)</f>
        <v>0</v>
      </c>
      <c r="X42" s="37">
        <f>COUNTIFS(Wine1!$E:$E,Identifier!$A42,Wine1!$AA:$AA,Identifier!X$1)</f>
        <v>0</v>
      </c>
      <c r="Y42" s="37">
        <f>COUNTIFS(Wine1!$E:$E,Identifier!$A42,Wine1!$AA:$AA,Identifier!Y$1)</f>
        <v>0</v>
      </c>
      <c r="Z42" s="37">
        <f>COUNTIFS(Wine1!$E:$E,Identifier!$A42,Wine1!$AA:$AA,Identifier!Z$1)</f>
        <v>0</v>
      </c>
      <c r="AA42" s="37">
        <f>COUNTIFS(Wine1!$E:$E,Identifier!$A42,Wine1!$AA:$AA,Identifier!AA$1)</f>
        <v>0</v>
      </c>
      <c r="AB42" s="37">
        <f>COUNTIFS(Wine1!$E:$E,Identifier!$A42,Wine1!$AA:$AA,Identifier!AB$1)</f>
        <v>0</v>
      </c>
      <c r="AC42" s="37">
        <f>COUNTIFS(Wine1!$E:$E,Identifier!$A42,Wine1!$AA:$AA,Identifier!AC$1)</f>
        <v>0</v>
      </c>
      <c r="AD42" s="37">
        <f>COUNTIFS(Wine1!$E:$E,Identifier!$A42,Wine1!$AA:$AA,Identifier!AD$1)</f>
        <v>0</v>
      </c>
      <c r="AE42" s="37">
        <f>COUNTIFS(Wine1!$E:$E,Identifier!$A42,Wine1!$AA:$AA,Identifier!AE$1)</f>
        <v>0</v>
      </c>
      <c r="AF42" s="37">
        <f>COUNTIFS(Wine1!$E:$E,Identifier!$A42,Wine1!$AA:$AA,Identifier!AF$1)</f>
        <v>0</v>
      </c>
      <c r="AG42" s="37">
        <f>COUNTIFS(Wine1!$E:$E,Identifier!$A42,Wine1!$AA:$AA,Identifier!AG$1)</f>
        <v>0</v>
      </c>
      <c r="AH42" s="37">
        <f>COUNTIFS(Wine1!$E:$E,Identifier!$A42,Wine1!$AA:$AA,Identifier!AH$1)</f>
        <v>0</v>
      </c>
      <c r="AI42" s="37">
        <f>COUNTIFS(Wine1!$E:$E,Identifier!$A42,Wine1!$AA:$AA,Identifier!AI$1)</f>
        <v>0</v>
      </c>
      <c r="AJ42" s="37">
        <f>COUNTIFS(Wine1!$E:$E,Identifier!$A42,Wine1!$AA:$AA,Identifier!AJ$1)</f>
        <v>0</v>
      </c>
    </row>
    <row r="43" spans="1:36" x14ac:dyDescent="0.25">
      <c r="A43" t="s">
        <v>399</v>
      </c>
      <c r="B43" s="37">
        <f>SUMIF(Wine1!E:E,Identifier!A43,Wine1!I:I)</f>
        <v>15</v>
      </c>
      <c r="C43" s="2">
        <f>SUMIF(Wine1!E:E,Identifier!A43,Wine1!AC:AC)</f>
        <v>337.65000000000003</v>
      </c>
      <c r="D43" s="37">
        <f>COUNTIFS(Wine1!E:E,Identifier!A43,Wine1!AA:AA,Identifier!D$1)</f>
        <v>1</v>
      </c>
      <c r="E43" s="37">
        <f>COUNTIFS(Wine1!$E:$E,Identifier!$A43,Wine1!$AA:$AA,Identifier!E$1)</f>
        <v>0</v>
      </c>
      <c r="F43" s="37">
        <f>COUNTIFS(Wine1!$E:$E,Identifier!$A43,Wine1!$AA:$AA,Identifier!F$1)</f>
        <v>1</v>
      </c>
      <c r="G43" s="37">
        <f>COUNTIFS(Wine1!$E:$E,Identifier!$A43,Wine1!$AA:$AA,Identifier!G$1)</f>
        <v>0</v>
      </c>
      <c r="H43" s="37">
        <f>COUNTIFS(Wine1!$E:$E,Identifier!$A43,Wine1!$AA:$AA,Identifier!H$1)</f>
        <v>3</v>
      </c>
      <c r="I43" s="37">
        <f>COUNTIFS(Wine1!$E:$E,Identifier!$A43,Wine1!$AA:$AA,Identifier!I$1)</f>
        <v>1</v>
      </c>
      <c r="J43" s="37">
        <f>COUNTIFS(Wine1!$E:$E,Identifier!$A43,Wine1!$AA:$AA,Identifier!J$1)</f>
        <v>2</v>
      </c>
      <c r="K43" s="37">
        <f>COUNTIFS(Wine1!$E:$E,Identifier!$A43,Wine1!$AA:$AA,Identifier!K$1)</f>
        <v>1</v>
      </c>
      <c r="L43" s="37">
        <f>COUNTIFS(Wine1!$E:$E,Identifier!$A43,Wine1!$AA:$AA,Identifier!L$1)</f>
        <v>2</v>
      </c>
      <c r="M43" s="37">
        <f>COUNTIFS(Wine1!$E:$E,Identifier!$A43,Wine1!$AA:$AA,Identifier!M$1)</f>
        <v>1</v>
      </c>
      <c r="N43" s="37">
        <f>COUNTIFS(Wine1!$E:$E,Identifier!$A43,Wine1!$AA:$AA,Identifier!N$1)</f>
        <v>1</v>
      </c>
      <c r="O43" s="37">
        <f>COUNTIFS(Wine1!$E:$E,Identifier!$A43,Wine1!$AA:$AA,Identifier!O$1)</f>
        <v>1</v>
      </c>
      <c r="P43" s="37">
        <f>COUNTIFS(Wine1!$E:$E,Identifier!$A43,Wine1!$AA:$AA,Identifier!P$1)</f>
        <v>0</v>
      </c>
      <c r="Q43" s="37">
        <f>COUNTIFS(Wine1!$E:$E,Identifier!$A43,Wine1!$AA:$AA,Identifier!Q$1)</f>
        <v>1</v>
      </c>
      <c r="R43" s="37">
        <f>COUNTIFS(Wine1!$E:$E,Identifier!$A43,Wine1!$AA:$AA,Identifier!R$1)</f>
        <v>0</v>
      </c>
      <c r="S43" s="37">
        <f>COUNTIFS(Wine1!$E:$E,Identifier!$A43,Wine1!$AA:$AA,Identifier!S$1)</f>
        <v>0</v>
      </c>
      <c r="T43" s="37">
        <f>COUNTIFS(Wine1!$E:$E,Identifier!$A43,Wine1!$AA:$AA,Identifier!T$1)</f>
        <v>0</v>
      </c>
      <c r="U43" s="37">
        <f>COUNTIFS(Wine1!$E:$E,Identifier!$A43,Wine1!$AA:$AA,Identifier!U$1)</f>
        <v>0</v>
      </c>
      <c r="V43" s="37">
        <f>COUNTIFS(Wine1!$E:$E,Identifier!$A43,Wine1!$AA:$AA,Identifier!V$1)</f>
        <v>0</v>
      </c>
      <c r="W43" s="37">
        <f>COUNTIFS(Wine1!$E:$E,Identifier!$A43,Wine1!$AA:$AA,Identifier!W$1)</f>
        <v>0</v>
      </c>
      <c r="X43" s="37">
        <f>COUNTIFS(Wine1!$E:$E,Identifier!$A43,Wine1!$AA:$AA,Identifier!X$1)</f>
        <v>0</v>
      </c>
      <c r="Y43" s="37">
        <f>COUNTIFS(Wine1!$E:$E,Identifier!$A43,Wine1!$AA:$AA,Identifier!Y$1)</f>
        <v>0</v>
      </c>
      <c r="Z43" s="37">
        <f>COUNTIFS(Wine1!$E:$E,Identifier!$A43,Wine1!$AA:$AA,Identifier!Z$1)</f>
        <v>0</v>
      </c>
      <c r="AA43" s="37">
        <f>COUNTIFS(Wine1!$E:$E,Identifier!$A43,Wine1!$AA:$AA,Identifier!AA$1)</f>
        <v>0</v>
      </c>
      <c r="AB43" s="37">
        <f>COUNTIFS(Wine1!$E:$E,Identifier!$A43,Wine1!$AA:$AA,Identifier!AB$1)</f>
        <v>0</v>
      </c>
      <c r="AC43" s="37">
        <f>COUNTIFS(Wine1!$E:$E,Identifier!$A43,Wine1!$AA:$AA,Identifier!AC$1)</f>
        <v>0</v>
      </c>
      <c r="AD43" s="37">
        <f>COUNTIFS(Wine1!$E:$E,Identifier!$A43,Wine1!$AA:$AA,Identifier!AD$1)</f>
        <v>0</v>
      </c>
      <c r="AE43" s="37">
        <f>COUNTIFS(Wine1!$E:$E,Identifier!$A43,Wine1!$AA:$AA,Identifier!AE$1)</f>
        <v>0</v>
      </c>
      <c r="AF43" s="37">
        <f>COUNTIFS(Wine1!$E:$E,Identifier!$A43,Wine1!$AA:$AA,Identifier!AF$1)</f>
        <v>0</v>
      </c>
      <c r="AG43" s="37">
        <f>COUNTIFS(Wine1!$E:$E,Identifier!$A43,Wine1!$AA:$AA,Identifier!AG$1)</f>
        <v>0</v>
      </c>
      <c r="AH43" s="37">
        <f>COUNTIFS(Wine1!$E:$E,Identifier!$A43,Wine1!$AA:$AA,Identifier!AH$1)</f>
        <v>0</v>
      </c>
      <c r="AI43" s="37">
        <f>COUNTIFS(Wine1!$E:$E,Identifier!$A43,Wine1!$AA:$AA,Identifier!AI$1)</f>
        <v>0</v>
      </c>
      <c r="AJ43" s="37">
        <f>COUNTIFS(Wine1!$E:$E,Identifier!$A43,Wine1!$AA:$AA,Identifier!AJ$1)</f>
        <v>0</v>
      </c>
    </row>
    <row r="44" spans="1:36" x14ac:dyDescent="0.25">
      <c r="A44" t="s">
        <v>260</v>
      </c>
      <c r="B44" s="37">
        <f>SUMIF(Wine1!E:E,Identifier!A44,Wine1!I:I)</f>
        <v>9</v>
      </c>
      <c r="C44" s="2">
        <f>SUMIF(Wine1!E:E,Identifier!A44,Wine1!AC:AC)</f>
        <v>395.65999999999997</v>
      </c>
      <c r="D44" s="37">
        <f>COUNTIFS(Wine1!E:E,Identifier!A44,Wine1!AA:AA,Identifier!D$1)</f>
        <v>0</v>
      </c>
      <c r="E44" s="37">
        <f>COUNTIFS(Wine1!$E:$E,Identifier!$A44,Wine1!$AA:$AA,Identifier!E$1)</f>
        <v>0</v>
      </c>
      <c r="F44" s="37">
        <f>COUNTIFS(Wine1!$E:$E,Identifier!$A44,Wine1!$AA:$AA,Identifier!F$1)</f>
        <v>0</v>
      </c>
      <c r="G44" s="37">
        <f>COUNTIFS(Wine1!$E:$E,Identifier!$A44,Wine1!$AA:$AA,Identifier!G$1)</f>
        <v>0</v>
      </c>
      <c r="H44" s="37">
        <f>COUNTIFS(Wine1!$E:$E,Identifier!$A44,Wine1!$AA:$AA,Identifier!H$1)</f>
        <v>0</v>
      </c>
      <c r="I44" s="37">
        <f>COUNTIFS(Wine1!$E:$E,Identifier!$A44,Wine1!$AA:$AA,Identifier!I$1)</f>
        <v>0</v>
      </c>
      <c r="J44" s="37">
        <f>COUNTIFS(Wine1!$E:$E,Identifier!$A44,Wine1!$AA:$AA,Identifier!J$1)</f>
        <v>1</v>
      </c>
      <c r="K44" s="37">
        <f>COUNTIFS(Wine1!$E:$E,Identifier!$A44,Wine1!$AA:$AA,Identifier!K$1)</f>
        <v>0</v>
      </c>
      <c r="L44" s="37">
        <f>COUNTIFS(Wine1!$E:$E,Identifier!$A44,Wine1!$AA:$AA,Identifier!L$1)</f>
        <v>0</v>
      </c>
      <c r="M44" s="37">
        <f>COUNTIFS(Wine1!$E:$E,Identifier!$A44,Wine1!$AA:$AA,Identifier!M$1)</f>
        <v>0</v>
      </c>
      <c r="N44" s="37">
        <f>COUNTIFS(Wine1!$E:$E,Identifier!$A44,Wine1!$AA:$AA,Identifier!N$1)</f>
        <v>1</v>
      </c>
      <c r="O44" s="37">
        <f>COUNTIFS(Wine1!$E:$E,Identifier!$A44,Wine1!$AA:$AA,Identifier!O$1)</f>
        <v>0</v>
      </c>
      <c r="P44" s="37">
        <f>COUNTIFS(Wine1!$E:$E,Identifier!$A44,Wine1!$AA:$AA,Identifier!P$1)</f>
        <v>1</v>
      </c>
      <c r="Q44" s="37">
        <f>COUNTIFS(Wine1!$E:$E,Identifier!$A44,Wine1!$AA:$AA,Identifier!Q$1)</f>
        <v>0</v>
      </c>
      <c r="R44" s="37">
        <f>COUNTIFS(Wine1!$E:$E,Identifier!$A44,Wine1!$AA:$AA,Identifier!R$1)</f>
        <v>0</v>
      </c>
      <c r="S44" s="37">
        <f>COUNTIFS(Wine1!$E:$E,Identifier!$A44,Wine1!$AA:$AA,Identifier!S$1)</f>
        <v>2</v>
      </c>
      <c r="T44" s="37">
        <f>COUNTIFS(Wine1!$E:$E,Identifier!$A44,Wine1!$AA:$AA,Identifier!T$1)</f>
        <v>0</v>
      </c>
      <c r="U44" s="37">
        <f>COUNTIFS(Wine1!$E:$E,Identifier!$A44,Wine1!$AA:$AA,Identifier!U$1)</f>
        <v>0</v>
      </c>
      <c r="V44" s="37">
        <f>COUNTIFS(Wine1!$E:$E,Identifier!$A44,Wine1!$AA:$AA,Identifier!V$1)</f>
        <v>0</v>
      </c>
      <c r="W44" s="37">
        <f>COUNTIFS(Wine1!$E:$E,Identifier!$A44,Wine1!$AA:$AA,Identifier!W$1)</f>
        <v>0</v>
      </c>
      <c r="X44" s="37">
        <f>COUNTIFS(Wine1!$E:$E,Identifier!$A44,Wine1!$AA:$AA,Identifier!X$1)</f>
        <v>2</v>
      </c>
      <c r="Y44" s="37">
        <f>COUNTIFS(Wine1!$E:$E,Identifier!$A44,Wine1!$AA:$AA,Identifier!Y$1)</f>
        <v>0</v>
      </c>
      <c r="Z44" s="37">
        <f>COUNTIFS(Wine1!$E:$E,Identifier!$A44,Wine1!$AA:$AA,Identifier!Z$1)</f>
        <v>0</v>
      </c>
      <c r="AA44" s="37">
        <f>COUNTIFS(Wine1!$E:$E,Identifier!$A44,Wine1!$AA:$AA,Identifier!AA$1)</f>
        <v>0</v>
      </c>
      <c r="AB44" s="37">
        <f>COUNTIFS(Wine1!$E:$E,Identifier!$A44,Wine1!$AA:$AA,Identifier!AB$1)</f>
        <v>0</v>
      </c>
      <c r="AC44" s="37">
        <f>COUNTIFS(Wine1!$E:$E,Identifier!$A44,Wine1!$AA:$AA,Identifier!AC$1)</f>
        <v>1</v>
      </c>
      <c r="AD44" s="37">
        <f>COUNTIFS(Wine1!$E:$E,Identifier!$A44,Wine1!$AA:$AA,Identifier!AD$1)</f>
        <v>0</v>
      </c>
      <c r="AE44" s="37">
        <f>COUNTIFS(Wine1!$E:$E,Identifier!$A44,Wine1!$AA:$AA,Identifier!AE$1)</f>
        <v>0</v>
      </c>
      <c r="AF44" s="37">
        <f>COUNTIFS(Wine1!$E:$E,Identifier!$A44,Wine1!$AA:$AA,Identifier!AF$1)</f>
        <v>0</v>
      </c>
      <c r="AG44" s="37">
        <f>COUNTIFS(Wine1!$E:$E,Identifier!$A44,Wine1!$AA:$AA,Identifier!AG$1)</f>
        <v>0</v>
      </c>
      <c r="AH44" s="37">
        <f>COUNTIFS(Wine1!$E:$E,Identifier!$A44,Wine1!$AA:$AA,Identifier!AH$1)</f>
        <v>1</v>
      </c>
      <c r="AI44" s="37">
        <f>COUNTIFS(Wine1!$E:$E,Identifier!$A44,Wine1!$AA:$AA,Identifier!AI$1)</f>
        <v>0</v>
      </c>
      <c r="AJ44" s="37">
        <f>COUNTIFS(Wine1!$E:$E,Identifier!$A44,Wine1!$AA:$AA,Identifier!AJ$1)</f>
        <v>0</v>
      </c>
    </row>
    <row r="45" spans="1:36" x14ac:dyDescent="0.25">
      <c r="A45" t="s">
        <v>400</v>
      </c>
      <c r="B45" s="37">
        <f>SUMIF(Wine1!E:E,Identifier!A45,Wine1!I:I)</f>
        <v>3</v>
      </c>
      <c r="C45" s="2">
        <f>SUMIF(Wine1!E:E,Identifier!A45,Wine1!AC:AC)</f>
        <v>177</v>
      </c>
      <c r="D45" s="37">
        <f>COUNTIFS(Wine1!E:E,Identifier!A45,Wine1!AA:AA,Identifier!D$1)</f>
        <v>0</v>
      </c>
      <c r="E45" s="37">
        <f>COUNTIFS(Wine1!$E:$E,Identifier!$A45,Wine1!$AA:$AA,Identifier!E$1)</f>
        <v>0</v>
      </c>
      <c r="F45" s="37">
        <f>COUNTIFS(Wine1!$E:$E,Identifier!$A45,Wine1!$AA:$AA,Identifier!F$1)</f>
        <v>0</v>
      </c>
      <c r="G45" s="37">
        <f>COUNTIFS(Wine1!$E:$E,Identifier!$A45,Wine1!$AA:$AA,Identifier!G$1)</f>
        <v>0</v>
      </c>
      <c r="H45" s="37">
        <f>COUNTIFS(Wine1!$E:$E,Identifier!$A45,Wine1!$AA:$AA,Identifier!H$1)</f>
        <v>1</v>
      </c>
      <c r="I45" s="37">
        <f>COUNTIFS(Wine1!$E:$E,Identifier!$A45,Wine1!$AA:$AA,Identifier!I$1)</f>
        <v>0</v>
      </c>
      <c r="J45" s="37">
        <f>COUNTIFS(Wine1!$E:$E,Identifier!$A45,Wine1!$AA:$AA,Identifier!J$1)</f>
        <v>0</v>
      </c>
      <c r="K45" s="37">
        <f>COUNTIFS(Wine1!$E:$E,Identifier!$A45,Wine1!$AA:$AA,Identifier!K$1)</f>
        <v>0</v>
      </c>
      <c r="L45" s="37">
        <f>COUNTIFS(Wine1!$E:$E,Identifier!$A45,Wine1!$AA:$AA,Identifier!L$1)</f>
        <v>0</v>
      </c>
      <c r="M45" s="37">
        <f>COUNTIFS(Wine1!$E:$E,Identifier!$A45,Wine1!$AA:$AA,Identifier!M$1)</f>
        <v>1</v>
      </c>
      <c r="N45" s="37">
        <f>COUNTIFS(Wine1!$E:$E,Identifier!$A45,Wine1!$AA:$AA,Identifier!N$1)</f>
        <v>0</v>
      </c>
      <c r="O45" s="37">
        <f>COUNTIFS(Wine1!$E:$E,Identifier!$A45,Wine1!$AA:$AA,Identifier!O$1)</f>
        <v>0</v>
      </c>
      <c r="P45" s="37">
        <f>COUNTIFS(Wine1!$E:$E,Identifier!$A45,Wine1!$AA:$AA,Identifier!P$1)</f>
        <v>0</v>
      </c>
      <c r="Q45" s="37">
        <f>COUNTIFS(Wine1!$E:$E,Identifier!$A45,Wine1!$AA:$AA,Identifier!Q$1)</f>
        <v>0</v>
      </c>
      <c r="R45" s="37">
        <f>COUNTIFS(Wine1!$E:$E,Identifier!$A45,Wine1!$AA:$AA,Identifier!R$1)</f>
        <v>1</v>
      </c>
      <c r="S45" s="37">
        <f>COUNTIFS(Wine1!$E:$E,Identifier!$A45,Wine1!$AA:$AA,Identifier!S$1)</f>
        <v>0</v>
      </c>
      <c r="T45" s="37">
        <f>COUNTIFS(Wine1!$E:$E,Identifier!$A45,Wine1!$AA:$AA,Identifier!T$1)</f>
        <v>0</v>
      </c>
      <c r="U45" s="37">
        <f>COUNTIFS(Wine1!$E:$E,Identifier!$A45,Wine1!$AA:$AA,Identifier!U$1)</f>
        <v>0</v>
      </c>
      <c r="V45" s="37">
        <f>COUNTIFS(Wine1!$E:$E,Identifier!$A45,Wine1!$AA:$AA,Identifier!V$1)</f>
        <v>0</v>
      </c>
      <c r="W45" s="37">
        <f>COUNTIFS(Wine1!$E:$E,Identifier!$A45,Wine1!$AA:$AA,Identifier!W$1)</f>
        <v>0</v>
      </c>
      <c r="X45" s="37">
        <f>COUNTIFS(Wine1!$E:$E,Identifier!$A45,Wine1!$AA:$AA,Identifier!X$1)</f>
        <v>0</v>
      </c>
      <c r="Y45" s="37">
        <f>COUNTIFS(Wine1!$E:$E,Identifier!$A45,Wine1!$AA:$AA,Identifier!Y$1)</f>
        <v>0</v>
      </c>
      <c r="Z45" s="37">
        <f>COUNTIFS(Wine1!$E:$E,Identifier!$A45,Wine1!$AA:$AA,Identifier!Z$1)</f>
        <v>0</v>
      </c>
      <c r="AA45" s="37">
        <f>COUNTIFS(Wine1!$E:$E,Identifier!$A45,Wine1!$AA:$AA,Identifier!AA$1)</f>
        <v>0</v>
      </c>
      <c r="AB45" s="37">
        <f>COUNTIFS(Wine1!$E:$E,Identifier!$A45,Wine1!$AA:$AA,Identifier!AB$1)</f>
        <v>0</v>
      </c>
      <c r="AC45" s="37">
        <f>COUNTIFS(Wine1!$E:$E,Identifier!$A45,Wine1!$AA:$AA,Identifier!AC$1)</f>
        <v>0</v>
      </c>
      <c r="AD45" s="37">
        <f>COUNTIFS(Wine1!$E:$E,Identifier!$A45,Wine1!$AA:$AA,Identifier!AD$1)</f>
        <v>0</v>
      </c>
      <c r="AE45" s="37">
        <f>COUNTIFS(Wine1!$E:$E,Identifier!$A45,Wine1!$AA:$AA,Identifier!AE$1)</f>
        <v>0</v>
      </c>
      <c r="AF45" s="37">
        <f>COUNTIFS(Wine1!$E:$E,Identifier!$A45,Wine1!$AA:$AA,Identifier!AF$1)</f>
        <v>0</v>
      </c>
      <c r="AG45" s="37">
        <f>COUNTIFS(Wine1!$E:$E,Identifier!$A45,Wine1!$AA:$AA,Identifier!AG$1)</f>
        <v>0</v>
      </c>
      <c r="AH45" s="37">
        <f>COUNTIFS(Wine1!$E:$E,Identifier!$A45,Wine1!$AA:$AA,Identifier!AH$1)</f>
        <v>0</v>
      </c>
      <c r="AI45" s="37">
        <f>COUNTIFS(Wine1!$E:$E,Identifier!$A45,Wine1!$AA:$AA,Identifier!AI$1)</f>
        <v>0</v>
      </c>
      <c r="AJ45" s="37">
        <f>COUNTIFS(Wine1!$E:$E,Identifier!$A45,Wine1!$AA:$AA,Identifier!AJ$1)</f>
        <v>0</v>
      </c>
    </row>
    <row r="46" spans="1:36" x14ac:dyDescent="0.25">
      <c r="A46" t="s">
        <v>261</v>
      </c>
      <c r="B46" s="37">
        <f>SUMIF(Wine1!E:E,Identifier!A46,Wine1!I:I)</f>
        <v>0</v>
      </c>
      <c r="C46" s="2">
        <f>SUMIF(Wine1!E:E,Identifier!A46,Wine1!AC:AC)</f>
        <v>0</v>
      </c>
      <c r="D46" s="37">
        <f>COUNTIFS(Wine1!E:E,Identifier!A46,Wine1!AA:AA,Identifier!D$1)</f>
        <v>0</v>
      </c>
      <c r="E46" s="37">
        <f>COUNTIFS(Wine1!$E:$E,Identifier!$A46,Wine1!$AA:$AA,Identifier!E$1)</f>
        <v>0</v>
      </c>
      <c r="F46" s="37">
        <f>COUNTIFS(Wine1!$E:$E,Identifier!$A46,Wine1!$AA:$AA,Identifier!F$1)</f>
        <v>0</v>
      </c>
      <c r="G46" s="37">
        <f>COUNTIFS(Wine1!$E:$E,Identifier!$A46,Wine1!$AA:$AA,Identifier!G$1)</f>
        <v>0</v>
      </c>
      <c r="H46" s="37">
        <f>COUNTIFS(Wine1!$E:$E,Identifier!$A46,Wine1!$AA:$AA,Identifier!H$1)</f>
        <v>0</v>
      </c>
      <c r="I46" s="37">
        <f>COUNTIFS(Wine1!$E:$E,Identifier!$A46,Wine1!$AA:$AA,Identifier!I$1)</f>
        <v>0</v>
      </c>
      <c r="J46" s="37">
        <f>COUNTIFS(Wine1!$E:$E,Identifier!$A46,Wine1!$AA:$AA,Identifier!J$1)</f>
        <v>0</v>
      </c>
      <c r="K46" s="37">
        <f>COUNTIFS(Wine1!$E:$E,Identifier!$A46,Wine1!$AA:$AA,Identifier!K$1)</f>
        <v>0</v>
      </c>
      <c r="L46" s="37">
        <f>COUNTIFS(Wine1!$E:$E,Identifier!$A46,Wine1!$AA:$AA,Identifier!L$1)</f>
        <v>0</v>
      </c>
      <c r="M46" s="37">
        <f>COUNTIFS(Wine1!$E:$E,Identifier!$A46,Wine1!$AA:$AA,Identifier!M$1)</f>
        <v>0</v>
      </c>
      <c r="N46" s="37">
        <f>COUNTIFS(Wine1!$E:$E,Identifier!$A46,Wine1!$AA:$AA,Identifier!N$1)</f>
        <v>0</v>
      </c>
      <c r="O46" s="37">
        <f>COUNTIFS(Wine1!$E:$E,Identifier!$A46,Wine1!$AA:$AA,Identifier!O$1)</f>
        <v>0</v>
      </c>
      <c r="P46" s="37">
        <f>COUNTIFS(Wine1!$E:$E,Identifier!$A46,Wine1!$AA:$AA,Identifier!P$1)</f>
        <v>0</v>
      </c>
      <c r="Q46" s="37">
        <f>COUNTIFS(Wine1!$E:$E,Identifier!$A46,Wine1!$AA:$AA,Identifier!Q$1)</f>
        <v>0</v>
      </c>
      <c r="R46" s="37">
        <f>COUNTIFS(Wine1!$E:$E,Identifier!$A46,Wine1!$AA:$AA,Identifier!R$1)</f>
        <v>0</v>
      </c>
      <c r="S46" s="37">
        <f>COUNTIFS(Wine1!$E:$E,Identifier!$A46,Wine1!$AA:$AA,Identifier!S$1)</f>
        <v>0</v>
      </c>
      <c r="T46" s="37">
        <f>COUNTIFS(Wine1!$E:$E,Identifier!$A46,Wine1!$AA:$AA,Identifier!T$1)</f>
        <v>0</v>
      </c>
      <c r="U46" s="37">
        <f>COUNTIFS(Wine1!$E:$E,Identifier!$A46,Wine1!$AA:$AA,Identifier!U$1)</f>
        <v>0</v>
      </c>
      <c r="V46" s="37">
        <f>COUNTIFS(Wine1!$E:$E,Identifier!$A46,Wine1!$AA:$AA,Identifier!V$1)</f>
        <v>0</v>
      </c>
      <c r="W46" s="37">
        <f>COUNTIFS(Wine1!$E:$E,Identifier!$A46,Wine1!$AA:$AA,Identifier!W$1)</f>
        <v>0</v>
      </c>
      <c r="X46" s="37">
        <f>COUNTIFS(Wine1!$E:$E,Identifier!$A46,Wine1!$AA:$AA,Identifier!X$1)</f>
        <v>0</v>
      </c>
      <c r="Y46" s="37">
        <f>COUNTIFS(Wine1!$E:$E,Identifier!$A46,Wine1!$AA:$AA,Identifier!Y$1)</f>
        <v>0</v>
      </c>
      <c r="Z46" s="37">
        <f>COUNTIFS(Wine1!$E:$E,Identifier!$A46,Wine1!$AA:$AA,Identifier!Z$1)</f>
        <v>0</v>
      </c>
      <c r="AA46" s="37">
        <f>COUNTIFS(Wine1!$E:$E,Identifier!$A46,Wine1!$AA:$AA,Identifier!AA$1)</f>
        <v>0</v>
      </c>
      <c r="AB46" s="37">
        <f>COUNTIFS(Wine1!$E:$E,Identifier!$A46,Wine1!$AA:$AA,Identifier!AB$1)</f>
        <v>0</v>
      </c>
      <c r="AC46" s="37">
        <f>COUNTIFS(Wine1!$E:$E,Identifier!$A46,Wine1!$AA:$AA,Identifier!AC$1)</f>
        <v>0</v>
      </c>
      <c r="AD46" s="37">
        <f>COUNTIFS(Wine1!$E:$E,Identifier!$A46,Wine1!$AA:$AA,Identifier!AD$1)</f>
        <v>0</v>
      </c>
      <c r="AE46" s="37">
        <f>COUNTIFS(Wine1!$E:$E,Identifier!$A46,Wine1!$AA:$AA,Identifier!AE$1)</f>
        <v>0</v>
      </c>
      <c r="AF46" s="37">
        <f>COUNTIFS(Wine1!$E:$E,Identifier!$A46,Wine1!$AA:$AA,Identifier!AF$1)</f>
        <v>0</v>
      </c>
      <c r="AG46" s="37">
        <f>COUNTIFS(Wine1!$E:$E,Identifier!$A46,Wine1!$AA:$AA,Identifier!AG$1)</f>
        <v>0</v>
      </c>
      <c r="AH46" s="37">
        <f>COUNTIFS(Wine1!$E:$E,Identifier!$A46,Wine1!$AA:$AA,Identifier!AH$1)</f>
        <v>0</v>
      </c>
      <c r="AI46" s="37">
        <f>COUNTIFS(Wine1!$E:$E,Identifier!$A46,Wine1!$AA:$AA,Identifier!AI$1)</f>
        <v>0</v>
      </c>
      <c r="AJ46" s="37">
        <f>COUNTIFS(Wine1!$E:$E,Identifier!$A46,Wine1!$AA:$AA,Identifier!AJ$1)</f>
        <v>0</v>
      </c>
    </row>
    <row r="47" spans="1:36" x14ac:dyDescent="0.25">
      <c r="A47" t="s">
        <v>278</v>
      </c>
      <c r="B47" s="37">
        <f>SUMIF(Wine1!E:E,Identifier!A47,Wine1!I:I)</f>
        <v>0</v>
      </c>
      <c r="C47" s="2">
        <f>SUMIF(Wine1!E:E,Identifier!A47,Wine1!AC:AC)</f>
        <v>0</v>
      </c>
      <c r="D47" s="37">
        <f>COUNTIFS(Wine1!E:E,Identifier!A47,Wine1!AA:AA,Identifier!D$1)</f>
        <v>0</v>
      </c>
      <c r="E47" s="37">
        <f>COUNTIFS(Wine1!$E:$E,Identifier!$A47,Wine1!$AA:$AA,Identifier!E$1)</f>
        <v>0</v>
      </c>
      <c r="F47" s="37">
        <f>COUNTIFS(Wine1!$E:$E,Identifier!$A47,Wine1!$AA:$AA,Identifier!F$1)</f>
        <v>0</v>
      </c>
      <c r="G47" s="37">
        <f>COUNTIFS(Wine1!$E:$E,Identifier!$A47,Wine1!$AA:$AA,Identifier!G$1)</f>
        <v>0</v>
      </c>
      <c r="H47" s="37">
        <f>COUNTIFS(Wine1!$E:$E,Identifier!$A47,Wine1!$AA:$AA,Identifier!H$1)</f>
        <v>0</v>
      </c>
      <c r="I47" s="37">
        <f>COUNTIFS(Wine1!$E:$E,Identifier!$A47,Wine1!$AA:$AA,Identifier!I$1)</f>
        <v>0</v>
      </c>
      <c r="J47" s="37">
        <f>COUNTIFS(Wine1!$E:$E,Identifier!$A47,Wine1!$AA:$AA,Identifier!J$1)</f>
        <v>0</v>
      </c>
      <c r="K47" s="37">
        <f>COUNTIFS(Wine1!$E:$E,Identifier!$A47,Wine1!$AA:$AA,Identifier!K$1)</f>
        <v>0</v>
      </c>
      <c r="L47" s="37">
        <f>COUNTIFS(Wine1!$E:$E,Identifier!$A47,Wine1!$AA:$AA,Identifier!L$1)</f>
        <v>0</v>
      </c>
      <c r="M47" s="37">
        <f>COUNTIFS(Wine1!$E:$E,Identifier!$A47,Wine1!$AA:$AA,Identifier!M$1)</f>
        <v>0</v>
      </c>
      <c r="N47" s="37">
        <f>COUNTIFS(Wine1!$E:$E,Identifier!$A47,Wine1!$AA:$AA,Identifier!N$1)</f>
        <v>0</v>
      </c>
      <c r="O47" s="37">
        <f>COUNTIFS(Wine1!$E:$E,Identifier!$A47,Wine1!$AA:$AA,Identifier!O$1)</f>
        <v>0</v>
      </c>
      <c r="P47" s="37">
        <f>COUNTIFS(Wine1!$E:$E,Identifier!$A47,Wine1!$AA:$AA,Identifier!P$1)</f>
        <v>0</v>
      </c>
      <c r="Q47" s="37">
        <f>COUNTIFS(Wine1!$E:$E,Identifier!$A47,Wine1!$AA:$AA,Identifier!Q$1)</f>
        <v>0</v>
      </c>
      <c r="R47" s="37">
        <f>COUNTIFS(Wine1!$E:$E,Identifier!$A47,Wine1!$AA:$AA,Identifier!R$1)</f>
        <v>0</v>
      </c>
      <c r="S47" s="37">
        <f>COUNTIFS(Wine1!$E:$E,Identifier!$A47,Wine1!$AA:$AA,Identifier!S$1)</f>
        <v>0</v>
      </c>
      <c r="T47" s="37">
        <f>COUNTIFS(Wine1!$E:$E,Identifier!$A47,Wine1!$AA:$AA,Identifier!T$1)</f>
        <v>0</v>
      </c>
      <c r="U47" s="37">
        <f>COUNTIFS(Wine1!$E:$E,Identifier!$A47,Wine1!$AA:$AA,Identifier!U$1)</f>
        <v>0</v>
      </c>
      <c r="V47" s="37">
        <f>COUNTIFS(Wine1!$E:$E,Identifier!$A47,Wine1!$AA:$AA,Identifier!V$1)</f>
        <v>0</v>
      </c>
      <c r="W47" s="37">
        <f>COUNTIFS(Wine1!$E:$E,Identifier!$A47,Wine1!$AA:$AA,Identifier!W$1)</f>
        <v>0</v>
      </c>
      <c r="X47" s="37">
        <f>COUNTIFS(Wine1!$E:$E,Identifier!$A47,Wine1!$AA:$AA,Identifier!X$1)</f>
        <v>0</v>
      </c>
      <c r="Y47" s="37">
        <f>COUNTIFS(Wine1!$E:$E,Identifier!$A47,Wine1!$AA:$AA,Identifier!Y$1)</f>
        <v>0</v>
      </c>
      <c r="Z47" s="37">
        <f>COUNTIFS(Wine1!$E:$E,Identifier!$A47,Wine1!$AA:$AA,Identifier!Z$1)</f>
        <v>0</v>
      </c>
      <c r="AA47" s="37">
        <f>COUNTIFS(Wine1!$E:$E,Identifier!$A47,Wine1!$AA:$AA,Identifier!AA$1)</f>
        <v>0</v>
      </c>
      <c r="AB47" s="37">
        <f>COUNTIFS(Wine1!$E:$E,Identifier!$A47,Wine1!$AA:$AA,Identifier!AB$1)</f>
        <v>0</v>
      </c>
      <c r="AC47" s="37">
        <f>COUNTIFS(Wine1!$E:$E,Identifier!$A47,Wine1!$AA:$AA,Identifier!AC$1)</f>
        <v>0</v>
      </c>
      <c r="AD47" s="37">
        <f>COUNTIFS(Wine1!$E:$E,Identifier!$A47,Wine1!$AA:$AA,Identifier!AD$1)</f>
        <v>0</v>
      </c>
      <c r="AE47" s="37">
        <f>COUNTIFS(Wine1!$E:$E,Identifier!$A47,Wine1!$AA:$AA,Identifier!AE$1)</f>
        <v>0</v>
      </c>
      <c r="AF47" s="37">
        <f>COUNTIFS(Wine1!$E:$E,Identifier!$A47,Wine1!$AA:$AA,Identifier!AF$1)</f>
        <v>0</v>
      </c>
      <c r="AG47" s="37">
        <f>COUNTIFS(Wine1!$E:$E,Identifier!$A47,Wine1!$AA:$AA,Identifier!AG$1)</f>
        <v>0</v>
      </c>
      <c r="AH47" s="37">
        <f>COUNTIFS(Wine1!$E:$E,Identifier!$A47,Wine1!$AA:$AA,Identifier!AH$1)</f>
        <v>0</v>
      </c>
      <c r="AI47" s="37">
        <f>COUNTIFS(Wine1!$E:$E,Identifier!$A47,Wine1!$AA:$AA,Identifier!AI$1)</f>
        <v>0</v>
      </c>
      <c r="AJ47" s="37">
        <f>COUNTIFS(Wine1!$E:$E,Identifier!$A47,Wine1!$AA:$AA,Identifier!AJ$1)</f>
        <v>0</v>
      </c>
    </row>
    <row r="48" spans="1:36" x14ac:dyDescent="0.25">
      <c r="A48" t="s">
        <v>673</v>
      </c>
      <c r="B48" s="37">
        <f>SUMIF(Wine1!E:E,Identifier!A48,Wine1!I:I)</f>
        <v>1</v>
      </c>
      <c r="C48" s="2">
        <f>SUMIF(Wine1!E:E,Identifier!A48,Wine1!AC:AC)</f>
        <v>12.99</v>
      </c>
      <c r="D48" s="37">
        <f>COUNTIFS(Wine1!E:E,Identifier!A48,Wine1!AA:AA,Identifier!D$1)</f>
        <v>0</v>
      </c>
      <c r="E48" s="37">
        <f>COUNTIFS(Wine1!$E:$E,Identifier!$A48,Wine1!$AA:$AA,Identifier!E$1)</f>
        <v>1</v>
      </c>
      <c r="F48" s="37">
        <f>COUNTIFS(Wine1!$E:$E,Identifier!$A48,Wine1!$AA:$AA,Identifier!F$1)</f>
        <v>0</v>
      </c>
      <c r="G48" s="37">
        <f>COUNTIFS(Wine1!$E:$E,Identifier!$A48,Wine1!$AA:$AA,Identifier!G$1)</f>
        <v>0</v>
      </c>
      <c r="H48" s="37">
        <f>COUNTIFS(Wine1!$E:$E,Identifier!$A48,Wine1!$AA:$AA,Identifier!H$1)</f>
        <v>0</v>
      </c>
      <c r="I48" s="37">
        <f>COUNTIFS(Wine1!$E:$E,Identifier!$A48,Wine1!$AA:$AA,Identifier!I$1)</f>
        <v>0</v>
      </c>
      <c r="J48" s="37">
        <f>COUNTIFS(Wine1!$E:$E,Identifier!$A48,Wine1!$AA:$AA,Identifier!J$1)</f>
        <v>0</v>
      </c>
      <c r="K48" s="37">
        <f>COUNTIFS(Wine1!$E:$E,Identifier!$A48,Wine1!$AA:$AA,Identifier!K$1)</f>
        <v>0</v>
      </c>
      <c r="L48" s="37">
        <f>COUNTIFS(Wine1!$E:$E,Identifier!$A48,Wine1!$AA:$AA,Identifier!L$1)</f>
        <v>0</v>
      </c>
      <c r="M48" s="37">
        <f>COUNTIFS(Wine1!$E:$E,Identifier!$A48,Wine1!$AA:$AA,Identifier!M$1)</f>
        <v>0</v>
      </c>
      <c r="N48" s="37">
        <f>COUNTIFS(Wine1!$E:$E,Identifier!$A48,Wine1!$AA:$AA,Identifier!N$1)</f>
        <v>0</v>
      </c>
      <c r="O48" s="37">
        <f>COUNTIFS(Wine1!$E:$E,Identifier!$A48,Wine1!$AA:$AA,Identifier!O$1)</f>
        <v>0</v>
      </c>
      <c r="P48" s="37">
        <f>COUNTIFS(Wine1!$E:$E,Identifier!$A48,Wine1!$AA:$AA,Identifier!P$1)</f>
        <v>0</v>
      </c>
      <c r="Q48" s="37">
        <f>COUNTIFS(Wine1!$E:$E,Identifier!$A48,Wine1!$AA:$AA,Identifier!Q$1)</f>
        <v>0</v>
      </c>
      <c r="R48" s="37">
        <f>COUNTIFS(Wine1!$E:$E,Identifier!$A48,Wine1!$AA:$AA,Identifier!R$1)</f>
        <v>0</v>
      </c>
      <c r="S48" s="37">
        <f>COUNTIFS(Wine1!$E:$E,Identifier!$A48,Wine1!$AA:$AA,Identifier!S$1)</f>
        <v>0</v>
      </c>
      <c r="T48" s="37">
        <f>COUNTIFS(Wine1!$E:$E,Identifier!$A48,Wine1!$AA:$AA,Identifier!T$1)</f>
        <v>0</v>
      </c>
      <c r="U48" s="37">
        <f>COUNTIFS(Wine1!$E:$E,Identifier!$A48,Wine1!$AA:$AA,Identifier!U$1)</f>
        <v>0</v>
      </c>
      <c r="V48" s="37">
        <f>COUNTIFS(Wine1!$E:$E,Identifier!$A48,Wine1!$AA:$AA,Identifier!V$1)</f>
        <v>0</v>
      </c>
      <c r="W48" s="37">
        <f>COUNTIFS(Wine1!$E:$E,Identifier!$A48,Wine1!$AA:$AA,Identifier!W$1)</f>
        <v>0</v>
      </c>
      <c r="X48" s="37">
        <f>COUNTIFS(Wine1!$E:$E,Identifier!$A48,Wine1!$AA:$AA,Identifier!X$1)</f>
        <v>0</v>
      </c>
      <c r="Y48" s="37">
        <f>COUNTIFS(Wine1!$E:$E,Identifier!$A48,Wine1!$AA:$AA,Identifier!Y$1)</f>
        <v>0</v>
      </c>
      <c r="Z48" s="37">
        <f>COUNTIFS(Wine1!$E:$E,Identifier!$A48,Wine1!$AA:$AA,Identifier!Z$1)</f>
        <v>0</v>
      </c>
      <c r="AA48" s="37">
        <f>COUNTIFS(Wine1!$E:$E,Identifier!$A48,Wine1!$AA:$AA,Identifier!AA$1)</f>
        <v>0</v>
      </c>
      <c r="AB48" s="37">
        <f>COUNTIFS(Wine1!$E:$E,Identifier!$A48,Wine1!$AA:$AA,Identifier!AB$1)</f>
        <v>0</v>
      </c>
      <c r="AC48" s="37">
        <f>COUNTIFS(Wine1!$E:$E,Identifier!$A48,Wine1!$AA:$AA,Identifier!AC$1)</f>
        <v>0</v>
      </c>
      <c r="AD48" s="37">
        <f>COUNTIFS(Wine1!$E:$E,Identifier!$A48,Wine1!$AA:$AA,Identifier!AD$1)</f>
        <v>0</v>
      </c>
      <c r="AE48" s="37">
        <f>COUNTIFS(Wine1!$E:$E,Identifier!$A48,Wine1!$AA:$AA,Identifier!AE$1)</f>
        <v>0</v>
      </c>
      <c r="AF48" s="37">
        <f>COUNTIFS(Wine1!$E:$E,Identifier!$A48,Wine1!$AA:$AA,Identifier!AF$1)</f>
        <v>0</v>
      </c>
      <c r="AG48" s="37">
        <f>COUNTIFS(Wine1!$E:$E,Identifier!$A48,Wine1!$AA:$AA,Identifier!AG$1)</f>
        <v>0</v>
      </c>
      <c r="AH48" s="37">
        <f>COUNTIFS(Wine1!$E:$E,Identifier!$A48,Wine1!$AA:$AA,Identifier!AH$1)</f>
        <v>0</v>
      </c>
      <c r="AI48" s="37">
        <f>COUNTIFS(Wine1!$E:$E,Identifier!$A48,Wine1!$AA:$AA,Identifier!AI$1)</f>
        <v>0</v>
      </c>
      <c r="AJ48" s="37">
        <f>COUNTIFS(Wine1!$E:$E,Identifier!$A48,Wine1!$AA:$AA,Identifier!AJ$1)</f>
        <v>0</v>
      </c>
    </row>
    <row r="49" spans="1:36" x14ac:dyDescent="0.25">
      <c r="A49" t="s">
        <v>276</v>
      </c>
      <c r="B49" s="37">
        <f>SUMIF(Wine1!E:E,Identifier!A49,Wine1!I:I)</f>
        <v>23</v>
      </c>
      <c r="C49" s="2">
        <f>SUMIF(Wine1!E:E,Identifier!A49,Wine1!AC:AC)</f>
        <v>999.59000000000026</v>
      </c>
      <c r="D49" s="37">
        <f>COUNTIFS(Wine1!E:E,Identifier!A49,Wine1!AA:AA,Identifier!D$1)</f>
        <v>0</v>
      </c>
      <c r="E49" s="37">
        <f>COUNTIFS(Wine1!$E:$E,Identifier!$A49,Wine1!$AA:$AA,Identifier!E$1)</f>
        <v>4</v>
      </c>
      <c r="F49" s="37">
        <f>COUNTIFS(Wine1!$E:$E,Identifier!$A49,Wine1!$AA:$AA,Identifier!F$1)</f>
        <v>3</v>
      </c>
      <c r="G49" s="37">
        <f>COUNTIFS(Wine1!$E:$E,Identifier!$A49,Wine1!$AA:$AA,Identifier!G$1)</f>
        <v>3</v>
      </c>
      <c r="H49" s="37">
        <f>COUNTIFS(Wine1!$E:$E,Identifier!$A49,Wine1!$AA:$AA,Identifier!H$1)</f>
        <v>3</v>
      </c>
      <c r="I49" s="37">
        <f>COUNTIFS(Wine1!$E:$E,Identifier!$A49,Wine1!$AA:$AA,Identifier!I$1)</f>
        <v>2</v>
      </c>
      <c r="J49" s="37">
        <f>COUNTIFS(Wine1!$E:$E,Identifier!$A49,Wine1!$AA:$AA,Identifier!J$1)</f>
        <v>2</v>
      </c>
      <c r="K49" s="37">
        <f>COUNTIFS(Wine1!$E:$E,Identifier!$A49,Wine1!$AA:$AA,Identifier!K$1)</f>
        <v>3</v>
      </c>
      <c r="L49" s="37">
        <f>COUNTIFS(Wine1!$E:$E,Identifier!$A49,Wine1!$AA:$AA,Identifier!L$1)</f>
        <v>2</v>
      </c>
      <c r="M49" s="37">
        <f>COUNTIFS(Wine1!$E:$E,Identifier!$A49,Wine1!$AA:$AA,Identifier!M$1)</f>
        <v>1</v>
      </c>
      <c r="N49" s="37">
        <f>COUNTIFS(Wine1!$E:$E,Identifier!$A49,Wine1!$AA:$AA,Identifier!N$1)</f>
        <v>0</v>
      </c>
      <c r="O49" s="37">
        <f>COUNTIFS(Wine1!$E:$E,Identifier!$A49,Wine1!$AA:$AA,Identifier!O$1)</f>
        <v>0</v>
      </c>
      <c r="P49" s="37">
        <f>COUNTIFS(Wine1!$E:$E,Identifier!$A49,Wine1!$AA:$AA,Identifier!P$1)</f>
        <v>0</v>
      </c>
      <c r="Q49" s="37">
        <f>COUNTIFS(Wine1!$E:$E,Identifier!$A49,Wine1!$AA:$AA,Identifier!Q$1)</f>
        <v>0</v>
      </c>
      <c r="R49" s="37">
        <f>COUNTIFS(Wine1!$E:$E,Identifier!$A49,Wine1!$AA:$AA,Identifier!R$1)</f>
        <v>0</v>
      </c>
      <c r="S49" s="37">
        <f>COUNTIFS(Wine1!$E:$E,Identifier!$A49,Wine1!$AA:$AA,Identifier!S$1)</f>
        <v>0</v>
      </c>
      <c r="T49" s="37">
        <f>COUNTIFS(Wine1!$E:$E,Identifier!$A49,Wine1!$AA:$AA,Identifier!T$1)</f>
        <v>0</v>
      </c>
      <c r="U49" s="37">
        <f>COUNTIFS(Wine1!$E:$E,Identifier!$A49,Wine1!$AA:$AA,Identifier!U$1)</f>
        <v>0</v>
      </c>
      <c r="V49" s="37">
        <f>COUNTIFS(Wine1!$E:$E,Identifier!$A49,Wine1!$AA:$AA,Identifier!V$1)</f>
        <v>0</v>
      </c>
      <c r="W49" s="37">
        <f>COUNTIFS(Wine1!$E:$E,Identifier!$A49,Wine1!$AA:$AA,Identifier!W$1)</f>
        <v>0</v>
      </c>
      <c r="X49" s="37">
        <f>COUNTIFS(Wine1!$E:$E,Identifier!$A49,Wine1!$AA:$AA,Identifier!X$1)</f>
        <v>0</v>
      </c>
      <c r="Y49" s="37">
        <f>COUNTIFS(Wine1!$E:$E,Identifier!$A49,Wine1!$AA:$AA,Identifier!Y$1)</f>
        <v>0</v>
      </c>
      <c r="Z49" s="37">
        <f>COUNTIFS(Wine1!$E:$E,Identifier!$A49,Wine1!$AA:$AA,Identifier!Z$1)</f>
        <v>0</v>
      </c>
      <c r="AA49" s="37">
        <f>COUNTIFS(Wine1!$E:$E,Identifier!$A49,Wine1!$AA:$AA,Identifier!AA$1)</f>
        <v>0</v>
      </c>
      <c r="AB49" s="37">
        <f>COUNTIFS(Wine1!$E:$E,Identifier!$A49,Wine1!$AA:$AA,Identifier!AB$1)</f>
        <v>0</v>
      </c>
      <c r="AC49" s="37">
        <f>COUNTIFS(Wine1!$E:$E,Identifier!$A49,Wine1!$AA:$AA,Identifier!AC$1)</f>
        <v>0</v>
      </c>
      <c r="AD49" s="37">
        <f>COUNTIFS(Wine1!$E:$E,Identifier!$A49,Wine1!$AA:$AA,Identifier!AD$1)</f>
        <v>0</v>
      </c>
      <c r="AE49" s="37">
        <f>COUNTIFS(Wine1!$E:$E,Identifier!$A49,Wine1!$AA:$AA,Identifier!AE$1)</f>
        <v>0</v>
      </c>
      <c r="AF49" s="37">
        <f>COUNTIFS(Wine1!$E:$E,Identifier!$A49,Wine1!$AA:$AA,Identifier!AF$1)</f>
        <v>0</v>
      </c>
      <c r="AG49" s="37">
        <f>COUNTIFS(Wine1!$E:$E,Identifier!$A49,Wine1!$AA:$AA,Identifier!AG$1)</f>
        <v>0</v>
      </c>
      <c r="AH49" s="37">
        <f>COUNTIFS(Wine1!$E:$E,Identifier!$A49,Wine1!$AA:$AA,Identifier!AH$1)</f>
        <v>0</v>
      </c>
      <c r="AI49" s="37">
        <f>COUNTIFS(Wine1!$E:$E,Identifier!$A49,Wine1!$AA:$AA,Identifier!AI$1)</f>
        <v>0</v>
      </c>
      <c r="AJ49" s="37">
        <f>COUNTIFS(Wine1!$E:$E,Identifier!$A49,Wine1!$AA:$AA,Identifier!AJ$1)</f>
        <v>0</v>
      </c>
    </row>
    <row r="50" spans="1:36" s="37" customFormat="1" x14ac:dyDescent="0.25">
      <c r="A50" s="37" t="s">
        <v>277</v>
      </c>
      <c r="B50" s="37">
        <f>SUMIF(Wine1!E:E,Identifier!A50,Wine1!I:I)</f>
        <v>6</v>
      </c>
      <c r="C50" s="2">
        <f>SUMIF(Wine1!E:E,Identifier!A50,Wine1!AC:AC)</f>
        <v>201.95000000000002</v>
      </c>
      <c r="D50" s="37">
        <f>COUNTIFS(Wine1!E:E,Identifier!A50,Wine1!AA:AA,Identifier!D$1)</f>
        <v>0</v>
      </c>
      <c r="E50" s="37">
        <f>COUNTIFS(Wine1!$E:$E,Identifier!$A50,Wine1!$AA:$AA,Identifier!E$1)</f>
        <v>1</v>
      </c>
      <c r="F50" s="37">
        <f>COUNTIFS(Wine1!$E:$E,Identifier!$A50,Wine1!$AA:$AA,Identifier!F$1)</f>
        <v>1</v>
      </c>
      <c r="G50" s="37">
        <f>COUNTIFS(Wine1!$E:$E,Identifier!$A50,Wine1!$AA:$AA,Identifier!G$1)</f>
        <v>0</v>
      </c>
      <c r="H50" s="37">
        <f>COUNTIFS(Wine1!$E:$E,Identifier!$A50,Wine1!$AA:$AA,Identifier!H$1)</f>
        <v>1</v>
      </c>
      <c r="I50" s="37">
        <f>COUNTIFS(Wine1!$E:$E,Identifier!$A50,Wine1!$AA:$AA,Identifier!I$1)</f>
        <v>0</v>
      </c>
      <c r="J50" s="37">
        <f>COUNTIFS(Wine1!$E:$E,Identifier!$A50,Wine1!$AA:$AA,Identifier!J$1)</f>
        <v>1</v>
      </c>
      <c r="K50" s="37">
        <f>COUNTIFS(Wine1!$E:$E,Identifier!$A50,Wine1!$AA:$AA,Identifier!K$1)</f>
        <v>1</v>
      </c>
      <c r="L50" s="37">
        <f>COUNTIFS(Wine1!$E:$E,Identifier!$A50,Wine1!$AA:$AA,Identifier!L$1)</f>
        <v>0</v>
      </c>
      <c r="M50" s="37">
        <f>COUNTIFS(Wine1!$E:$E,Identifier!$A50,Wine1!$AA:$AA,Identifier!M$1)</f>
        <v>1</v>
      </c>
      <c r="N50" s="37">
        <f>COUNTIFS(Wine1!$E:$E,Identifier!$A50,Wine1!$AA:$AA,Identifier!N$1)</f>
        <v>0</v>
      </c>
      <c r="O50" s="37">
        <f>COUNTIFS(Wine1!$E:$E,Identifier!$A50,Wine1!$AA:$AA,Identifier!O$1)</f>
        <v>0</v>
      </c>
      <c r="P50" s="37">
        <f>COUNTIFS(Wine1!$E:$E,Identifier!$A50,Wine1!$AA:$AA,Identifier!P$1)</f>
        <v>0</v>
      </c>
      <c r="Q50" s="37">
        <f>COUNTIFS(Wine1!$E:$E,Identifier!$A50,Wine1!$AA:$AA,Identifier!Q$1)</f>
        <v>0</v>
      </c>
      <c r="R50" s="37">
        <f>COUNTIFS(Wine1!$E:$E,Identifier!$A50,Wine1!$AA:$AA,Identifier!R$1)</f>
        <v>0</v>
      </c>
      <c r="S50" s="37">
        <f>COUNTIFS(Wine1!$E:$E,Identifier!$A50,Wine1!$AA:$AA,Identifier!S$1)</f>
        <v>0</v>
      </c>
      <c r="T50" s="37">
        <f>COUNTIFS(Wine1!$E:$E,Identifier!$A50,Wine1!$AA:$AA,Identifier!T$1)</f>
        <v>0</v>
      </c>
      <c r="U50" s="37">
        <f>COUNTIFS(Wine1!$E:$E,Identifier!$A50,Wine1!$AA:$AA,Identifier!U$1)</f>
        <v>0</v>
      </c>
      <c r="V50" s="37">
        <f>COUNTIFS(Wine1!$E:$E,Identifier!$A50,Wine1!$AA:$AA,Identifier!V$1)</f>
        <v>0</v>
      </c>
      <c r="W50" s="37">
        <f>COUNTIFS(Wine1!$E:$E,Identifier!$A50,Wine1!$AA:$AA,Identifier!W$1)</f>
        <v>0</v>
      </c>
      <c r="X50" s="37">
        <f>COUNTIFS(Wine1!$E:$E,Identifier!$A50,Wine1!$AA:$AA,Identifier!X$1)</f>
        <v>0</v>
      </c>
      <c r="Y50" s="37">
        <f>COUNTIFS(Wine1!$E:$E,Identifier!$A50,Wine1!$AA:$AA,Identifier!Y$1)</f>
        <v>0</v>
      </c>
      <c r="Z50" s="37">
        <f>COUNTIFS(Wine1!$E:$E,Identifier!$A50,Wine1!$AA:$AA,Identifier!Z$1)</f>
        <v>0</v>
      </c>
      <c r="AA50" s="37">
        <f>COUNTIFS(Wine1!$E:$E,Identifier!$A50,Wine1!$AA:$AA,Identifier!AA$1)</f>
        <v>0</v>
      </c>
      <c r="AB50" s="37">
        <f>COUNTIFS(Wine1!$E:$E,Identifier!$A50,Wine1!$AA:$AA,Identifier!AB$1)</f>
        <v>0</v>
      </c>
      <c r="AC50" s="37">
        <f>COUNTIFS(Wine1!$E:$E,Identifier!$A50,Wine1!$AA:$AA,Identifier!AC$1)</f>
        <v>0</v>
      </c>
      <c r="AD50" s="37">
        <f>COUNTIFS(Wine1!$E:$E,Identifier!$A50,Wine1!$AA:$AA,Identifier!AD$1)</f>
        <v>0</v>
      </c>
      <c r="AE50" s="37">
        <f>COUNTIFS(Wine1!$E:$E,Identifier!$A50,Wine1!$AA:$AA,Identifier!AE$1)</f>
        <v>0</v>
      </c>
      <c r="AF50" s="37">
        <f>COUNTIFS(Wine1!$E:$E,Identifier!$A50,Wine1!$AA:$AA,Identifier!AF$1)</f>
        <v>0</v>
      </c>
      <c r="AG50" s="37">
        <f>COUNTIFS(Wine1!$E:$E,Identifier!$A50,Wine1!$AA:$AA,Identifier!AG$1)</f>
        <v>0</v>
      </c>
      <c r="AH50" s="37">
        <f>COUNTIFS(Wine1!$E:$E,Identifier!$A50,Wine1!$AA:$AA,Identifier!AH$1)</f>
        <v>0</v>
      </c>
      <c r="AI50" s="37">
        <f>COUNTIFS(Wine1!$E:$E,Identifier!$A50,Wine1!$AA:$AA,Identifier!AI$1)</f>
        <v>0</v>
      </c>
      <c r="AJ50" s="37">
        <f>COUNTIFS(Wine1!$E:$E,Identifier!$A50,Wine1!$AA:$AA,Identifier!AJ$1)</f>
        <v>0</v>
      </c>
    </row>
    <row r="51" spans="1:36" s="37" customFormat="1" x14ac:dyDescent="0.25">
      <c r="A51" s="37" t="s">
        <v>211</v>
      </c>
      <c r="B51" s="37">
        <f>SUMIF(Wine1!E:E,Identifier!A51,Wine1!I:I)</f>
        <v>0</v>
      </c>
      <c r="C51" s="2">
        <f>SUMIF(Wine1!E:E,Identifier!A51,Wine1!AC:AC)</f>
        <v>0</v>
      </c>
      <c r="D51" s="37">
        <f>COUNTIFS(Wine1!E:E,Identifier!A51,Wine1!AA:AA,Identifier!D$1)</f>
        <v>0</v>
      </c>
      <c r="E51" s="37">
        <f>COUNTIFS(Wine1!$E:$E,Identifier!$A51,Wine1!$AA:$AA,Identifier!E$1)</f>
        <v>0</v>
      </c>
      <c r="F51" s="37">
        <f>COUNTIFS(Wine1!$E:$E,Identifier!$A51,Wine1!$AA:$AA,Identifier!F$1)</f>
        <v>0</v>
      </c>
      <c r="G51" s="37">
        <f>COUNTIFS(Wine1!$E:$E,Identifier!$A51,Wine1!$AA:$AA,Identifier!G$1)</f>
        <v>0</v>
      </c>
      <c r="H51" s="37">
        <f>COUNTIFS(Wine1!$E:$E,Identifier!$A51,Wine1!$AA:$AA,Identifier!H$1)</f>
        <v>0</v>
      </c>
      <c r="I51" s="37">
        <f>COUNTIFS(Wine1!$E:$E,Identifier!$A51,Wine1!$AA:$AA,Identifier!I$1)</f>
        <v>0</v>
      </c>
      <c r="J51" s="37">
        <f>COUNTIFS(Wine1!$E:$E,Identifier!$A51,Wine1!$AA:$AA,Identifier!J$1)</f>
        <v>0</v>
      </c>
      <c r="K51" s="37">
        <f>COUNTIFS(Wine1!$E:$E,Identifier!$A51,Wine1!$AA:$AA,Identifier!K$1)</f>
        <v>0</v>
      </c>
      <c r="L51" s="37">
        <f>COUNTIFS(Wine1!$E:$E,Identifier!$A51,Wine1!$AA:$AA,Identifier!L$1)</f>
        <v>0</v>
      </c>
      <c r="M51" s="37">
        <f>COUNTIFS(Wine1!$E:$E,Identifier!$A51,Wine1!$AA:$AA,Identifier!M$1)</f>
        <v>0</v>
      </c>
      <c r="N51" s="37">
        <f>COUNTIFS(Wine1!$E:$E,Identifier!$A51,Wine1!$AA:$AA,Identifier!N$1)</f>
        <v>0</v>
      </c>
      <c r="O51" s="37">
        <f>COUNTIFS(Wine1!$E:$E,Identifier!$A51,Wine1!$AA:$AA,Identifier!O$1)</f>
        <v>0</v>
      </c>
      <c r="P51" s="37">
        <f>COUNTIFS(Wine1!$E:$E,Identifier!$A51,Wine1!$AA:$AA,Identifier!P$1)</f>
        <v>0</v>
      </c>
      <c r="Q51" s="37">
        <f>COUNTIFS(Wine1!$E:$E,Identifier!$A51,Wine1!$AA:$AA,Identifier!Q$1)</f>
        <v>0</v>
      </c>
      <c r="R51" s="37">
        <f>COUNTIFS(Wine1!$E:$E,Identifier!$A51,Wine1!$AA:$AA,Identifier!R$1)</f>
        <v>0</v>
      </c>
      <c r="S51" s="37">
        <f>COUNTIFS(Wine1!$E:$E,Identifier!$A51,Wine1!$AA:$AA,Identifier!S$1)</f>
        <v>0</v>
      </c>
      <c r="T51" s="37">
        <f>COUNTIFS(Wine1!$E:$E,Identifier!$A51,Wine1!$AA:$AA,Identifier!T$1)</f>
        <v>0</v>
      </c>
      <c r="U51" s="37">
        <f>COUNTIFS(Wine1!$E:$E,Identifier!$A51,Wine1!$AA:$AA,Identifier!U$1)</f>
        <v>0</v>
      </c>
      <c r="V51" s="37">
        <f>COUNTIFS(Wine1!$E:$E,Identifier!$A51,Wine1!$AA:$AA,Identifier!V$1)</f>
        <v>0</v>
      </c>
      <c r="W51" s="37">
        <f>COUNTIFS(Wine1!$E:$E,Identifier!$A51,Wine1!$AA:$AA,Identifier!W$1)</f>
        <v>0</v>
      </c>
      <c r="X51" s="37">
        <f>COUNTIFS(Wine1!$E:$E,Identifier!$A51,Wine1!$AA:$AA,Identifier!X$1)</f>
        <v>0</v>
      </c>
      <c r="Y51" s="37">
        <f>COUNTIFS(Wine1!$E:$E,Identifier!$A51,Wine1!$AA:$AA,Identifier!Y$1)</f>
        <v>0</v>
      </c>
      <c r="Z51" s="37">
        <f>COUNTIFS(Wine1!$E:$E,Identifier!$A51,Wine1!$AA:$AA,Identifier!Z$1)</f>
        <v>0</v>
      </c>
      <c r="AA51" s="37">
        <f>COUNTIFS(Wine1!$E:$E,Identifier!$A51,Wine1!$AA:$AA,Identifier!AA$1)</f>
        <v>0</v>
      </c>
      <c r="AB51" s="37">
        <f>COUNTIFS(Wine1!$E:$E,Identifier!$A51,Wine1!$AA:$AA,Identifier!AB$1)</f>
        <v>0</v>
      </c>
      <c r="AC51" s="37">
        <f>COUNTIFS(Wine1!$E:$E,Identifier!$A51,Wine1!$AA:$AA,Identifier!AC$1)</f>
        <v>0</v>
      </c>
      <c r="AD51" s="37">
        <f>COUNTIFS(Wine1!$E:$E,Identifier!$A51,Wine1!$AA:$AA,Identifier!AD$1)</f>
        <v>0</v>
      </c>
      <c r="AE51" s="37">
        <f>COUNTIFS(Wine1!$E:$E,Identifier!$A51,Wine1!$AA:$AA,Identifier!AE$1)</f>
        <v>0</v>
      </c>
      <c r="AF51" s="37">
        <f>COUNTIFS(Wine1!$E:$E,Identifier!$A51,Wine1!$AA:$AA,Identifier!AF$1)</f>
        <v>0</v>
      </c>
      <c r="AG51" s="37">
        <f>COUNTIFS(Wine1!$E:$E,Identifier!$A51,Wine1!$AA:$AA,Identifier!AG$1)</f>
        <v>0</v>
      </c>
      <c r="AH51" s="37">
        <f>COUNTIFS(Wine1!$E:$E,Identifier!$A51,Wine1!$AA:$AA,Identifier!AH$1)</f>
        <v>0</v>
      </c>
      <c r="AI51" s="37">
        <f>COUNTIFS(Wine1!$E:$E,Identifier!$A51,Wine1!$AA:$AA,Identifier!AI$1)</f>
        <v>0</v>
      </c>
      <c r="AJ51" s="37">
        <f>COUNTIFS(Wine1!$E:$E,Identifier!$A51,Wine1!$AA:$AA,Identifier!AJ$1)</f>
        <v>0</v>
      </c>
    </row>
    <row r="52" spans="1:36" s="37" customFormat="1" x14ac:dyDescent="0.25">
      <c r="A52" s="37" t="s">
        <v>382</v>
      </c>
      <c r="B52" s="37">
        <f>SUMIF(Wine1!E:E,Identifier!A52,Wine1!I:I)</f>
        <v>0</v>
      </c>
      <c r="C52" s="2">
        <f>SUMIF(Wine1!E:E,Identifier!A52,Wine1!AC:AC)</f>
        <v>0</v>
      </c>
      <c r="D52" s="37">
        <f>COUNTIFS(Wine1!E:E,Identifier!A52,Wine1!AA:AA,Identifier!D$1)</f>
        <v>0</v>
      </c>
      <c r="E52" s="37">
        <f>COUNTIFS(Wine1!$E:$E,Identifier!$A52,Wine1!$AA:$AA,Identifier!E$1)</f>
        <v>0</v>
      </c>
      <c r="F52" s="37">
        <f>COUNTIFS(Wine1!$E:$E,Identifier!$A52,Wine1!$AA:$AA,Identifier!F$1)</f>
        <v>0</v>
      </c>
      <c r="G52" s="37">
        <f>COUNTIFS(Wine1!$E:$E,Identifier!$A52,Wine1!$AA:$AA,Identifier!G$1)</f>
        <v>0</v>
      </c>
      <c r="H52" s="37">
        <f>COUNTIFS(Wine1!$E:$E,Identifier!$A52,Wine1!$AA:$AA,Identifier!H$1)</f>
        <v>0</v>
      </c>
      <c r="I52" s="37">
        <f>COUNTIFS(Wine1!$E:$E,Identifier!$A52,Wine1!$AA:$AA,Identifier!I$1)</f>
        <v>0</v>
      </c>
      <c r="J52" s="37">
        <f>COUNTIFS(Wine1!$E:$E,Identifier!$A52,Wine1!$AA:$AA,Identifier!J$1)</f>
        <v>0</v>
      </c>
      <c r="K52" s="37">
        <f>COUNTIFS(Wine1!$E:$E,Identifier!$A52,Wine1!$AA:$AA,Identifier!K$1)</f>
        <v>0</v>
      </c>
      <c r="L52" s="37">
        <f>COUNTIFS(Wine1!$E:$E,Identifier!$A52,Wine1!$AA:$AA,Identifier!L$1)</f>
        <v>0</v>
      </c>
      <c r="M52" s="37">
        <f>COUNTIFS(Wine1!$E:$E,Identifier!$A52,Wine1!$AA:$AA,Identifier!M$1)</f>
        <v>0</v>
      </c>
      <c r="N52" s="37">
        <f>COUNTIFS(Wine1!$E:$E,Identifier!$A52,Wine1!$AA:$AA,Identifier!N$1)</f>
        <v>0</v>
      </c>
      <c r="O52" s="37">
        <f>COUNTIFS(Wine1!$E:$E,Identifier!$A52,Wine1!$AA:$AA,Identifier!O$1)</f>
        <v>0</v>
      </c>
      <c r="P52" s="37">
        <f>COUNTIFS(Wine1!$E:$E,Identifier!$A52,Wine1!$AA:$AA,Identifier!P$1)</f>
        <v>0</v>
      </c>
      <c r="Q52" s="37">
        <f>COUNTIFS(Wine1!$E:$E,Identifier!$A52,Wine1!$AA:$AA,Identifier!Q$1)</f>
        <v>0</v>
      </c>
      <c r="R52" s="37">
        <f>COUNTIFS(Wine1!$E:$E,Identifier!$A52,Wine1!$AA:$AA,Identifier!R$1)</f>
        <v>0</v>
      </c>
      <c r="S52" s="37">
        <f>COUNTIFS(Wine1!$E:$E,Identifier!$A52,Wine1!$AA:$AA,Identifier!S$1)</f>
        <v>0</v>
      </c>
      <c r="T52" s="37">
        <f>COUNTIFS(Wine1!$E:$E,Identifier!$A52,Wine1!$AA:$AA,Identifier!T$1)</f>
        <v>0</v>
      </c>
      <c r="U52" s="37">
        <f>COUNTIFS(Wine1!$E:$E,Identifier!$A52,Wine1!$AA:$AA,Identifier!U$1)</f>
        <v>0</v>
      </c>
      <c r="V52" s="37">
        <f>COUNTIFS(Wine1!$E:$E,Identifier!$A52,Wine1!$AA:$AA,Identifier!V$1)</f>
        <v>0</v>
      </c>
      <c r="W52" s="37">
        <f>COUNTIFS(Wine1!$E:$E,Identifier!$A52,Wine1!$AA:$AA,Identifier!W$1)</f>
        <v>0</v>
      </c>
      <c r="X52" s="37">
        <f>COUNTIFS(Wine1!$E:$E,Identifier!$A52,Wine1!$AA:$AA,Identifier!X$1)</f>
        <v>0</v>
      </c>
      <c r="Y52" s="37">
        <f>COUNTIFS(Wine1!$E:$E,Identifier!$A52,Wine1!$AA:$AA,Identifier!Y$1)</f>
        <v>0</v>
      </c>
      <c r="Z52" s="37">
        <f>COUNTIFS(Wine1!$E:$E,Identifier!$A52,Wine1!$AA:$AA,Identifier!Z$1)</f>
        <v>0</v>
      </c>
      <c r="AA52" s="37">
        <f>COUNTIFS(Wine1!$E:$E,Identifier!$A52,Wine1!$AA:$AA,Identifier!AA$1)</f>
        <v>0</v>
      </c>
      <c r="AB52" s="37">
        <f>COUNTIFS(Wine1!$E:$E,Identifier!$A52,Wine1!$AA:$AA,Identifier!AB$1)</f>
        <v>0</v>
      </c>
      <c r="AC52" s="37">
        <f>COUNTIFS(Wine1!$E:$E,Identifier!$A52,Wine1!$AA:$AA,Identifier!AC$1)</f>
        <v>0</v>
      </c>
      <c r="AD52" s="37">
        <f>COUNTIFS(Wine1!$E:$E,Identifier!$A52,Wine1!$AA:$AA,Identifier!AD$1)</f>
        <v>0</v>
      </c>
      <c r="AE52" s="37">
        <f>COUNTIFS(Wine1!$E:$E,Identifier!$A52,Wine1!$AA:$AA,Identifier!AE$1)</f>
        <v>0</v>
      </c>
      <c r="AF52" s="37">
        <f>COUNTIFS(Wine1!$E:$E,Identifier!$A52,Wine1!$AA:$AA,Identifier!AF$1)</f>
        <v>0</v>
      </c>
      <c r="AG52" s="37">
        <f>COUNTIFS(Wine1!$E:$E,Identifier!$A52,Wine1!$AA:$AA,Identifier!AG$1)</f>
        <v>0</v>
      </c>
      <c r="AH52" s="37">
        <f>COUNTIFS(Wine1!$E:$E,Identifier!$A52,Wine1!$AA:$AA,Identifier!AH$1)</f>
        <v>0</v>
      </c>
      <c r="AI52" s="37">
        <f>COUNTIFS(Wine1!$E:$E,Identifier!$A52,Wine1!$AA:$AA,Identifier!AI$1)</f>
        <v>0</v>
      </c>
      <c r="AJ52" s="37">
        <f>COUNTIFS(Wine1!$E:$E,Identifier!$A52,Wine1!$AA:$AA,Identifier!AJ$1)</f>
        <v>0</v>
      </c>
    </row>
    <row r="53" spans="1:36" x14ac:dyDescent="0.25">
      <c r="B53">
        <f>SUM(B2:B52)</f>
        <v>263</v>
      </c>
      <c r="D53">
        <f>SUM(D2:D49)</f>
        <v>21</v>
      </c>
      <c r="E53" s="37">
        <f t="shared" ref="E53:AJ53" si="0">SUM(E2:E49)</f>
        <v>26</v>
      </c>
      <c r="F53" s="37">
        <f t="shared" si="0"/>
        <v>21</v>
      </c>
      <c r="G53" s="37">
        <f t="shared" si="0"/>
        <v>22</v>
      </c>
      <c r="H53" s="37">
        <f t="shared" si="0"/>
        <v>31</v>
      </c>
      <c r="I53" s="37">
        <f t="shared" si="0"/>
        <v>24</v>
      </c>
      <c r="J53" s="37">
        <f t="shared" si="0"/>
        <v>21</v>
      </c>
      <c r="K53" s="37">
        <f t="shared" si="0"/>
        <v>17</v>
      </c>
      <c r="L53" s="37">
        <f t="shared" si="0"/>
        <v>21</v>
      </c>
      <c r="M53" s="37">
        <f t="shared" si="0"/>
        <v>13</v>
      </c>
      <c r="N53" s="37">
        <f t="shared" si="0"/>
        <v>12</v>
      </c>
      <c r="O53" s="37">
        <f t="shared" si="0"/>
        <v>2</v>
      </c>
      <c r="P53" s="37">
        <f t="shared" si="0"/>
        <v>5</v>
      </c>
      <c r="Q53" s="37">
        <f t="shared" si="0"/>
        <v>4</v>
      </c>
      <c r="R53" s="37">
        <f t="shared" si="0"/>
        <v>4</v>
      </c>
      <c r="S53" s="37">
        <f t="shared" si="0"/>
        <v>5</v>
      </c>
      <c r="T53" s="37">
        <f t="shared" si="0"/>
        <v>0</v>
      </c>
      <c r="U53" s="37">
        <f t="shared" si="0"/>
        <v>2</v>
      </c>
      <c r="V53" s="37">
        <f t="shared" si="0"/>
        <v>0</v>
      </c>
      <c r="W53" s="37">
        <f t="shared" si="0"/>
        <v>0</v>
      </c>
      <c r="X53" s="37">
        <f t="shared" si="0"/>
        <v>2</v>
      </c>
      <c r="Y53" s="37">
        <f t="shared" si="0"/>
        <v>1</v>
      </c>
      <c r="Z53" s="37">
        <f t="shared" si="0"/>
        <v>0</v>
      </c>
      <c r="AA53" s="37">
        <f t="shared" si="0"/>
        <v>0</v>
      </c>
      <c r="AB53" s="37">
        <f t="shared" si="0"/>
        <v>0</v>
      </c>
      <c r="AC53" s="37">
        <f t="shared" si="0"/>
        <v>1</v>
      </c>
      <c r="AD53" s="37">
        <f t="shared" si="0"/>
        <v>0</v>
      </c>
      <c r="AE53" s="37">
        <f t="shared" si="0"/>
        <v>0</v>
      </c>
      <c r="AF53" s="37">
        <f t="shared" si="0"/>
        <v>0</v>
      </c>
      <c r="AG53" s="37">
        <f t="shared" si="0"/>
        <v>0</v>
      </c>
      <c r="AH53" s="37">
        <f t="shared" si="0"/>
        <v>2</v>
      </c>
      <c r="AI53" s="37">
        <f t="shared" si="0"/>
        <v>0</v>
      </c>
      <c r="AJ53" s="37">
        <f t="shared" si="0"/>
        <v>0</v>
      </c>
    </row>
    <row r="66" spans="10:10" x14ac:dyDescent="0.25">
      <c r="J66" t="s">
        <v>1514</v>
      </c>
    </row>
  </sheetData>
  <autoFilter ref="A1:AJ53" xr:uid="{2F9F901E-387E-44EA-A247-800F16F3ADDC}"/>
  <sortState xmlns:xlrd2="http://schemas.microsoft.com/office/spreadsheetml/2017/richdata2" ref="A2:A52">
    <sortCondition ref="A2:A52"/>
  </sortState>
  <conditionalFormatting sqref="D2:AJ52">
    <cfRule type="dataBar" priority="1">
      <dataBar>
        <cfvo type="num" val="0"/>
        <cfvo type="num" val="5"/>
        <color rgb="FF638EC6"/>
      </dataBar>
      <extLst>
        <ext xmlns:x14="http://schemas.microsoft.com/office/spreadsheetml/2009/9/main" uri="{B025F937-C7B1-47D3-B67F-A62EFF666E3E}">
          <x14:id>{0A1985FC-76A0-4C1D-970D-CB5D25A43357}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1985FC-76A0-4C1D-970D-CB5D25A43357}">
            <x14:dataBar minLength="0" maxLength="100">
              <x14:cfvo type="num">
                <xm:f>0</xm:f>
              </x14:cfvo>
              <x14:cfvo type="num">
                <xm:f>5</xm:f>
              </x14:cfvo>
              <x14:negativeFillColor rgb="FFFF0000"/>
              <x14:axisColor rgb="FF000000"/>
            </x14:dataBar>
          </x14:cfRule>
          <xm:sqref>D2:AJ52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49110-1983-4278-AF54-F7C2203387AA}">
  <dimension ref="A1:L684"/>
  <sheetViews>
    <sheetView topLeftCell="B1" workbookViewId="0">
      <selection activeCell="N15" sqref="N15"/>
    </sheetView>
  </sheetViews>
  <sheetFormatPr defaultRowHeight="15" x14ac:dyDescent="0.25"/>
  <cols>
    <col min="1" max="1" width="38.5703125" customWidth="1"/>
    <col min="2" max="2" width="9.42578125" style="37" customWidth="1"/>
    <col min="3" max="3" width="29.42578125" style="37" bestFit="1" customWidth="1"/>
    <col min="4" max="4" width="61.140625" style="37" bestFit="1" customWidth="1"/>
    <col min="5" max="5" width="61.140625" style="37" customWidth="1"/>
    <col min="6" max="6" width="10.28515625" style="37" customWidth="1"/>
    <col min="7" max="7" width="9.5703125" style="37" customWidth="1"/>
    <col min="9" max="9" width="9.140625" style="37"/>
    <col min="11" max="11" width="9.140625" style="37"/>
  </cols>
  <sheetData>
    <row r="1" spans="1:12" x14ac:dyDescent="0.25">
      <c r="A1" t="s">
        <v>667</v>
      </c>
      <c r="B1" s="37" t="s">
        <v>0</v>
      </c>
      <c r="C1" s="37" t="s">
        <v>1</v>
      </c>
      <c r="D1" s="37" t="s">
        <v>2</v>
      </c>
      <c r="E1" s="37" t="s">
        <v>256</v>
      </c>
      <c r="F1" s="37" t="s">
        <v>209</v>
      </c>
      <c r="G1" s="37" t="s">
        <v>683</v>
      </c>
      <c r="H1" t="s">
        <v>684</v>
      </c>
      <c r="I1" s="37" t="s">
        <v>681</v>
      </c>
      <c r="J1" t="s">
        <v>682</v>
      </c>
      <c r="L1" t="s">
        <v>668</v>
      </c>
    </row>
    <row r="2" spans="1:12" x14ac:dyDescent="0.25">
      <c r="A2" t="s">
        <v>694</v>
      </c>
      <c r="B2" s="37" t="str">
        <f>IF(G2&lt;=0,VLOOKUP(A2,Drank!A:D,2,FALSE),VLOOKUP(A2,Wine1!A:D,2,FALSE))</f>
        <v>NV</v>
      </c>
      <c r="C2" s="37" t="str">
        <f>IF(G2&lt;=0,VLOOKUP(A2,Drank!A:D,3,FALSE),VLOOKUP(A2,Wine1!A:D,3,FALSE))</f>
        <v>Mionetto</v>
      </c>
      <c r="D2" s="37" t="str">
        <f>IF(G2&lt;=0,VLOOKUP(A2,Drank!A:D,4,FALSE),VLOOKUP(A2,Wine1!A:D,4,FALSE))</f>
        <v>Prosecco Brut</v>
      </c>
      <c r="E2" s="8" t="str">
        <f>IF(G2&gt;0,VLOOKUP(A2,Wine1!A:AF,5,FALSE),VLOOKUP(A2,Drank!A:AA,5,FALSE))</f>
        <v>Prosecco</v>
      </c>
      <c r="F2" s="8">
        <f>IF(G2&gt;0,VLOOKUP(A2,Wine1!A:AF,32,FALSE),VLOOKUP(Agibility!A2,Drank!A:AA,27,FALSE))</f>
        <v>1</v>
      </c>
      <c r="G2" s="8">
        <f>COUNTIF(Wine1!A:A,Agibility!A2)</f>
        <v>0</v>
      </c>
      <c r="H2" s="37">
        <f>IFERROR(VLOOKUP(A2,Wine1!A:Y,25,FALSE),0)</f>
        <v>0</v>
      </c>
      <c r="I2" s="37">
        <f>COUNTIF(Drank!A:A,Agibility!A2)</f>
        <v>1</v>
      </c>
      <c r="J2">
        <f>IFERROR(AVERAGEIF(Drank!A:A,Agibility!A2,Drank!P:P),0)</f>
        <v>0</v>
      </c>
      <c r="K2" s="37">
        <f>IF(J2&gt;0,J2,H2)</f>
        <v>0</v>
      </c>
      <c r="L2" t="str">
        <f t="shared" ref="L2:L33" si="0">IF(K2&gt;0,K2-B2," ")</f>
        <v xml:space="preserve"> </v>
      </c>
    </row>
    <row r="3" spans="1:12" x14ac:dyDescent="0.25">
      <c r="A3" s="37" t="s">
        <v>693</v>
      </c>
      <c r="B3" s="37">
        <f>IF(G3&lt;=0,VLOOKUP(A3,Drank!A:D,2,FALSE),VLOOKUP(A3,Wine1!A:D,2,FALSE))</f>
        <v>2018</v>
      </c>
      <c r="C3" s="37" t="str">
        <f>IF(G3&lt;=0,VLOOKUP(A3,Drank!A:D,3,FALSE),VLOOKUP(A3,Wine1!A:D,3,FALSE))</f>
        <v>Chateau d'Esclans</v>
      </c>
      <c r="D3" s="37" t="str">
        <f>IF(G3&lt;=0,VLOOKUP(A3,Drank!A:D,4,FALSE),VLOOKUP(A3,Wine1!A:D,4,FALSE))</f>
        <v>Whispering Angel</v>
      </c>
      <c r="E3" s="8" t="str">
        <f>IF(G3&gt;0,VLOOKUP(A3,Wine1!A:AF,5,FALSE),VLOOKUP(A3,Drank!A:AA,5,FALSE))</f>
        <v>Rose</v>
      </c>
      <c r="F3" s="8">
        <f>IF(G3&gt;0,VLOOKUP(A3,Wine1!A:AF,32,FALSE),VLOOKUP(Agibility!A3,Drank!A:AA,27,FALSE))</f>
        <v>1</v>
      </c>
      <c r="G3" s="8">
        <f>COUNTIF(Wine1!A:A,Agibility!A3)</f>
        <v>0</v>
      </c>
      <c r="H3" s="37">
        <f>IFERROR(VLOOKUP(A3,Wine1!A:Y,25,FALSE),0)</f>
        <v>0</v>
      </c>
      <c r="I3" s="37">
        <f>COUNTIF(Drank!A:A,Agibility!A3)</f>
        <v>1</v>
      </c>
      <c r="J3" s="37">
        <f>IFERROR(AVERAGEIF(Drank!A:A,Agibility!A3,Drank!P:P),0)</f>
        <v>0</v>
      </c>
      <c r="K3" s="37">
        <f t="shared" ref="K3:K66" si="1">IF(J3&gt;0,J3,H3)</f>
        <v>0</v>
      </c>
      <c r="L3" s="37" t="str">
        <f t="shared" si="0"/>
        <v xml:space="preserve"> </v>
      </c>
    </row>
    <row r="4" spans="1:12" x14ac:dyDescent="0.25">
      <c r="A4" s="37" t="s">
        <v>438</v>
      </c>
      <c r="B4" s="37">
        <f>IF(G4&lt;=0,VLOOKUP(A4,Drank!A:D,2,FALSE),VLOOKUP(A4,Wine1!A:D,2,FALSE))</f>
        <v>2016</v>
      </c>
      <c r="C4" s="37" t="str">
        <f>IF(G4&lt;=0,VLOOKUP(A4,Drank!A:D,3,FALSE),VLOOKUP(A4,Wine1!A:D,3,FALSE))</f>
        <v>Teruzzi &amp; Puthod</v>
      </c>
      <c r="D4" s="37" t="str">
        <f>IF(G4&lt;=0,VLOOKUP(A4,Drank!A:D,4,FALSE),VLOOKUP(A4,Wine1!A:D,4,FALSE))</f>
        <v>Terre di Tufi</v>
      </c>
      <c r="E4" s="8" t="str">
        <f>IF(G4&gt;0,VLOOKUP(A4,Wine1!A:AF,5,FALSE),VLOOKUP(A4,Drank!A:AA,5,FALSE))</f>
        <v>80% Vernaccia, 10% Chardonnay, 10% Sauvignon Blanc</v>
      </c>
      <c r="F4" s="8">
        <f>IF(G4&gt;0,VLOOKUP(A4,Wine1!A:AF,32,FALSE),VLOOKUP(Agibility!A4,Drank!A:AA,27,FALSE))</f>
        <v>1</v>
      </c>
      <c r="G4" s="8">
        <f>COUNTIF(Wine1!A:A,Agibility!A4)</f>
        <v>0</v>
      </c>
      <c r="H4" s="37">
        <f>IFERROR(VLOOKUP(A4,Wine1!A:Y,25,FALSE),0)</f>
        <v>0</v>
      </c>
      <c r="I4" s="37">
        <f>COUNTIF(Drank!A:A,Agibility!A4)</f>
        <v>8</v>
      </c>
      <c r="J4" s="37">
        <f>IFERROR(AVERAGEIF(Drank!A:A,Agibility!A4,Drank!P:P),0)</f>
        <v>2021.4285714285713</v>
      </c>
      <c r="K4" s="37">
        <f t="shared" si="1"/>
        <v>2021.4285714285713</v>
      </c>
      <c r="L4" s="37">
        <f t="shared" si="0"/>
        <v>5.4285714285713311</v>
      </c>
    </row>
    <row r="5" spans="1:12" x14ac:dyDescent="0.25">
      <c r="A5" s="37" t="s">
        <v>696</v>
      </c>
      <c r="B5" s="37">
        <f>IF(G5&lt;=0,VLOOKUP(A5,Drank!A:D,2,FALSE),VLOOKUP(A5,Wine1!A:D,2,FALSE))</f>
        <v>2014</v>
      </c>
      <c r="C5" s="37" t="str">
        <f>IF(G5&lt;=0,VLOOKUP(A5,Drank!A:D,3,FALSE),VLOOKUP(A5,Wine1!A:D,3,FALSE))</f>
        <v>Prunus Dao</v>
      </c>
      <c r="D5" s="37" t="str">
        <f>IF(G5&lt;=0,VLOOKUP(A5,Drank!A:D,4,FALSE),VLOOKUP(A5,Wine1!A:D,4,FALSE))</f>
        <v>Private Selection</v>
      </c>
      <c r="E5" s="8" t="str">
        <f>IF(G5&gt;0,VLOOKUP(A5,Wine1!A:AF,5,FALSE),VLOOKUP(A5,Drank!A:AA,5,FALSE))</f>
        <v>Mencia Blend</v>
      </c>
      <c r="F5" s="8">
        <f>IF(G5&gt;0,VLOOKUP(A5,Wine1!A:AF,32,FALSE),VLOOKUP(Agibility!A5,Drank!A:AA,27,FALSE))</f>
        <v>1</v>
      </c>
      <c r="G5" s="8">
        <f>COUNTIF(Wine1!A:A,Agibility!A5)</f>
        <v>1</v>
      </c>
      <c r="H5" s="37">
        <f>IFERROR(VLOOKUP(A5,Wine1!A:Y,25,FALSE),0)</f>
        <v>2019</v>
      </c>
      <c r="I5" s="37">
        <f>COUNTIF(Drank!A:A,Agibility!A5)</f>
        <v>3</v>
      </c>
      <c r="J5" s="37">
        <f>IFERROR(AVERAGEIF(Drank!A:A,Agibility!A5,Drank!P:P),0)</f>
        <v>2021</v>
      </c>
      <c r="K5" s="37">
        <f t="shared" si="1"/>
        <v>2021</v>
      </c>
      <c r="L5" s="37">
        <f t="shared" si="0"/>
        <v>7</v>
      </c>
    </row>
    <row r="6" spans="1:12" x14ac:dyDescent="0.25">
      <c r="A6" s="37" t="s">
        <v>521</v>
      </c>
      <c r="B6" s="37">
        <f>IF(G6&lt;=0,VLOOKUP(A6,Drank!A:D,2,FALSE),VLOOKUP(A6,Wine1!A:D,2,FALSE))</f>
        <v>2013</v>
      </c>
      <c r="C6" s="37" t="str">
        <f>IF(G6&lt;=0,VLOOKUP(A6,Drank!A:D,3,FALSE),VLOOKUP(A6,Wine1!A:D,3,FALSE))</f>
        <v>Fontanafredda</v>
      </c>
      <c r="D6" s="37" t="str">
        <f>IF(G6&lt;=0,VLOOKUP(A6,Drank!A:D,4,FALSE),VLOOKUP(A6,Wine1!A:D,4,FALSE))</f>
        <v>Barolo Serralunga</v>
      </c>
      <c r="E6" s="8" t="str">
        <f>IF(G6&gt;0,VLOOKUP(A6,Wine1!A:AF,5,FALSE),VLOOKUP(A6,Drank!A:AA,5,FALSE))</f>
        <v>100% Nebbiolo</v>
      </c>
      <c r="F6" s="8">
        <f>IF(G6&gt;0,VLOOKUP(A6,Wine1!A:AF,32,FALSE),VLOOKUP(Agibility!A6,Drank!A:AA,27,FALSE))</f>
        <v>2</v>
      </c>
      <c r="G6" s="8">
        <f>COUNTIF(Wine1!A:A,Agibility!A6)</f>
        <v>7</v>
      </c>
      <c r="H6" s="37">
        <f>IFERROR(VLOOKUP(A6,Wine1!A:Y,25,FALSE),0)</f>
        <v>2033</v>
      </c>
      <c r="I6" s="37">
        <f>COUNTIF(Drank!A:A,Agibility!A6)</f>
        <v>2</v>
      </c>
      <c r="J6" s="37">
        <f>IFERROR(AVERAGEIF(Drank!A:A,Agibility!A6,Drank!P:P),0)</f>
        <v>2034</v>
      </c>
      <c r="K6" s="37">
        <f t="shared" si="1"/>
        <v>2034</v>
      </c>
      <c r="L6" s="37">
        <f t="shared" si="0"/>
        <v>21</v>
      </c>
    </row>
    <row r="7" spans="1:12" x14ac:dyDescent="0.25">
      <c r="A7" s="37" t="s">
        <v>462</v>
      </c>
      <c r="B7" s="37">
        <f>IF(G7&lt;=0,VLOOKUP(A7,Drank!A:D,2,FALSE),VLOOKUP(A7,Wine1!A:D,2,FALSE))</f>
        <v>1965</v>
      </c>
      <c r="C7" s="37" t="str">
        <f>IF(G7&lt;=0,VLOOKUP(A7,Drank!A:D,3,FALSE),VLOOKUP(A7,Wine1!A:D,3,FALSE))</f>
        <v>Toro AlbalÃ¡</v>
      </c>
      <c r="D7" s="37" t="str">
        <f>IF(G7&lt;=0,VLOOKUP(A7,Drank!A:D,4,FALSE),VLOOKUP(A7,Wine1!A:D,4,FALSE))</f>
        <v>Don PX SelecciÃ³n</v>
      </c>
      <c r="E7" s="8" t="str">
        <f>IF(G7&gt;0,VLOOKUP(A7,Wine1!A:AF,5,FALSE),VLOOKUP(A7,Drank!A:AA,5,FALSE))</f>
        <v>100% Pedro Ximenez</v>
      </c>
      <c r="F7" s="8">
        <f>IF(G7&gt;0,VLOOKUP(A7,Wine1!A:AF,32,FALSE),VLOOKUP(Agibility!A7,Drank!A:AA,27,FALSE))</f>
        <v>4</v>
      </c>
      <c r="G7" s="8">
        <f>COUNTIF(Wine1!A:A,Agibility!A7)</f>
        <v>1</v>
      </c>
      <c r="H7" s="37">
        <f>IFERROR(VLOOKUP(A7,Wine1!A:Y,25,FALSE),0)</f>
        <v>2020</v>
      </c>
      <c r="I7" s="37">
        <f>COUNTIF(Drank!A:A,Agibility!A7)</f>
        <v>1</v>
      </c>
      <c r="J7" s="37">
        <f>IFERROR(AVERAGEIF(Drank!A:A,Agibility!A7,Drank!P:P),0)</f>
        <v>2020</v>
      </c>
      <c r="K7" s="37">
        <f t="shared" si="1"/>
        <v>2020</v>
      </c>
      <c r="L7" s="37">
        <f t="shared" si="0"/>
        <v>55</v>
      </c>
    </row>
    <row r="8" spans="1:12" x14ac:dyDescent="0.25">
      <c r="A8" s="37" t="s">
        <v>463</v>
      </c>
      <c r="B8" s="37">
        <f>IF(G8&lt;=0,VLOOKUP(A8,Drank!A:D,2,FALSE),VLOOKUP(A8,Wine1!A:D,2,FALSE))</f>
        <v>2013</v>
      </c>
      <c r="C8" s="37" t="str">
        <f>IF(G8&lt;=0,VLOOKUP(A8,Drank!A:D,3,FALSE),VLOOKUP(A8,Wine1!A:D,3,FALSE))</f>
        <v>Zenato</v>
      </c>
      <c r="D8" s="37" t="str">
        <f>IF(G8&lt;=0,VLOOKUP(A8,Drank!A:D,4,FALSE),VLOOKUP(A8,Wine1!A:D,4,FALSE))</f>
        <v>Valpolicella Ripasso Superiore Ripassa</v>
      </c>
      <c r="E8" s="8" t="str">
        <f>IF(G8&gt;0,VLOOKUP(A8,Wine1!A:AF,5,FALSE),VLOOKUP(A8,Drank!A:AA,5,FALSE))</f>
        <v>85% Corvina, 10% Rondinella, 5% Corvinone</v>
      </c>
      <c r="F8" s="8">
        <f>IF(G8&gt;0,VLOOKUP(A8,Wine1!A:AF,32,FALSE),VLOOKUP(Agibility!A8,Drank!A:AA,27,FALSE))</f>
        <v>2</v>
      </c>
      <c r="G8" s="8">
        <f>COUNTIF(Wine1!A:A,Agibility!A8)</f>
        <v>0</v>
      </c>
      <c r="H8" s="37">
        <f>IFERROR(VLOOKUP(A8,Wine1!A:Y,25,FALSE),0)</f>
        <v>0</v>
      </c>
      <c r="I8" s="37">
        <f>COUNTIF(Drank!A:A,Agibility!A8)</f>
        <v>2</v>
      </c>
      <c r="J8" s="37">
        <f>IFERROR(AVERAGEIF(Drank!A:A,Agibility!A8,Drank!P:P),0)</f>
        <v>2022</v>
      </c>
      <c r="K8" s="37">
        <f t="shared" si="1"/>
        <v>2022</v>
      </c>
      <c r="L8" s="37">
        <f t="shared" si="0"/>
        <v>9</v>
      </c>
    </row>
    <row r="9" spans="1:12" x14ac:dyDescent="0.25">
      <c r="A9" s="37" t="s">
        <v>461</v>
      </c>
      <c r="B9" s="37">
        <f>IF(G9&lt;=0,VLOOKUP(A9,Drank!A:D,2,FALSE),VLOOKUP(A9,Wine1!A:D,2,FALSE))</f>
        <v>2011</v>
      </c>
      <c r="C9" s="37" t="str">
        <f>IF(G9&lt;=0,VLOOKUP(A9,Drank!A:D,3,FALSE),VLOOKUP(A9,Wine1!A:D,3,FALSE))</f>
        <v>Bertani</v>
      </c>
      <c r="D9" s="37" t="str">
        <f>IF(G9&lt;=0,VLOOKUP(A9,Drank!A:D,4,FALSE),VLOOKUP(A9,Wine1!A:D,4,FALSE))</f>
        <v>Amarone della Valpolicella Villa Arvedi</v>
      </c>
      <c r="E9" s="8" t="str">
        <f>IF(G9&gt;0,VLOOKUP(A9,Wine1!A:AF,5,FALSE),VLOOKUP(A9,Drank!A:AA,5,FALSE))</f>
        <v>80% Corvina, 20% Rondinella</v>
      </c>
      <c r="F9" s="8">
        <f>IF(G9&gt;0,VLOOKUP(A9,Wine1!A:AF,32,FALSE),VLOOKUP(Agibility!A9,Drank!A:AA,27,FALSE))</f>
        <v>3</v>
      </c>
      <c r="G9" s="8">
        <f>COUNTIF(Wine1!A:A,Agibility!A9)</f>
        <v>0</v>
      </c>
      <c r="H9" s="37">
        <f>IFERROR(VLOOKUP(A9,Wine1!A:Y,25,FALSE),0)</f>
        <v>0</v>
      </c>
      <c r="I9" s="37">
        <f>COUNTIF(Drank!A:A,Agibility!A9)</f>
        <v>1</v>
      </c>
      <c r="J9" s="37">
        <f>IFERROR(AVERAGEIF(Drank!A:A,Agibility!A9,Drank!P:P),0)</f>
        <v>2025</v>
      </c>
      <c r="K9" s="37">
        <f t="shared" si="1"/>
        <v>2025</v>
      </c>
      <c r="L9" s="37">
        <f t="shared" si="0"/>
        <v>14</v>
      </c>
    </row>
    <row r="10" spans="1:12" x14ac:dyDescent="0.25">
      <c r="A10" s="37" t="s">
        <v>1218</v>
      </c>
      <c r="B10" s="37">
        <f>IF(G10&lt;=0,VLOOKUP(A10,Drank!A:D,2,FALSE),VLOOKUP(A10,Wine1!A:D,2,FALSE))</f>
        <v>2015</v>
      </c>
      <c r="C10" s="37" t="str">
        <f>IF(G10&lt;=0,VLOOKUP(A10,Drank!A:D,3,FALSE),VLOOKUP(A10,Wine1!A:D,3,FALSE))</f>
        <v>Diez-Caballero</v>
      </c>
      <c r="D10" s="37" t="str">
        <f>IF(G10&lt;=0,VLOOKUP(A10,Drank!A:D,4,FALSE),VLOOKUP(A10,Wine1!A:D,4,FALSE))</f>
        <v>Vendimia Seleccionada</v>
      </c>
      <c r="E10" s="8" t="str">
        <f>IF(G10&gt;0,VLOOKUP(A10,Wine1!A:AF,5,FALSE),VLOOKUP(A10,Drank!A:AA,5,FALSE))</f>
        <v>100% Tempranillo</v>
      </c>
      <c r="F10" s="8">
        <f>IF(G10&gt;0,VLOOKUP(A10,Wine1!A:AF,32,FALSE),VLOOKUP(Agibility!A10,Drank!A:AA,27,FALSE))</f>
        <v>2</v>
      </c>
      <c r="G10" s="8">
        <f>COUNTIF(Wine1!A:A,Agibility!A10)</f>
        <v>1</v>
      </c>
      <c r="H10" s="37">
        <f>IFERROR(VLOOKUP(A10,Wine1!A:Y,25,FALSE),0)</f>
        <v>2022</v>
      </c>
      <c r="I10" s="37">
        <f>COUNTIF(Drank!A:A,Agibility!A10)</f>
        <v>3</v>
      </c>
      <c r="J10" s="37">
        <f>IFERROR(AVERAGEIF(Drank!A:A,Agibility!A10,Drank!P:P),0)</f>
        <v>2021.3333333333333</v>
      </c>
      <c r="K10" s="37">
        <f t="shared" si="1"/>
        <v>2021.3333333333333</v>
      </c>
      <c r="L10" s="37">
        <f t="shared" si="0"/>
        <v>6.3333333333332575</v>
      </c>
    </row>
    <row r="11" spans="1:12" x14ac:dyDescent="0.25">
      <c r="A11" s="37" t="s">
        <v>1276</v>
      </c>
      <c r="B11" s="37">
        <f>IF(G11&lt;=0,VLOOKUP(A11,Drank!A:D,2,FALSE),VLOOKUP(A11,Wine1!A:D,2,FALSE))</f>
        <v>2013</v>
      </c>
      <c r="C11" s="37" t="str">
        <f>IF(G11&lt;=0,VLOOKUP(A11,Drank!A:D,3,FALSE),VLOOKUP(A11,Wine1!A:D,3,FALSE))</f>
        <v>Ramon Bilbao</v>
      </c>
      <c r="D11" s="37" t="str">
        <f>IF(G11&lt;=0,VLOOKUP(A11,Drank!A:D,4,FALSE),VLOOKUP(A11,Wine1!A:D,4,FALSE))</f>
        <v xml:space="preserve">Crianza Rioja Tempranillo </v>
      </c>
      <c r="E11" s="8" t="str">
        <f>IF(G11&gt;0,VLOOKUP(A11,Wine1!A:AF,5,FALSE),VLOOKUP(A11,Drank!A:AA,5,FALSE))</f>
        <v>Tempranillo</v>
      </c>
      <c r="F11" s="8">
        <f>IF(G11&gt;0,VLOOKUP(A11,Wine1!A:AF,32,FALSE),VLOOKUP(Agibility!A11,Drank!A:AA,27,FALSE))</f>
        <v>1</v>
      </c>
      <c r="G11" s="8">
        <f>COUNTIF(Wine1!A:A,Agibility!A11)</f>
        <v>0</v>
      </c>
      <c r="H11" s="37">
        <f>IFERROR(VLOOKUP(A11,Wine1!A:Y,25,FALSE),0)</f>
        <v>0</v>
      </c>
      <c r="I11" s="37">
        <f>COUNTIF(Drank!A:A,Agibility!A11)</f>
        <v>3</v>
      </c>
      <c r="J11" s="37">
        <f>IFERROR(AVERAGEIF(Drank!A:A,Agibility!A11,Drank!P:P),0)</f>
        <v>2020.3333333333333</v>
      </c>
      <c r="K11" s="37">
        <f t="shared" si="1"/>
        <v>2020.3333333333333</v>
      </c>
      <c r="L11" s="37">
        <f t="shared" si="0"/>
        <v>7.3333333333332575</v>
      </c>
    </row>
    <row r="12" spans="1:12" x14ac:dyDescent="0.25">
      <c r="A12" s="37" t="s">
        <v>465</v>
      </c>
      <c r="B12" s="37">
        <f>IF(G12&lt;=0,VLOOKUP(A12,Drank!A:D,2,FALSE),VLOOKUP(A12,Wine1!A:D,2,FALSE))</f>
        <v>2017</v>
      </c>
      <c r="C12" s="37" t="str">
        <f>IF(G12&lt;=0,VLOOKUP(A12,Drank!A:D,3,FALSE),VLOOKUP(A12,Wine1!A:D,3,FALSE))</f>
        <v>Tommasi</v>
      </c>
      <c r="D12" s="37" t="str">
        <f>IF(G12&lt;=0,VLOOKUP(A12,Drank!A:D,4,FALSE),VLOOKUP(A12,Wine1!A:D,4,FALSE))</f>
        <v>Valpolicella Classico Superiore RafaÃ¨l</v>
      </c>
      <c r="E12" s="8" t="str">
        <f>IF(G12&gt;0,VLOOKUP(A12,Wine1!A:AF,5,FALSE),VLOOKUP(A12,Drank!A:AA,5,FALSE))</f>
        <v>60% Corvina, 25% Rondinella, 15% Molinara</v>
      </c>
      <c r="F12" s="8">
        <f>IF(G12&gt;0,VLOOKUP(A12,Wine1!A:AF,32,FALSE),VLOOKUP(Agibility!A12,Drank!A:AA,27,FALSE))</f>
        <v>1</v>
      </c>
      <c r="G12" s="8">
        <f>COUNTIF(Wine1!A:A,Agibility!A12)</f>
        <v>0</v>
      </c>
      <c r="H12" s="37">
        <f>IFERROR(VLOOKUP(A12,Wine1!A:Y,25,FALSE),0)</f>
        <v>0</v>
      </c>
      <c r="I12" s="37">
        <f>COUNTIF(Drank!A:A,Agibility!A12)</f>
        <v>2</v>
      </c>
      <c r="J12" s="37">
        <f>IFERROR(AVERAGEIF(Drank!A:A,Agibility!A12,Drank!P:P),0)</f>
        <v>2020</v>
      </c>
      <c r="K12" s="37">
        <f t="shared" si="1"/>
        <v>2020</v>
      </c>
      <c r="L12" s="37">
        <f t="shared" si="0"/>
        <v>3</v>
      </c>
    </row>
    <row r="13" spans="1:12" x14ac:dyDescent="0.25">
      <c r="A13" s="37" t="s">
        <v>857</v>
      </c>
      <c r="B13" s="37">
        <f>IF(G13&lt;=0,VLOOKUP(A13,Drank!A:D,2,FALSE),VLOOKUP(A13,Wine1!A:D,2,FALSE))</f>
        <v>2015</v>
      </c>
      <c r="C13" s="37" t="str">
        <f>IF(G13&lt;=0,VLOOKUP(A13,Drank!A:D,3,FALSE),VLOOKUP(A13,Wine1!A:D,3,FALSE))</f>
        <v>Mosen Cleto</v>
      </c>
      <c r="D13" s="37" t="str">
        <f>IF(G13&lt;=0,VLOOKUP(A13,Drank!A:D,4,FALSE),VLOOKUP(A13,Wine1!A:D,4,FALSE))</f>
        <v>Crianza</v>
      </c>
      <c r="E13" s="8" t="str">
        <f>IF(G13&gt;0,VLOOKUP(A13,Wine1!A:AF,5,FALSE),VLOOKUP(A13,Drank!A:AA,5,FALSE))</f>
        <v>75% Grenache, 25% Tempranillo</v>
      </c>
      <c r="F13" s="8">
        <f>IF(G13&gt;0,VLOOKUP(A13,Wine1!A:AF,32,FALSE),VLOOKUP(Agibility!A13,Drank!A:AA,27,FALSE))</f>
        <v>1</v>
      </c>
      <c r="G13" s="8">
        <f>COUNTIF(Wine1!A:A,Agibility!A13)</f>
        <v>0</v>
      </c>
      <c r="H13" s="37">
        <f>IFERROR(VLOOKUP(A13,Wine1!A:Y,25,FALSE),0)</f>
        <v>0</v>
      </c>
      <c r="I13" s="37">
        <f>COUNTIF(Drank!A:A,Agibility!A13)</f>
        <v>8</v>
      </c>
      <c r="J13" s="37">
        <f>IFERROR(AVERAGEIF(Drank!A:A,Agibility!A13,Drank!P:P),0)</f>
        <v>2021.5</v>
      </c>
      <c r="K13" s="37">
        <f t="shared" si="1"/>
        <v>2021.5</v>
      </c>
      <c r="L13" s="37">
        <f t="shared" si="0"/>
        <v>6.5</v>
      </c>
    </row>
    <row r="14" spans="1:12" x14ac:dyDescent="0.25">
      <c r="A14" s="37" t="s">
        <v>466</v>
      </c>
      <c r="B14" s="37">
        <f>IF(G14&lt;=0,VLOOKUP(A14,Drank!A:D,2,FALSE),VLOOKUP(A14,Wine1!A:D,2,FALSE))</f>
        <v>2015</v>
      </c>
      <c r="C14" s="37" t="str">
        <f>IF(G14&lt;=0,VLOOKUP(A14,Drank!A:D,3,FALSE),VLOOKUP(A14,Wine1!A:D,3,FALSE))</f>
        <v>Mas des Patres</v>
      </c>
      <c r="D14" s="37" t="str">
        <f>IF(G14&lt;=0,VLOOKUP(A14,Drank!A:D,4,FALSE),VLOOKUP(A14,Wine1!A:D,4,FALSE))</f>
        <v>La Clape Mas Des Patres</v>
      </c>
      <c r="E14" s="8" t="str">
        <f>IF(G14&gt;0,VLOOKUP(A14,Wine1!A:AF,5,FALSE),VLOOKUP(A14,Drank!A:AA,5,FALSE))</f>
        <v>Syrah, Grenache</v>
      </c>
      <c r="F14" s="8">
        <f>IF(G14&gt;0,VLOOKUP(A14,Wine1!A:AF,32,FALSE),VLOOKUP(Agibility!A14,Drank!A:AA,27,FALSE))</f>
        <v>1</v>
      </c>
      <c r="G14" s="8">
        <f>COUNTIF(Wine1!A:A,Agibility!A14)</f>
        <v>1</v>
      </c>
      <c r="H14" s="37">
        <f>IFERROR(VLOOKUP(A14,Wine1!A:Y,25,FALSE),0)</f>
        <v>2022</v>
      </c>
      <c r="I14" s="37">
        <f>COUNTIF(Drank!A:A,Agibility!A14)</f>
        <v>5</v>
      </c>
      <c r="J14" s="37">
        <f>IFERROR(AVERAGEIF(Drank!A:A,Agibility!A14,Drank!P:P),0)</f>
        <v>2022.2</v>
      </c>
      <c r="K14" s="37">
        <f t="shared" si="1"/>
        <v>2022.2</v>
      </c>
      <c r="L14" s="37">
        <f t="shared" si="0"/>
        <v>7.2000000000000455</v>
      </c>
    </row>
    <row r="15" spans="1:12" x14ac:dyDescent="0.25">
      <c r="A15" s="37" t="s">
        <v>467</v>
      </c>
      <c r="B15" s="37">
        <f>IF(G15&lt;=0,VLOOKUP(A15,Drank!A:D,2,FALSE),VLOOKUP(A15,Wine1!A:D,2,FALSE))</f>
        <v>2014</v>
      </c>
      <c r="C15" s="37" t="str">
        <f>IF(G15&lt;=0,VLOOKUP(A15,Drank!A:D,3,FALSE),VLOOKUP(A15,Wine1!A:D,3,FALSE))</f>
        <v>Cantine do Ora</v>
      </c>
      <c r="D15" s="37" t="str">
        <f>IF(G15&lt;=0,VLOOKUP(A15,Drank!A:D,4,FALSE),VLOOKUP(A15,Wine1!A:D,4,FALSE))</f>
        <v>Amicone</v>
      </c>
      <c r="E15" s="8" t="str">
        <f>IF(G15&gt;0,VLOOKUP(A15,Wine1!A:AF,5,FALSE),VLOOKUP(A15,Drank!A:AA,5,FALSE))</f>
        <v>Corvina Blend</v>
      </c>
      <c r="F15" s="8">
        <f>IF(G15&gt;0,VLOOKUP(A15,Wine1!A:AF,32,FALSE),VLOOKUP(Agibility!A15,Drank!A:AA,27,FALSE))</f>
        <v>1</v>
      </c>
      <c r="G15" s="8">
        <f>COUNTIF(Wine1!A:A,Agibility!A15)</f>
        <v>0</v>
      </c>
      <c r="H15" s="37">
        <f>IFERROR(VLOOKUP(A15,Wine1!A:Y,25,FALSE),0)</f>
        <v>0</v>
      </c>
      <c r="I15" s="37">
        <f>COUNTIF(Drank!A:A,Agibility!A15)</f>
        <v>2</v>
      </c>
      <c r="J15" s="37">
        <f>IFERROR(AVERAGEIF(Drank!A:A,Agibility!A15,Drank!P:P),0)</f>
        <v>2021.5</v>
      </c>
      <c r="K15" s="37">
        <f t="shared" si="1"/>
        <v>2021.5</v>
      </c>
      <c r="L15" s="37">
        <f t="shared" si="0"/>
        <v>7.5</v>
      </c>
    </row>
    <row r="16" spans="1:12" x14ac:dyDescent="0.25">
      <c r="A16" s="37" t="s">
        <v>468</v>
      </c>
      <c r="B16" s="37">
        <f>IF(G16&lt;=0,VLOOKUP(A16,Drank!A:D,2,FALSE),VLOOKUP(A16,Wine1!A:D,2,FALSE))</f>
        <v>2013</v>
      </c>
      <c r="C16" s="37" t="str">
        <f>IF(G16&lt;=0,VLOOKUP(A16,Drank!A:D,3,FALSE),VLOOKUP(A16,Wine1!A:D,3,FALSE))</f>
        <v>Bootleg</v>
      </c>
      <c r="D16" s="37" t="str">
        <f>IF(G16&lt;=0,VLOOKUP(A16,Drank!A:D,4,FALSE),VLOOKUP(A16,Wine1!A:D,4,FALSE))</f>
        <v>Proprietary Red</v>
      </c>
      <c r="E16" s="8" t="str">
        <f>IF(G16&gt;0,VLOOKUP(A16,Wine1!A:AF,5,FALSE),VLOOKUP(A16,Drank!A:AA,5,FALSE))</f>
        <v>Cabernet Sauvignon, Petite Sirah, Zinfandel, Merlot, Malbec, Petit Verdot</v>
      </c>
      <c r="F16" s="8">
        <f>IF(G16&gt;0,VLOOKUP(A16,Wine1!A:AF,32,FALSE),VLOOKUP(Agibility!A16,Drank!A:AA,27,FALSE))</f>
        <v>3</v>
      </c>
      <c r="G16" s="8">
        <f>COUNTIF(Wine1!A:A,Agibility!A16)</f>
        <v>0</v>
      </c>
      <c r="H16" s="37">
        <f>IFERROR(VLOOKUP(A16,Wine1!A:Y,25,FALSE),0)</f>
        <v>0</v>
      </c>
      <c r="I16" s="37">
        <f>COUNTIF(Drank!A:A,Agibility!A16)</f>
        <v>1</v>
      </c>
      <c r="J16" s="37">
        <f>IFERROR(AVERAGEIF(Drank!A:A,Agibility!A16,Drank!P:P),0)</f>
        <v>2022</v>
      </c>
      <c r="K16" s="37">
        <f t="shared" si="1"/>
        <v>2022</v>
      </c>
      <c r="L16" s="37">
        <f t="shared" si="0"/>
        <v>9</v>
      </c>
    </row>
    <row r="17" spans="1:12" x14ac:dyDescent="0.25">
      <c r="A17" s="37" t="s">
        <v>469</v>
      </c>
      <c r="B17" s="37">
        <f>IF(G17&lt;=0,VLOOKUP(A17,Drank!A:D,2,FALSE),VLOOKUP(A17,Wine1!A:D,2,FALSE))</f>
        <v>2015</v>
      </c>
      <c r="C17" s="37" t="str">
        <f>IF(G17&lt;=0,VLOOKUP(A17,Drank!A:D,3,FALSE),VLOOKUP(A17,Wine1!A:D,3,FALSE))</f>
        <v>Brewer-Clifton</v>
      </c>
      <c r="D17" s="37" t="str">
        <f>IF(G17&lt;=0,VLOOKUP(A17,Drank!A:D,4,FALSE),VLOOKUP(A17,Wine1!A:D,4,FALSE))</f>
        <v>Chardonnay</v>
      </c>
      <c r="E17" s="8" t="str">
        <f>IF(G17&gt;0,VLOOKUP(A17,Wine1!A:AF,5,FALSE),VLOOKUP(A17,Drank!A:AA,5,FALSE))</f>
        <v>Chardonay</v>
      </c>
      <c r="F17" s="8">
        <f>IF(G17&gt;0,VLOOKUP(A17,Wine1!A:AF,32,FALSE),VLOOKUP(Agibility!A17,Drank!A:AA,27,FALSE))</f>
        <v>3</v>
      </c>
      <c r="G17" s="8">
        <f>COUNTIF(Wine1!A:A,Agibility!A17)</f>
        <v>0</v>
      </c>
      <c r="H17" s="37">
        <f>IFERROR(VLOOKUP(A17,Wine1!A:Y,25,FALSE),0)</f>
        <v>0</v>
      </c>
      <c r="I17" s="37">
        <f>COUNTIF(Drank!A:A,Agibility!A17)</f>
        <v>1</v>
      </c>
      <c r="J17" s="37">
        <f>IFERROR(AVERAGEIF(Drank!A:A,Agibility!A17,Drank!P:P),0)</f>
        <v>0</v>
      </c>
      <c r="K17" s="37">
        <f t="shared" si="1"/>
        <v>0</v>
      </c>
      <c r="L17" s="37" t="str">
        <f t="shared" si="0"/>
        <v xml:space="preserve"> </v>
      </c>
    </row>
    <row r="18" spans="1:12" x14ac:dyDescent="0.25">
      <c r="A18" s="37" t="s">
        <v>470</v>
      </c>
      <c r="B18" s="37">
        <f>IF(G18&lt;=0,VLOOKUP(A18,Drank!A:D,2,FALSE),VLOOKUP(A18,Wine1!A:D,2,FALSE))</f>
        <v>2016</v>
      </c>
      <c r="C18" s="37" t="str">
        <f>IF(G18&lt;=0,VLOOKUP(A18,Drank!A:D,3,FALSE),VLOOKUP(A18,Wine1!A:D,3,FALSE))</f>
        <v>Cesari</v>
      </c>
      <c r="D18" s="37" t="str">
        <f>IF(G18&lt;=0,VLOOKUP(A18,Drank!A:D,4,FALSE),VLOOKUP(A18,Wine1!A:D,4,FALSE))</f>
        <v>Valpolicella Ripasso Superiore Mara</v>
      </c>
      <c r="E18" s="8" t="str">
        <f>IF(G18&gt;0,VLOOKUP(A18,Wine1!A:AF,5,FALSE),VLOOKUP(A18,Drank!A:AA,5,FALSE))</f>
        <v>75% Corvina, 20% Rondinella, 5% Negrara/ Rossignola</v>
      </c>
      <c r="F18" s="8">
        <f>IF(G18&gt;0,VLOOKUP(A18,Wine1!A:AF,32,FALSE),VLOOKUP(Agibility!A18,Drank!A:AA,27,FALSE))</f>
        <v>1</v>
      </c>
      <c r="G18" s="8">
        <f>COUNTIF(Wine1!A:A,Agibility!A18)</f>
        <v>1</v>
      </c>
      <c r="H18" s="37">
        <f>IFERROR(VLOOKUP(A18,Wine1!A:Y,25,FALSE),0)</f>
        <v>2022</v>
      </c>
      <c r="I18" s="37">
        <f>COUNTIF(Drank!A:A,Agibility!A18)</f>
        <v>1</v>
      </c>
      <c r="J18" s="37">
        <f>IFERROR(AVERAGEIF(Drank!A:A,Agibility!A18,Drank!P:P),0)</f>
        <v>2022</v>
      </c>
      <c r="K18" s="37">
        <f t="shared" si="1"/>
        <v>2022</v>
      </c>
      <c r="L18" s="37">
        <f t="shared" si="0"/>
        <v>6</v>
      </c>
    </row>
    <row r="19" spans="1:12" x14ac:dyDescent="0.25">
      <c r="A19" s="37" t="s">
        <v>698</v>
      </c>
      <c r="B19" s="37">
        <f>IF(G19&lt;=0,VLOOKUP(A19,Drank!A:D,2,FALSE),VLOOKUP(A19,Wine1!A:D,2,FALSE))</f>
        <v>2014</v>
      </c>
      <c r="C19" s="37" t="str">
        <f>IF(G19&lt;=0,VLOOKUP(A19,Drank!A:D,3,FALSE),VLOOKUP(A19,Wine1!A:D,3,FALSE))</f>
        <v>Allegrini</v>
      </c>
      <c r="D19" s="37" t="str">
        <f>IF(G19&lt;=0,VLOOKUP(A19,Drank!A:D,4,FALSE),VLOOKUP(A19,Wine1!A:D,4,FALSE))</f>
        <v>Palazzo della Torre</v>
      </c>
      <c r="E19" s="8" t="str">
        <f>IF(G19&gt;0,VLOOKUP(A19,Wine1!A:AF,5,FALSE),VLOOKUP(A19,Drank!A:AA,5,FALSE))</f>
        <v>40% Corvina, 30% Corvinone, 25% Rondinella, 5% Sangiovese</v>
      </c>
      <c r="F19" s="8">
        <f>IF(G19&gt;0,VLOOKUP(A19,Wine1!A:AF,32,FALSE),VLOOKUP(Agibility!A19,Drank!A:AA,27,FALSE))</f>
        <v>2</v>
      </c>
      <c r="G19" s="8">
        <f>COUNTIF(Wine1!A:A,Agibility!A19)</f>
        <v>1</v>
      </c>
      <c r="H19" s="37">
        <f>IFERROR(VLOOKUP(A19,Wine1!A:Y,25,FALSE),0)</f>
        <v>2022</v>
      </c>
      <c r="I19" s="37">
        <f>COUNTIF(Drank!A:A,Agibility!A19)</f>
        <v>1</v>
      </c>
      <c r="J19" s="37">
        <f>IFERROR(AVERAGEIF(Drank!A:A,Agibility!A19,Drank!P:P),0)</f>
        <v>2022</v>
      </c>
      <c r="K19" s="37">
        <f t="shared" si="1"/>
        <v>2022</v>
      </c>
      <c r="L19" s="37">
        <f t="shared" si="0"/>
        <v>8</v>
      </c>
    </row>
    <row r="20" spans="1:12" x14ac:dyDescent="0.25">
      <c r="A20" s="37" t="s">
        <v>699</v>
      </c>
      <c r="B20" s="37">
        <f>IF(G20&lt;=0,VLOOKUP(A20,Drank!A:D,2,FALSE),VLOOKUP(A20,Wine1!A:D,2,FALSE))</f>
        <v>2015</v>
      </c>
      <c r="C20" s="37" t="str">
        <f>IF(G20&lt;=0,VLOOKUP(A20,Drank!A:D,3,FALSE),VLOOKUP(A20,Wine1!A:D,3,FALSE))</f>
        <v>Luna Beberide</v>
      </c>
      <c r="D20" s="37" t="str">
        <f>IF(G20&lt;=0,VLOOKUP(A20,Drank!A:D,4,FALSE),VLOOKUP(A20,Wine1!A:D,4,FALSE))</f>
        <v>Art</v>
      </c>
      <c r="E20" s="8" t="str">
        <f>IF(G20&gt;0,VLOOKUP(A20,Wine1!A:AF,5,FALSE),VLOOKUP(A20,Drank!A:AA,5,FALSE))</f>
        <v>100% Mencia</v>
      </c>
      <c r="F20" s="8">
        <f>IF(G20&gt;0,VLOOKUP(A20,Wine1!A:AF,32,FALSE),VLOOKUP(Agibility!A20,Drank!A:AA,27,FALSE))</f>
        <v>2</v>
      </c>
      <c r="G20" s="8">
        <f>COUNTIF(Wine1!A:A,Agibility!A20)</f>
        <v>2</v>
      </c>
      <c r="H20" s="37">
        <f>IFERROR(VLOOKUP(A20,Wine1!A:Y,25,FALSE),0)</f>
        <v>2027</v>
      </c>
      <c r="I20" s="37">
        <f>COUNTIF(Drank!A:A,Agibility!A20)</f>
        <v>2</v>
      </c>
      <c r="J20" s="37">
        <f>IFERROR(AVERAGEIF(Drank!A:A,Agibility!A20,Drank!P:P),0)</f>
        <v>2025.5</v>
      </c>
      <c r="K20" s="37">
        <f t="shared" si="1"/>
        <v>2025.5</v>
      </c>
      <c r="L20" s="37">
        <f t="shared" si="0"/>
        <v>10.5</v>
      </c>
    </row>
    <row r="21" spans="1:12" x14ac:dyDescent="0.25">
      <c r="A21" s="37" t="s">
        <v>383</v>
      </c>
      <c r="B21" s="37">
        <f>IF(G21&lt;=0,VLOOKUP(A21,Drank!A:D,2,FALSE),VLOOKUP(A21,Wine1!A:D,2,FALSE))</f>
        <v>2010</v>
      </c>
      <c r="C21" s="37" t="str">
        <f>IF(G21&lt;=0,VLOOKUP(A21,Drank!A:D,3,FALSE),VLOOKUP(A21,Wine1!A:D,3,FALSE))</f>
        <v>Cosimo Taurino</v>
      </c>
      <c r="D21" s="37" t="str">
        <f>IF(G21&lt;=0,VLOOKUP(A21,Drank!A:D,4,FALSE),VLOOKUP(A21,Wine1!A:D,4,FALSE))</f>
        <v>Salice Salentino Riserva</v>
      </c>
      <c r="E21" s="8" t="str">
        <f>IF(G21&gt;0,VLOOKUP(A21,Wine1!A:AF,5,FALSE),VLOOKUP(A21,Drank!A:AA,5,FALSE))</f>
        <v>80% Negroamaro, 20% Malvasia</v>
      </c>
      <c r="F21" s="8">
        <f>IF(G21&gt;0,VLOOKUP(A21,Wine1!A:AF,32,FALSE),VLOOKUP(Agibility!A21,Drank!A:AA,27,FALSE))</f>
        <v>1</v>
      </c>
      <c r="G21" s="8">
        <f>COUNTIF(Wine1!A:A,Agibility!A21)</f>
        <v>19</v>
      </c>
      <c r="H21" s="37">
        <f>IFERROR(VLOOKUP(A21,Wine1!A:Y,25,FALSE),0)</f>
        <v>2021</v>
      </c>
      <c r="I21" s="37">
        <f>COUNTIF(Drank!A:A,Agibility!A21)</f>
        <v>33</v>
      </c>
      <c r="J21" s="37">
        <f>IFERROR(AVERAGEIF(Drank!A:A,Agibility!A21,Drank!P:P),0)</f>
        <v>2021.5757575757575</v>
      </c>
      <c r="K21" s="37">
        <f t="shared" si="1"/>
        <v>2021.5757575757575</v>
      </c>
      <c r="L21" s="37">
        <f t="shared" si="0"/>
        <v>11.575757575757507</v>
      </c>
    </row>
    <row r="22" spans="1:12" x14ac:dyDescent="0.25">
      <c r="A22" s="37" t="s">
        <v>697</v>
      </c>
      <c r="B22" s="37">
        <f>IF(G22&lt;=0,VLOOKUP(A22,Drank!A:D,2,FALSE),VLOOKUP(A22,Wine1!A:D,2,FALSE))</f>
        <v>2018</v>
      </c>
      <c r="C22" s="37" t="str">
        <f>IF(G22&lt;=0,VLOOKUP(A22,Drank!A:D,3,FALSE),VLOOKUP(A22,Wine1!A:D,3,FALSE))</f>
        <v>Prisoner Wine Co</v>
      </c>
      <c r="D22" s="37" t="str">
        <f>IF(G22&lt;=0,VLOOKUP(A22,Drank!A:D,4,FALSE),VLOOKUP(A22,Wine1!A:D,4,FALSE))</f>
        <v>Proprietary Red The Prisoner</v>
      </c>
      <c r="E22" s="8" t="str">
        <f>IF(G22&gt;0,VLOOKUP(A22,Wine1!A:AF,5,FALSE),VLOOKUP(A22,Drank!A:AA,5,FALSE))</f>
        <v>Proprietary Blend</v>
      </c>
      <c r="F22" s="8">
        <f>IF(G22&gt;0,VLOOKUP(A22,Wine1!A:AF,32,FALSE),VLOOKUP(Agibility!A22,Drank!A:AA,27,FALSE))</f>
        <v>3</v>
      </c>
      <c r="G22" s="8">
        <f>COUNTIF(Wine1!A:A,Agibility!A22)</f>
        <v>0</v>
      </c>
      <c r="H22" s="37">
        <f>IFERROR(VLOOKUP(A22,Wine1!A:Y,25,FALSE),0)</f>
        <v>0</v>
      </c>
      <c r="I22" s="37">
        <f>COUNTIF(Drank!A:A,Agibility!A22)</f>
        <v>1</v>
      </c>
      <c r="J22" s="37">
        <f>IFERROR(AVERAGEIF(Drank!A:A,Agibility!A22,Drank!P:P),0)</f>
        <v>2024</v>
      </c>
      <c r="K22" s="37">
        <f t="shared" si="1"/>
        <v>2024</v>
      </c>
      <c r="L22" s="37">
        <f t="shared" si="0"/>
        <v>6</v>
      </c>
    </row>
    <row r="23" spans="1:12" x14ac:dyDescent="0.25">
      <c r="A23" s="37" t="s">
        <v>662</v>
      </c>
      <c r="B23" s="37" t="e">
        <f>IF(G23&lt;=0,VLOOKUP(A23,Drank!A:D,2,FALSE),VLOOKUP(A23,Wine1!A:D,2,FALSE))</f>
        <v>#N/A</v>
      </c>
      <c r="C23" s="37" t="e">
        <f>IF(G23&lt;=0,VLOOKUP(A23,Drank!A:D,3,FALSE),VLOOKUP(A23,Wine1!A:D,3,FALSE))</f>
        <v>#N/A</v>
      </c>
      <c r="D23" s="37" t="e">
        <f>IF(G23&lt;=0,VLOOKUP(A23,Drank!A:D,4,FALSE),VLOOKUP(A23,Wine1!A:D,4,FALSE))</f>
        <v>#N/A</v>
      </c>
      <c r="E23" s="8" t="e">
        <f>IF(G23&gt;0,VLOOKUP(A23,Wine1!A:AF,5,FALSE),VLOOKUP(A23,Drank!A:AA,5,FALSE))</f>
        <v>#N/A</v>
      </c>
      <c r="F23" s="8" t="e">
        <f>IF(G23&gt;0,VLOOKUP(A23,Wine1!A:AF,32,FALSE),VLOOKUP(Agibility!A23,Drank!A:AA,27,FALSE))</f>
        <v>#N/A</v>
      </c>
      <c r="G23" s="8">
        <f>COUNTIF(Wine1!A:A,Agibility!A23)</f>
        <v>0</v>
      </c>
      <c r="H23" s="37">
        <f>IFERROR(VLOOKUP(A23,Wine1!A:Y,25,FALSE),0)</f>
        <v>0</v>
      </c>
      <c r="I23" s="37">
        <f>COUNTIF(Drank!A:A,Agibility!A23)</f>
        <v>0</v>
      </c>
      <c r="J23" s="37">
        <f>IFERROR(AVERAGEIF(Drank!A:A,Agibility!A23,Drank!P:P),0)</f>
        <v>0</v>
      </c>
      <c r="K23" s="37">
        <f t="shared" si="1"/>
        <v>0</v>
      </c>
      <c r="L23" s="37" t="str">
        <f t="shared" si="0"/>
        <v xml:space="preserve"> </v>
      </c>
    </row>
    <row r="24" spans="1:12" x14ac:dyDescent="0.25">
      <c r="A24" s="37" t="s">
        <v>424</v>
      </c>
      <c r="B24" s="37">
        <f>IF(G24&lt;=0,VLOOKUP(A24,Drank!A:D,2,FALSE),VLOOKUP(A24,Wine1!A:D,2,FALSE))</f>
        <v>2016</v>
      </c>
      <c r="C24" s="37" t="str">
        <f>IF(G24&lt;=0,VLOOKUP(A24,Drank!A:D,3,FALSE),VLOOKUP(A24,Wine1!A:D,3,FALSE))</f>
        <v>San Alejandro</v>
      </c>
      <c r="D24" s="37" t="str">
        <f>IF(G24&lt;=0,VLOOKUP(A24,Drank!A:D,4,FALSE),VLOOKUP(A24,Wine1!A:D,4,FALSE))</f>
        <v>Las Rocas</v>
      </c>
      <c r="E24" s="8" t="str">
        <f>IF(G24&gt;0,VLOOKUP(A24,Wine1!A:AF,5,FALSE),VLOOKUP(A24,Drank!A:AA,5,FALSE))</f>
        <v>100% Grenache</v>
      </c>
      <c r="F24" s="8">
        <f>IF(G24&gt;0,VLOOKUP(A24,Wine1!A:AF,32,FALSE),VLOOKUP(Agibility!A24,Drank!A:AA,27,FALSE))</f>
        <v>1</v>
      </c>
      <c r="G24" s="8">
        <f>COUNTIF(Wine1!A:A,Agibility!A24)</f>
        <v>4</v>
      </c>
      <c r="H24" s="37">
        <f>IFERROR(VLOOKUP(A24,Wine1!A:Y,25,FALSE),0)</f>
        <v>2023</v>
      </c>
      <c r="I24" s="37">
        <f>COUNTIF(Drank!A:A,Agibility!A24)</f>
        <v>21</v>
      </c>
      <c r="J24" s="37">
        <f>IFERROR(AVERAGEIF(Drank!A:A,Agibility!A24,Drank!P:P),0)</f>
        <v>2020.7647058823529</v>
      </c>
      <c r="K24" s="37">
        <f t="shared" si="1"/>
        <v>2020.7647058823529</v>
      </c>
      <c r="L24" s="37">
        <f t="shared" si="0"/>
        <v>4.7647058823529278</v>
      </c>
    </row>
    <row r="25" spans="1:12" x14ac:dyDescent="0.25">
      <c r="A25" s="37" t="s">
        <v>1219</v>
      </c>
      <c r="B25" s="37">
        <f>IF(G25&lt;=0,VLOOKUP(A25,Drank!A:D,2,FALSE),VLOOKUP(A25,Wine1!A:D,2,FALSE))</f>
        <v>2015</v>
      </c>
      <c r="C25" s="37" t="str">
        <f>IF(G25&lt;=0,VLOOKUP(A25,Drank!A:D,3,FALSE),VLOOKUP(A25,Wine1!A:D,3,FALSE))</f>
        <v>Diez-Caballero</v>
      </c>
      <c r="D25" s="37" t="str">
        <f>IF(G25&lt;=0,VLOOKUP(A25,Drank!A:D,4,FALSE),VLOOKUP(A25,Wine1!A:D,4,FALSE))</f>
        <v>Crianza</v>
      </c>
      <c r="E25" s="8" t="str">
        <f>IF(G25&gt;0,VLOOKUP(A25,Wine1!A:AF,5,FALSE),VLOOKUP(A25,Drank!A:AA,5,FALSE))</f>
        <v>100% Tempranillo</v>
      </c>
      <c r="F25" s="8">
        <f>IF(G25&gt;0,VLOOKUP(A25,Wine1!A:AF,32,FALSE),VLOOKUP(Agibility!A25,Drank!A:AA,27,FALSE))</f>
        <v>1</v>
      </c>
      <c r="G25" s="8">
        <f>COUNTIF(Wine1!A:A,Agibility!A25)</f>
        <v>4</v>
      </c>
      <c r="H25" s="37">
        <f>IFERROR(VLOOKUP(A25,Wine1!A:Y,25,FALSE),0)</f>
        <v>2022</v>
      </c>
      <c r="I25" s="37">
        <f>COUNTIF(Drank!A:A,Agibility!A25)</f>
        <v>18</v>
      </c>
      <c r="J25" s="37">
        <f>IFERROR(AVERAGEIF(Drank!A:A,Agibility!A25,Drank!P:P),0)</f>
        <v>2021.7777777777778</v>
      </c>
      <c r="K25" s="37">
        <f t="shared" si="1"/>
        <v>2021.7777777777778</v>
      </c>
      <c r="L25" s="37">
        <f t="shared" si="0"/>
        <v>6.7777777777778283</v>
      </c>
    </row>
    <row r="26" spans="1:12" x14ac:dyDescent="0.25">
      <c r="A26" s="37" t="s">
        <v>471</v>
      </c>
      <c r="B26" s="37">
        <f>IF(G26&lt;=0,VLOOKUP(A26,Drank!A:D,2,FALSE),VLOOKUP(A26,Wine1!A:D,2,FALSE))</f>
        <v>2014</v>
      </c>
      <c r="C26" s="37" t="str">
        <f>IF(G26&lt;=0,VLOOKUP(A26,Drank!A:D,3,FALSE),VLOOKUP(A26,Wine1!A:D,3,FALSE))</f>
        <v>Los Frailes</v>
      </c>
      <c r="D26" s="37">
        <f>IF(G26&lt;=0,VLOOKUP(A26,Drank!A:D,4,FALSE),VLOOKUP(A26,Wine1!A:D,4,FALSE))</f>
        <v>1771</v>
      </c>
      <c r="E26" s="8" t="str">
        <f>IF(G26&gt;0,VLOOKUP(A26,Wine1!A:AF,5,FALSE),VLOOKUP(A26,Drank!A:AA,5,FALSE))</f>
        <v>100% Mourvèdre</v>
      </c>
      <c r="F26" s="8">
        <f>IF(G26&gt;0,VLOOKUP(A26,Wine1!A:AF,32,FALSE),VLOOKUP(Agibility!A26,Drank!A:AA,27,FALSE))</f>
        <v>2</v>
      </c>
      <c r="G26" s="8">
        <f>COUNTIF(Wine1!A:A,Agibility!A26)</f>
        <v>9</v>
      </c>
      <c r="H26" s="37">
        <f>IFERROR(VLOOKUP(A26,Wine1!A:Y,25,FALSE),0)</f>
        <v>2025</v>
      </c>
      <c r="I26" s="37">
        <f>COUNTIF(Drank!A:A,Agibility!A26)</f>
        <v>5</v>
      </c>
      <c r="J26" s="37">
        <f>IFERROR(AVERAGEIF(Drank!A:A,Agibility!A26,Drank!P:P),0)</f>
        <v>2023.4</v>
      </c>
      <c r="K26" s="37">
        <f t="shared" si="1"/>
        <v>2023.4</v>
      </c>
      <c r="L26" s="37">
        <f t="shared" si="0"/>
        <v>9.4000000000000909</v>
      </c>
    </row>
    <row r="27" spans="1:12" x14ac:dyDescent="0.25">
      <c r="A27" s="37" t="s">
        <v>472</v>
      </c>
      <c r="B27" s="37">
        <f>IF(G27&lt;=0,VLOOKUP(A27,Drank!A:D,2,FALSE),VLOOKUP(A27,Wine1!A:D,2,FALSE))</f>
        <v>2015</v>
      </c>
      <c r="C27" s="37" t="str">
        <f>IF(G27&lt;=0,VLOOKUP(A27,Drank!A:D,3,FALSE),VLOOKUP(A27,Wine1!A:D,3,FALSE))</f>
        <v>Bertani</v>
      </c>
      <c r="D27" s="37" t="str">
        <f>IF(G27&lt;=0,VLOOKUP(A27,Drank!A:D,4,FALSE),VLOOKUP(A27,Wine1!A:D,4,FALSE))</f>
        <v>Valpolicella Ripasso</v>
      </c>
      <c r="E27" s="8" t="str">
        <f>IF(G27&gt;0,VLOOKUP(A27,Wine1!A:AF,5,FALSE),VLOOKUP(A27,Drank!A:AA,5,FALSE))</f>
        <v>Corvina Blend</v>
      </c>
      <c r="F27" s="8">
        <f>IF(G27&gt;0,VLOOKUP(A27,Wine1!A:AF,32,FALSE),VLOOKUP(Agibility!A27,Drank!A:AA,27,FALSE))</f>
        <v>2</v>
      </c>
      <c r="G27" s="8">
        <f>COUNTIF(Wine1!A:A,Agibility!A27)</f>
        <v>1</v>
      </c>
      <c r="H27" s="37">
        <f>IFERROR(VLOOKUP(A27,Wine1!A:Y,25,FALSE),0)</f>
        <v>2023</v>
      </c>
      <c r="I27" s="37">
        <f>COUNTIF(Drank!A:A,Agibility!A27)</f>
        <v>2</v>
      </c>
      <c r="J27" s="37">
        <f>IFERROR(AVERAGEIF(Drank!A:A,Agibility!A27,Drank!P:P),0)</f>
        <v>2023</v>
      </c>
      <c r="K27" s="37">
        <f t="shared" si="1"/>
        <v>2023</v>
      </c>
      <c r="L27" s="37">
        <f t="shared" si="0"/>
        <v>8</v>
      </c>
    </row>
    <row r="28" spans="1:12" x14ac:dyDescent="0.25">
      <c r="A28" s="37" t="s">
        <v>700</v>
      </c>
      <c r="B28" s="37">
        <f>IF(G28&lt;=0,VLOOKUP(A28,Drank!A:D,2,FALSE),VLOOKUP(A28,Wine1!A:D,2,FALSE))</f>
        <v>2017</v>
      </c>
      <c r="C28" s="37" t="str">
        <f>IF(G28&lt;=0,VLOOKUP(A28,Drank!A:D,3,FALSE),VLOOKUP(A28,Wine1!A:D,3,FALSE))</f>
        <v>Domaine la Bastide Saint Dominique</v>
      </c>
      <c r="D28" s="37" t="str">
        <f>IF(G28&lt;=0,VLOOKUP(A28,Drank!A:D,4,FALSE),VLOOKUP(A28,Wine1!A:D,4,FALSE))</f>
        <v>Ventoux Reserve Saint Dominique</v>
      </c>
      <c r="E28" s="8" t="str">
        <f>IF(G28&gt;0,VLOOKUP(A28,Wine1!A:AF,5,FALSE),VLOOKUP(A28,Drank!A:AA,5,FALSE))</f>
        <v>100% Grenache</v>
      </c>
      <c r="F28" s="8">
        <f>IF(G28&gt;0,VLOOKUP(A28,Wine1!A:AF,32,FALSE),VLOOKUP(Agibility!A28,Drank!A:AA,27,FALSE))</f>
        <v>1</v>
      </c>
      <c r="G28" s="8">
        <f>COUNTIF(Wine1!A:A,Agibility!A28)</f>
        <v>3</v>
      </c>
      <c r="H28" s="37">
        <f>IFERROR(VLOOKUP(A28,Wine1!A:Y,25,FALSE),0)</f>
        <v>2023</v>
      </c>
      <c r="I28" s="37">
        <f>COUNTIF(Drank!A:A,Agibility!A28)</f>
        <v>1</v>
      </c>
      <c r="J28" s="37">
        <f>IFERROR(AVERAGEIF(Drank!A:A,Agibility!A28,Drank!P:P),0)</f>
        <v>2023</v>
      </c>
      <c r="K28" s="37">
        <f t="shared" si="1"/>
        <v>2023</v>
      </c>
      <c r="L28" s="37">
        <f t="shared" si="0"/>
        <v>6</v>
      </c>
    </row>
    <row r="29" spans="1:12" x14ac:dyDescent="0.25">
      <c r="A29" s="37" t="s">
        <v>861</v>
      </c>
      <c r="B29" s="37">
        <f>IF(G29&lt;=0,VLOOKUP(A29,Drank!A:D,2,FALSE),VLOOKUP(A29,Wine1!A:D,2,FALSE))</f>
        <v>2018</v>
      </c>
      <c r="C29" s="37" t="str">
        <f>IF(G29&lt;=0,VLOOKUP(A29,Drank!A:D,3,FALSE),VLOOKUP(A29,Wine1!A:D,3,FALSE))</f>
        <v>Masseria Li Veli</v>
      </c>
      <c r="D29" s="37" t="str">
        <f>IF(G29&lt;=0,VLOOKUP(A29,Drank!A:D,4,FALSE),VLOOKUP(A29,Wine1!A:D,4,FALSE))</f>
        <v>Primitivo Orion</v>
      </c>
      <c r="E29" s="8" t="str">
        <f>IF(G29&gt;0,VLOOKUP(A29,Wine1!A:AF,5,FALSE),VLOOKUP(A29,Drank!A:AA,5,FALSE))</f>
        <v>Primitivo</v>
      </c>
      <c r="F29" s="8">
        <f>IF(G29&gt;0,VLOOKUP(A29,Wine1!A:AF,32,FALSE),VLOOKUP(Agibility!A29,Drank!A:AA,27,FALSE))</f>
        <v>1</v>
      </c>
      <c r="G29" s="8">
        <f>COUNTIF(Wine1!A:A,Agibility!A29)</f>
        <v>3</v>
      </c>
      <c r="H29" s="37">
        <f>IFERROR(VLOOKUP(A29,Wine1!A:Y,25,FALSE),0)</f>
        <v>2023</v>
      </c>
      <c r="I29" s="37">
        <f>COUNTIF(Drank!A:A,Agibility!A29)</f>
        <v>9</v>
      </c>
      <c r="J29" s="37">
        <f>IFERROR(AVERAGEIF(Drank!A:A,Agibility!A29,Drank!P:P),0)</f>
        <v>2024</v>
      </c>
      <c r="K29" s="37">
        <f t="shared" si="1"/>
        <v>2024</v>
      </c>
      <c r="L29" s="37">
        <f t="shared" si="0"/>
        <v>6</v>
      </c>
    </row>
    <row r="30" spans="1:12" x14ac:dyDescent="0.25">
      <c r="A30" s="37" t="s">
        <v>695</v>
      </c>
      <c r="B30" s="37">
        <f>IF(G30&lt;=0,VLOOKUP(A30,Drank!A:D,2,FALSE),VLOOKUP(A30,Wine1!A:D,2,FALSE))</f>
        <v>2015</v>
      </c>
      <c r="C30" s="37" t="str">
        <f>IF(G30&lt;=0,VLOOKUP(A30,Drank!A:D,3,FALSE),VLOOKUP(A30,Wine1!A:D,3,FALSE))</f>
        <v>Domaine Lafage</v>
      </c>
      <c r="D30" s="37" t="str">
        <f>IF(G30&lt;=0,VLOOKUP(A30,Drank!A:D,4,FALSE),VLOOKUP(A30,Wine1!A:D,4,FALSE))</f>
        <v>Bastide Miraflors Vieilles Vignes</v>
      </c>
      <c r="E30" s="8" t="str">
        <f>IF(G30&gt;0,VLOOKUP(A30,Wine1!A:AF,5,FALSE),VLOOKUP(A30,Drank!A:AA,5,FALSE))</f>
        <v>70 % Syrah, 30% Grenache</v>
      </c>
      <c r="F30" s="8">
        <f>IF(G30&gt;0,VLOOKUP(A30,Wine1!A:AF,32,FALSE),VLOOKUP(Agibility!A30,Drank!A:AA,27,FALSE))</f>
        <v>1</v>
      </c>
      <c r="G30" s="8">
        <f>COUNTIF(Wine1!A:A,Agibility!A30)</f>
        <v>8</v>
      </c>
      <c r="H30" s="37">
        <f>IFERROR(VLOOKUP(A30,Wine1!A:Y,25,FALSE),0)</f>
        <v>2025</v>
      </c>
      <c r="I30" s="37">
        <f>COUNTIF(Drank!A:A,Agibility!A30)</f>
        <v>3</v>
      </c>
      <c r="J30" s="37">
        <f>IFERROR(AVERAGEIF(Drank!A:A,Agibility!A30,Drank!P:P),0)</f>
        <v>2024</v>
      </c>
      <c r="K30" s="37">
        <f t="shared" si="1"/>
        <v>2024</v>
      </c>
      <c r="L30" s="37">
        <f t="shared" si="0"/>
        <v>9</v>
      </c>
    </row>
    <row r="31" spans="1:12" x14ac:dyDescent="0.25">
      <c r="A31" s="37" t="s">
        <v>686</v>
      </c>
      <c r="B31" s="37">
        <f>IF(G31&lt;=0,VLOOKUP(A31,Drank!A:D,2,FALSE),VLOOKUP(A31,Wine1!A:D,2,FALSE))</f>
        <v>2016</v>
      </c>
      <c r="C31" s="37" t="str">
        <f>IF(G31&lt;=0,VLOOKUP(A31,Drank!A:D,3,FALSE),VLOOKUP(A31,Wine1!A:D,3,FALSE))</f>
        <v>Chateau de Grangeneuve</v>
      </c>
      <c r="D31" s="37" t="str">
        <f>IF(G31&lt;=0,VLOOKUP(A31,Drank!A:D,4,FALSE),VLOOKUP(A31,Wine1!A:D,4,FALSE))</f>
        <v>Sainte-Foy</v>
      </c>
      <c r="E31" s="8" t="str">
        <f>IF(G31&gt;0,VLOOKUP(A31,Wine1!A:AF,5,FALSE),VLOOKUP(A31,Drank!A:AA,5,FALSE))</f>
        <v>45% Merlot, 44% Cabernet Sauvignon, 11% Cabernet Franc</v>
      </c>
      <c r="F31" s="8">
        <f>IF(G31&gt;0,VLOOKUP(A31,Wine1!A:AF,32,FALSE),VLOOKUP(Agibility!A31,Drank!A:AA,27,FALSE))</f>
        <v>1</v>
      </c>
      <c r="G31" s="8">
        <f>COUNTIF(Wine1!A:A,Agibility!A31)</f>
        <v>3</v>
      </c>
      <c r="H31" s="37">
        <f>IFERROR(VLOOKUP(A31,Wine1!A:Y,25,FALSE),0)</f>
        <v>2024</v>
      </c>
      <c r="I31" s="37">
        <f>COUNTIF(Drank!A:A,Agibility!A31)</f>
        <v>1</v>
      </c>
      <c r="J31" s="37">
        <f>IFERROR(AVERAGEIF(Drank!A:A,Agibility!A31,Drank!P:P),0)</f>
        <v>2024</v>
      </c>
      <c r="K31" s="37">
        <f t="shared" si="1"/>
        <v>2024</v>
      </c>
      <c r="L31" s="37">
        <f t="shared" si="0"/>
        <v>8</v>
      </c>
    </row>
    <row r="32" spans="1:12" x14ac:dyDescent="0.25">
      <c r="A32" s="37" t="s">
        <v>1211</v>
      </c>
      <c r="B32" s="37">
        <f>IF(G32&lt;=0,VLOOKUP(A32,Drank!A:D,2,FALSE),VLOOKUP(A32,Wine1!A:D,2,FALSE))</f>
        <v>2017</v>
      </c>
      <c r="C32" s="37" t="str">
        <f>IF(G32&lt;=0,VLOOKUP(A32,Drank!A:D,3,FALSE),VLOOKUP(A32,Wine1!A:D,3,FALSE))</f>
        <v>Georges Duboeuf</v>
      </c>
      <c r="D32" s="37" t="str">
        <f>IF(G32&lt;=0,VLOOKUP(A32,Drank!A:D,4,FALSE),VLOOKUP(A32,Wine1!A:D,4,FALSE))</f>
        <v>Saint-Amour Chateau de Saint-Amour</v>
      </c>
      <c r="E32" s="8" t="str">
        <f>IF(G32&gt;0,VLOOKUP(A32,Wine1!A:AF,5,FALSE),VLOOKUP(A32,Drank!A:AA,5,FALSE))</f>
        <v>100% Gamay</v>
      </c>
      <c r="F32" s="8">
        <f>IF(G32&gt;0,VLOOKUP(A32,Wine1!A:AF,32,FALSE),VLOOKUP(Agibility!A32,Drank!A:AA,27,FALSE))</f>
        <v>2</v>
      </c>
      <c r="G32" s="8">
        <f>COUNTIF(Wine1!A:A,Agibility!A32)</f>
        <v>2</v>
      </c>
      <c r="H32" s="37">
        <f>IFERROR(VLOOKUP(A32,Wine1!A:Y,25,FALSE),0)</f>
        <v>2023</v>
      </c>
      <c r="I32" s="37">
        <f>COUNTIF(Drank!A:A,Agibility!A32)</f>
        <v>2</v>
      </c>
      <c r="J32" s="37">
        <f>IFERROR(AVERAGEIF(Drank!A:A,Agibility!A32,Drank!P:P),0)</f>
        <v>2023.5</v>
      </c>
      <c r="K32" s="37">
        <f t="shared" si="1"/>
        <v>2023.5</v>
      </c>
      <c r="L32" s="37">
        <f t="shared" si="0"/>
        <v>6.5</v>
      </c>
    </row>
    <row r="33" spans="1:12" x14ac:dyDescent="0.25">
      <c r="A33" s="37" t="s">
        <v>473</v>
      </c>
      <c r="B33" s="37">
        <f>IF(G33&lt;=0,VLOOKUP(A33,Drank!A:D,2,FALSE),VLOOKUP(A33,Wine1!A:D,2,FALSE))</f>
        <v>2016</v>
      </c>
      <c r="C33" s="37" t="str">
        <f>IF(G33&lt;=0,VLOOKUP(A33,Drank!A:D,3,FALSE),VLOOKUP(A33,Wine1!A:D,3,FALSE))</f>
        <v>Tenuta San Guido</v>
      </c>
      <c r="D33" s="37" t="str">
        <f>IF(G33&lt;=0,VLOOKUP(A33,Drank!A:D,4,FALSE),VLOOKUP(A33,Wine1!A:D,4,FALSE))</f>
        <v>Le Difese</v>
      </c>
      <c r="E33" s="8" t="str">
        <f>IF(G33&gt;0,VLOOKUP(A33,Wine1!A:AF,5,FALSE),VLOOKUP(A33,Drank!A:AA,5,FALSE))</f>
        <v>Sangiovese Blend</v>
      </c>
      <c r="F33" s="8">
        <f>IF(G33&gt;0,VLOOKUP(A33,Wine1!A:AF,32,FALSE),VLOOKUP(Agibility!A33,Drank!A:AA,27,FALSE))</f>
        <v>2</v>
      </c>
      <c r="G33" s="8">
        <f>COUNTIF(Wine1!A:A,Agibility!A33)</f>
        <v>3</v>
      </c>
      <c r="H33" s="37">
        <f>IFERROR(VLOOKUP(A33,Wine1!A:Y,25,FALSE),0)</f>
        <v>2026</v>
      </c>
      <c r="I33" s="37">
        <f>COUNTIF(Drank!A:A,Agibility!A33)</f>
        <v>3</v>
      </c>
      <c r="J33" s="37">
        <f>IFERROR(AVERAGEIF(Drank!A:A,Agibility!A33,Drank!P:P),0)</f>
        <v>2024.6666666666667</v>
      </c>
      <c r="K33" s="37">
        <f t="shared" si="1"/>
        <v>2024.6666666666667</v>
      </c>
      <c r="L33" s="37">
        <f t="shared" si="0"/>
        <v>8.6666666666667425</v>
      </c>
    </row>
    <row r="34" spans="1:12" x14ac:dyDescent="0.25">
      <c r="A34" s="37" t="s">
        <v>474</v>
      </c>
      <c r="B34" s="37">
        <f>IF(G34&lt;=0,VLOOKUP(A34,Drank!A:D,2,FALSE),VLOOKUP(A34,Wine1!A:D,2,FALSE))</f>
        <v>2010</v>
      </c>
      <c r="C34" s="37" t="str">
        <f>IF(G34&lt;=0,VLOOKUP(A34,Drank!A:D,3,FALSE),VLOOKUP(A34,Wine1!A:D,3,FALSE))</f>
        <v>Conde</v>
      </c>
      <c r="D34" s="37" t="str">
        <f>IF(G34&lt;=0,VLOOKUP(A34,Drank!A:D,4,FALSE),VLOOKUP(A34,Wine1!A:D,4,FALSE))</f>
        <v>Neo</v>
      </c>
      <c r="E34" s="8" t="str">
        <f>IF(G34&gt;0,VLOOKUP(A34,Wine1!A:AF,5,FALSE),VLOOKUP(A34,Drank!A:AA,5,FALSE))</f>
        <v>Tempranillo</v>
      </c>
      <c r="F34" s="8">
        <f>IF(G34&gt;0,VLOOKUP(A34,Wine1!A:AF,32,FALSE),VLOOKUP(Agibility!A34,Drank!A:AA,27,FALSE))</f>
        <v>2</v>
      </c>
      <c r="G34" s="8">
        <f>COUNTIF(Wine1!A:A,Agibility!A34)</f>
        <v>4</v>
      </c>
      <c r="H34" s="37">
        <f>IFERROR(VLOOKUP(A34,Wine1!A:Y,25,FALSE),0)</f>
        <v>2024</v>
      </c>
      <c r="I34" s="37">
        <f>COUNTIF(Drank!A:A,Agibility!A34)</f>
        <v>6</v>
      </c>
      <c r="J34" s="37">
        <f>IFERROR(AVERAGEIF(Drank!A:A,Agibility!A34,Drank!P:P),0)</f>
        <v>2024</v>
      </c>
      <c r="K34" s="37">
        <f t="shared" si="1"/>
        <v>2024</v>
      </c>
      <c r="L34" s="37">
        <f t="shared" ref="L34:L65" si="2">IF(K34&gt;0,K34-B34," ")</f>
        <v>14</v>
      </c>
    </row>
    <row r="35" spans="1:12" x14ac:dyDescent="0.25">
      <c r="A35" s="37" t="s">
        <v>663</v>
      </c>
      <c r="B35" s="37">
        <f>IF(G35&lt;=0,VLOOKUP(A35,Drank!A:D,2,FALSE),VLOOKUP(A35,Wine1!A:D,2,FALSE))</f>
        <v>2017</v>
      </c>
      <c r="C35" s="37" t="str">
        <f>IF(G35&lt;=0,VLOOKUP(A35,Drank!A:D,3,FALSE),VLOOKUP(A35,Wine1!A:D,3,FALSE))</f>
        <v>Tenuta Due Mari</v>
      </c>
      <c r="D35" s="37" t="str">
        <f>IF(G35&lt;=0,VLOOKUP(A35,Drank!A:D,4,FALSE),VLOOKUP(A35,Wine1!A:D,4,FALSE))</f>
        <v>La Chiusa</v>
      </c>
      <c r="E35" s="8" t="str">
        <f>IF(G35&gt;0,VLOOKUP(A35,Wine1!A:AF,5,FALSE),VLOOKUP(A35,Drank!A:AA,5,FALSE))</f>
        <v>Negroamaro</v>
      </c>
      <c r="F35" s="8">
        <f>IF(G35&gt;0,VLOOKUP(A35,Wine1!A:AF,32,FALSE),VLOOKUP(Agibility!A35,Drank!A:AA,27,FALSE))</f>
        <v>1</v>
      </c>
      <c r="G35" s="8">
        <f>COUNTIF(Wine1!A:A,Agibility!A35)</f>
        <v>1</v>
      </c>
      <c r="H35" s="37">
        <f>IFERROR(VLOOKUP(A35,Wine1!A:Y,25,FALSE),0)</f>
        <v>2024</v>
      </c>
      <c r="I35" s="37">
        <f>COUNTIF(Drank!A:A,Agibility!A35)</f>
        <v>3</v>
      </c>
      <c r="J35" s="37">
        <f>IFERROR(AVERAGEIF(Drank!A:A,Agibility!A35,Drank!P:P),0)</f>
        <v>2024.6666666666667</v>
      </c>
      <c r="K35" s="37">
        <f t="shared" si="1"/>
        <v>2024.6666666666667</v>
      </c>
      <c r="L35" s="37">
        <f t="shared" si="2"/>
        <v>7.6666666666667425</v>
      </c>
    </row>
    <row r="36" spans="1:12" x14ac:dyDescent="0.25">
      <c r="A36" s="37" t="s">
        <v>933</v>
      </c>
      <c r="B36" s="37">
        <f>IF(G36&lt;=0,VLOOKUP(A36,Drank!A:D,2,FALSE),VLOOKUP(A36,Wine1!A:D,2,FALSE))</f>
        <v>2012</v>
      </c>
      <c r="C36" s="37" t="str">
        <f>IF(G36&lt;=0,VLOOKUP(A36,Drank!A:D,3,FALSE),VLOOKUP(A36,Wine1!A:D,3,FALSE))</f>
        <v>Carmelo Patti</v>
      </c>
      <c r="D36" s="37" t="str">
        <f>IF(G36&lt;=0,VLOOKUP(A36,Drank!A:D,4,FALSE),VLOOKUP(A36,Wine1!A:D,4,FALSE))</f>
        <v>Cabernet Sauvignon</v>
      </c>
      <c r="E36" s="8" t="str">
        <f>IF(G36&gt;0,VLOOKUP(A36,Wine1!A:AF,5,FALSE),VLOOKUP(A36,Drank!A:AA,5,FALSE))</f>
        <v>Cabernet Sauvignon</v>
      </c>
      <c r="F36" s="8">
        <f>IF(G36&gt;0,VLOOKUP(A36,Wine1!A:AF,32,FALSE),VLOOKUP(Agibility!A36,Drank!A:AA,27,FALSE))</f>
        <v>3</v>
      </c>
      <c r="G36" s="8">
        <f>COUNTIF(Wine1!A:A,Agibility!A36)</f>
        <v>2</v>
      </c>
      <c r="H36" s="37">
        <f>IFERROR(VLOOKUP(A36,Wine1!A:Y,25,FALSE),0)</f>
        <v>2022</v>
      </c>
      <c r="I36" s="37">
        <f>COUNTIF(Drank!A:A,Agibility!A36)</f>
        <v>1</v>
      </c>
      <c r="J36" s="37">
        <f>IFERROR(AVERAGEIF(Drank!A:A,Agibility!A36,Drank!P:P),0)</f>
        <v>2022</v>
      </c>
      <c r="K36" s="37">
        <f t="shared" si="1"/>
        <v>2022</v>
      </c>
      <c r="L36" s="37">
        <f t="shared" si="2"/>
        <v>10</v>
      </c>
    </row>
    <row r="37" spans="1:12" x14ac:dyDescent="0.25">
      <c r="A37" s="37" t="s">
        <v>423</v>
      </c>
      <c r="B37" s="37">
        <f>IF(G37&lt;=0,VLOOKUP(A37,Drank!A:D,2,FALSE),VLOOKUP(A37,Wine1!A:D,2,FALSE))</f>
        <v>2017</v>
      </c>
      <c r="C37" s="37" t="str">
        <f>IF(G37&lt;=0,VLOOKUP(A37,Drank!A:D,3,FALSE),VLOOKUP(A37,Wine1!A:D,3,FALSE))</f>
        <v>Domaine de l'Amandine</v>
      </c>
      <c r="D37" s="37" t="str">
        <f>IF(G37&lt;=0,VLOOKUP(A37,Drank!A:D,4,FALSE),VLOOKUP(A37,Wine1!A:D,4,FALSE))</f>
        <v>Cotes du Rhone Villages Seguret</v>
      </c>
      <c r="E37" s="8" t="str">
        <f>IF(G37&gt;0,VLOOKUP(A37,Wine1!A:AF,5,FALSE),VLOOKUP(A37,Drank!A:AA,5,FALSE))</f>
        <v>60% Syrah, 40% Grenache</v>
      </c>
      <c r="F37" s="8">
        <f>IF(G37&gt;0,VLOOKUP(A37,Wine1!A:AF,32,FALSE),VLOOKUP(Agibility!A37,Drank!A:AA,27,FALSE))</f>
        <v>1</v>
      </c>
      <c r="G37" s="8">
        <f>COUNTIF(Wine1!A:A,Agibility!A37)</f>
        <v>20</v>
      </c>
      <c r="H37" s="37">
        <f>IFERROR(VLOOKUP(A37,Wine1!A:Y,25,FALSE),0)</f>
        <v>2025</v>
      </c>
      <c r="I37" s="37">
        <f>COUNTIF(Drank!A:A,Agibility!A37)</f>
        <v>17</v>
      </c>
      <c r="J37" s="37">
        <f>IFERROR(AVERAGEIF(Drank!A:A,Agibility!A37,Drank!P:P),0)</f>
        <v>2024.6875</v>
      </c>
      <c r="K37" s="37">
        <f t="shared" si="1"/>
        <v>2024.6875</v>
      </c>
      <c r="L37" s="37">
        <f t="shared" si="2"/>
        <v>7.6875</v>
      </c>
    </row>
    <row r="38" spans="1:12" x14ac:dyDescent="0.25">
      <c r="A38" s="37" t="s">
        <v>447</v>
      </c>
      <c r="B38" s="37">
        <f>IF(G38&lt;=0,VLOOKUP(A38,Drank!A:D,2,FALSE),VLOOKUP(A38,Wine1!A:D,2,FALSE))</f>
        <v>2016</v>
      </c>
      <c r="C38" s="37" t="str">
        <f>IF(G38&lt;=0,VLOOKUP(A38,Drank!A:D,3,FALSE),VLOOKUP(A38,Wine1!A:D,3,FALSE))</f>
        <v>Quinta do Vallado</v>
      </c>
      <c r="D38" s="37" t="str">
        <f>IF(G38&lt;=0,VLOOKUP(A38,Drank!A:D,4,FALSE),VLOOKUP(A38,Wine1!A:D,4,FALSE))</f>
        <v>Touriga Nacional</v>
      </c>
      <c r="E38" s="8" t="str">
        <f>IF(G38&gt;0,VLOOKUP(A38,Wine1!A:AF,5,FALSE),VLOOKUP(A38,Drank!A:AA,5,FALSE))</f>
        <v>100% Touriga Nacional</v>
      </c>
      <c r="F38" s="8">
        <f>IF(G38&gt;0,VLOOKUP(A38,Wine1!A:AF,32,FALSE),VLOOKUP(Agibility!A38,Drank!A:AA,27,FALSE))</f>
        <v>2</v>
      </c>
      <c r="G38" s="8">
        <f>COUNTIF(Wine1!A:A,Agibility!A38)</f>
        <v>7</v>
      </c>
      <c r="H38" s="37">
        <f>IFERROR(VLOOKUP(A38,Wine1!A:Y,25,FALSE),0)</f>
        <v>2030</v>
      </c>
      <c r="I38" s="37">
        <f>COUNTIF(Drank!A:A,Agibility!A38)</f>
        <v>4</v>
      </c>
      <c r="J38" s="37">
        <f>IFERROR(AVERAGEIF(Drank!A:A,Agibility!A38,Drank!P:P),0)</f>
        <v>2027.25</v>
      </c>
      <c r="K38" s="37">
        <f t="shared" si="1"/>
        <v>2027.25</v>
      </c>
      <c r="L38" s="37">
        <f t="shared" si="2"/>
        <v>11.25</v>
      </c>
    </row>
    <row r="39" spans="1:12" x14ac:dyDescent="0.25">
      <c r="A39" s="37" t="s">
        <v>433</v>
      </c>
      <c r="B39" s="37">
        <f>IF(G39&lt;=0,VLOOKUP(A39,Drank!A:D,2,FALSE),VLOOKUP(A39,Wine1!A:D,2,FALSE))</f>
        <v>2016</v>
      </c>
      <c r="C39" s="37" t="str">
        <f>IF(G39&lt;=0,VLOOKUP(A39,Drank!A:D,3,FALSE),VLOOKUP(A39,Wine1!A:D,3,FALSE))</f>
        <v>Domaine de la Combe Dieu</v>
      </c>
      <c r="D39" s="37" t="str">
        <f>IF(G39&lt;=0,VLOOKUP(A39,Drank!A:D,4,FALSE),VLOOKUP(A39,Wine1!A:D,4,FALSE))</f>
        <v>Rasteau</v>
      </c>
      <c r="E39" s="8" t="str">
        <f>IF(G39&gt;0,VLOOKUP(A39,Wine1!A:AF,5,FALSE),VLOOKUP(A39,Drank!A:AA,5,FALSE))</f>
        <v>Grenache, Syrah, Mourvèdre</v>
      </c>
      <c r="F39" s="8">
        <f>IF(G39&gt;0,VLOOKUP(A39,Wine1!A:AF,32,FALSE),VLOOKUP(Agibility!A39,Drank!A:AA,27,FALSE))</f>
        <v>1</v>
      </c>
      <c r="G39" s="8">
        <f>COUNTIF(Wine1!A:A,Agibility!A39)</f>
        <v>15</v>
      </c>
      <c r="H39" s="37">
        <f>IFERROR(VLOOKUP(A39,Wine1!A:Y,25,FALSE),0)</f>
        <v>2025</v>
      </c>
      <c r="I39" s="37">
        <f>COUNTIF(Drank!A:A,Agibility!A39)</f>
        <v>5</v>
      </c>
      <c r="J39" s="37">
        <f>IFERROR(AVERAGEIF(Drank!A:A,Agibility!A39,Drank!P:P),0)</f>
        <v>2024.2</v>
      </c>
      <c r="K39" s="37">
        <f t="shared" si="1"/>
        <v>2024.2</v>
      </c>
      <c r="L39" s="37">
        <f t="shared" si="2"/>
        <v>8.2000000000000455</v>
      </c>
    </row>
    <row r="40" spans="1:12" x14ac:dyDescent="0.25">
      <c r="A40" s="37" t="s">
        <v>475</v>
      </c>
      <c r="B40" s="37">
        <f>IF(G40&lt;=0,VLOOKUP(A40,Drank!A:D,2,FALSE),VLOOKUP(A40,Wine1!A:D,2,FALSE))</f>
        <v>2014</v>
      </c>
      <c r="C40" s="37" t="str">
        <f>IF(G40&lt;=0,VLOOKUP(A40,Drank!A:D,3,FALSE),VLOOKUP(A40,Wine1!A:D,3,FALSE))</f>
        <v>Lutum</v>
      </c>
      <c r="D40" s="37" t="str">
        <f>IF(G40&lt;=0,VLOOKUP(A40,Drank!A:D,4,FALSE),VLOOKUP(A40,Wine1!A:D,4,FALSE))</f>
        <v>Pinot Noir Sanford &amp; Benedict Vineyard</v>
      </c>
      <c r="E40" s="8" t="str">
        <f>IF(G40&gt;0,VLOOKUP(A40,Wine1!A:AF,5,FALSE),VLOOKUP(A40,Drank!A:AA,5,FALSE))</f>
        <v>Pinot Noir</v>
      </c>
      <c r="F40" s="8">
        <f>IF(G40&gt;0,VLOOKUP(A40,Wine1!A:AF,32,FALSE),VLOOKUP(Agibility!A40,Drank!A:AA,27,FALSE))</f>
        <v>3</v>
      </c>
      <c r="G40" s="8">
        <f>COUNTIF(Wine1!A:A,Agibility!A40)</f>
        <v>3</v>
      </c>
      <c r="H40" s="37">
        <f>IFERROR(VLOOKUP(A40,Wine1!A:Y,25,FALSE),0)</f>
        <v>2026</v>
      </c>
      <c r="I40" s="37">
        <f>COUNTIF(Drank!A:A,Agibility!A40)</f>
        <v>1</v>
      </c>
      <c r="J40" s="37">
        <f>IFERROR(AVERAGEIF(Drank!A:A,Agibility!A40,Drank!P:P),0)</f>
        <v>2026</v>
      </c>
      <c r="K40" s="37">
        <f t="shared" si="1"/>
        <v>2026</v>
      </c>
      <c r="L40" s="37">
        <f t="shared" si="2"/>
        <v>12</v>
      </c>
    </row>
    <row r="41" spans="1:12" x14ac:dyDescent="0.25">
      <c r="A41" s="37" t="s">
        <v>425</v>
      </c>
      <c r="B41" s="37">
        <f>IF(G41&lt;=0,VLOOKUP(A41,Drank!A:D,2,FALSE),VLOOKUP(A41,Wine1!A:D,2,FALSE))</f>
        <v>1998</v>
      </c>
      <c r="C41" s="37" t="str">
        <f>IF(G41&lt;=0,VLOOKUP(A41,Drank!A:D,3,FALSE),VLOOKUP(A41,Wine1!A:D,3,FALSE))</f>
        <v>Raymond-Lafon</v>
      </c>
      <c r="D41" s="37" t="str">
        <f>IF(G41&lt;=0,VLOOKUP(A41,Drank!A:D,4,FALSE),VLOOKUP(A41,Wine1!A:D,4,FALSE))</f>
        <v>Raymond-Lafon</v>
      </c>
      <c r="E41" s="8" t="str">
        <f>IF(G41&gt;0,VLOOKUP(A41,Wine1!A:AF,5,FALSE),VLOOKUP(A41,Drank!A:AA,5,FALSE))</f>
        <v>Semillon, Sauvignon Blanc</v>
      </c>
      <c r="F41" s="8">
        <f>IF(G41&gt;0,VLOOKUP(A41,Wine1!A:AF,32,FALSE),VLOOKUP(Agibility!A41,Drank!A:AA,27,FALSE))</f>
        <v>3</v>
      </c>
      <c r="G41" s="8">
        <f>COUNTIF(Wine1!A:A,Agibility!A41)</f>
        <v>7</v>
      </c>
      <c r="H41" s="37">
        <f>IFERROR(VLOOKUP(A41,Wine1!A:Y,25,FALSE),0)</f>
        <v>2030</v>
      </c>
      <c r="I41" s="37">
        <f>COUNTIF(Drank!A:A,Agibility!A41)</f>
        <v>3</v>
      </c>
      <c r="J41" s="37">
        <f>IFERROR(AVERAGEIF(Drank!A:A,Agibility!A41,Drank!P:P),0)</f>
        <v>2027.3333333333333</v>
      </c>
      <c r="K41" s="37">
        <f t="shared" si="1"/>
        <v>2027.3333333333333</v>
      </c>
      <c r="L41" s="37">
        <f t="shared" si="2"/>
        <v>29.333333333333258</v>
      </c>
    </row>
    <row r="42" spans="1:12" x14ac:dyDescent="0.25">
      <c r="A42" s="37" t="s">
        <v>476</v>
      </c>
      <c r="B42" s="37">
        <f>IF(G42&lt;=0,VLOOKUP(A42,Drank!A:D,2,FALSE),VLOOKUP(A42,Wine1!A:D,2,FALSE))</f>
        <v>2007</v>
      </c>
      <c r="C42" s="37" t="str">
        <f>IF(G42&lt;=0,VLOOKUP(A42,Drank!A:D,3,FALSE),VLOOKUP(A42,Wine1!A:D,3,FALSE))</f>
        <v>La Rioja Alta</v>
      </c>
      <c r="D42" s="37" t="str">
        <f>IF(G42&lt;=0,VLOOKUP(A42,Drank!A:D,4,FALSE),VLOOKUP(A42,Wine1!A:D,4,FALSE))</f>
        <v>Gran Reserva 904</v>
      </c>
      <c r="E42" s="8" t="str">
        <f>IF(G42&gt;0,VLOOKUP(A42,Wine1!A:AF,5,FALSE),VLOOKUP(A42,Drank!A:AA,5,FALSE))</f>
        <v>90% Tempranillo, 10% Graciano</v>
      </c>
      <c r="F42" s="8">
        <f>IF(G42&gt;0,VLOOKUP(A42,Wine1!A:AF,32,FALSE),VLOOKUP(Agibility!A42,Drank!A:AA,27,FALSE))</f>
        <v>4</v>
      </c>
      <c r="G42" s="8">
        <f>COUNTIF(Wine1!A:A,Agibility!A42)</f>
        <v>1</v>
      </c>
      <c r="H42" s="37">
        <f>IFERROR(VLOOKUP(A42,Wine1!A:Y,25,FALSE),0)</f>
        <v>2030</v>
      </c>
      <c r="I42" s="37">
        <f>COUNTIF(Drank!A:A,Agibility!A42)</f>
        <v>2</v>
      </c>
      <c r="J42" s="37">
        <f>IFERROR(AVERAGEIF(Drank!A:A,Agibility!A42,Drank!P:P),0)</f>
        <v>2030</v>
      </c>
      <c r="K42" s="37">
        <f t="shared" si="1"/>
        <v>2030</v>
      </c>
      <c r="L42" s="37">
        <f t="shared" si="2"/>
        <v>23</v>
      </c>
    </row>
    <row r="43" spans="1:12" x14ac:dyDescent="0.25">
      <c r="A43" s="37" t="s">
        <v>477</v>
      </c>
      <c r="B43" s="37">
        <f>IF(G43&lt;=0,VLOOKUP(A43,Drank!A:D,2,FALSE),VLOOKUP(A43,Wine1!A:D,2,FALSE))</f>
        <v>2012</v>
      </c>
      <c r="C43" s="37" t="str">
        <f>IF(G43&lt;=0,VLOOKUP(A43,Drank!A:D,3,FALSE),VLOOKUP(A43,Wine1!A:D,3,FALSE))</f>
        <v>San Rustico</v>
      </c>
      <c r="D43" s="37" t="str">
        <f>IF(G43&lt;=0,VLOOKUP(A43,Drank!A:D,4,FALSE),VLOOKUP(A43,Wine1!A:D,4,FALSE))</f>
        <v>Amarone della Valpolicella Classico</v>
      </c>
      <c r="E43" s="8" t="str">
        <f>IF(G43&gt;0,VLOOKUP(A43,Wine1!A:AF,5,FALSE),VLOOKUP(A43,Drank!A:AA,5,FALSE))</f>
        <v>Covina, Rondinella, Molinara</v>
      </c>
      <c r="F43" s="8">
        <f>IF(G43&gt;0,VLOOKUP(A43,Wine1!A:AF,32,FALSE),VLOOKUP(Agibility!A43,Drank!A:AA,27,FALSE))</f>
        <v>2</v>
      </c>
      <c r="G43" s="8">
        <f>COUNTIF(Wine1!A:A,Agibility!A43)</f>
        <v>5</v>
      </c>
      <c r="H43" s="37">
        <f>IFERROR(VLOOKUP(A43,Wine1!A:Y,25,FALSE),0)</f>
        <v>2030</v>
      </c>
      <c r="I43" s="37">
        <f>COUNTIF(Drank!A:A,Agibility!A43)</f>
        <v>1</v>
      </c>
      <c r="J43" s="37">
        <f>IFERROR(AVERAGEIF(Drank!A:A,Agibility!A43,Drank!P:P),0)</f>
        <v>2030</v>
      </c>
      <c r="K43" s="37">
        <f t="shared" si="1"/>
        <v>2030</v>
      </c>
      <c r="L43" s="37">
        <f t="shared" si="2"/>
        <v>18</v>
      </c>
    </row>
    <row r="44" spans="1:12" x14ac:dyDescent="0.25">
      <c r="A44" s="37" t="s">
        <v>702</v>
      </c>
      <c r="B44" s="37">
        <f>IF(G44&lt;=0,VLOOKUP(A44,Drank!A:D,2,FALSE),VLOOKUP(A44,Wine1!A:D,2,FALSE))</f>
        <v>2016</v>
      </c>
      <c r="C44" s="37" t="str">
        <f>IF(G44&lt;=0,VLOOKUP(A44,Drank!A:D,3,FALSE),VLOOKUP(A44,Wine1!A:D,3,FALSE))</f>
        <v>Tenuta di Nozzole</v>
      </c>
      <c r="D44" s="37" t="str">
        <f>IF(G44&lt;=0,VLOOKUP(A44,Drank!A:D,4,FALSE),VLOOKUP(A44,Wine1!A:D,4,FALSE))</f>
        <v>Chianti Classico Riserva Nozzole</v>
      </c>
      <c r="E44" s="8" t="str">
        <f>IF(G44&gt;0,VLOOKUP(A44,Wine1!A:AF,5,FALSE),VLOOKUP(A44,Drank!A:AA,5,FALSE))</f>
        <v>Sangiovese Blend</v>
      </c>
      <c r="F44" s="8">
        <f>IF(G44&gt;0,VLOOKUP(A44,Wine1!A:AF,32,FALSE),VLOOKUP(Agibility!A44,Drank!A:AA,27,FALSE))</f>
        <v>2</v>
      </c>
      <c r="G44" s="8">
        <f>COUNTIF(Wine1!A:A,Agibility!A44)</f>
        <v>6</v>
      </c>
      <c r="H44" s="37">
        <f>IFERROR(VLOOKUP(A44,Wine1!A:Y,25,FALSE),0)</f>
        <v>2030</v>
      </c>
      <c r="I44" s="37">
        <f>COUNTIF(Drank!A:A,Agibility!A44)</f>
        <v>3</v>
      </c>
      <c r="J44" s="37">
        <f>IFERROR(AVERAGEIF(Drank!A:A,Agibility!A44,Drank!P:P),0)</f>
        <v>2032</v>
      </c>
      <c r="K44" s="37">
        <f t="shared" si="1"/>
        <v>2032</v>
      </c>
      <c r="L44" s="37">
        <f t="shared" si="2"/>
        <v>16</v>
      </c>
    </row>
    <row r="45" spans="1:12" x14ac:dyDescent="0.25">
      <c r="A45" s="37" t="s">
        <v>478</v>
      </c>
      <c r="B45" s="37">
        <f>IF(G45&lt;=0,VLOOKUP(A45,Drank!A:D,2,FALSE),VLOOKUP(A45,Wine1!A:D,2,FALSE))</f>
        <v>2016</v>
      </c>
      <c r="C45" s="37" t="str">
        <f>IF(G45&lt;=0,VLOOKUP(A45,Drank!A:D,3,FALSE),VLOOKUP(A45,Wine1!A:D,3,FALSE))</f>
        <v>Yves Cheron</v>
      </c>
      <c r="D45" s="37" t="str">
        <f>IF(G45&lt;=0,VLOOKUP(A45,Drank!A:D,4,FALSE),VLOOKUP(A45,Wine1!A:D,4,FALSE))</f>
        <v>Gigondas La Grand Comtadine Heritiers Cheron-Misset</v>
      </c>
      <c r="E45" s="8" t="str">
        <f>IF(G45&gt;0,VLOOKUP(A45,Wine1!A:AF,5,FALSE),VLOOKUP(A45,Drank!A:AA,5,FALSE))</f>
        <v>60% Grenache, 30% Syrah, 10% Mourvèdre</v>
      </c>
      <c r="F45" s="8">
        <f>IF(G45&gt;0,VLOOKUP(A45,Wine1!A:AF,32,FALSE),VLOOKUP(Agibility!A45,Drank!A:AA,27,FALSE))</f>
        <v>2</v>
      </c>
      <c r="G45" s="8">
        <f>COUNTIF(Wine1!A:A,Agibility!A45)</f>
        <v>5</v>
      </c>
      <c r="H45" s="37">
        <f>IFERROR(VLOOKUP(A45,Wine1!A:Y,25,FALSE),0)</f>
        <v>2028</v>
      </c>
      <c r="I45" s="37">
        <f>COUNTIF(Drank!A:A,Agibility!A45)</f>
        <v>1</v>
      </c>
      <c r="J45" s="37">
        <f>IFERROR(AVERAGEIF(Drank!A:A,Agibility!A45,Drank!P:P),0)</f>
        <v>2028</v>
      </c>
      <c r="K45" s="37">
        <f t="shared" si="1"/>
        <v>2028</v>
      </c>
      <c r="L45" s="37">
        <f t="shared" si="2"/>
        <v>12</v>
      </c>
    </row>
    <row r="46" spans="1:12" x14ac:dyDescent="0.25">
      <c r="A46" s="37" t="s">
        <v>479</v>
      </c>
      <c r="B46" s="37">
        <f>IF(G46&lt;=0,VLOOKUP(A46,Drank!A:D,2,FALSE),VLOOKUP(A46,Wine1!A:D,2,FALSE))</f>
        <v>2004</v>
      </c>
      <c r="C46" s="37" t="str">
        <f>IF(G46&lt;=0,VLOOKUP(A46,Drank!A:D,3,FALSE),VLOOKUP(A46,Wine1!A:D,3,FALSE))</f>
        <v>ViÃ±edos y Bodegas Pablo</v>
      </c>
      <c r="D46" s="37" t="str">
        <f>IF(G46&lt;=0,VLOOKUP(A46,Drank!A:D,4,FALSE),VLOOKUP(A46,Wine1!A:D,4,FALSE))</f>
        <v>Gran Viu Finca Santiaga</v>
      </c>
      <c r="E46" s="8" t="str">
        <f>IF(G46&gt;0,VLOOKUP(A46,Wine1!A:AF,5,FALSE),VLOOKUP(A46,Drank!A:AA,5,FALSE))</f>
        <v>60% Garnacha, 20% Vidadillo, 20% Carinena</v>
      </c>
      <c r="F46" s="8">
        <f>IF(G46&gt;0,VLOOKUP(A46,Wine1!A:AF,32,FALSE),VLOOKUP(Agibility!A46,Drank!A:AA,27,FALSE))</f>
        <v>2</v>
      </c>
      <c r="G46" s="8">
        <f>COUNTIF(Wine1!A:A,Agibility!A46)</f>
        <v>2</v>
      </c>
      <c r="H46" s="37">
        <f>IFERROR(VLOOKUP(A46,Wine1!A:Y,25,FALSE),0)</f>
        <v>2028</v>
      </c>
      <c r="I46" s="37">
        <f>COUNTIF(Drank!A:A,Agibility!A46)</f>
        <v>2</v>
      </c>
      <c r="J46" s="37">
        <f>IFERROR(AVERAGEIF(Drank!A:A,Agibility!A46,Drank!P:P),0)</f>
        <v>2028</v>
      </c>
      <c r="K46" s="37">
        <f t="shared" si="1"/>
        <v>2028</v>
      </c>
      <c r="L46" s="37">
        <f t="shared" si="2"/>
        <v>24</v>
      </c>
    </row>
    <row r="47" spans="1:12" x14ac:dyDescent="0.25">
      <c r="A47" s="37" t="s">
        <v>480</v>
      </c>
      <c r="B47" s="37">
        <f>IF(G47&lt;=0,VLOOKUP(A47,Drank!A:D,2,FALSE),VLOOKUP(A47,Wine1!A:D,2,FALSE))</f>
        <v>2012</v>
      </c>
      <c r="C47" s="37" t="str">
        <f>IF(G47&lt;=0,VLOOKUP(A47,Drank!A:D,3,FALSE),VLOOKUP(A47,Wine1!A:D,3,FALSE))</f>
        <v>Le Gode</v>
      </c>
      <c r="D47" s="37" t="str">
        <f>IF(G47&lt;=0,VLOOKUP(A47,Drank!A:D,4,FALSE),VLOOKUP(A47,Wine1!A:D,4,FALSE))</f>
        <v>Brunello di Montalcino Riserva</v>
      </c>
      <c r="E47" s="8" t="str">
        <f>IF(G47&gt;0,VLOOKUP(A47,Wine1!A:AF,5,FALSE),VLOOKUP(A47,Drank!A:AA,5,FALSE))</f>
        <v>Sangiovese</v>
      </c>
      <c r="F47" s="8">
        <f>IF(G47&gt;0,VLOOKUP(A47,Wine1!A:AF,32,FALSE),VLOOKUP(Agibility!A47,Drank!A:AA,27,FALSE))</f>
        <v>3</v>
      </c>
      <c r="G47" s="8">
        <f>COUNTIF(Wine1!A:A,Agibility!A47)</f>
        <v>2</v>
      </c>
      <c r="H47" s="37">
        <f>IFERROR(VLOOKUP(A47,Wine1!A:Y,25,FALSE),0)</f>
        <v>2028</v>
      </c>
      <c r="I47" s="37">
        <f>COUNTIF(Drank!A:A,Agibility!A47)</f>
        <v>0</v>
      </c>
      <c r="J47" s="37">
        <f>IFERROR(AVERAGEIF(Drank!A:A,Agibility!A47,Drank!P:P),0)</f>
        <v>0</v>
      </c>
      <c r="K47" s="37">
        <f t="shared" si="1"/>
        <v>2028</v>
      </c>
      <c r="L47" s="37">
        <f t="shared" si="2"/>
        <v>16</v>
      </c>
    </row>
    <row r="48" spans="1:12" x14ac:dyDescent="0.25">
      <c r="A48" s="37" t="s">
        <v>481</v>
      </c>
      <c r="B48" s="37">
        <f>IF(G48&lt;=0,VLOOKUP(A48,Drank!A:D,2,FALSE),VLOOKUP(A48,Wine1!A:D,2,FALSE))</f>
        <v>2016</v>
      </c>
      <c r="C48" s="37" t="str">
        <f>IF(G48&lt;=0,VLOOKUP(A48,Drank!A:D,3,FALSE),VLOOKUP(A48,Wine1!A:D,3,FALSE))</f>
        <v>Domaine La Grangette Saint Joseph</v>
      </c>
      <c r="D48" s="37" t="str">
        <f>IF(G48&lt;=0,VLOOKUP(A48,Drank!A:D,4,FALSE),VLOOKUP(A48,Wine1!A:D,4,FALSE))</f>
        <v>Gigondas la Grangette des Garrigues</v>
      </c>
      <c r="E48" s="8" t="str">
        <f>IF(G48&gt;0,VLOOKUP(A48,Wine1!A:AF,5,FALSE),VLOOKUP(A48,Drank!A:AA,5,FALSE))</f>
        <v>90% Grenache, Mourvèdre, Syrah</v>
      </c>
      <c r="F48" s="8">
        <f>IF(G48&gt;0,VLOOKUP(A48,Wine1!A:AF,32,FALSE),VLOOKUP(Agibility!A48,Drank!A:AA,27,FALSE))</f>
        <v>2</v>
      </c>
      <c r="G48" s="8">
        <f>COUNTIF(Wine1!A:A,Agibility!A48)</f>
        <v>11</v>
      </c>
      <c r="H48" s="37">
        <f>IFERROR(VLOOKUP(A48,Wine1!A:Y,25,FALSE),0)</f>
        <v>2027</v>
      </c>
      <c r="I48" s="37">
        <f>COUNTIF(Drank!A:A,Agibility!A48)</f>
        <v>1</v>
      </c>
      <c r="J48" s="37">
        <f>IFERROR(AVERAGEIF(Drank!A:A,Agibility!A48,Drank!P:P),0)</f>
        <v>2027</v>
      </c>
      <c r="K48" s="37">
        <f t="shared" si="1"/>
        <v>2027</v>
      </c>
      <c r="L48" s="37">
        <f t="shared" si="2"/>
        <v>11</v>
      </c>
    </row>
    <row r="49" spans="1:12" x14ac:dyDescent="0.25">
      <c r="A49" s="37" t="s">
        <v>482</v>
      </c>
      <c r="B49" s="37">
        <f>IF(G49&lt;=0,VLOOKUP(A49,Drank!A:D,2,FALSE),VLOOKUP(A49,Wine1!A:D,2,FALSE))</f>
        <v>2013</v>
      </c>
      <c r="C49" s="37" t="str">
        <f>IF(G49&lt;=0,VLOOKUP(A49,Drank!A:D,3,FALSE),VLOOKUP(A49,Wine1!A:D,3,FALSE))</f>
        <v>Tenuta Carretta</v>
      </c>
      <c r="D49" s="37" t="str">
        <f>IF(G49&lt;=0,VLOOKUP(A49,Drank!A:D,4,FALSE),VLOOKUP(A49,Wine1!A:D,4,FALSE))</f>
        <v>Roero Riserva Bric Paradiso</v>
      </c>
      <c r="E49" s="8" t="str">
        <f>IF(G49&gt;0,VLOOKUP(A49,Wine1!A:AF,5,FALSE),VLOOKUP(A49,Drank!A:AA,5,FALSE))</f>
        <v>100% Nebbiolo</v>
      </c>
      <c r="F49" s="8">
        <f>IF(G49&gt;0,VLOOKUP(A49,Wine1!A:AF,32,FALSE),VLOOKUP(Agibility!A49,Drank!A:AA,27,FALSE))</f>
        <v>2</v>
      </c>
      <c r="G49" s="8">
        <f>COUNTIF(Wine1!A:A,Agibility!A49)</f>
        <v>5</v>
      </c>
      <c r="H49" s="37">
        <f>IFERROR(VLOOKUP(A49,Wine1!A:Y,25,FALSE),0)</f>
        <v>2030</v>
      </c>
      <c r="I49" s="37">
        <f>COUNTIF(Drank!A:A,Agibility!A49)</f>
        <v>1</v>
      </c>
      <c r="J49" s="37">
        <f>IFERROR(AVERAGEIF(Drank!A:A,Agibility!A49,Drank!P:P),0)</f>
        <v>2030</v>
      </c>
      <c r="K49" s="37">
        <f t="shared" si="1"/>
        <v>2030</v>
      </c>
      <c r="L49" s="37">
        <f t="shared" si="2"/>
        <v>17</v>
      </c>
    </row>
    <row r="50" spans="1:12" x14ac:dyDescent="0.25">
      <c r="A50" s="37" t="s">
        <v>459</v>
      </c>
      <c r="B50" s="37">
        <f>IF(G50&lt;=0,VLOOKUP(A50,Drank!A:D,2,FALSE),VLOOKUP(A50,Wine1!A:D,2,FALSE))</f>
        <v>2017</v>
      </c>
      <c r="C50" s="37" t="str">
        <f>IF(G50&lt;=0,VLOOKUP(A50,Drank!A:D,3,FALSE),VLOOKUP(A50,Wine1!A:D,3,FALSE))</f>
        <v>Richard Rottiers</v>
      </c>
      <c r="D50" s="37" t="str">
        <f>IF(G50&lt;=0,VLOOKUP(A50,Drank!A:D,4,FALSE),VLOOKUP(A50,Wine1!A:D,4,FALSE))</f>
        <v>Moulin-Ã -Vent Foudres</v>
      </c>
      <c r="E50" s="8" t="str">
        <f>IF(G50&gt;0,VLOOKUP(A50,Wine1!A:AF,5,FALSE),VLOOKUP(A50,Drank!A:AA,5,FALSE))</f>
        <v>Gamay</v>
      </c>
      <c r="F50" s="8">
        <f>IF(G50&gt;0,VLOOKUP(A50,Wine1!A:AF,32,FALSE),VLOOKUP(Agibility!A50,Drank!A:AA,27,FALSE))</f>
        <v>1</v>
      </c>
      <c r="G50" s="8">
        <f>COUNTIF(Wine1!A:A,Agibility!A50)</f>
        <v>10</v>
      </c>
      <c r="H50" s="37">
        <f>IFERROR(VLOOKUP(A50,Wine1!A:Y,25,FALSE),0)</f>
        <v>2029</v>
      </c>
      <c r="I50" s="37">
        <f>COUNTIF(Drank!A:A,Agibility!A50)</f>
        <v>2</v>
      </c>
      <c r="J50" s="37">
        <f>IFERROR(AVERAGEIF(Drank!A:A,Agibility!A50,Drank!P:P),0)</f>
        <v>2028.5</v>
      </c>
      <c r="K50" s="37">
        <f t="shared" si="1"/>
        <v>2028.5</v>
      </c>
      <c r="L50" s="37">
        <f t="shared" si="2"/>
        <v>11.5</v>
      </c>
    </row>
    <row r="51" spans="1:12" x14ac:dyDescent="0.25">
      <c r="A51" s="37" t="s">
        <v>703</v>
      </c>
      <c r="B51" s="37">
        <f>IF(G51&lt;=0,VLOOKUP(A51,Drank!A:D,2,FALSE),VLOOKUP(A51,Wine1!A:D,2,FALSE))</f>
        <v>2015</v>
      </c>
      <c r="C51" s="37" t="str">
        <f>IF(G51&lt;=0,VLOOKUP(A51,Drank!A:D,3,FALSE),VLOOKUP(A51,Wine1!A:D,3,FALSE))</f>
        <v>Giuseppe Campagnola</v>
      </c>
      <c r="D51" s="37" t="str">
        <f>IF(G51&lt;=0,VLOOKUP(A51,Drank!A:D,4,FALSE),VLOOKUP(A51,Wine1!A:D,4,FALSE))</f>
        <v>Amarone della Valpolicella Classico Vigneti Vallata di Marano</v>
      </c>
      <c r="E51" s="8" t="str">
        <f>IF(G51&gt;0,VLOOKUP(A51,Wine1!A:AF,5,FALSE),VLOOKUP(A51,Drank!A:AA,5,FALSE))</f>
        <v>Amarone Classico</v>
      </c>
      <c r="F51" s="8">
        <f>IF(G51&gt;0,VLOOKUP(A51,Wine1!A:AF,32,FALSE),VLOOKUP(Agibility!A51,Drank!A:AA,27,FALSE))</f>
        <v>3</v>
      </c>
      <c r="G51" s="8">
        <f>COUNTIF(Wine1!A:A,Agibility!A51)</f>
        <v>8</v>
      </c>
      <c r="H51" s="37">
        <f>IFERROR(VLOOKUP(A51,Wine1!A:Y,25,FALSE),0)</f>
        <v>2028</v>
      </c>
      <c r="I51" s="37">
        <f>COUNTIF(Drank!A:A,Agibility!A51)</f>
        <v>1</v>
      </c>
      <c r="J51" s="37">
        <f>IFERROR(AVERAGEIF(Drank!A:A,Agibility!A51,Drank!P:P),0)</f>
        <v>2028</v>
      </c>
      <c r="K51" s="37">
        <f t="shared" si="1"/>
        <v>2028</v>
      </c>
      <c r="L51" s="37">
        <f t="shared" si="2"/>
        <v>13</v>
      </c>
    </row>
    <row r="52" spans="1:12" x14ac:dyDescent="0.25">
      <c r="A52" s="37" t="s">
        <v>934</v>
      </c>
      <c r="B52" s="37">
        <f>IF(G52&lt;=0,VLOOKUP(A52,Drank!A:D,2,FALSE),VLOOKUP(A52,Wine1!A:D,2,FALSE))</f>
        <v>2016</v>
      </c>
      <c r="C52" s="37" t="str">
        <f>IF(G52&lt;=0,VLOOKUP(A52,Drank!A:D,3,FALSE),VLOOKUP(A52,Wine1!A:D,3,FALSE))</f>
        <v>Tour Saint-Michel</v>
      </c>
      <c r="D52" s="37" t="str">
        <f>IF(G52&lt;=0,VLOOKUP(A52,Drank!A:D,4,FALSE),VLOOKUP(A52,Wine1!A:D,4,FALSE))</f>
        <v>Chateauneuf du Pape Cuvee des Deux Soeurs</v>
      </c>
      <c r="E52" s="8" t="str">
        <f>IF(G52&gt;0,VLOOKUP(A52,Wine1!A:AF,5,FALSE),VLOOKUP(A52,Drank!A:AA,5,FALSE))</f>
        <v>90% Grenache, 10% Syrah</v>
      </c>
      <c r="F52" s="8">
        <f>IF(G52&gt;0,VLOOKUP(A52,Wine1!A:AF,32,FALSE),VLOOKUP(Agibility!A52,Drank!A:AA,27,FALSE))</f>
        <v>2</v>
      </c>
      <c r="G52" s="8">
        <f>COUNTIF(Wine1!A:A,Agibility!A52)</f>
        <v>3</v>
      </c>
      <c r="H52" s="37">
        <f>IFERROR(VLOOKUP(A52,Wine1!A:Y,25,FALSE),0)</f>
        <v>2030</v>
      </c>
      <c r="I52" s="37">
        <f>COUNTIF(Drank!A:A,Agibility!A52)</f>
        <v>1</v>
      </c>
      <c r="J52" s="37">
        <f>IFERROR(AVERAGEIF(Drank!A:A,Agibility!A52,Drank!P:P),0)</f>
        <v>2030</v>
      </c>
      <c r="K52" s="37">
        <f t="shared" si="1"/>
        <v>2030</v>
      </c>
      <c r="L52" s="37">
        <f t="shared" si="2"/>
        <v>14</v>
      </c>
    </row>
    <row r="53" spans="1:12" x14ac:dyDescent="0.25">
      <c r="A53" s="37" t="s">
        <v>935</v>
      </c>
      <c r="B53" s="37">
        <f>IF(G53&lt;=0,VLOOKUP(A53,Drank!A:D,2,FALSE),VLOOKUP(A53,Wine1!A:D,2,FALSE))</f>
        <v>2016</v>
      </c>
      <c r="C53" s="37" t="str">
        <f>IF(G53&lt;=0,VLOOKUP(A53,Drank!A:D,3,FALSE),VLOOKUP(A53,Wine1!A:D,3,FALSE))</f>
        <v>Castello Romitorio</v>
      </c>
      <c r="D53" s="37" t="str">
        <f>IF(G53&lt;=0,VLOOKUP(A53,Drank!A:D,4,FALSE),VLOOKUP(A53,Wine1!A:D,4,FALSE))</f>
        <v>Il Toro</v>
      </c>
      <c r="E53" s="8" t="str">
        <f>IF(G53&gt;0,VLOOKUP(A53,Wine1!A:AF,5,FALSE),VLOOKUP(A53,Drank!A:AA,5,FALSE))</f>
        <v>Syrah, Petite Verdot</v>
      </c>
      <c r="F53" s="8">
        <f>IF(G53&gt;0,VLOOKUP(A53,Wine1!A:AF,32,FALSE),VLOOKUP(Agibility!A53,Drank!A:AA,27,FALSE))</f>
        <v>2</v>
      </c>
      <c r="G53" s="8">
        <f>COUNTIF(Wine1!A:A,Agibility!A53)</f>
        <v>3</v>
      </c>
      <c r="H53" s="37">
        <f>IFERROR(VLOOKUP(A53,Wine1!A:Y,25,FALSE),0)</f>
        <v>2030</v>
      </c>
      <c r="I53" s="37">
        <f>COUNTIF(Drank!A:A,Agibility!A53)</f>
        <v>1</v>
      </c>
      <c r="J53" s="37">
        <f>IFERROR(AVERAGEIF(Drank!A:A,Agibility!A53,Drank!P:P),0)</f>
        <v>2030</v>
      </c>
      <c r="K53" s="37">
        <f t="shared" si="1"/>
        <v>2030</v>
      </c>
      <c r="L53" s="37">
        <f t="shared" si="2"/>
        <v>14</v>
      </c>
    </row>
    <row r="54" spans="1:12" x14ac:dyDescent="0.25">
      <c r="A54" s="37" t="s">
        <v>483</v>
      </c>
      <c r="B54" s="37" t="e">
        <f>IF(G54&lt;=0,VLOOKUP(A54,Drank!A:D,2,FALSE),VLOOKUP(A54,Wine1!A:D,2,FALSE))</f>
        <v>#N/A</v>
      </c>
      <c r="C54" s="37" t="e">
        <f>IF(G54&lt;=0,VLOOKUP(A54,Drank!A:D,3,FALSE),VLOOKUP(A54,Wine1!A:D,3,FALSE))</f>
        <v>#N/A</v>
      </c>
      <c r="D54" s="37" t="e">
        <f>IF(G54&lt;=0,VLOOKUP(A54,Drank!A:D,4,FALSE),VLOOKUP(A54,Wine1!A:D,4,FALSE))</f>
        <v>#N/A</v>
      </c>
      <c r="E54" s="8" t="e">
        <f>IF(G54&gt;0,VLOOKUP(A54,Wine1!A:AF,5,FALSE),VLOOKUP(A54,Drank!A:AA,5,FALSE))</f>
        <v>#N/A</v>
      </c>
      <c r="F54" s="8" t="e">
        <f>IF(G54&gt;0,VLOOKUP(A54,Wine1!A:AF,32,FALSE),VLOOKUP(Agibility!A54,Drank!A:AA,27,FALSE))</f>
        <v>#N/A</v>
      </c>
      <c r="G54" s="8">
        <f>COUNTIF(Wine1!A:A,Agibility!A54)</f>
        <v>0</v>
      </c>
      <c r="H54" s="37">
        <f>IFERROR(VLOOKUP(A54,Wine1!A:Y,25,FALSE),0)</f>
        <v>0</v>
      </c>
      <c r="I54" s="37">
        <f>COUNTIF(Drank!A:A,Agibility!A54)</f>
        <v>0</v>
      </c>
      <c r="J54" s="37">
        <f>IFERROR(AVERAGEIF(Drank!A:A,Agibility!A54,Drank!P:P),0)</f>
        <v>0</v>
      </c>
      <c r="K54" s="37">
        <f t="shared" si="1"/>
        <v>0</v>
      </c>
      <c r="L54" s="37" t="str">
        <f t="shared" si="2"/>
        <v xml:space="preserve"> </v>
      </c>
    </row>
    <row r="55" spans="1:12" x14ac:dyDescent="0.25">
      <c r="A55" s="37" t="s">
        <v>484</v>
      </c>
      <c r="B55" s="37">
        <f>IF(G55&lt;=0,VLOOKUP(A55,Drank!A:D,2,FALSE),VLOOKUP(A55,Wine1!A:D,2,FALSE))</f>
        <v>2016</v>
      </c>
      <c r="C55" s="37" t="str">
        <f>IF(G55&lt;=0,VLOOKUP(A55,Drank!A:D,3,FALSE),VLOOKUP(A55,Wine1!A:D,3,FALSE))</f>
        <v>Domaine Saint Damien</v>
      </c>
      <c r="D55" s="37" t="str">
        <f>IF(G55&lt;=0,VLOOKUP(A55,Drank!A:D,4,FALSE),VLOOKUP(A55,Wine1!A:D,4,FALSE))</f>
        <v>Gigondas les Souteyrades</v>
      </c>
      <c r="E55" s="8" t="str">
        <f>IF(G55&gt;0,VLOOKUP(A55,Wine1!A:AF,5,FALSE),VLOOKUP(A55,Drank!A:AA,5,FALSE))</f>
        <v>80% Grenache, 20% Mourvèdre</v>
      </c>
      <c r="F55" s="8">
        <f>IF(G55&gt;0,VLOOKUP(A55,Wine1!A:AF,32,FALSE),VLOOKUP(Agibility!A55,Drank!A:AA,27,FALSE))</f>
        <v>2</v>
      </c>
      <c r="G55" s="8">
        <f>COUNTIF(Wine1!A:A,Agibility!A55)</f>
        <v>4</v>
      </c>
      <c r="H55" s="37">
        <f>IFERROR(VLOOKUP(A55,Wine1!A:Y,25,FALSE),0)</f>
        <v>2030</v>
      </c>
      <c r="I55" s="37">
        <f>COUNTIF(Drank!A:A,Agibility!A55)</f>
        <v>0</v>
      </c>
      <c r="J55" s="37">
        <f>IFERROR(AVERAGEIF(Drank!A:A,Agibility!A55,Drank!P:P),0)</f>
        <v>0</v>
      </c>
      <c r="K55" s="37">
        <f t="shared" si="1"/>
        <v>2030</v>
      </c>
      <c r="L55" s="37">
        <f t="shared" si="2"/>
        <v>14</v>
      </c>
    </row>
    <row r="56" spans="1:12" x14ac:dyDescent="0.25">
      <c r="A56" s="37" t="s">
        <v>485</v>
      </c>
      <c r="B56" s="37">
        <f>IF(G56&lt;=0,VLOOKUP(A56,Drank!A:D,2,FALSE),VLOOKUP(A56,Wine1!A:D,2,FALSE))</f>
        <v>2008</v>
      </c>
      <c r="C56" s="37" t="str">
        <f>IF(G56&lt;=0,VLOOKUP(A56,Drank!A:D,3,FALSE),VLOOKUP(A56,Wine1!A:D,3,FALSE))</f>
        <v>Piper-Heidsieck</v>
      </c>
      <c r="D56" s="37" t="str">
        <f>IF(G56&lt;=0,VLOOKUP(A56,Drank!A:D,4,FALSE),VLOOKUP(A56,Wine1!A:D,4,FALSE))</f>
        <v>Vintage Brut</v>
      </c>
      <c r="E56" s="8" t="str">
        <f>IF(G56&gt;0,VLOOKUP(A56,Wine1!A:AF,5,FALSE),VLOOKUP(A56,Drank!A:AA,5,FALSE))</f>
        <v>Champagne</v>
      </c>
      <c r="F56" s="8">
        <f>IF(G56&gt;0,VLOOKUP(A56,Wine1!A:AF,32,FALSE),VLOOKUP(Agibility!A56,Drank!A:AA,27,FALSE))</f>
        <v>3</v>
      </c>
      <c r="G56" s="8">
        <f>COUNTIF(Wine1!A:A,Agibility!A56)</f>
        <v>1</v>
      </c>
      <c r="H56" s="37">
        <f>IFERROR(VLOOKUP(A56,Wine1!A:Y,25,FALSE),0)</f>
        <v>0</v>
      </c>
      <c r="I56" s="37">
        <f>COUNTIF(Drank!A:A,Agibility!A56)</f>
        <v>1</v>
      </c>
      <c r="J56" s="37">
        <f>IFERROR(AVERAGEIF(Drank!A:A,Agibility!A56,Drank!P:P),0)</f>
        <v>0</v>
      </c>
      <c r="K56" s="37">
        <f t="shared" si="1"/>
        <v>0</v>
      </c>
      <c r="L56" s="37" t="str">
        <f t="shared" si="2"/>
        <v xml:space="preserve"> </v>
      </c>
    </row>
    <row r="57" spans="1:12" x14ac:dyDescent="0.25">
      <c r="A57" s="37" t="s">
        <v>426</v>
      </c>
      <c r="B57" s="37">
        <f>IF(G57&lt;=0,VLOOKUP(A57,Drank!A:D,2,FALSE),VLOOKUP(A57,Wine1!A:D,2,FALSE))</f>
        <v>2015</v>
      </c>
      <c r="C57" s="37" t="str">
        <f>IF(G57&lt;=0,VLOOKUP(A57,Drank!A:D,3,FALSE),VLOOKUP(A57,Wine1!A:D,3,FALSE))</f>
        <v>Tenuta di Nozzole</v>
      </c>
      <c r="D57" s="37" t="str">
        <f>IF(G57&lt;=0,VLOOKUP(A57,Drank!A:D,4,FALSE),VLOOKUP(A57,Wine1!A:D,4,FALSE))</f>
        <v>Chianti Classico Riserva Nozzole</v>
      </c>
      <c r="E57" s="8" t="str">
        <f>IF(G57&gt;0,VLOOKUP(A57,Wine1!A:AF,5,FALSE),VLOOKUP(A57,Drank!A:AA,5,FALSE))</f>
        <v>Sangiovese Blend</v>
      </c>
      <c r="F57" s="8">
        <f>IF(G57&gt;0,VLOOKUP(A57,Wine1!A:AF,32,FALSE),VLOOKUP(Agibility!A57,Drank!A:AA,27,FALSE))</f>
        <v>2</v>
      </c>
      <c r="G57" s="8">
        <f>COUNTIF(Wine1!A:A,Agibility!A57)</f>
        <v>4</v>
      </c>
      <c r="H57" s="37">
        <f>IFERROR(VLOOKUP(A57,Wine1!A:Y,25,FALSE),0)</f>
        <v>2030</v>
      </c>
      <c r="I57" s="37">
        <f>COUNTIF(Drank!A:A,Agibility!A57)</f>
        <v>6</v>
      </c>
      <c r="J57" s="37">
        <f>IFERROR(AVERAGEIF(Drank!A:A,Agibility!A57,Drank!P:P),0)</f>
        <v>2028.3333333333333</v>
      </c>
      <c r="K57" s="37">
        <f t="shared" si="1"/>
        <v>2028.3333333333333</v>
      </c>
      <c r="L57" s="37">
        <f t="shared" si="2"/>
        <v>13.333333333333258</v>
      </c>
    </row>
    <row r="58" spans="1:12" x14ac:dyDescent="0.25">
      <c r="A58" s="37" t="s">
        <v>487</v>
      </c>
      <c r="B58" s="37">
        <f>IF(G58&lt;=0,VLOOKUP(A58,Drank!A:D,2,FALSE),VLOOKUP(A58,Wine1!A:D,2,FALSE))</f>
        <v>2013</v>
      </c>
      <c r="C58" s="37" t="str">
        <f>IF(G58&lt;=0,VLOOKUP(A58,Drank!A:D,3,FALSE),VLOOKUP(A58,Wine1!A:D,3,FALSE))</f>
        <v>Elia Palazzesi</v>
      </c>
      <c r="D58" s="37" t="str">
        <f>IF(G58&lt;=0,VLOOKUP(A58,Drank!A:D,4,FALSE),VLOOKUP(A58,Wine1!A:D,4,FALSE))</f>
        <v>Brunello di Montalcino</v>
      </c>
      <c r="E58" s="8" t="str">
        <f>IF(G58&gt;0,VLOOKUP(A58,Wine1!A:AF,5,FALSE),VLOOKUP(A58,Drank!A:AA,5,FALSE))</f>
        <v>100% Sangiovese</v>
      </c>
      <c r="F58" s="8">
        <f>IF(G58&gt;0,VLOOKUP(A58,Wine1!A:AF,32,FALSE),VLOOKUP(Agibility!A58,Drank!A:AA,27,FALSE))</f>
        <v>3</v>
      </c>
      <c r="G58" s="8">
        <f>COUNTIF(Wine1!A:A,Agibility!A58)</f>
        <v>3</v>
      </c>
      <c r="H58" s="37">
        <f>IFERROR(VLOOKUP(A58,Wine1!A:Y,25,FALSE),0)</f>
        <v>2028</v>
      </c>
      <c r="I58" s="37">
        <f>COUNTIF(Drank!A:A,Agibility!A58)</f>
        <v>1</v>
      </c>
      <c r="J58" s="37">
        <f>IFERROR(AVERAGEIF(Drank!A:A,Agibility!A58,Drank!P:P),0)</f>
        <v>2028</v>
      </c>
      <c r="K58" s="37">
        <f t="shared" si="1"/>
        <v>2028</v>
      </c>
      <c r="L58" s="37">
        <f t="shared" si="2"/>
        <v>15</v>
      </c>
    </row>
    <row r="59" spans="1:12" x14ac:dyDescent="0.25">
      <c r="A59" s="37" t="s">
        <v>704</v>
      </c>
      <c r="B59" s="37">
        <f>IF(G59&lt;=0,VLOOKUP(A59,Drank!A:D,2,FALSE),VLOOKUP(A59,Wine1!A:D,2,FALSE))</f>
        <v>2013</v>
      </c>
      <c r="C59" s="37" t="str">
        <f>IF(G59&lt;=0,VLOOKUP(A59,Drank!A:D,3,FALSE),VLOOKUP(A59,Wine1!A:D,3,FALSE))</f>
        <v>Castello Romitorio</v>
      </c>
      <c r="D59" s="37" t="str">
        <f>IF(G59&lt;=0,VLOOKUP(A59,Drank!A:D,4,FALSE),VLOOKUP(A59,Wine1!A:D,4,FALSE))</f>
        <v>Brunello di Montalcino</v>
      </c>
      <c r="E59" s="8" t="str">
        <f>IF(G59&gt;0,VLOOKUP(A59,Wine1!A:AF,5,FALSE),VLOOKUP(A59,Drank!A:AA,5,FALSE))</f>
        <v>100% Sangiovese</v>
      </c>
      <c r="F59" s="8">
        <f>IF(G59&gt;0,VLOOKUP(A59,Wine1!A:AF,32,FALSE),VLOOKUP(Agibility!A59,Drank!A:AA,27,FALSE))</f>
        <v>3</v>
      </c>
      <c r="G59" s="8">
        <f>COUNTIF(Wine1!A:A,Agibility!A59)</f>
        <v>2</v>
      </c>
      <c r="H59" s="37">
        <f>IFERROR(VLOOKUP(A59,Wine1!A:Y,25,FALSE),0)</f>
        <v>2032</v>
      </c>
      <c r="I59" s="37">
        <f>COUNTIF(Drank!A:A,Agibility!A59)</f>
        <v>1</v>
      </c>
      <c r="J59" s="37">
        <f>IFERROR(AVERAGEIF(Drank!A:A,Agibility!A59,Drank!P:P),0)</f>
        <v>2032</v>
      </c>
      <c r="K59" s="37">
        <f t="shared" si="1"/>
        <v>2032</v>
      </c>
      <c r="L59" s="37">
        <f t="shared" si="2"/>
        <v>19</v>
      </c>
    </row>
    <row r="60" spans="1:12" x14ac:dyDescent="0.25">
      <c r="A60" s="37" t="s">
        <v>488</v>
      </c>
      <c r="B60" s="37">
        <f>IF(G60&lt;=0,VLOOKUP(A60,Drank!A:D,2,FALSE),VLOOKUP(A60,Wine1!A:D,2,FALSE))</f>
        <v>2013</v>
      </c>
      <c r="C60" s="37" t="str">
        <f>IF(G60&lt;=0,VLOOKUP(A60,Drank!A:D,3,FALSE),VLOOKUP(A60,Wine1!A:D,3,FALSE))</f>
        <v>Cortonesi</v>
      </c>
      <c r="D60" s="37" t="str">
        <f>IF(G60&lt;=0,VLOOKUP(A60,Drank!A:D,4,FALSE),VLOOKUP(A60,Wine1!A:D,4,FALSE))</f>
        <v>Brunello di Montalcino La Mannella</v>
      </c>
      <c r="E60" s="8" t="str">
        <f>IF(G60&gt;0,VLOOKUP(A60,Wine1!A:AF,5,FALSE),VLOOKUP(A60,Drank!A:AA,5,FALSE))</f>
        <v>100% Sangiovese</v>
      </c>
      <c r="F60" s="8">
        <f>IF(G60&gt;0,VLOOKUP(A60,Wine1!A:AF,32,FALSE),VLOOKUP(Agibility!A60,Drank!A:AA,27,FALSE))</f>
        <v>3</v>
      </c>
      <c r="G60" s="8">
        <f>COUNTIF(Wine1!A:A,Agibility!A60)</f>
        <v>5</v>
      </c>
      <c r="H60" s="37">
        <f>IFERROR(VLOOKUP(A60,Wine1!A:Y,25,FALSE),0)</f>
        <v>2030</v>
      </c>
      <c r="I60" s="37">
        <f>COUNTIF(Drank!A:A,Agibility!A60)</f>
        <v>1</v>
      </c>
      <c r="J60" s="37">
        <f>IFERROR(AVERAGEIF(Drank!A:A,Agibility!A60,Drank!P:P),0)</f>
        <v>2030</v>
      </c>
      <c r="K60" s="37">
        <f t="shared" si="1"/>
        <v>2030</v>
      </c>
      <c r="L60" s="37">
        <f t="shared" si="2"/>
        <v>17</v>
      </c>
    </row>
    <row r="61" spans="1:12" x14ac:dyDescent="0.25">
      <c r="A61" s="37" t="s">
        <v>705</v>
      </c>
      <c r="B61" s="37">
        <f>IF(G61&lt;=0,VLOOKUP(A61,Drank!A:D,2,FALSE),VLOOKUP(A61,Wine1!A:D,2,FALSE))</f>
        <v>2014</v>
      </c>
      <c r="C61" s="37" t="str">
        <f>IF(G61&lt;=0,VLOOKUP(A61,Drank!A:D,3,FALSE),VLOOKUP(A61,Wine1!A:D,3,FALSE))</f>
        <v>Casanova di Neri</v>
      </c>
      <c r="D61" s="37" t="str">
        <f>IF(G61&lt;=0,VLOOKUP(A61,Drank!A:D,4,FALSE),VLOOKUP(A61,Wine1!A:D,4,FALSE))</f>
        <v>Brunello di Montalcino</v>
      </c>
      <c r="E61" s="8" t="str">
        <f>IF(G61&gt;0,VLOOKUP(A61,Wine1!A:AF,5,FALSE),VLOOKUP(A61,Drank!A:AA,5,FALSE))</f>
        <v>Sangiovese</v>
      </c>
      <c r="F61" s="8">
        <f>IF(G61&gt;0,VLOOKUP(A61,Wine1!A:AF,32,FALSE),VLOOKUP(Agibility!A61,Drank!A:AA,27,FALSE))</f>
        <v>3</v>
      </c>
      <c r="G61" s="8">
        <f>COUNTIF(Wine1!A:A,Agibility!A61)</f>
        <v>4</v>
      </c>
      <c r="H61" s="37">
        <f>IFERROR(VLOOKUP(A61,Wine1!A:Y,25,FALSE),0)</f>
        <v>2033</v>
      </c>
      <c r="I61" s="37">
        <f>COUNTIF(Drank!A:A,Agibility!A61)</f>
        <v>0</v>
      </c>
      <c r="J61" s="37">
        <f>IFERROR(AVERAGEIF(Drank!A:A,Agibility!A61,Drank!P:P),0)</f>
        <v>0</v>
      </c>
      <c r="K61" s="37">
        <f t="shared" si="1"/>
        <v>2033</v>
      </c>
      <c r="L61" s="37">
        <f t="shared" si="2"/>
        <v>19</v>
      </c>
    </row>
    <row r="62" spans="1:12" x14ac:dyDescent="0.25">
      <c r="A62" s="37" t="s">
        <v>456</v>
      </c>
      <c r="B62" s="37">
        <f>IF(G62&lt;=0,VLOOKUP(A62,Drank!A:D,2,FALSE),VLOOKUP(A62,Wine1!A:D,2,FALSE))</f>
        <v>2017</v>
      </c>
      <c r="C62" s="37" t="str">
        <f>IF(G62&lt;=0,VLOOKUP(A62,Drank!A:D,3,FALSE),VLOOKUP(A62,Wine1!A:D,3,FALSE))</f>
        <v>Sichel</v>
      </c>
      <c r="D62" s="37" t="str">
        <f>IF(G62&lt;=0,VLOOKUP(A62,Drank!A:D,4,FALSE),VLOOKUP(A62,Wine1!A:D,4,FALSE))</f>
        <v>Sichel</v>
      </c>
      <c r="E62" s="8" t="str">
        <f>IF(G62&gt;0,VLOOKUP(A62,Wine1!A:AF,5,FALSE),VLOOKUP(A62,Drank!A:AA,5,FALSE))</f>
        <v>70% Semillon, 30% Sauvignon Blanc</v>
      </c>
      <c r="F62" s="8">
        <f>IF(G62&gt;0,VLOOKUP(A62,Wine1!A:AF,32,FALSE),VLOOKUP(Agibility!A62,Drank!A:AA,27,FALSE))</f>
        <v>2</v>
      </c>
      <c r="G62" s="8">
        <f>COUNTIF(Wine1!A:A,Agibility!A62)</f>
        <v>20</v>
      </c>
      <c r="H62" s="37">
        <f>IFERROR(VLOOKUP(A62,Wine1!A:Y,25,FALSE),0)</f>
        <v>2025</v>
      </c>
      <c r="I62" s="37">
        <f>COUNTIF(Drank!A:A,Agibility!A62)</f>
        <v>10</v>
      </c>
      <c r="J62" s="37">
        <f>IFERROR(AVERAGEIF(Drank!A:A,Agibility!A62,Drank!P:P),0)</f>
        <v>2035</v>
      </c>
      <c r="K62" s="37">
        <f t="shared" si="1"/>
        <v>2035</v>
      </c>
      <c r="L62" s="37">
        <f t="shared" si="2"/>
        <v>18</v>
      </c>
    </row>
    <row r="63" spans="1:12" x14ac:dyDescent="0.25">
      <c r="A63" s="37" t="s">
        <v>489</v>
      </c>
      <c r="B63" s="37">
        <f>IF(G63&lt;=0,VLOOKUP(A63,Drank!A:D,2,FALSE),VLOOKUP(A63,Wine1!A:D,2,FALSE))</f>
        <v>2009</v>
      </c>
      <c r="C63" s="37" t="str">
        <f>IF(G63&lt;=0,VLOOKUP(A63,Drank!A:D,3,FALSE),VLOOKUP(A63,Wine1!A:D,3,FALSE))</f>
        <v>Masi</v>
      </c>
      <c r="D63" s="37" t="str">
        <f>IF(G63&lt;=0,VLOOKUP(A63,Drank!A:D,4,FALSE),VLOOKUP(A63,Wine1!A:D,4,FALSE))</f>
        <v>Amarone della Valpolicella Classico Campolongo di Torbe</v>
      </c>
      <c r="E63" s="8" t="str">
        <f>IF(G63&gt;0,VLOOKUP(A63,Wine1!A:AF,5,FALSE),VLOOKUP(A63,Drank!A:AA,5,FALSE))</f>
        <v>Amarone Classico</v>
      </c>
      <c r="F63" s="8">
        <f>IF(G63&gt;0,VLOOKUP(A63,Wine1!A:AF,32,FALSE),VLOOKUP(Agibility!A63,Drank!A:AA,27,FALSE))</f>
        <v>4</v>
      </c>
      <c r="G63" s="8">
        <f>COUNTIF(Wine1!A:A,Agibility!A63)</f>
        <v>2</v>
      </c>
      <c r="H63" s="37">
        <f>IFERROR(VLOOKUP(A63,Wine1!A:Y,25,FALSE),0)</f>
        <v>2035</v>
      </c>
      <c r="I63" s="37">
        <f>COUNTIF(Drank!A:A,Agibility!A63)</f>
        <v>0</v>
      </c>
      <c r="J63" s="37">
        <f>IFERROR(AVERAGEIF(Drank!A:A,Agibility!A63,Drank!P:P),0)</f>
        <v>0</v>
      </c>
      <c r="K63" s="37">
        <f t="shared" si="1"/>
        <v>2035</v>
      </c>
      <c r="L63" s="37">
        <f t="shared" si="2"/>
        <v>26</v>
      </c>
    </row>
    <row r="64" spans="1:12" x14ac:dyDescent="0.25">
      <c r="A64" s="37" t="s">
        <v>1277</v>
      </c>
      <c r="B64" s="37">
        <f>IF(G64&lt;=0,VLOOKUP(A64,Drank!A:D,2,FALSE),VLOOKUP(A64,Wine1!A:D,2,FALSE))</f>
        <v>2010</v>
      </c>
      <c r="C64" s="37" t="str">
        <f>IF(G64&lt;=0,VLOOKUP(A64,Drank!A:D,3,FALSE),VLOOKUP(A64,Wine1!A:D,3,FALSE))</f>
        <v>La Rioja Alta</v>
      </c>
      <c r="D64" s="37" t="str">
        <f>IF(G64&lt;=0,VLOOKUP(A64,Drank!A:D,4,FALSE),VLOOKUP(A64,Wine1!A:D,4,FALSE))</f>
        <v>Viña Ardanza Selección Especial</v>
      </c>
      <c r="E64" s="8" t="str">
        <f>IF(G64&gt;0,VLOOKUP(A64,Wine1!A:AF,5,FALSE),VLOOKUP(A64,Drank!A:AA,5,FALSE))</f>
        <v>80% Tempranillo, 20% Grenache</v>
      </c>
      <c r="F64" s="8">
        <f>IF(G64&gt;0,VLOOKUP(A64,Wine1!A:AF,32,FALSE),VLOOKUP(Agibility!A64,Drank!A:AA,27,FALSE))</f>
        <v>3</v>
      </c>
      <c r="G64" s="8">
        <f>COUNTIF(Wine1!A:A,Agibility!A64)</f>
        <v>3</v>
      </c>
      <c r="H64" s="37">
        <f>IFERROR(VLOOKUP(A64,Wine1!A:Y,25,FALSE),0)</f>
        <v>2035</v>
      </c>
      <c r="I64" s="37">
        <f>COUNTIF(Drank!A:A,Agibility!A64)</f>
        <v>1</v>
      </c>
      <c r="J64" s="37">
        <f>IFERROR(AVERAGEIF(Drank!A:A,Agibility!A64,Drank!P:P),0)</f>
        <v>2035</v>
      </c>
      <c r="K64" s="37">
        <f t="shared" si="1"/>
        <v>2035</v>
      </c>
      <c r="L64" s="37">
        <f t="shared" si="2"/>
        <v>25</v>
      </c>
    </row>
    <row r="65" spans="1:12" x14ac:dyDescent="0.25">
      <c r="A65" s="37" t="s">
        <v>936</v>
      </c>
      <c r="B65" s="37">
        <f>IF(G65&lt;=0,VLOOKUP(A65,Drank!A:D,2,FALSE),VLOOKUP(A65,Wine1!A:D,2,FALSE))</f>
        <v>2016</v>
      </c>
      <c r="C65" s="37" t="str">
        <f>IF(G65&lt;=0,VLOOKUP(A65,Drank!A:D,3,FALSE),VLOOKUP(A65,Wine1!A:D,3,FALSE))</f>
        <v>Clos du Roy</v>
      </c>
      <c r="D65" s="37" t="str">
        <f>IF(G65&lt;=0,VLOOKUP(A65,Drank!A:D,4,FALSE),VLOOKUP(A65,Wine1!A:D,4,FALSE))</f>
        <v>Clos du Roy</v>
      </c>
      <c r="E65" s="8" t="str">
        <f>IF(G65&gt;0,VLOOKUP(A65,Wine1!A:AF,5,FALSE),VLOOKUP(A65,Drank!A:AA,5,FALSE))</f>
        <v>90% Merlot, 5% Cabernet Franc, 5% Cabernet Sauvignon</v>
      </c>
      <c r="F65" s="8">
        <f>IF(G65&gt;0,VLOOKUP(A65,Wine1!A:AF,32,FALSE),VLOOKUP(Agibility!A65,Drank!A:AA,27,FALSE))</f>
        <v>2</v>
      </c>
      <c r="G65" s="8">
        <f>COUNTIF(Wine1!A:A,Agibility!A65)</f>
        <v>15</v>
      </c>
      <c r="H65" s="37">
        <f>IFERROR(VLOOKUP(A65,Wine1!A:Y,25,FALSE),0)</f>
        <v>2045</v>
      </c>
      <c r="I65" s="37">
        <f>COUNTIF(Drank!A:A,Agibility!A65)</f>
        <v>1</v>
      </c>
      <c r="J65" s="37">
        <f>IFERROR(AVERAGEIF(Drank!A:A,Agibility!A65,Drank!P:P),0)</f>
        <v>2045</v>
      </c>
      <c r="K65" s="37">
        <f t="shared" si="1"/>
        <v>2045</v>
      </c>
      <c r="L65" s="37">
        <f t="shared" si="2"/>
        <v>29</v>
      </c>
    </row>
    <row r="66" spans="1:12" x14ac:dyDescent="0.25">
      <c r="A66" s="37" t="s">
        <v>937</v>
      </c>
      <c r="B66" s="37" t="e">
        <f>IF(G66&lt;=0,VLOOKUP(A66,Drank!A:D,2,FALSE),VLOOKUP(A66,Wine1!A:D,2,FALSE))</f>
        <v>#N/A</v>
      </c>
      <c r="C66" s="37" t="e">
        <f>IF(G66&lt;=0,VLOOKUP(A66,Drank!A:D,3,FALSE),VLOOKUP(A66,Wine1!A:D,3,FALSE))</f>
        <v>#N/A</v>
      </c>
      <c r="D66" s="37" t="e">
        <f>IF(G66&lt;=0,VLOOKUP(A66,Drank!A:D,4,FALSE),VLOOKUP(A66,Wine1!A:D,4,FALSE))</f>
        <v>#N/A</v>
      </c>
      <c r="E66" s="8" t="e">
        <f>IF(G66&gt;0,VLOOKUP(A66,Wine1!A:AF,5,FALSE),VLOOKUP(A66,Drank!A:AA,5,FALSE))</f>
        <v>#N/A</v>
      </c>
      <c r="F66" s="8" t="e">
        <f>IF(G66&gt;0,VLOOKUP(A66,Wine1!A:AF,32,FALSE),VLOOKUP(Agibility!A66,Drank!A:AA,27,FALSE))</f>
        <v>#N/A</v>
      </c>
      <c r="G66" s="8">
        <f>COUNTIF(Wine1!A:A,Agibility!A66)</f>
        <v>0</v>
      </c>
      <c r="H66" s="37">
        <f>IFERROR(VLOOKUP(A66,Wine1!A:Y,25,FALSE),0)</f>
        <v>0</v>
      </c>
      <c r="I66" s="37">
        <f>COUNTIF(Drank!A:A,Agibility!A66)</f>
        <v>0</v>
      </c>
      <c r="J66" s="37">
        <f>IFERROR(AVERAGEIF(Drank!A:A,Agibility!A66,Drank!P:P),0)</f>
        <v>0</v>
      </c>
      <c r="K66" s="37">
        <f t="shared" si="1"/>
        <v>0</v>
      </c>
      <c r="L66" s="37" t="str">
        <f>IF(K66&gt;0,K66-B66," ")</f>
        <v xml:space="preserve"> </v>
      </c>
    </row>
    <row r="67" spans="1:12" x14ac:dyDescent="0.25">
      <c r="A67" s="37" t="s">
        <v>490</v>
      </c>
      <c r="B67" s="37">
        <f>IF(G67&lt;=0,VLOOKUP(A67,Drank!A:D,2,FALSE),VLOOKUP(A67,Wine1!A:D,2,FALSE))</f>
        <v>2000</v>
      </c>
      <c r="C67" s="37" t="str">
        <f>IF(G67&lt;=0,VLOOKUP(A67,Drank!A:D,3,FALSE),VLOOKUP(A67,Wine1!A:D,3,FALSE))</f>
        <v>Fonseca</v>
      </c>
      <c r="D67" s="37" t="str">
        <f>IF(G67&lt;=0,VLOOKUP(A67,Drank!A:D,4,FALSE),VLOOKUP(A67,Wine1!A:D,4,FALSE))</f>
        <v>Vintage Port</v>
      </c>
      <c r="E67" s="8" t="str">
        <f>IF(G67&gt;0,VLOOKUP(A67,Wine1!A:AF,5,FALSE),VLOOKUP(A67,Drank!A:AA,5,FALSE))</f>
        <v>Port</v>
      </c>
      <c r="F67" s="8">
        <f>IF(G67&gt;0,VLOOKUP(A67,Wine1!A:AF,32,FALSE),VLOOKUP(Agibility!A67,Drank!A:AA,27,FALSE))</f>
        <v>4</v>
      </c>
      <c r="G67" s="8">
        <f>COUNTIF(Wine1!A:A,Agibility!A67)</f>
        <v>1</v>
      </c>
      <c r="H67" s="37">
        <f>IFERROR(VLOOKUP(A67,Wine1!A:Y,25,FALSE),0)</f>
        <v>2060</v>
      </c>
      <c r="I67" s="37">
        <f>COUNTIF(Drank!A:A,Agibility!A67)</f>
        <v>0</v>
      </c>
      <c r="J67" s="37">
        <f>IFERROR(AVERAGEIF(Drank!A:A,Agibility!A67,Drank!P:P),0)</f>
        <v>0</v>
      </c>
      <c r="K67" s="37">
        <f t="shared" ref="K67:K131" si="3">IF(J67&gt;0,J67,H67)</f>
        <v>2060</v>
      </c>
      <c r="L67" s="37">
        <f t="shared" ref="L67:L131" si="4">IF(K67&gt;0,K67-B67," ")</f>
        <v>60</v>
      </c>
    </row>
    <row r="68" spans="1:12" x14ac:dyDescent="0.25">
      <c r="A68" s="37" t="s">
        <v>492</v>
      </c>
      <c r="B68" s="37">
        <f>IF(G68&lt;=0,VLOOKUP(A68,Drank!A:D,2,FALSE),VLOOKUP(A68,Wine1!A:D,2,FALSE))</f>
        <v>2004</v>
      </c>
      <c r="C68" s="37" t="str">
        <f>IF(G68&lt;=0,VLOOKUP(A68,Drank!A:D,3,FALSE),VLOOKUP(A68,Wine1!A:D,3,FALSE))</f>
        <v>Corte Pavone</v>
      </c>
      <c r="D68" s="37" t="str">
        <f>IF(G68&lt;=0,VLOOKUP(A68,Drank!A:D,4,FALSE),VLOOKUP(A68,Wine1!A:D,4,FALSE))</f>
        <v>Brunello di Montalcino Riserva</v>
      </c>
      <c r="E68" s="8" t="str">
        <f>IF(G68&gt;0,VLOOKUP(A68,Wine1!A:AF,5,FALSE),VLOOKUP(A68,Drank!A:AA,5,FALSE))</f>
        <v>Sangiovese</v>
      </c>
      <c r="F68" s="8">
        <f>IF(G68&gt;0,VLOOKUP(A68,Wine1!A:AF,32,FALSE),VLOOKUP(Agibility!A68,Drank!A:AA,27,FALSE))</f>
        <v>3</v>
      </c>
      <c r="G68" s="8">
        <f>COUNTIF(Wine1!A:A,Agibility!A68)</f>
        <v>1</v>
      </c>
      <c r="H68" s="37">
        <f>IFERROR(VLOOKUP(A68,Wine1!A:Y,25,FALSE),0)</f>
        <v>2022</v>
      </c>
      <c r="I68" s="37">
        <f>COUNTIF(Drank!A:A,Agibility!A68)</f>
        <v>0</v>
      </c>
      <c r="J68" s="37">
        <f>IFERROR(AVERAGEIF(Drank!A:A,Agibility!A68,Drank!P:P),0)</f>
        <v>0</v>
      </c>
      <c r="K68" s="37">
        <f t="shared" si="3"/>
        <v>2022</v>
      </c>
      <c r="L68" s="37">
        <f t="shared" si="4"/>
        <v>18</v>
      </c>
    </row>
    <row r="69" spans="1:12" x14ac:dyDescent="0.25">
      <c r="A69" s="37" t="s">
        <v>706</v>
      </c>
      <c r="B69" s="37">
        <f>IF(G69&lt;=0,VLOOKUP(A69,Drank!A:D,2,FALSE),VLOOKUP(A69,Wine1!A:D,2,FALSE))</f>
        <v>2007</v>
      </c>
      <c r="C69" s="37" t="str">
        <f>IF(G69&lt;=0,VLOOKUP(A69,Drank!A:D,3,FALSE),VLOOKUP(A69,Wine1!A:D,3,FALSE))</f>
        <v>Tommaso Bussola</v>
      </c>
      <c r="D69" s="37" t="str">
        <f>IF(G69&lt;=0,VLOOKUP(A69,Drank!A:D,4,FALSE),VLOOKUP(A69,Wine1!A:D,4,FALSE))</f>
        <v>Amarone della Valpolicella Classico</v>
      </c>
      <c r="E69" s="8" t="str">
        <f>IF(G69&gt;0,VLOOKUP(A69,Wine1!A:AF,5,FALSE),VLOOKUP(A69,Drank!A:AA,5,FALSE))</f>
        <v>Amarone Classico</v>
      </c>
      <c r="F69" s="8">
        <f>IF(G69&gt;0,VLOOKUP(A69,Wine1!A:AF,32,FALSE),VLOOKUP(Agibility!A69,Drank!A:AA,27,FALSE))</f>
        <v>3</v>
      </c>
      <c r="G69" s="8">
        <f>COUNTIF(Wine1!A:A,Agibility!A69)</f>
        <v>1</v>
      </c>
      <c r="H69" s="37">
        <f>IFERROR(VLOOKUP(A69,Wine1!A:Y,25,FALSE),0)</f>
        <v>2022</v>
      </c>
      <c r="I69" s="37">
        <f>COUNTIF(Drank!A:A,Agibility!A69)</f>
        <v>0</v>
      </c>
      <c r="J69" s="37">
        <f>IFERROR(AVERAGEIF(Drank!A:A,Agibility!A69,Drank!P:P),0)</f>
        <v>0</v>
      </c>
      <c r="K69" s="37">
        <f t="shared" si="3"/>
        <v>2022</v>
      </c>
      <c r="L69" s="37">
        <f t="shared" si="4"/>
        <v>15</v>
      </c>
    </row>
    <row r="70" spans="1:12" x14ac:dyDescent="0.25">
      <c r="A70" s="37" t="s">
        <v>1217</v>
      </c>
      <c r="B70" s="37">
        <f>IF(G70&lt;=0,VLOOKUP(A70,Drank!A:D,2,FALSE),VLOOKUP(A70,Wine1!A:D,2,FALSE))</f>
        <v>2016</v>
      </c>
      <c r="C70" s="37" t="str">
        <f>IF(G70&lt;=0,VLOOKUP(A70,Drank!A:D,3,FALSE),VLOOKUP(A70,Wine1!A:D,3,FALSE))</f>
        <v>Diez-Caballero</v>
      </c>
      <c r="D70" s="37" t="str">
        <f>IF(G70&lt;=0,VLOOKUP(A70,Drank!A:D,4,FALSE),VLOOKUP(A70,Wine1!A:D,4,FALSE))</f>
        <v>Crianza</v>
      </c>
      <c r="E70" s="8" t="str">
        <f>IF(G70&gt;0,VLOOKUP(A70,Wine1!A:AF,5,FALSE),VLOOKUP(A70,Drank!A:AA,5,FALSE))</f>
        <v>100% Tempranillo</v>
      </c>
      <c r="F70" s="8">
        <f>IF(G70&gt;0,VLOOKUP(A70,Wine1!A:AF,32,FALSE),VLOOKUP(Agibility!A70,Drank!A:AA,27,FALSE))</f>
        <v>1</v>
      </c>
      <c r="G70" s="8">
        <f>COUNTIF(Wine1!A:A,Agibility!A70)</f>
        <v>3</v>
      </c>
      <c r="H70" s="37">
        <f>IFERROR(VLOOKUP(A70,Wine1!A:Y,25,FALSE),0)</f>
        <v>2022</v>
      </c>
      <c r="I70" s="37">
        <f>COUNTIF(Drank!A:A,Agibility!A70)</f>
        <v>1</v>
      </c>
      <c r="J70" s="37">
        <f>IFERROR(AVERAGEIF(Drank!A:A,Agibility!A70,Drank!P:P),0)</f>
        <v>2022</v>
      </c>
      <c r="K70" s="37">
        <f t="shared" si="3"/>
        <v>2022</v>
      </c>
      <c r="L70" s="37">
        <f t="shared" si="4"/>
        <v>6</v>
      </c>
    </row>
    <row r="71" spans="1:12" x14ac:dyDescent="0.25">
      <c r="A71" s="37" t="s">
        <v>493</v>
      </c>
      <c r="B71" s="37">
        <f>IF(G71&lt;=0,VLOOKUP(A71,Drank!A:D,2,FALSE),VLOOKUP(A71,Wine1!A:D,2,FALSE))</f>
        <v>2014</v>
      </c>
      <c r="C71" s="37" t="str">
        <f>IF(G71&lt;=0,VLOOKUP(A71,Drank!A:D,3,FALSE),VLOOKUP(A71,Wine1!A:D,3,FALSE))</f>
        <v>Muga</v>
      </c>
      <c r="D71" s="37" t="str">
        <f>IF(G71&lt;=0,VLOOKUP(A71,Drank!A:D,4,FALSE),VLOOKUP(A71,Wine1!A:D,4,FALSE))</f>
        <v>Reserva</v>
      </c>
      <c r="E71" s="8" t="str">
        <f>IF(G71&gt;0,VLOOKUP(A71,Wine1!A:AF,5,FALSE),VLOOKUP(A71,Drank!A:AA,5,FALSE))</f>
        <v>Tempranillo Blend</v>
      </c>
      <c r="F71" s="8">
        <f>IF(G71&gt;0,VLOOKUP(A71,Wine1!A:AF,32,FALSE),VLOOKUP(Agibility!A71,Drank!A:AA,27,FALSE))</f>
        <v>2</v>
      </c>
      <c r="G71" s="8">
        <f>COUNTIF(Wine1!A:A,Agibility!A71)</f>
        <v>1</v>
      </c>
      <c r="H71" s="37">
        <f>IFERROR(VLOOKUP(A71,Wine1!A:Y,25,FALSE),0)</f>
        <v>2023</v>
      </c>
      <c r="I71" s="37">
        <f>COUNTIF(Drank!A:A,Agibility!A71)</f>
        <v>0</v>
      </c>
      <c r="J71" s="37">
        <f>IFERROR(AVERAGEIF(Drank!A:A,Agibility!A71,Drank!P:P),0)</f>
        <v>0</v>
      </c>
      <c r="K71" s="37">
        <f t="shared" si="3"/>
        <v>2023</v>
      </c>
      <c r="L71" s="37">
        <f t="shared" si="4"/>
        <v>9</v>
      </c>
    </row>
    <row r="72" spans="1:12" x14ac:dyDescent="0.25">
      <c r="A72" s="37" t="s">
        <v>495</v>
      </c>
      <c r="B72" s="37">
        <f>IF(G72&lt;=0,VLOOKUP(A72,Drank!A:D,2,FALSE),VLOOKUP(A72,Wine1!A:D,2,FALSE))</f>
        <v>2014</v>
      </c>
      <c r="C72" s="37" t="str">
        <f>IF(G72&lt;=0,VLOOKUP(A72,Drank!A:D,3,FALSE),VLOOKUP(A72,Wine1!A:D,3,FALSE))</f>
        <v>Volver</v>
      </c>
      <c r="D72" s="37" t="str">
        <f>IF(G72&lt;=0,VLOOKUP(A72,Drank!A:D,4,FALSE),VLOOKUP(A72,Wine1!A:D,4,FALSE))</f>
        <v>Triga</v>
      </c>
      <c r="E72" s="8" t="str">
        <f>IF(G72&gt;0,VLOOKUP(A72,Wine1!A:AF,5,FALSE),VLOOKUP(A72,Drank!A:AA,5,FALSE))</f>
        <v>Mourvèdre Blend</v>
      </c>
      <c r="F72" s="8">
        <f>IF(G72&gt;0,VLOOKUP(A72,Wine1!A:AF,32,FALSE),VLOOKUP(Agibility!A72,Drank!A:AA,27,FALSE))</f>
        <v>3</v>
      </c>
      <c r="G72" s="8">
        <f>COUNTIF(Wine1!A:A,Agibility!A72)</f>
        <v>1</v>
      </c>
      <c r="H72" s="37">
        <f>IFERROR(VLOOKUP(A72,Wine1!A:Y,25,FALSE),0)</f>
        <v>2024</v>
      </c>
      <c r="I72" s="37">
        <f>COUNTIF(Drank!A:A,Agibility!A72)</f>
        <v>0</v>
      </c>
      <c r="J72" s="37">
        <f>IFERROR(AVERAGEIF(Drank!A:A,Agibility!A72,Drank!P:P),0)</f>
        <v>0</v>
      </c>
      <c r="K72" s="37">
        <f t="shared" si="3"/>
        <v>2024</v>
      </c>
      <c r="L72" s="37">
        <f t="shared" si="4"/>
        <v>10</v>
      </c>
    </row>
    <row r="73" spans="1:12" x14ac:dyDescent="0.25">
      <c r="A73" s="37" t="s">
        <v>496</v>
      </c>
      <c r="B73" s="37">
        <f>IF(G73&lt;=0,VLOOKUP(A73,Drank!A:D,2,FALSE),VLOOKUP(A73,Wine1!A:D,2,FALSE))</f>
        <v>2006</v>
      </c>
      <c r="C73" s="37" t="str">
        <f>IF(G73&lt;=0,VLOOKUP(A73,Drank!A:D,3,FALSE),VLOOKUP(A73,Wine1!A:D,3,FALSE))</f>
        <v>LÃ³pez de Heredia</v>
      </c>
      <c r="D73" s="37" t="str">
        <f>IF(G73&lt;=0,VLOOKUP(A73,Drank!A:D,4,FALSE),VLOOKUP(A73,Wine1!A:D,4,FALSE))</f>
        <v>ViÃ±a Tondonia Reserva</v>
      </c>
      <c r="E73" s="8" t="str">
        <f>IF(G73&gt;0,VLOOKUP(A73,Wine1!A:AF,5,FALSE),VLOOKUP(A73,Drank!A:AA,5,FALSE))</f>
        <v>Tempranillo Blend</v>
      </c>
      <c r="F73" s="8">
        <f>IF(G73&gt;0,VLOOKUP(A73,Wine1!A:AF,32,FALSE),VLOOKUP(Agibility!A73,Drank!A:AA,27,FALSE))</f>
        <v>3</v>
      </c>
      <c r="G73" s="8">
        <f>COUNTIF(Wine1!A:A,Agibility!A73)</f>
        <v>3</v>
      </c>
      <c r="H73" s="37">
        <f>IFERROR(VLOOKUP(A73,Wine1!A:Y,25,FALSE),0)</f>
        <v>2024</v>
      </c>
      <c r="I73" s="37">
        <f>COUNTIF(Drank!A:A,Agibility!A73)</f>
        <v>2</v>
      </c>
      <c r="J73" s="37">
        <f>IFERROR(AVERAGEIF(Drank!A:A,Agibility!A73,Drank!P:P),0)</f>
        <v>2024</v>
      </c>
      <c r="K73" s="37">
        <f t="shared" si="3"/>
        <v>2024</v>
      </c>
      <c r="L73" s="37">
        <f t="shared" si="4"/>
        <v>18</v>
      </c>
    </row>
    <row r="74" spans="1:12" s="37" customFormat="1" x14ac:dyDescent="0.25">
      <c r="A74" s="37" t="s">
        <v>497</v>
      </c>
      <c r="B74" s="37">
        <f>IF(G74&lt;=0,VLOOKUP(A74,Drank!A:D,2,FALSE),VLOOKUP(A74,Wine1!A:D,2,FALSE))</f>
        <v>2012</v>
      </c>
      <c r="C74" s="37" t="str">
        <f>IF(G74&lt;=0,VLOOKUP(A74,Drank!A:D,3,FALSE),VLOOKUP(A74,Wine1!A:D,3,FALSE))</f>
        <v>Chateau de Vaudieu</v>
      </c>
      <c r="D74" s="37" t="str">
        <f>IF(G74&lt;=0,VLOOKUP(A74,Drank!A:D,4,FALSE),VLOOKUP(A74,Wine1!A:D,4,FALSE))</f>
        <v>Chateauneuf du Pape Amiral G</v>
      </c>
      <c r="E74" s="8" t="str">
        <f>IF(G74&gt;0,VLOOKUP(A74,Wine1!A:AF,5,FALSE),VLOOKUP(A74,Drank!A:AA,5,FALSE))</f>
        <v>Grenache</v>
      </c>
      <c r="F74" s="8">
        <f>IF(G74&gt;0,VLOOKUP(A74,Wine1!A:AF,32,FALSE),VLOOKUP(Agibility!A74,Drank!A:AA,27,FALSE))</f>
        <v>4</v>
      </c>
      <c r="G74" s="8">
        <f>COUNTIF(Wine1!A:A,Agibility!A74)</f>
        <v>2</v>
      </c>
      <c r="H74" s="37">
        <f>IFERROR(VLOOKUP(A74,Wine1!A:Y,25,FALSE),0)</f>
        <v>2025</v>
      </c>
      <c r="I74" s="37">
        <f>COUNTIF(Drank!A:A,Agibility!A74)</f>
        <v>0</v>
      </c>
      <c r="J74" s="37">
        <f>IFERROR(AVERAGEIF(Drank!A:A,Agibility!A74,Drank!P:P),0)</f>
        <v>0</v>
      </c>
      <c r="K74" s="37">
        <f t="shared" si="3"/>
        <v>2025</v>
      </c>
      <c r="L74" s="37">
        <f t="shared" si="4"/>
        <v>13</v>
      </c>
    </row>
    <row r="75" spans="1:12" s="37" customFormat="1" x14ac:dyDescent="0.25">
      <c r="A75" s="37" t="s">
        <v>498</v>
      </c>
      <c r="B75" s="37">
        <f>IF(G75&lt;=0,VLOOKUP(A75,Drank!A:D,2,FALSE),VLOOKUP(A75,Wine1!A:D,2,FALSE))</f>
        <v>2014</v>
      </c>
      <c r="C75" s="37" t="str">
        <f>IF(G75&lt;=0,VLOOKUP(A75,Drank!A:D,3,FALSE),VLOOKUP(A75,Wine1!A:D,3,FALSE))</f>
        <v>Leeuwin Estate</v>
      </c>
      <c r="D75" s="37" t="str">
        <f>IF(G75&lt;=0,VLOOKUP(A75,Drank!A:D,4,FALSE),VLOOKUP(A75,Wine1!A:D,4,FALSE))</f>
        <v>Art Series Chardonnay</v>
      </c>
      <c r="E75" s="8" t="str">
        <f>IF(G75&gt;0,VLOOKUP(A75,Wine1!A:AF,5,FALSE),VLOOKUP(A75,Drank!A:AA,5,FALSE))</f>
        <v>Chardonay</v>
      </c>
      <c r="F75" s="8">
        <f>IF(G75&gt;0,VLOOKUP(A75,Wine1!A:AF,32,FALSE),VLOOKUP(Agibility!A75,Drank!A:AA,27,FALSE))</f>
        <v>4</v>
      </c>
      <c r="G75" s="8">
        <f>COUNTIF(Wine1!A:A,Agibility!A75)</f>
        <v>2</v>
      </c>
      <c r="H75" s="37">
        <f>IFERROR(VLOOKUP(A75,Wine1!A:Y,25,FALSE),0)</f>
        <v>2025</v>
      </c>
      <c r="I75" s="37">
        <f>COUNTIF(Drank!A:A,Agibility!A75)</f>
        <v>1</v>
      </c>
      <c r="J75" s="37">
        <f>IFERROR(AVERAGEIF(Drank!A:A,Agibility!A75,Drank!P:P),0)</f>
        <v>2025</v>
      </c>
      <c r="K75" s="37">
        <f>IF(J75&gt;0,J75,H75)</f>
        <v>2025</v>
      </c>
      <c r="L75" s="37">
        <f>IF(K75&gt;0,K75-B75," ")</f>
        <v>11</v>
      </c>
    </row>
    <row r="76" spans="1:12" x14ac:dyDescent="0.25">
      <c r="A76" s="37" t="s">
        <v>443</v>
      </c>
      <c r="B76" s="37">
        <f>IF(G76&lt;=0,VLOOKUP(A76,Drank!A:D,2,FALSE),VLOOKUP(A76,Wine1!A:D,2,FALSE))</f>
        <v>2015</v>
      </c>
      <c r="C76" s="37" t="str">
        <f>IF(G76&lt;=0,VLOOKUP(A76,Drank!A:D,3,FALSE),VLOOKUP(A76,Wine1!A:D,3,FALSE))</f>
        <v>Buty Winery</v>
      </c>
      <c r="D76" s="37" t="str">
        <f>IF(G76&lt;=0,VLOOKUP(A76,Drank!A:D,4,FALSE),VLOOKUP(A76,Wine1!A:D,4,FALSE))</f>
        <v>Rediviva of The Stones</v>
      </c>
      <c r="E76" s="8" t="str">
        <f>IF(G76&gt;0,VLOOKUP(A76,Wine1!A:AF,5,FALSE),VLOOKUP(A76,Drank!A:AA,5,FALSE))</f>
        <v>78% Syrah, 19% Cabernet Sauvignon, 3% Mourvèdre</v>
      </c>
      <c r="F76" s="8">
        <f>IF(G76&gt;0,VLOOKUP(A76,Wine1!A:AF,32,FALSE),VLOOKUP(Agibility!A76,Drank!A:AA,27,FALSE))</f>
        <v>2</v>
      </c>
      <c r="G76" s="8">
        <f>COUNTIF(Wine1!A:A,Agibility!A76)</f>
        <v>3</v>
      </c>
      <c r="H76" s="37">
        <f>IFERROR(VLOOKUP(A76,Wine1!A:Y,25,FALSE),0)</f>
        <v>2025</v>
      </c>
      <c r="I76" s="37">
        <f>COUNTIF(Drank!A:A,Agibility!A76)</f>
        <v>1</v>
      </c>
      <c r="J76" s="37">
        <f>IFERROR(AVERAGEIF(Drank!A:A,Agibility!A76,Drank!P:P),0)</f>
        <v>2025</v>
      </c>
      <c r="K76" s="37">
        <f t="shared" si="3"/>
        <v>2025</v>
      </c>
      <c r="L76" s="37">
        <f t="shared" si="4"/>
        <v>10</v>
      </c>
    </row>
    <row r="77" spans="1:12" x14ac:dyDescent="0.25">
      <c r="A77" s="37" t="s">
        <v>499</v>
      </c>
      <c r="B77" s="37">
        <f>IF(G77&lt;=0,VLOOKUP(A77,Drank!A:D,2,FALSE),VLOOKUP(A77,Wine1!A:D,2,FALSE))</f>
        <v>2015</v>
      </c>
      <c r="C77" s="37" t="str">
        <f>IF(G77&lt;=0,VLOOKUP(A77,Drank!A:D,3,FALSE),VLOOKUP(A77,Wine1!A:D,3,FALSE))</f>
        <v>Domaine du Saint Gens</v>
      </c>
      <c r="D77" s="37" t="str">
        <f>IF(G77&lt;=0,VLOOKUP(A77,Drank!A:D,4,FALSE),VLOOKUP(A77,Wine1!A:D,4,FALSE))</f>
        <v>Gigondas</v>
      </c>
      <c r="E77" s="8" t="str">
        <f>IF(G77&gt;0,VLOOKUP(A77,Wine1!A:AF,5,FALSE),VLOOKUP(A77,Drank!A:AA,5,FALSE))</f>
        <v>Gigondas</v>
      </c>
      <c r="F77" s="8">
        <f>IF(G77&gt;0,VLOOKUP(A77,Wine1!A:AF,32,FALSE),VLOOKUP(Agibility!A77,Drank!A:AA,27,FALSE))</f>
        <v>2</v>
      </c>
      <c r="G77" s="8">
        <f>COUNTIF(Wine1!A:A,Agibility!A77)</f>
        <v>3</v>
      </c>
      <c r="H77" s="37">
        <f>IFERROR(VLOOKUP(A77,Wine1!A:Y,25,FALSE),0)</f>
        <v>2026</v>
      </c>
      <c r="I77" s="37">
        <f>COUNTIF(Drank!A:A,Agibility!A77)</f>
        <v>1</v>
      </c>
      <c r="J77" s="37">
        <f>IFERROR(AVERAGEIF(Drank!A:A,Agibility!A77,Drank!P:P),0)</f>
        <v>2026</v>
      </c>
      <c r="K77" s="37">
        <f t="shared" si="3"/>
        <v>2026</v>
      </c>
      <c r="L77" s="37">
        <f t="shared" si="4"/>
        <v>11</v>
      </c>
    </row>
    <row r="78" spans="1:12" x14ac:dyDescent="0.25">
      <c r="A78" s="37" t="s">
        <v>500</v>
      </c>
      <c r="B78" s="37">
        <f>IF(G78&lt;=0,VLOOKUP(A78,Drank!A:D,2,FALSE),VLOOKUP(A78,Wine1!A:D,2,FALSE))</f>
        <v>2011</v>
      </c>
      <c r="C78" s="37" t="str">
        <f>IF(G78&lt;=0,VLOOKUP(A78,Drank!A:D,3,FALSE),VLOOKUP(A78,Wine1!A:D,3,FALSE))</f>
        <v>Andretta</v>
      </c>
      <c r="D78" s="37" t="str">
        <f>IF(G78&lt;=0,VLOOKUP(A78,Drank!A:D,4,FALSE),VLOOKUP(A78,Wine1!A:D,4,FALSE))</f>
        <v>Brunello di Montalcino Riserva</v>
      </c>
      <c r="E78" s="8" t="str">
        <f>IF(G78&gt;0,VLOOKUP(A78,Wine1!A:AF,5,FALSE),VLOOKUP(A78,Drank!A:AA,5,FALSE))</f>
        <v>Sangiovese</v>
      </c>
      <c r="F78" s="8">
        <f>IF(G78&gt;0,VLOOKUP(A78,Wine1!A:AF,32,FALSE),VLOOKUP(Agibility!A78,Drank!A:AA,27,FALSE))</f>
        <v>3</v>
      </c>
      <c r="G78" s="8">
        <f>COUNTIF(Wine1!A:A,Agibility!A78)</f>
        <v>2</v>
      </c>
      <c r="H78" s="37">
        <f>IFERROR(VLOOKUP(A78,Wine1!A:Y,25,FALSE),0)</f>
        <v>2027</v>
      </c>
      <c r="I78" s="37">
        <f>COUNTIF(Drank!A:A,Agibility!A78)</f>
        <v>0</v>
      </c>
      <c r="J78" s="37">
        <f>IFERROR(AVERAGEIF(Drank!A:A,Agibility!A78,Drank!P:P),0)</f>
        <v>0</v>
      </c>
      <c r="K78" s="37">
        <f t="shared" si="3"/>
        <v>2027</v>
      </c>
      <c r="L78" s="37">
        <f t="shared" si="4"/>
        <v>16</v>
      </c>
    </row>
    <row r="79" spans="1:12" x14ac:dyDescent="0.25">
      <c r="A79" s="37" t="s">
        <v>422</v>
      </c>
      <c r="B79" s="37">
        <f>IF(G79&lt;=0,VLOOKUP(A79,Drank!A:D,2,FALSE),VLOOKUP(A79,Wine1!A:D,2,FALSE))</f>
        <v>2015</v>
      </c>
      <c r="C79" s="37" t="str">
        <f>IF(G79&lt;=0,VLOOKUP(A79,Drank!A:D,3,FALSE),VLOOKUP(A79,Wine1!A:D,3,FALSE))</f>
        <v>Allegrini</v>
      </c>
      <c r="D79" s="37" t="str">
        <f>IF(G79&lt;=0,VLOOKUP(A79,Drank!A:D,4,FALSE),VLOOKUP(A79,Wine1!A:D,4,FALSE))</f>
        <v>Palazzo della Torre</v>
      </c>
      <c r="E79" s="8" t="str">
        <f>IF(G79&gt;0,VLOOKUP(A79,Wine1!A:AF,5,FALSE),VLOOKUP(A79,Drank!A:AA,5,FALSE))</f>
        <v>40% Corvina, 30% Corvinone, 25% Rondinella, 5% Sangiovese</v>
      </c>
      <c r="F79" s="8">
        <f>IF(G79&gt;0,VLOOKUP(A79,Wine1!A:AF,32,FALSE),VLOOKUP(Agibility!A79,Drank!A:AA,27,FALSE))</f>
        <v>2</v>
      </c>
      <c r="G79" s="8">
        <f>COUNTIF(Wine1!A:A,Agibility!A79)</f>
        <v>6</v>
      </c>
      <c r="H79" s="37">
        <f>IFERROR(VLOOKUP(A79,Wine1!A:Y,25,FALSE),0)</f>
        <v>2023</v>
      </c>
      <c r="I79" s="37">
        <f>COUNTIF(Drank!A:A,Agibility!A79)</f>
        <v>11</v>
      </c>
      <c r="J79" s="37">
        <f>IFERROR(AVERAGEIF(Drank!A:A,Agibility!A79,Drank!P:P),0)</f>
        <v>2024.2727272727273</v>
      </c>
      <c r="K79" s="37">
        <f t="shared" si="3"/>
        <v>2024.2727272727273</v>
      </c>
      <c r="L79" s="37">
        <f t="shared" si="4"/>
        <v>9.2727272727272521</v>
      </c>
    </row>
    <row r="80" spans="1:12" x14ac:dyDescent="0.25">
      <c r="A80" s="37" t="s">
        <v>938</v>
      </c>
      <c r="B80" s="37" t="e">
        <f>IF(G80&lt;=0,VLOOKUP(A80,Drank!A:D,2,FALSE),VLOOKUP(A80,Wine1!A:D,2,FALSE))</f>
        <v>#N/A</v>
      </c>
      <c r="C80" s="37" t="e">
        <f>IF(G80&lt;=0,VLOOKUP(A80,Drank!A:D,3,FALSE),VLOOKUP(A80,Wine1!A:D,3,FALSE))</f>
        <v>#N/A</v>
      </c>
      <c r="D80" s="37" t="e">
        <f>IF(G80&lt;=0,VLOOKUP(A80,Drank!A:D,4,FALSE),VLOOKUP(A80,Wine1!A:D,4,FALSE))</f>
        <v>#N/A</v>
      </c>
      <c r="E80" s="8" t="e">
        <f>IF(G80&gt;0,VLOOKUP(A80,Wine1!A:AF,5,FALSE),VLOOKUP(A80,Drank!A:AA,5,FALSE))</f>
        <v>#N/A</v>
      </c>
      <c r="F80" s="8" t="e">
        <f>IF(G80&gt;0,VLOOKUP(A80,Wine1!A:AF,32,FALSE),VLOOKUP(Agibility!A80,Drank!A:AA,27,FALSE))</f>
        <v>#N/A</v>
      </c>
      <c r="G80" s="8">
        <f>COUNTIF(Wine1!A:A,Agibility!A80)</f>
        <v>0</v>
      </c>
      <c r="H80" s="37">
        <f>IFERROR(VLOOKUP(A80,Wine1!A:Y,25,FALSE),0)</f>
        <v>0</v>
      </c>
      <c r="I80" s="37">
        <f>COUNTIF(Drank!A:A,Agibility!A80)</f>
        <v>0</v>
      </c>
      <c r="J80" s="37">
        <f>IFERROR(AVERAGEIF(Drank!A:A,Agibility!A80,Drank!P:P),0)</f>
        <v>0</v>
      </c>
      <c r="K80" s="37">
        <f t="shared" si="3"/>
        <v>0</v>
      </c>
      <c r="L80" s="37" t="str">
        <f t="shared" si="4"/>
        <v xml:space="preserve"> </v>
      </c>
    </row>
    <row r="81" spans="1:12" x14ac:dyDescent="0.25">
      <c r="A81" s="37" t="s">
        <v>939</v>
      </c>
      <c r="B81" s="37">
        <f>IF(G81&lt;=0,VLOOKUP(A81,Drank!A:D,2,FALSE),VLOOKUP(A81,Wine1!A:D,2,FALSE))</f>
        <v>2014</v>
      </c>
      <c r="C81" s="37" t="str">
        <f>IF(G81&lt;=0,VLOOKUP(A81,Drank!A:D,3,FALSE),VLOOKUP(A81,Wine1!A:D,3,FALSE))</f>
        <v>Telmo Rodriguez</v>
      </c>
      <c r="D81" s="37" t="str">
        <f>IF(G81&lt;=0,VLOOKUP(A81,Drank!A:D,4,FALSE),VLOOKUP(A81,Wine1!A:D,4,FALSE))</f>
        <v>Pegaso Barrancos de Pizarra</v>
      </c>
      <c r="E81" s="8" t="str">
        <f>IF(G81&gt;0,VLOOKUP(A81,Wine1!A:AF,5,FALSE),VLOOKUP(A81,Drank!A:AA,5,FALSE))</f>
        <v>100% Grenache</v>
      </c>
      <c r="F81" s="8">
        <f>IF(G81&gt;0,VLOOKUP(A81,Wine1!A:AF,32,FALSE),VLOOKUP(Agibility!A81,Drank!A:AA,27,FALSE))</f>
        <v>2</v>
      </c>
      <c r="G81" s="8">
        <f>COUNTIF(Wine1!A:A,Agibility!A81)</f>
        <v>6</v>
      </c>
      <c r="H81" s="37">
        <f>IFERROR(VLOOKUP(A81,Wine1!A:Y,25,FALSE),0)</f>
        <v>2030</v>
      </c>
      <c r="I81" s="37">
        <f>COUNTIF(Drank!A:A,Agibility!A81)</f>
        <v>0</v>
      </c>
      <c r="J81" s="37">
        <f>IFERROR(AVERAGEIF(Drank!A:A,Agibility!A81,Drank!P:P),0)</f>
        <v>0</v>
      </c>
      <c r="K81" s="37">
        <f t="shared" si="3"/>
        <v>2030</v>
      </c>
      <c r="L81" s="37">
        <f t="shared" si="4"/>
        <v>16</v>
      </c>
    </row>
    <row r="82" spans="1:12" x14ac:dyDescent="0.25">
      <c r="A82" s="37" t="s">
        <v>1278</v>
      </c>
      <c r="B82" s="37">
        <f>IF(G82&lt;=0,VLOOKUP(A82,Drank!A:D,2,FALSE),VLOOKUP(A82,Wine1!A:D,2,FALSE))</f>
        <v>2007</v>
      </c>
      <c r="C82" s="37" t="str">
        <f>IF(G82&lt;=0,VLOOKUP(A82,Drank!A:D,3,FALSE),VLOOKUP(A82,Wine1!A:D,3,FALSE))</f>
        <v>López de Heredia</v>
      </c>
      <c r="D82" s="37" t="str">
        <f>IF(G82&lt;=0,VLOOKUP(A82,Drank!A:D,4,FALSE),VLOOKUP(A82,Wine1!A:D,4,FALSE))</f>
        <v>Viña Tondonia Reserva</v>
      </c>
      <c r="E82" s="8" t="str">
        <f>IF(G82&gt;0,VLOOKUP(A82,Wine1!A:AF,5,FALSE),VLOOKUP(A82,Drank!A:AA,5,FALSE))</f>
        <v>75% Tempranillo, 15% Grenache, 10% Graciano/ Mazuelo</v>
      </c>
      <c r="F82" s="8">
        <f>IF(G82&gt;0,VLOOKUP(A82,Wine1!A:AF,32,FALSE),VLOOKUP(Agibility!A82,Drank!A:AA,27,FALSE))</f>
        <v>3</v>
      </c>
      <c r="G82" s="8">
        <f>COUNTIF(Wine1!A:A,Agibility!A82)</f>
        <v>4</v>
      </c>
      <c r="H82" s="37">
        <f>IFERROR(VLOOKUP(A82,Wine1!A:Y,25,FALSE),0)</f>
        <v>2030</v>
      </c>
      <c r="I82" s="37">
        <f>COUNTIF(Drank!A:A,Agibility!A82)</f>
        <v>0</v>
      </c>
      <c r="J82" s="37">
        <f>IFERROR(AVERAGEIF(Drank!A:A,Agibility!A82,Drank!P:P),0)</f>
        <v>0</v>
      </c>
      <c r="K82" s="37">
        <f t="shared" si="3"/>
        <v>2030</v>
      </c>
      <c r="L82" s="37">
        <f t="shared" si="4"/>
        <v>23</v>
      </c>
    </row>
    <row r="83" spans="1:12" x14ac:dyDescent="0.25">
      <c r="A83" s="37" t="s">
        <v>491</v>
      </c>
      <c r="B83" s="37">
        <f>IF(G83&lt;=0,VLOOKUP(A83,Drank!A:D,2,FALSE),VLOOKUP(A83,Wine1!A:D,2,FALSE))</f>
        <v>2017</v>
      </c>
      <c r="C83" s="37" t="str">
        <f>IF(G83&lt;=0,VLOOKUP(A83,Drank!A:D,3,FALSE),VLOOKUP(A83,Wine1!A:D,3,FALSE))</f>
        <v>Fulcrum</v>
      </c>
      <c r="D83" s="37" t="str">
        <f>IF(G83&lt;=0,VLOOKUP(A83,Drank!A:D,4,FALSE),VLOOKUP(A83,Wine1!A:D,4,FALSE))</f>
        <v>Pinot Noir Fulcrum Gapâ€™s Crown Vineyard</v>
      </c>
      <c r="E83" s="8" t="str">
        <f>IF(G83&gt;0,VLOOKUP(A83,Wine1!A:AF,5,FALSE),VLOOKUP(A83,Drank!A:AA,5,FALSE))</f>
        <v>Pinot Noir</v>
      </c>
      <c r="F83" s="8">
        <f>IF(G83&gt;0,VLOOKUP(A83,Wine1!A:AF,32,FALSE),VLOOKUP(Agibility!A83,Drank!A:AA,27,FALSE))</f>
        <v>4</v>
      </c>
      <c r="G83" s="8">
        <f>COUNTIF(Wine1!A:A,Agibility!A83)</f>
        <v>1</v>
      </c>
      <c r="H83" s="37">
        <f>IFERROR(VLOOKUP(A83,Wine1!A:Y,25,FALSE),0)</f>
        <v>2032</v>
      </c>
      <c r="I83" s="37">
        <f>COUNTIF(Drank!A:A,Agibility!A83)</f>
        <v>0</v>
      </c>
      <c r="J83" s="37">
        <f>IFERROR(AVERAGEIF(Drank!A:A,Agibility!A83,Drank!P:P),0)</f>
        <v>0</v>
      </c>
      <c r="K83" s="37">
        <f t="shared" si="3"/>
        <v>2032</v>
      </c>
      <c r="L83" s="37">
        <f t="shared" si="4"/>
        <v>15</v>
      </c>
    </row>
    <row r="84" spans="1:12" x14ac:dyDescent="0.25">
      <c r="A84" s="37" t="s">
        <v>502</v>
      </c>
      <c r="B84" s="37">
        <f>IF(G84&lt;=0,VLOOKUP(A84,Drank!A:D,2,FALSE),VLOOKUP(A84,Wine1!A:D,2,FALSE))</f>
        <v>2014</v>
      </c>
      <c r="C84" s="37" t="str">
        <f>IF(G84&lt;=0,VLOOKUP(A84,Drank!A:D,3,FALSE),VLOOKUP(A84,Wine1!A:D,3,FALSE))</f>
        <v>Castellare di Castellina</v>
      </c>
      <c r="D84" s="37" t="str">
        <f>IF(G84&lt;=0,VLOOKUP(A84,Drank!A:D,4,FALSE),VLOOKUP(A84,Wine1!A:D,4,FALSE))</f>
        <v>I Sodi di S. NiccolÃ²</v>
      </c>
      <c r="E84" s="8" t="str">
        <f>IF(G84&gt;0,VLOOKUP(A84,Wine1!A:AF,5,FALSE),VLOOKUP(A84,Drank!A:AA,5,FALSE))</f>
        <v>85% Sangiovese, 15% Malvasia Nera</v>
      </c>
      <c r="F84" s="8">
        <f>IF(G84&gt;0,VLOOKUP(A84,Wine1!A:AF,32,FALSE),VLOOKUP(Agibility!A84,Drank!A:AA,27,FALSE))</f>
        <v>3</v>
      </c>
      <c r="G84" s="8">
        <f>COUNTIF(Wine1!A:A,Agibility!A84)</f>
        <v>4</v>
      </c>
      <c r="H84" s="37">
        <f>IFERROR(VLOOKUP(A84,Wine1!A:Y,25,FALSE),0)</f>
        <v>2033</v>
      </c>
      <c r="I84" s="37">
        <f>COUNTIF(Drank!A:A,Agibility!A84)</f>
        <v>0</v>
      </c>
      <c r="J84" s="37">
        <f>IFERROR(AVERAGEIF(Drank!A:A,Agibility!A84,Drank!P:P),0)</f>
        <v>0</v>
      </c>
      <c r="K84" s="37">
        <f t="shared" si="3"/>
        <v>2033</v>
      </c>
      <c r="L84" s="37">
        <f t="shared" si="4"/>
        <v>19</v>
      </c>
    </row>
    <row r="85" spans="1:12" x14ac:dyDescent="0.25">
      <c r="A85" s="37" t="s">
        <v>503</v>
      </c>
      <c r="B85" s="37">
        <f>IF(G85&lt;=0,VLOOKUP(A85,Drank!A:D,2,FALSE),VLOOKUP(A85,Wine1!A:D,2,FALSE))</f>
        <v>2010</v>
      </c>
      <c r="C85" s="37" t="str">
        <f>IF(G85&lt;=0,VLOOKUP(A85,Drank!A:D,3,FALSE),VLOOKUP(A85,Wine1!A:D,3,FALSE))</f>
        <v>Raymond-Lafon</v>
      </c>
      <c r="D85" s="37" t="str">
        <f>IF(G85&lt;=0,VLOOKUP(A85,Drank!A:D,4,FALSE),VLOOKUP(A85,Wine1!A:D,4,FALSE))</f>
        <v>Raymond-Lafon</v>
      </c>
      <c r="E85" s="8" t="str">
        <f>IF(G85&gt;0,VLOOKUP(A85,Wine1!A:AF,5,FALSE),VLOOKUP(A85,Drank!A:AA,5,FALSE))</f>
        <v>Proprietary Blend</v>
      </c>
      <c r="F85" s="8">
        <f>IF(G85&gt;0,VLOOKUP(A85,Wine1!A:AF,32,FALSE),VLOOKUP(Agibility!A85,Drank!A:AA,27,FALSE))</f>
        <v>3</v>
      </c>
      <c r="G85" s="8">
        <f>COUNTIF(Wine1!A:A,Agibility!A85)</f>
        <v>4</v>
      </c>
      <c r="H85" s="37">
        <f>IFERROR(VLOOKUP(A85,Wine1!A:Y,25,FALSE),0)</f>
        <v>2035</v>
      </c>
      <c r="I85" s="37">
        <f>COUNTIF(Drank!A:A,Agibility!A85)</f>
        <v>5</v>
      </c>
      <c r="J85" s="37">
        <f>IFERROR(AVERAGEIF(Drank!A:A,Agibility!A85,Drank!P:P),0)</f>
        <v>2038</v>
      </c>
      <c r="K85" s="37">
        <f t="shared" si="3"/>
        <v>2038</v>
      </c>
      <c r="L85" s="37">
        <f t="shared" si="4"/>
        <v>28</v>
      </c>
    </row>
    <row r="86" spans="1:12" x14ac:dyDescent="0.25">
      <c r="A86" s="37" t="s">
        <v>1212</v>
      </c>
      <c r="B86" s="37">
        <f>IF(G86&lt;=0,VLOOKUP(A86,Drank!A:D,2,FALSE),VLOOKUP(A86,Wine1!A:D,2,FALSE))</f>
        <v>2009</v>
      </c>
      <c r="C86" s="37" t="str">
        <f>IF(G86&lt;=0,VLOOKUP(A86,Drank!A:D,3,FALSE),VLOOKUP(A86,Wine1!A:D,3,FALSE))</f>
        <v>Chateau La Tour Blanche</v>
      </c>
      <c r="D86" s="37" t="str">
        <f>IF(G86&lt;=0,VLOOKUP(A86,Drank!A:D,4,FALSE),VLOOKUP(A86,Wine1!A:D,4,FALSE))</f>
        <v>La Tour Blanche</v>
      </c>
      <c r="E86" s="8" t="str">
        <f>IF(G86&gt;0,VLOOKUP(A86,Wine1!A:AF,5,FALSE),VLOOKUP(A86,Drank!A:AA,5,FALSE))</f>
        <v>Semillon, Sauvignon Blanc</v>
      </c>
      <c r="F86" s="8">
        <f>IF(G86&gt;0,VLOOKUP(A86,Wine1!A:AF,32,FALSE),VLOOKUP(Agibility!A86,Drank!A:AA,27,FALSE))</f>
        <v>3</v>
      </c>
      <c r="G86" s="8">
        <f>COUNTIF(Wine1!A:A,Agibility!A86)</f>
        <v>9</v>
      </c>
      <c r="H86" s="37">
        <f>IFERROR(VLOOKUP(A86,Wine1!A:Y,25,FALSE),0)</f>
        <v>2040</v>
      </c>
      <c r="I86" s="37">
        <f>COUNTIF(Drank!A:A,Agibility!A86)</f>
        <v>4</v>
      </c>
      <c r="J86" s="37">
        <f>IFERROR(AVERAGEIF(Drank!A:A,Agibility!A86,Drank!P:P),0)</f>
        <v>2040</v>
      </c>
      <c r="K86" s="37">
        <f t="shared" si="3"/>
        <v>2040</v>
      </c>
      <c r="L86" s="37">
        <f t="shared" si="4"/>
        <v>31</v>
      </c>
    </row>
    <row r="87" spans="1:12" x14ac:dyDescent="0.25">
      <c r="A87" s="37" t="s">
        <v>504</v>
      </c>
      <c r="B87" s="37">
        <f>IF(G87&lt;=0,VLOOKUP(A87,Drank!A:D,2,FALSE),VLOOKUP(A87,Wine1!A:D,2,FALSE))</f>
        <v>2016</v>
      </c>
      <c r="C87" s="37" t="str">
        <f>IF(G87&lt;=0,VLOOKUP(A87,Drank!A:D,3,FALSE),VLOOKUP(A87,Wine1!A:D,3,FALSE))</f>
        <v>Lafaurie-Peyraguey</v>
      </c>
      <c r="D87" s="37" t="str">
        <f>IF(G87&lt;=0,VLOOKUP(A87,Drank!A:D,4,FALSE),VLOOKUP(A87,Wine1!A:D,4,FALSE))</f>
        <v>Lafaurie-Peyraguey</v>
      </c>
      <c r="E87" s="8" t="str">
        <f>IF(G87&gt;0,VLOOKUP(A87,Wine1!A:AF,5,FALSE),VLOOKUP(A87,Drank!A:AA,5,FALSE))</f>
        <v>93% Semillon, 6% Sauvignon Blanc, 1% Muscadelle</v>
      </c>
      <c r="F87" s="8">
        <f>IF(G87&gt;0,VLOOKUP(A87,Wine1!A:AF,32,FALSE),VLOOKUP(Agibility!A87,Drank!A:AA,27,FALSE))</f>
        <v>3</v>
      </c>
      <c r="G87" s="8">
        <f>COUNTIF(Wine1!A:A,Agibility!A87)</f>
        <v>12</v>
      </c>
      <c r="H87" s="37">
        <f>IFERROR(VLOOKUP(A87,Wine1!A:Y,25,FALSE),0)</f>
        <v>2060</v>
      </c>
      <c r="I87" s="37">
        <f>COUNTIF(Drank!A:A,Agibility!A87)</f>
        <v>0</v>
      </c>
      <c r="J87" s="37">
        <f>IFERROR(AVERAGEIF(Drank!A:A,Agibility!A87,Drank!P:P),0)</f>
        <v>0</v>
      </c>
      <c r="K87" s="37">
        <f t="shared" si="3"/>
        <v>2060</v>
      </c>
      <c r="L87" s="37">
        <f t="shared" si="4"/>
        <v>44</v>
      </c>
    </row>
    <row r="88" spans="1:12" x14ac:dyDescent="0.25">
      <c r="A88" s="37" t="s">
        <v>506</v>
      </c>
      <c r="B88" s="37">
        <f>IF(G88&lt;=0,VLOOKUP(A88,Drank!A:D,2,FALSE),VLOOKUP(A88,Wine1!A:D,2,FALSE))</f>
        <v>2009</v>
      </c>
      <c r="C88" s="37" t="str">
        <f>IF(G88&lt;=0,VLOOKUP(A88,Drank!A:D,3,FALSE),VLOOKUP(A88,Wine1!A:D,3,FALSE))</f>
        <v>Loacker</v>
      </c>
      <c r="D88" s="37" t="str">
        <f>IF(G88&lt;=0,VLOOKUP(A88,Drank!A:D,4,FALSE),VLOOKUP(A88,Wine1!A:D,4,FALSE))</f>
        <v>Brunello di Montalcino Corte Pavone</v>
      </c>
      <c r="E88" s="8" t="str">
        <f>IF(G88&gt;0,VLOOKUP(A88,Wine1!A:AF,5,FALSE),VLOOKUP(A88,Drank!A:AA,5,FALSE))</f>
        <v>Sangiovese</v>
      </c>
      <c r="F88" s="8">
        <f>IF(G88&gt;0,VLOOKUP(A88,Wine1!A:AF,32,FALSE),VLOOKUP(Agibility!A88,Drank!A:AA,27,FALSE))</f>
        <v>2</v>
      </c>
      <c r="G88" s="8">
        <f>COUNTIF(Wine1!A:A,Agibility!A88)</f>
        <v>2</v>
      </c>
      <c r="H88" s="37">
        <f>IFERROR(VLOOKUP(A88,Wine1!A:Y,25,FALSE),0)</f>
        <v>2023</v>
      </c>
      <c r="I88" s="37">
        <f>COUNTIF(Drank!A:A,Agibility!A88)</f>
        <v>1</v>
      </c>
      <c r="J88" s="37">
        <f>IFERROR(AVERAGEIF(Drank!A:A,Agibility!A88,Drank!P:P),0)</f>
        <v>2023</v>
      </c>
      <c r="K88" s="37">
        <f t="shared" si="3"/>
        <v>2023</v>
      </c>
      <c r="L88" s="37">
        <f t="shared" si="4"/>
        <v>14</v>
      </c>
    </row>
    <row r="89" spans="1:12" x14ac:dyDescent="0.25">
      <c r="A89" s="37" t="s">
        <v>507</v>
      </c>
      <c r="B89" s="37">
        <f>IF(G89&lt;=0,VLOOKUP(A89,Drank!A:D,2,FALSE),VLOOKUP(A89,Wine1!A:D,2,FALSE))</f>
        <v>2013</v>
      </c>
      <c r="C89" s="37" t="str">
        <f>IF(G89&lt;=0,VLOOKUP(A89,Drank!A:D,3,FALSE),VLOOKUP(A89,Wine1!A:D,3,FALSE))</f>
        <v>Lutum</v>
      </c>
      <c r="D89" s="37" t="str">
        <f>IF(G89&lt;=0,VLOOKUP(A89,Drank!A:D,4,FALSE),VLOOKUP(A89,Wine1!A:D,4,FALSE))</f>
        <v>Pinot Noir Gap's Crown Vineyard</v>
      </c>
      <c r="E89" s="8" t="str">
        <f>IF(G89&gt;0,VLOOKUP(A89,Wine1!A:AF,5,FALSE),VLOOKUP(A89,Drank!A:AA,5,FALSE))</f>
        <v>Pinot Noir</v>
      </c>
      <c r="F89" s="8">
        <f>IF(G89&gt;0,VLOOKUP(A89,Wine1!A:AF,32,FALSE),VLOOKUP(Agibility!A89,Drank!A:AA,27,FALSE))</f>
        <v>3</v>
      </c>
      <c r="G89" s="8">
        <f>COUNTIF(Wine1!A:A,Agibility!A89)</f>
        <v>1</v>
      </c>
      <c r="H89" s="37">
        <f>IFERROR(VLOOKUP(A89,Wine1!A:Y,25,FALSE),0)</f>
        <v>2024</v>
      </c>
      <c r="I89" s="37">
        <f>COUNTIF(Drank!A:A,Agibility!A89)</f>
        <v>1</v>
      </c>
      <c r="J89" s="37">
        <f>IFERROR(AVERAGEIF(Drank!A:A,Agibility!A89,Drank!P:P),0)</f>
        <v>2024</v>
      </c>
      <c r="K89" s="37">
        <f t="shared" si="3"/>
        <v>2024</v>
      </c>
      <c r="L89" s="37">
        <f t="shared" si="4"/>
        <v>11</v>
      </c>
    </row>
    <row r="90" spans="1:12" x14ac:dyDescent="0.25">
      <c r="A90" s="37" t="s">
        <v>701</v>
      </c>
      <c r="B90" s="37">
        <f>IF(G90&lt;=0,VLOOKUP(A90,Drank!A:D,2,FALSE),VLOOKUP(A90,Wine1!A:D,2,FALSE))</f>
        <v>2015</v>
      </c>
      <c r="C90" s="37" t="str">
        <f>IF(G90&lt;=0,VLOOKUP(A90,Drank!A:D,3,FALSE),VLOOKUP(A90,Wine1!A:D,3,FALSE))</f>
        <v>Torrevento</v>
      </c>
      <c r="D90" s="37" t="str">
        <f>IF(G90&lt;=0,VLOOKUP(A90,Drank!A:D,4,FALSE),VLOOKUP(A90,Wine1!A:D,4,FALSE))</f>
        <v>Primitivo Since 1913</v>
      </c>
      <c r="E90" s="8" t="str">
        <f>IF(G90&gt;0,VLOOKUP(A90,Wine1!A:AF,5,FALSE),VLOOKUP(A90,Drank!A:AA,5,FALSE))</f>
        <v>Primitivo</v>
      </c>
      <c r="F90" s="8">
        <f>IF(G90&gt;0,VLOOKUP(A90,Wine1!A:AF,32,FALSE),VLOOKUP(Agibility!A90,Drank!A:AA,27,FALSE))</f>
        <v>2</v>
      </c>
      <c r="G90" s="8">
        <f>COUNTIF(Wine1!A:A,Agibility!A90)</f>
        <v>1</v>
      </c>
      <c r="H90" s="37">
        <f>IFERROR(VLOOKUP(A90,Wine1!A:Y,25,FALSE),0)</f>
        <v>2025</v>
      </c>
      <c r="I90" s="37">
        <f>COUNTIF(Drank!A:A,Agibility!A90)</f>
        <v>1</v>
      </c>
      <c r="J90" s="37">
        <f>IFERROR(AVERAGEIF(Drank!A:A,Agibility!A90,Drank!P:P),0)</f>
        <v>2025</v>
      </c>
      <c r="K90" s="37">
        <f t="shared" si="3"/>
        <v>2025</v>
      </c>
      <c r="L90" s="37">
        <f t="shared" si="4"/>
        <v>10</v>
      </c>
    </row>
    <row r="91" spans="1:12" x14ac:dyDescent="0.25">
      <c r="A91" s="37" t="s">
        <v>508</v>
      </c>
      <c r="B91" s="37">
        <f>IF(G91&lt;=0,VLOOKUP(A91,Drank!A:D,2,FALSE),VLOOKUP(A91,Wine1!A:D,2,FALSE))</f>
        <v>2005</v>
      </c>
      <c r="C91" s="37" t="str">
        <f>IF(G91&lt;=0,VLOOKUP(A91,Drank!A:D,3,FALSE),VLOOKUP(A91,Wine1!A:D,3,FALSE))</f>
        <v>Escudero</v>
      </c>
      <c r="D91" s="37" t="str">
        <f>IF(G91&lt;=0,VLOOKUP(A91,Drank!A:D,4,FALSE),VLOOKUP(A91,Wine1!A:D,4,FALSE))</f>
        <v>Arvum</v>
      </c>
      <c r="E91" s="8" t="str">
        <f>IF(G91&gt;0,VLOOKUP(A91,Wine1!A:AF,5,FALSE),VLOOKUP(A91,Drank!A:AA,5,FALSE))</f>
        <v>Tempranillo Blend</v>
      </c>
      <c r="F91" s="8">
        <f>IF(G91&gt;0,VLOOKUP(A91,Wine1!A:AF,32,FALSE),VLOOKUP(Agibility!A91,Drank!A:AA,27,FALSE))</f>
        <v>2</v>
      </c>
      <c r="G91" s="8">
        <f>COUNTIF(Wine1!A:A,Agibility!A91)</f>
        <v>2</v>
      </c>
      <c r="H91" s="37">
        <f>IFERROR(VLOOKUP(A91,Wine1!A:Y,25,FALSE),0)</f>
        <v>2025</v>
      </c>
      <c r="I91" s="37">
        <f>COUNTIF(Drank!A:A,Agibility!A91)</f>
        <v>1</v>
      </c>
      <c r="J91" s="37">
        <f>IFERROR(AVERAGEIF(Drank!A:A,Agibility!A91,Drank!P:P),0)</f>
        <v>2025</v>
      </c>
      <c r="K91" s="37">
        <f t="shared" si="3"/>
        <v>2025</v>
      </c>
      <c r="L91" s="37">
        <f t="shared" si="4"/>
        <v>20</v>
      </c>
    </row>
    <row r="92" spans="1:12" x14ac:dyDescent="0.25">
      <c r="A92" s="37" t="s">
        <v>505</v>
      </c>
      <c r="B92" s="37">
        <f>IF(G92&lt;=0,VLOOKUP(A92,Drank!A:D,2,FALSE),VLOOKUP(A92,Wine1!A:D,2,FALSE))</f>
        <v>2013</v>
      </c>
      <c r="C92" s="37" t="str">
        <f>IF(G92&lt;=0,VLOOKUP(A92,Drank!A:D,3,FALSE),VLOOKUP(A92,Wine1!A:D,3,FALSE))</f>
        <v>Cascina Cucco</v>
      </c>
      <c r="D92" s="37" t="str">
        <f>IF(G92&lt;=0,VLOOKUP(A92,Drank!A:D,4,FALSE),VLOOKUP(A92,Wine1!A:D,4,FALSE))</f>
        <v>Barolo Cerrati</v>
      </c>
      <c r="E92" s="8" t="str">
        <f>IF(G92&gt;0,VLOOKUP(A92,Wine1!A:AF,5,FALSE),VLOOKUP(A92,Drank!A:AA,5,FALSE))</f>
        <v>100% Nebbiolo</v>
      </c>
      <c r="F92" s="8">
        <f>IF(G92&gt;0,VLOOKUP(A92,Wine1!A:AF,32,FALSE),VLOOKUP(Agibility!A92,Drank!A:AA,27,FALSE))</f>
        <v>2</v>
      </c>
      <c r="G92" s="8">
        <f>COUNTIF(Wine1!A:A,Agibility!A92)</f>
        <v>2</v>
      </c>
      <c r="H92" s="37">
        <f>IFERROR(VLOOKUP(A92,Wine1!A:Y,25,FALSE),0)</f>
        <v>2026</v>
      </c>
      <c r="I92" s="37">
        <f>COUNTIF(Drank!A:A,Agibility!A92)</f>
        <v>1</v>
      </c>
      <c r="J92" s="37">
        <f>IFERROR(AVERAGEIF(Drank!A:A,Agibility!A92,Drank!P:P),0)</f>
        <v>2026</v>
      </c>
      <c r="K92" s="37">
        <f t="shared" si="3"/>
        <v>2026</v>
      </c>
      <c r="L92" s="37">
        <f t="shared" si="4"/>
        <v>13</v>
      </c>
    </row>
    <row r="93" spans="1:12" x14ac:dyDescent="0.25">
      <c r="A93" s="37" t="s">
        <v>509</v>
      </c>
      <c r="B93" s="37">
        <f>IF(G93&lt;=0,VLOOKUP(A93,Drank!A:D,2,FALSE),VLOOKUP(A93,Wine1!A:D,2,FALSE))</f>
        <v>2013</v>
      </c>
      <c r="C93" s="37" t="str">
        <f>IF(G93&lt;=0,VLOOKUP(A93,Drank!A:D,3,FALSE),VLOOKUP(A93,Wine1!A:D,3,FALSE))</f>
        <v>Tabarrini</v>
      </c>
      <c r="D93" s="37" t="str">
        <f>IF(G93&lt;=0,VLOOKUP(A93,Drank!A:D,4,FALSE),VLOOKUP(A93,Wine1!A:D,4,FALSE))</f>
        <v>Montefalco Sagrantino Colle Grimaldesco</v>
      </c>
      <c r="E93" s="8" t="str">
        <f>IF(G93&gt;0,VLOOKUP(A93,Wine1!A:AF,5,FALSE),VLOOKUP(A93,Drank!A:AA,5,FALSE))</f>
        <v>Sagrantino</v>
      </c>
      <c r="F93" s="8">
        <f>IF(G93&gt;0,VLOOKUP(A93,Wine1!A:AF,32,FALSE),VLOOKUP(Agibility!A93,Drank!A:AA,27,FALSE))</f>
        <v>2</v>
      </c>
      <c r="G93" s="8">
        <f>COUNTIF(Wine1!A:A,Agibility!A93)</f>
        <v>2</v>
      </c>
      <c r="H93" s="37">
        <f>IFERROR(VLOOKUP(A93,Wine1!A:Y,25,FALSE),0)</f>
        <v>2026</v>
      </c>
      <c r="I93" s="37">
        <f>COUNTIF(Drank!A:A,Agibility!A93)</f>
        <v>1</v>
      </c>
      <c r="J93" s="37">
        <f>IFERROR(AVERAGEIF(Drank!A:A,Agibility!A93,Drank!P:P),0)</f>
        <v>2026</v>
      </c>
      <c r="K93" s="37">
        <f t="shared" si="3"/>
        <v>2026</v>
      </c>
      <c r="L93" s="37">
        <f t="shared" si="4"/>
        <v>13</v>
      </c>
    </row>
    <row r="94" spans="1:12" x14ac:dyDescent="0.25">
      <c r="A94" s="37" t="s">
        <v>510</v>
      </c>
      <c r="B94" s="37">
        <f>IF(G94&lt;=0,VLOOKUP(A94,Drank!A:D,2,FALSE),VLOOKUP(A94,Wine1!A:D,2,FALSE))</f>
        <v>2014</v>
      </c>
      <c r="C94" s="37" t="str">
        <f>IF(G94&lt;=0,VLOOKUP(A94,Drank!A:D,3,FALSE),VLOOKUP(A94,Wine1!A:D,3,FALSE))</f>
        <v>CrossBarn</v>
      </c>
      <c r="D94" s="37" t="str">
        <f>IF(G94&lt;=0,VLOOKUP(A94,Drank!A:D,4,FALSE),VLOOKUP(A94,Wine1!A:D,4,FALSE))</f>
        <v>Cabernet Sauvignon Napa Valley</v>
      </c>
      <c r="E94" s="8" t="str">
        <f>IF(G94&gt;0,VLOOKUP(A94,Wine1!A:AF,5,FALSE),VLOOKUP(A94,Drank!A:AA,5,FALSE))</f>
        <v>Cabernet Sauvignon</v>
      </c>
      <c r="F94" s="8">
        <f>IF(G94&gt;0,VLOOKUP(A94,Wine1!A:AF,32,FALSE),VLOOKUP(Agibility!A94,Drank!A:AA,27,FALSE))</f>
        <v>3</v>
      </c>
      <c r="G94" s="8">
        <f>COUNTIF(Wine1!A:A,Agibility!A94)</f>
        <v>1</v>
      </c>
      <c r="H94" s="37">
        <f>IFERROR(VLOOKUP(A94,Wine1!A:Y,25,FALSE),0)</f>
        <v>2026</v>
      </c>
      <c r="I94" s="37">
        <f>COUNTIF(Drank!A:A,Agibility!A94)</f>
        <v>0</v>
      </c>
      <c r="J94" s="37">
        <f>IFERROR(AVERAGEIF(Drank!A:A,Agibility!A94,Drank!P:P),0)</f>
        <v>0</v>
      </c>
      <c r="K94" s="37">
        <f t="shared" si="3"/>
        <v>2026</v>
      </c>
      <c r="L94" s="37">
        <f t="shared" si="4"/>
        <v>12</v>
      </c>
    </row>
    <row r="95" spans="1:12" x14ac:dyDescent="0.25">
      <c r="A95" s="37" t="s">
        <v>512</v>
      </c>
      <c r="B95" s="37">
        <f>IF(G95&lt;=0,VLOOKUP(A95,Drank!A:D,2,FALSE),VLOOKUP(A95,Wine1!A:D,2,FALSE))</f>
        <v>2016</v>
      </c>
      <c r="C95" s="37" t="str">
        <f>IF(G95&lt;=0,VLOOKUP(A95,Drank!A:D,3,FALSE),VLOOKUP(A95,Wine1!A:D,3,FALSE))</f>
        <v>Altos Las Hormigas</v>
      </c>
      <c r="D95" s="37" t="str">
        <f>IF(G95&lt;=0,VLOOKUP(A95,Drank!A:D,4,FALSE),VLOOKUP(A95,Wine1!A:D,4,FALSE))</f>
        <v>Malbec Appellation Gualtallary</v>
      </c>
      <c r="E95" s="8" t="str">
        <f>IF(G95&gt;0,VLOOKUP(A95,Wine1!A:AF,5,FALSE),VLOOKUP(A95,Drank!A:AA,5,FALSE))</f>
        <v>100% Malbec</v>
      </c>
      <c r="F95" s="8">
        <f>IF(G95&gt;0,VLOOKUP(A95,Wine1!A:AF,32,FALSE),VLOOKUP(Agibility!A95,Drank!A:AA,27,FALSE))</f>
        <v>3</v>
      </c>
      <c r="G95" s="8">
        <f>COUNTIF(Wine1!A:A,Agibility!A95)</f>
        <v>4</v>
      </c>
      <c r="H95" s="37">
        <f>IFERROR(VLOOKUP(A95,Wine1!A:Y,25,FALSE),0)</f>
        <v>2030</v>
      </c>
      <c r="I95" s="37">
        <f>COUNTIF(Drank!A:A,Agibility!A95)</f>
        <v>2</v>
      </c>
      <c r="J95" s="37">
        <f>IFERROR(AVERAGEIF(Drank!A:A,Agibility!A95,Drank!P:P),0)</f>
        <v>2030</v>
      </c>
      <c r="K95" s="37">
        <f t="shared" si="3"/>
        <v>2030</v>
      </c>
      <c r="L95" s="37">
        <f t="shared" si="4"/>
        <v>14</v>
      </c>
    </row>
    <row r="96" spans="1:12" x14ac:dyDescent="0.25">
      <c r="A96" s="37" t="s">
        <v>513</v>
      </c>
      <c r="B96" s="37">
        <f>IF(G96&lt;=0,VLOOKUP(A96,Drank!A:D,2,FALSE),VLOOKUP(A96,Wine1!A:D,2,FALSE))</f>
        <v>2016</v>
      </c>
      <c r="C96" s="37" t="str">
        <f>IF(G96&lt;=0,VLOOKUP(A96,Drank!A:D,3,FALSE),VLOOKUP(A96,Wine1!A:D,3,FALSE))</f>
        <v>Xavier Vignon</v>
      </c>
      <c r="D96" s="37" t="str">
        <f>IF(G96&lt;=0,VLOOKUP(A96,Drank!A:D,4,FALSE),VLOOKUP(A96,Wine1!A:D,4,FALSE))</f>
        <v>Chateauneuf du Pape Cuvee Anonyme</v>
      </c>
      <c r="E96" s="8" t="str">
        <f>IF(G96&gt;0,VLOOKUP(A96,Wine1!A:AF,5,FALSE),VLOOKUP(A96,Drank!A:AA,5,FALSE))</f>
        <v>60% Grenache, 25% Mourvèdre, 15% Undisclosed</v>
      </c>
      <c r="F96" s="8">
        <f>IF(G96&gt;0,VLOOKUP(A96,Wine1!A:AF,32,FALSE),VLOOKUP(Agibility!A96,Drank!A:AA,27,FALSE))</f>
        <v>3</v>
      </c>
      <c r="G96" s="8">
        <f>COUNTIF(Wine1!A:A,Agibility!A96)</f>
        <v>4</v>
      </c>
      <c r="H96" s="37">
        <f>IFERROR(VLOOKUP(A96,Wine1!A:Y,25,FALSE),0)</f>
        <v>2035</v>
      </c>
      <c r="I96" s="37">
        <f>COUNTIF(Drank!A:A,Agibility!A96)</f>
        <v>0</v>
      </c>
      <c r="J96" s="37">
        <f>IFERROR(AVERAGEIF(Drank!A:A,Agibility!A96,Drank!P:P),0)</f>
        <v>0</v>
      </c>
      <c r="K96" s="37">
        <f t="shared" si="3"/>
        <v>2035</v>
      </c>
      <c r="L96" s="37">
        <f t="shared" si="4"/>
        <v>19</v>
      </c>
    </row>
    <row r="97" spans="1:12" x14ac:dyDescent="0.25">
      <c r="A97" s="37" t="s">
        <v>514</v>
      </c>
      <c r="B97" s="37">
        <f>IF(G97&lt;=0,VLOOKUP(A97,Drank!A:D,2,FALSE),VLOOKUP(A97,Wine1!A:D,2,FALSE))</f>
        <v>2017</v>
      </c>
      <c r="C97" s="37" t="str">
        <f>IF(G97&lt;=0,VLOOKUP(A97,Drank!A:D,3,FALSE),VLOOKUP(A97,Wine1!A:D,3,FALSE))</f>
        <v>Domaine Roger Sabon</v>
      </c>
      <c r="D97" s="37" t="str">
        <f>IF(G97&lt;=0,VLOOKUP(A97,Drank!A:D,4,FALSE),VLOOKUP(A97,Wine1!A:D,4,FALSE))</f>
        <v>Chateauneuf du Pape Reserve</v>
      </c>
      <c r="E97" s="8" t="str">
        <f>IF(G97&gt;0,VLOOKUP(A97,Wine1!A:AF,5,FALSE),VLOOKUP(A97,Drank!A:AA,5,FALSE))</f>
        <v>80% Grenache, 10% Syrah, 10% Mourvèdre</v>
      </c>
      <c r="F97" s="8">
        <f>IF(G97&gt;0,VLOOKUP(A97,Wine1!A:AF,32,FALSE),VLOOKUP(Agibility!A97,Drank!A:AA,27,FALSE))</f>
        <v>3</v>
      </c>
      <c r="G97" s="8">
        <f>COUNTIF(Wine1!A:A,Agibility!A97)</f>
        <v>4</v>
      </c>
      <c r="H97" s="37">
        <f>IFERROR(VLOOKUP(A97,Wine1!A:Y,25,FALSE),0)</f>
        <v>2035</v>
      </c>
      <c r="I97" s="37">
        <f>COUNTIF(Drank!A:A,Agibility!A97)</f>
        <v>0</v>
      </c>
      <c r="J97" s="37">
        <f>IFERROR(AVERAGEIF(Drank!A:A,Agibility!A97,Drank!P:P),0)</f>
        <v>0</v>
      </c>
      <c r="K97" s="37">
        <f t="shared" si="3"/>
        <v>2035</v>
      </c>
      <c r="L97" s="37">
        <f t="shared" si="4"/>
        <v>18</v>
      </c>
    </row>
    <row r="98" spans="1:12" x14ac:dyDescent="0.25">
      <c r="A98" s="37" t="s">
        <v>940</v>
      </c>
      <c r="B98" s="37">
        <f>IF(G98&lt;=0,VLOOKUP(A98,Drank!A:D,2,FALSE),VLOOKUP(A98,Wine1!A:D,2,FALSE))</f>
        <v>2015</v>
      </c>
      <c r="C98" s="37" t="str">
        <f>IF(G98&lt;=0,VLOOKUP(A98,Drank!A:D,3,FALSE),VLOOKUP(A98,Wine1!A:D,3,FALSE))</f>
        <v>Doisy-Vedrines</v>
      </c>
      <c r="D98" s="37" t="str">
        <f>IF(G98&lt;=0,VLOOKUP(A98,Drank!A:D,4,FALSE),VLOOKUP(A98,Wine1!A:D,4,FALSE))</f>
        <v>Doisy-Vedrines</v>
      </c>
      <c r="E98" s="8" t="str">
        <f>IF(G98&gt;0,VLOOKUP(A98,Wine1!A:AF,5,FALSE),VLOOKUP(A98,Drank!A:AA,5,FALSE))</f>
        <v>Proproetary Blend</v>
      </c>
      <c r="F98" s="8">
        <f>IF(G98&gt;0,VLOOKUP(A98,Wine1!A:AF,32,FALSE),VLOOKUP(Agibility!A98,Drank!A:AA,27,FALSE))</f>
        <v>3</v>
      </c>
      <c r="G98" s="8">
        <f>COUNTIF(Wine1!A:A,Agibility!A98)</f>
        <v>4</v>
      </c>
      <c r="H98" s="37">
        <f>IFERROR(VLOOKUP(A98,Wine1!A:Y,25,FALSE),0)</f>
        <v>2040</v>
      </c>
      <c r="I98" s="37">
        <f>COUNTIF(Drank!A:A,Agibility!A98)</f>
        <v>0</v>
      </c>
      <c r="J98" s="37">
        <f>IFERROR(AVERAGEIF(Drank!A:A,Agibility!A98,Drank!P:P),0)</f>
        <v>0</v>
      </c>
      <c r="K98" s="37">
        <f t="shared" si="3"/>
        <v>2040</v>
      </c>
      <c r="L98" s="37">
        <f t="shared" si="4"/>
        <v>25</v>
      </c>
    </row>
    <row r="99" spans="1:12" x14ac:dyDescent="0.25">
      <c r="A99" s="37" t="s">
        <v>515</v>
      </c>
      <c r="B99" s="37">
        <f>IF(G99&lt;=0,VLOOKUP(A99,Drank!A:D,2,FALSE),VLOOKUP(A99,Wine1!A:D,2,FALSE))</f>
        <v>2006</v>
      </c>
      <c r="C99" s="37" t="str">
        <f>IF(G99&lt;=0,VLOOKUP(A99,Drank!A:D,3,FALSE),VLOOKUP(A99,Wine1!A:D,3,FALSE))</f>
        <v>Casanova di Neri</v>
      </c>
      <c r="D99" s="37" t="str">
        <f>IF(G99&lt;=0,VLOOKUP(A99,Drank!A:D,4,FALSE),VLOOKUP(A99,Wine1!A:D,4,FALSE))</f>
        <v>Brunello di Montalcino</v>
      </c>
      <c r="E99" s="8" t="str">
        <f>IF(G99&gt;0,VLOOKUP(A99,Wine1!A:AF,5,FALSE),VLOOKUP(A99,Drank!A:AA,5,FALSE))</f>
        <v>Sangiovese</v>
      </c>
      <c r="F99" s="8">
        <f>IF(G99&gt;0,VLOOKUP(A99,Wine1!A:AF,32,FALSE),VLOOKUP(Agibility!A99,Drank!A:AA,27,FALSE))</f>
        <v>4</v>
      </c>
      <c r="G99" s="8">
        <f>COUNTIF(Wine1!A:A,Agibility!A99)</f>
        <v>0</v>
      </c>
      <c r="H99" s="37">
        <f>IFERROR(VLOOKUP(A99,Wine1!A:Y,25,FALSE),0)</f>
        <v>0</v>
      </c>
      <c r="I99" s="37">
        <f>COUNTIF(Drank!A:A,Agibility!A99)</f>
        <v>1</v>
      </c>
      <c r="J99" s="37">
        <f>IFERROR(AVERAGEIF(Drank!A:A,Agibility!A99,Drank!P:P),0)</f>
        <v>2021</v>
      </c>
      <c r="K99" s="37">
        <f t="shared" si="3"/>
        <v>2021</v>
      </c>
      <c r="L99" s="37">
        <f t="shared" si="4"/>
        <v>15</v>
      </c>
    </row>
    <row r="100" spans="1:12" x14ac:dyDescent="0.25">
      <c r="A100" s="37" t="s">
        <v>525</v>
      </c>
      <c r="B100" s="37">
        <f>IF(G100&lt;=0,VLOOKUP(A100,Drank!A:D,2,FALSE),VLOOKUP(A100,Wine1!A:D,2,FALSE))</f>
        <v>2009</v>
      </c>
      <c r="C100" s="37" t="str">
        <f>IF(G100&lt;=0,VLOOKUP(A100,Drank!A:D,3,FALSE),VLOOKUP(A100,Wine1!A:D,3,FALSE))</f>
        <v>Virna</v>
      </c>
      <c r="D100" s="37" t="str">
        <f>IF(G100&lt;=0,VLOOKUP(A100,Drank!A:D,4,FALSE),VLOOKUP(A100,Wine1!A:D,4,FALSE))</f>
        <v>Barolo Preda Sarmassa</v>
      </c>
      <c r="E100" s="8" t="str">
        <f>IF(G100&gt;0,VLOOKUP(A100,Wine1!A:AF,5,FALSE),VLOOKUP(A100,Drank!A:AA,5,FALSE))</f>
        <v>100% Nebbiolo</v>
      </c>
      <c r="F100" s="8">
        <f>IF(G100&gt;0,VLOOKUP(A100,Wine1!A:AF,32,FALSE),VLOOKUP(Agibility!A100,Drank!A:AA,27,FALSE))</f>
        <v>3</v>
      </c>
      <c r="G100" s="8">
        <f>COUNTIF(Wine1!A:A,Agibility!A100)</f>
        <v>1</v>
      </c>
      <c r="H100" s="37">
        <f>IFERROR(VLOOKUP(A100,Wine1!A:Y,25,FALSE),0)</f>
        <v>2024</v>
      </c>
      <c r="I100" s="37">
        <f>COUNTIF(Drank!A:A,Agibility!A100)</f>
        <v>0</v>
      </c>
      <c r="J100" s="37">
        <f>IFERROR(AVERAGEIF(Drank!A:A,Agibility!A100,Drank!P:P),0)</f>
        <v>0</v>
      </c>
      <c r="K100" s="37">
        <f t="shared" si="3"/>
        <v>2024</v>
      </c>
      <c r="L100" s="37">
        <f t="shared" si="4"/>
        <v>15</v>
      </c>
    </row>
    <row r="101" spans="1:12" x14ac:dyDescent="0.25">
      <c r="A101" s="37" t="s">
        <v>516</v>
      </c>
      <c r="B101" s="37">
        <f>IF(G101&lt;=0,VLOOKUP(A101,Drank!A:D,2,FALSE),VLOOKUP(A101,Wine1!A:D,2,FALSE))</f>
        <v>2012</v>
      </c>
      <c r="C101" s="37" t="str">
        <f>IF(G101&lt;=0,VLOOKUP(A101,Drank!A:D,3,FALSE),VLOOKUP(A101,Wine1!A:D,3,FALSE))</f>
        <v>Poggio San Polo</v>
      </c>
      <c r="D101" s="37" t="str">
        <f>IF(G101&lt;=0,VLOOKUP(A101,Drank!A:D,4,FALSE),VLOOKUP(A101,Wine1!A:D,4,FALSE))</f>
        <v>Brunello di Montalcino</v>
      </c>
      <c r="E101" s="8" t="str">
        <f>IF(G101&gt;0,VLOOKUP(A101,Wine1!A:AF,5,FALSE),VLOOKUP(A101,Drank!A:AA,5,FALSE))</f>
        <v>Sangiovese</v>
      </c>
      <c r="F101" s="8">
        <f>IF(G101&gt;0,VLOOKUP(A101,Wine1!A:AF,32,FALSE),VLOOKUP(Agibility!A101,Drank!A:AA,27,FALSE))</f>
        <v>3</v>
      </c>
      <c r="G101" s="8">
        <f>COUNTIF(Wine1!A:A,Agibility!A101)</f>
        <v>1</v>
      </c>
      <c r="H101" s="37">
        <f>IFERROR(VLOOKUP(A101,Wine1!A:Y,25,FALSE),0)</f>
        <v>2025</v>
      </c>
      <c r="I101" s="37">
        <f>COUNTIF(Drank!A:A,Agibility!A101)</f>
        <v>1</v>
      </c>
      <c r="J101" s="37">
        <f>IFERROR(AVERAGEIF(Drank!A:A,Agibility!A101,Drank!P:P),0)</f>
        <v>2025</v>
      </c>
      <c r="K101" s="37">
        <f t="shared" si="3"/>
        <v>2025</v>
      </c>
      <c r="L101" s="37">
        <f t="shared" si="4"/>
        <v>13</v>
      </c>
    </row>
    <row r="102" spans="1:12" x14ac:dyDescent="0.25">
      <c r="A102" s="37" t="s">
        <v>517</v>
      </c>
      <c r="B102" s="37">
        <f>IF(G102&lt;=0,VLOOKUP(A102,Drank!A:D,2,FALSE),VLOOKUP(A102,Wine1!A:D,2,FALSE))</f>
        <v>2013</v>
      </c>
      <c r="C102" s="37" t="str">
        <f>IF(G102&lt;=0,VLOOKUP(A102,Drank!A:D,3,FALSE),VLOOKUP(A102,Wine1!A:D,3,FALSE))</f>
        <v>Palazzo Wine</v>
      </c>
      <c r="D102" s="37" t="str">
        <f>IF(G102&lt;=0,VLOOKUP(A102,Drank!A:D,4,FALSE),VLOOKUP(A102,Wine1!A:D,4,FALSE))</f>
        <v>Red Blend Right Bank Reserve</v>
      </c>
      <c r="E102" s="8" t="str">
        <f>IF(G102&gt;0,VLOOKUP(A102,Wine1!A:AF,5,FALSE),VLOOKUP(A102,Drank!A:AA,5,FALSE))</f>
        <v>Merlot Blend</v>
      </c>
      <c r="F102" s="8">
        <f>IF(G102&gt;0,VLOOKUP(A102,Wine1!A:AF,32,FALSE),VLOOKUP(Agibility!A102,Drank!A:AA,27,FALSE))</f>
        <v>3</v>
      </c>
      <c r="G102" s="8">
        <f>COUNTIF(Wine1!A:A,Agibility!A102)</f>
        <v>3</v>
      </c>
      <c r="H102" s="37">
        <f>IFERROR(VLOOKUP(A102,Wine1!A:Y,25,FALSE),0)</f>
        <v>2027</v>
      </c>
      <c r="I102" s="37">
        <f>COUNTIF(Drank!A:A,Agibility!A102)</f>
        <v>1</v>
      </c>
      <c r="J102" s="37">
        <f>IFERROR(AVERAGEIF(Drank!A:A,Agibility!A102,Drank!P:P),0)</f>
        <v>2027</v>
      </c>
      <c r="K102" s="37">
        <f t="shared" si="3"/>
        <v>2027</v>
      </c>
      <c r="L102" s="37">
        <f t="shared" si="4"/>
        <v>14</v>
      </c>
    </row>
    <row r="103" spans="1:12" x14ac:dyDescent="0.25">
      <c r="A103" s="37" t="s">
        <v>518</v>
      </c>
      <c r="B103" s="37">
        <f>IF(G103&lt;=0,VLOOKUP(A103,Drank!A:D,2,FALSE),VLOOKUP(A103,Wine1!A:D,2,FALSE))</f>
        <v>2011</v>
      </c>
      <c r="C103" s="37" t="str">
        <f>IF(G103&lt;=0,VLOOKUP(A103,Drank!A:D,3,FALSE),VLOOKUP(A103,Wine1!A:D,3,FALSE))</f>
        <v>Corte Pavone</v>
      </c>
      <c r="D103" s="37" t="str">
        <f>IF(G103&lt;=0,VLOOKUP(A103,Drank!A:D,4,FALSE),VLOOKUP(A103,Wine1!A:D,4,FALSE))</f>
        <v>Brunello di Montalcino</v>
      </c>
      <c r="E103" s="8" t="str">
        <f>IF(G103&gt;0,VLOOKUP(A103,Wine1!A:AF,5,FALSE),VLOOKUP(A103,Drank!A:AA,5,FALSE))</f>
        <v>Sangiovese</v>
      </c>
      <c r="F103" s="8">
        <f>IF(G103&gt;0,VLOOKUP(A103,Wine1!A:AF,32,FALSE),VLOOKUP(Agibility!A103,Drank!A:AA,27,FALSE))</f>
        <v>3</v>
      </c>
      <c r="G103" s="8">
        <f>COUNTIF(Wine1!A:A,Agibility!A103)</f>
        <v>2</v>
      </c>
      <c r="H103" s="37">
        <f>IFERROR(VLOOKUP(A103,Wine1!A:Y,25,FALSE),0)</f>
        <v>2028</v>
      </c>
      <c r="I103" s="37">
        <f>COUNTIF(Drank!A:A,Agibility!A103)</f>
        <v>1</v>
      </c>
      <c r="J103" s="37">
        <f>IFERROR(AVERAGEIF(Drank!A:A,Agibility!A103,Drank!P:P),0)</f>
        <v>2028</v>
      </c>
      <c r="K103" s="37">
        <f t="shared" si="3"/>
        <v>2028</v>
      </c>
      <c r="L103" s="37">
        <f t="shared" si="4"/>
        <v>17</v>
      </c>
    </row>
    <row r="104" spans="1:12" x14ac:dyDescent="0.25">
      <c r="A104" s="37" t="s">
        <v>707</v>
      </c>
      <c r="B104" s="37">
        <f>IF(G104&lt;=0,VLOOKUP(A104,Drank!A:D,2,FALSE),VLOOKUP(A104,Wine1!A:D,2,FALSE))</f>
        <v>2014</v>
      </c>
      <c r="C104" s="37" t="str">
        <f>IF(G104&lt;=0,VLOOKUP(A104,Drank!A:D,3,FALSE),VLOOKUP(A104,Wine1!A:D,3,FALSE))</f>
        <v>Fontanafredda</v>
      </c>
      <c r="D104" s="37" t="str">
        <f>IF(G104&lt;=0,VLOOKUP(A104,Drank!A:D,4,FALSE),VLOOKUP(A104,Wine1!A:D,4,FALSE))</f>
        <v>Barolo Serralunga d'Alba</v>
      </c>
      <c r="E104" s="8" t="str">
        <f>IF(G104&gt;0,VLOOKUP(A104,Wine1!A:AF,5,FALSE),VLOOKUP(A104,Drank!A:AA,5,FALSE))</f>
        <v>100% Nebbiolo</v>
      </c>
      <c r="F104" s="8">
        <f>IF(G104&gt;0,VLOOKUP(A104,Wine1!A:AF,32,FALSE),VLOOKUP(Agibility!A104,Drank!A:AA,27,FALSE))</f>
        <v>3</v>
      </c>
      <c r="G104" s="8">
        <f>COUNTIF(Wine1!A:A,Agibility!A104)</f>
        <v>2</v>
      </c>
      <c r="H104" s="37">
        <f>IFERROR(VLOOKUP(A104,Wine1!A:Y,25,FALSE),0)</f>
        <v>2028</v>
      </c>
      <c r="I104" s="37">
        <f>COUNTIF(Drank!A:A,Agibility!A104)</f>
        <v>0</v>
      </c>
      <c r="J104" s="37">
        <f>IFERROR(AVERAGEIF(Drank!A:A,Agibility!A104,Drank!P:P),0)</f>
        <v>0</v>
      </c>
      <c r="K104" s="37">
        <f t="shared" si="3"/>
        <v>2028</v>
      </c>
      <c r="L104" s="37">
        <f t="shared" si="4"/>
        <v>14</v>
      </c>
    </row>
    <row r="105" spans="1:12" x14ac:dyDescent="0.25">
      <c r="A105" s="37" t="s">
        <v>519</v>
      </c>
      <c r="B105" s="37">
        <f>IF(G105&lt;=0,VLOOKUP(A105,Drank!A:D,2,FALSE),VLOOKUP(A105,Wine1!A:D,2,FALSE))</f>
        <v>2015</v>
      </c>
      <c r="C105" s="37" t="str">
        <f>IF(G105&lt;=0,VLOOKUP(A105,Drank!A:D,3,FALSE),VLOOKUP(A105,Wine1!A:D,3,FALSE))</f>
        <v>Durfort Vivens</v>
      </c>
      <c r="D105" s="37" t="str">
        <f>IF(G105&lt;=0,VLOOKUP(A105,Drank!A:D,4,FALSE),VLOOKUP(A105,Wine1!A:D,4,FALSE))</f>
        <v>Durfort Vivens</v>
      </c>
      <c r="E105" s="8" t="str">
        <f>IF(G105&gt;0,VLOOKUP(A105,Wine1!A:AF,5,FALSE),VLOOKUP(A105,Drank!A:AA,5,FALSE))</f>
        <v>90% Cabernet Sauvignon, 10% Merlot</v>
      </c>
      <c r="F105" s="8">
        <f>IF(G105&gt;0,VLOOKUP(A105,Wine1!A:AF,32,FALSE),VLOOKUP(Agibility!A105,Drank!A:AA,27,FALSE))</f>
        <v>4</v>
      </c>
      <c r="G105" s="8">
        <f>COUNTIF(Wine1!A:A,Agibility!A105)</f>
        <v>4</v>
      </c>
      <c r="H105" s="37">
        <f>IFERROR(VLOOKUP(A105,Wine1!A:Y,25,FALSE),0)</f>
        <v>2029</v>
      </c>
      <c r="I105" s="37">
        <f>COUNTIF(Drank!A:A,Agibility!A105)</f>
        <v>1</v>
      </c>
      <c r="J105" s="37">
        <f>IFERROR(AVERAGEIF(Drank!A:A,Agibility!A105,Drank!P:P),0)</f>
        <v>2029</v>
      </c>
      <c r="K105" s="37">
        <f t="shared" si="3"/>
        <v>2029</v>
      </c>
      <c r="L105" s="37">
        <f t="shared" si="4"/>
        <v>14</v>
      </c>
    </row>
    <row r="106" spans="1:12" x14ac:dyDescent="0.25">
      <c r="A106" s="37" t="s">
        <v>520</v>
      </c>
      <c r="B106" s="37">
        <f>IF(G106&lt;=0,VLOOKUP(A106,Drank!A:D,2,FALSE),VLOOKUP(A106,Wine1!A:D,2,FALSE))</f>
        <v>2013</v>
      </c>
      <c r="C106" s="37" t="str">
        <f>IF(G106&lt;=0,VLOOKUP(A106,Drank!A:D,3,FALSE),VLOOKUP(A106,Wine1!A:D,3,FALSE))</f>
        <v>Brancaia</v>
      </c>
      <c r="D106" s="37" t="str">
        <f>IF(G106&lt;=0,VLOOKUP(A106,Drank!A:D,4,FALSE),VLOOKUP(A106,Wine1!A:D,4,FALSE))</f>
        <v>Ilatraia</v>
      </c>
      <c r="E106" s="8" t="str">
        <f>IF(G106&gt;0,VLOOKUP(A106,Wine1!A:AF,5,FALSE),VLOOKUP(A106,Drank!A:AA,5,FALSE))</f>
        <v>40% Cabernet Sauvignon, 40% Petit Verdot, 20% Cabernet Franc</v>
      </c>
      <c r="F106" s="8">
        <f>IF(G106&gt;0,VLOOKUP(A106,Wine1!A:AF,32,FALSE),VLOOKUP(Agibility!A106,Drank!A:AA,27,FALSE))</f>
        <v>3</v>
      </c>
      <c r="G106" s="8">
        <f>COUNTIF(Wine1!A:A,Agibility!A106)</f>
        <v>8</v>
      </c>
      <c r="H106" s="37">
        <f>IFERROR(VLOOKUP(A106,Wine1!A:Y,25,FALSE),0)</f>
        <v>2030</v>
      </c>
      <c r="I106" s="37">
        <f>COUNTIF(Drank!A:A,Agibility!A106)</f>
        <v>1</v>
      </c>
      <c r="J106" s="37">
        <f>IFERROR(AVERAGEIF(Drank!A:A,Agibility!A106,Drank!P:P),0)</f>
        <v>2030</v>
      </c>
      <c r="K106" s="37">
        <f t="shared" si="3"/>
        <v>2030</v>
      </c>
      <c r="L106" s="37">
        <f t="shared" si="4"/>
        <v>17</v>
      </c>
    </row>
    <row r="107" spans="1:12" x14ac:dyDescent="0.25">
      <c r="A107" s="37" t="s">
        <v>522</v>
      </c>
      <c r="B107" s="37">
        <f>IF(G107&lt;=0,VLOOKUP(A107,Drank!A:D,2,FALSE),VLOOKUP(A107,Wine1!A:D,2,FALSE))</f>
        <v>2014</v>
      </c>
      <c r="C107" s="37" t="str">
        <f>IF(G107&lt;=0,VLOOKUP(A107,Drank!A:D,3,FALSE),VLOOKUP(A107,Wine1!A:D,3,FALSE))</f>
        <v>F. E. Trimbach</v>
      </c>
      <c r="D107" s="37" t="str">
        <f>IF(G107&lt;=0,VLOOKUP(A107,Drank!A:D,4,FALSE),VLOOKUP(A107,Wine1!A:D,4,FALSE))</f>
        <v>Gewurztraminer</v>
      </c>
      <c r="E107" s="8" t="str">
        <f>IF(G107&gt;0,VLOOKUP(A107,Wine1!A:AF,5,FALSE),VLOOKUP(A107,Drank!A:AA,5,FALSE))</f>
        <v>Gewurztraminer</v>
      </c>
      <c r="F107" s="8">
        <f>IF(G107&gt;0,VLOOKUP(A107,Wine1!A:AF,32,FALSE),VLOOKUP(Agibility!A107,Drank!A:AA,27,FALSE))</f>
        <v>2</v>
      </c>
      <c r="G107" s="8">
        <f>COUNTIF(Wine1!A:A,Agibility!A107)</f>
        <v>1</v>
      </c>
      <c r="H107" s="37">
        <f>IFERROR(VLOOKUP(A107,Wine1!A:Y,25,FALSE),0)</f>
        <v>2030</v>
      </c>
      <c r="I107" s="37">
        <f>COUNTIF(Drank!A:A,Agibility!A107)</f>
        <v>0</v>
      </c>
      <c r="J107" s="37">
        <f>IFERROR(AVERAGEIF(Drank!A:A,Agibility!A107,Drank!P:P),0)</f>
        <v>0</v>
      </c>
      <c r="K107" s="37">
        <f t="shared" si="3"/>
        <v>2030</v>
      </c>
      <c r="L107" s="37">
        <f t="shared" si="4"/>
        <v>16</v>
      </c>
    </row>
    <row r="108" spans="1:12" x14ac:dyDescent="0.25">
      <c r="A108" s="37" t="s">
        <v>523</v>
      </c>
      <c r="B108" s="37">
        <f>IF(G108&lt;=0,VLOOKUP(A108,Drank!A:D,2,FALSE),VLOOKUP(A108,Wine1!A:D,2,FALSE))</f>
        <v>2014</v>
      </c>
      <c r="C108" s="37" t="str">
        <f>IF(G108&lt;=0,VLOOKUP(A108,Drank!A:D,3,FALSE),VLOOKUP(A108,Wine1!A:D,3,FALSE))</f>
        <v>Freemark Abbey</v>
      </c>
      <c r="D108" s="37" t="str">
        <f>IF(G108&lt;=0,VLOOKUP(A108,Drank!A:D,4,FALSE),VLOOKUP(A108,Wine1!A:D,4,FALSE))</f>
        <v>Cabernet Sauvignon Napa Valley</v>
      </c>
      <c r="E108" s="8" t="str">
        <f>IF(G108&gt;0,VLOOKUP(A108,Wine1!A:AF,5,FALSE),VLOOKUP(A108,Drank!A:AA,5,FALSE))</f>
        <v>Cabernet Sauvignon</v>
      </c>
      <c r="F108" s="8">
        <f>IF(G108&gt;0,VLOOKUP(A108,Wine1!A:AF,32,FALSE),VLOOKUP(Agibility!A108,Drank!A:AA,27,FALSE))</f>
        <v>3</v>
      </c>
      <c r="G108" s="8">
        <f>COUNTIF(Wine1!A:A,Agibility!A108)</f>
        <v>2</v>
      </c>
      <c r="H108" s="37">
        <f>IFERROR(VLOOKUP(A108,Wine1!A:Y,25,FALSE),0)</f>
        <v>2031</v>
      </c>
      <c r="I108" s="37">
        <f>COUNTIF(Drank!A:A,Agibility!A108)</f>
        <v>0</v>
      </c>
      <c r="J108" s="37">
        <f>IFERROR(AVERAGEIF(Drank!A:A,Agibility!A108,Drank!P:P),0)</f>
        <v>0</v>
      </c>
      <c r="K108" s="37">
        <f t="shared" si="3"/>
        <v>2031</v>
      </c>
      <c r="L108" s="37">
        <f t="shared" si="4"/>
        <v>17</v>
      </c>
    </row>
    <row r="109" spans="1:12" x14ac:dyDescent="0.25">
      <c r="A109" s="37" t="s">
        <v>427</v>
      </c>
      <c r="B109" s="37">
        <f>IF(G109&lt;=0,VLOOKUP(A109,Drank!A:D,2,FALSE),VLOOKUP(A109,Wine1!A:D,2,FALSE))</f>
        <v>2015</v>
      </c>
      <c r="C109" s="37" t="str">
        <f>IF(G109&lt;=0,VLOOKUP(A109,Drank!A:D,3,FALSE),VLOOKUP(A109,Wine1!A:D,3,FALSE))</f>
        <v>Produttori del Barbaresco</v>
      </c>
      <c r="D109" s="37" t="str">
        <f>IF(G109&lt;=0,VLOOKUP(A109,Drank!A:D,4,FALSE),VLOOKUP(A109,Wine1!A:D,4,FALSE))</f>
        <v>Barbaresco</v>
      </c>
      <c r="E109" s="8" t="str">
        <f>IF(G109&gt;0,VLOOKUP(A109,Wine1!A:AF,5,FALSE),VLOOKUP(A109,Drank!A:AA,5,FALSE))</f>
        <v>100% Nebbiolo</v>
      </c>
      <c r="F109" s="8">
        <f>IF(G109&gt;0,VLOOKUP(A109,Wine1!A:AF,32,FALSE),VLOOKUP(Agibility!A109,Drank!A:AA,27,FALSE))</f>
        <v>3</v>
      </c>
      <c r="G109" s="8">
        <f>COUNTIF(Wine1!A:A,Agibility!A109)</f>
        <v>5</v>
      </c>
      <c r="H109" s="37">
        <f>IFERROR(VLOOKUP(A109,Wine1!A:Y,25,FALSE),0)</f>
        <v>2032</v>
      </c>
      <c r="I109" s="37">
        <f>COUNTIF(Drank!A:A,Agibility!A109)</f>
        <v>2</v>
      </c>
      <c r="J109" s="37">
        <f>IFERROR(AVERAGEIF(Drank!A:A,Agibility!A109,Drank!P:P),0)</f>
        <v>2033</v>
      </c>
      <c r="K109" s="37">
        <f t="shared" si="3"/>
        <v>2033</v>
      </c>
      <c r="L109" s="37">
        <f t="shared" si="4"/>
        <v>18</v>
      </c>
    </row>
    <row r="110" spans="1:12" x14ac:dyDescent="0.25">
      <c r="A110" s="37" t="s">
        <v>524</v>
      </c>
      <c r="B110" s="37">
        <f>IF(G110&lt;=0,VLOOKUP(A110,Drank!A:D,2,FALSE),VLOOKUP(A110,Wine1!A:D,2,FALSE))</f>
        <v>2014</v>
      </c>
      <c r="C110" s="37" t="str">
        <f>IF(G110&lt;=0,VLOOKUP(A110,Drank!A:D,3,FALSE),VLOOKUP(A110,Wine1!A:D,3,FALSE))</f>
        <v>Allegrini</v>
      </c>
      <c r="D110" s="37" t="str">
        <f>IF(G110&lt;=0,VLOOKUP(A110,Drank!A:D,4,FALSE),VLOOKUP(A110,Wine1!A:D,4,FALSE))</f>
        <v>Amarone della Valpolicella Classico</v>
      </c>
      <c r="E110" s="8" t="str">
        <f>IF(G110&gt;0,VLOOKUP(A110,Wine1!A:AF,5,FALSE),VLOOKUP(A110,Drank!A:AA,5,FALSE))</f>
        <v>Amarone Classico</v>
      </c>
      <c r="F110" s="8">
        <f>IF(G110&gt;0,VLOOKUP(A110,Wine1!A:AF,32,FALSE),VLOOKUP(Agibility!A110,Drank!A:AA,27,FALSE))</f>
        <v>4</v>
      </c>
      <c r="G110" s="8">
        <f>COUNTIF(Wine1!A:A,Agibility!A110)</f>
        <v>2</v>
      </c>
      <c r="H110" s="37">
        <f>IFERROR(VLOOKUP(A110,Wine1!A:Y,25,FALSE),0)</f>
        <v>2032</v>
      </c>
      <c r="I110" s="37">
        <f>COUNTIF(Drank!A:A,Agibility!A110)</f>
        <v>1</v>
      </c>
      <c r="J110" s="37">
        <f>IFERROR(AVERAGEIF(Drank!A:A,Agibility!A110,Drank!P:P),0)</f>
        <v>2032</v>
      </c>
      <c r="K110" s="37">
        <f t="shared" si="3"/>
        <v>2032</v>
      </c>
      <c r="L110" s="37">
        <f t="shared" si="4"/>
        <v>18</v>
      </c>
    </row>
    <row r="111" spans="1:12" x14ac:dyDescent="0.25">
      <c r="A111" s="37" t="s">
        <v>1160</v>
      </c>
      <c r="B111" s="37">
        <f>IF(G111&lt;=0,VLOOKUP(A111,Drank!A:D,2,FALSE),VLOOKUP(A111,Wine1!A:D,2,FALSE))</f>
        <v>2017</v>
      </c>
      <c r="C111" s="37" t="str">
        <f>IF(G111&lt;=0,VLOOKUP(A111,Drank!A:D,3,FALSE),VLOOKUP(A111,Wine1!A:D,3,FALSE))</f>
        <v>Becklyn Cellars</v>
      </c>
      <c r="D111" s="37" t="str">
        <f>IF(G111&lt;=0,VLOOKUP(A111,Drank!A:D,4,FALSE),VLOOKUP(A111,Wine1!A:D,4,FALSE))</f>
        <v>Cabernet Sauvignon</v>
      </c>
      <c r="E111" s="8" t="str">
        <f>IF(G111&gt;0,VLOOKUP(A111,Wine1!A:AF,5,FALSE),VLOOKUP(A111,Drank!A:AA,5,FALSE))</f>
        <v>Cabernet Sauvignon</v>
      </c>
      <c r="F111" s="8">
        <f>IF(G111&gt;0,VLOOKUP(A111,Wine1!A:AF,32,FALSE),VLOOKUP(Agibility!A111,Drank!A:AA,27,FALSE))</f>
        <v>4</v>
      </c>
      <c r="G111" s="8">
        <f>COUNTIF(Wine1!A:A,Agibility!A111)</f>
        <v>2</v>
      </c>
      <c r="H111" s="37">
        <f>IFERROR(VLOOKUP(A111,Wine1!A:Y,25,FALSE),0)</f>
        <v>2033</v>
      </c>
      <c r="I111" s="37">
        <f>COUNTIF(Drank!A:A,Agibility!A111)</f>
        <v>0</v>
      </c>
      <c r="J111" s="37">
        <f>IFERROR(AVERAGEIF(Drank!A:A,Agibility!A111,Drank!P:P),0)</f>
        <v>0</v>
      </c>
      <c r="K111" s="37">
        <f t="shared" si="3"/>
        <v>2033</v>
      </c>
      <c r="L111" s="37">
        <f t="shared" si="4"/>
        <v>16</v>
      </c>
    </row>
    <row r="112" spans="1:12" x14ac:dyDescent="0.25">
      <c r="A112" s="37" t="s">
        <v>941</v>
      </c>
      <c r="B112" s="37">
        <f>IF(G112&lt;=0,VLOOKUP(A112,Drank!A:D,2,FALSE),VLOOKUP(A112,Wine1!A:D,2,FALSE))</f>
        <v>2016</v>
      </c>
      <c r="C112" s="37" t="str">
        <f>IF(G112&lt;=0,VLOOKUP(A112,Drank!A:D,3,FALSE),VLOOKUP(A112,Wine1!A:D,3,FALSE))</f>
        <v>Tua Rita</v>
      </c>
      <c r="D112" s="37" t="str">
        <f>IF(G112&lt;=0,VLOOKUP(A112,Drank!A:D,4,FALSE),VLOOKUP(A112,Wine1!A:D,4,FALSE))</f>
        <v>Giusto di Notri</v>
      </c>
      <c r="E112" s="8" t="str">
        <f>IF(G112&gt;0,VLOOKUP(A112,Wine1!A:AF,5,FALSE),VLOOKUP(A112,Drank!A:AA,5,FALSE))</f>
        <v>80% Cabernet Sauvignon, 10% Cabernet Franc, 10% Merlot</v>
      </c>
      <c r="F112" s="8">
        <f>IF(G112&gt;0,VLOOKUP(A112,Wine1!A:AF,32,FALSE),VLOOKUP(Agibility!A112,Drank!A:AA,27,FALSE))</f>
        <v>3</v>
      </c>
      <c r="G112" s="8">
        <f>COUNTIF(Wine1!A:A,Agibility!A112)</f>
        <v>4</v>
      </c>
      <c r="H112" s="37">
        <f>IFERROR(VLOOKUP(A112,Wine1!A:Y,25,FALSE),0)</f>
        <v>2040</v>
      </c>
      <c r="I112" s="37">
        <f>COUNTIF(Drank!A:A,Agibility!A112)</f>
        <v>0</v>
      </c>
      <c r="J112" s="37">
        <f>IFERROR(AVERAGEIF(Drank!A:A,Agibility!A112,Drank!P:P),0)</f>
        <v>0</v>
      </c>
      <c r="K112" s="37">
        <f t="shared" si="3"/>
        <v>2040</v>
      </c>
      <c r="L112" s="37">
        <f t="shared" si="4"/>
        <v>24</v>
      </c>
    </row>
    <row r="113" spans="1:12" x14ac:dyDescent="0.25">
      <c r="A113" s="37" t="s">
        <v>573</v>
      </c>
      <c r="B113" s="37">
        <f>IF(G113&lt;=0,VLOOKUP(A113,Drank!A:D,2,FALSE),VLOOKUP(A113,Wine1!A:D,2,FALSE))</f>
        <v>2003</v>
      </c>
      <c r="C113" s="37" t="str">
        <f>IF(G113&lt;=0,VLOOKUP(A113,Drank!A:D,3,FALSE),VLOOKUP(A113,Wine1!A:D,3,FALSE))</f>
        <v>Broadbent</v>
      </c>
      <c r="D113" s="37" t="str">
        <f>IF(G113&lt;=0,VLOOKUP(A113,Drank!A:D,4,FALSE),VLOOKUP(A113,Wine1!A:D,4,FALSE))</f>
        <v>Vintage Porto</v>
      </c>
      <c r="E113" s="8" t="str">
        <f>IF(G113&gt;0,VLOOKUP(A113,Wine1!A:AF,5,FALSE),VLOOKUP(A113,Drank!A:AA,5,FALSE))</f>
        <v>Port</v>
      </c>
      <c r="F113" s="8">
        <f>IF(G113&gt;0,VLOOKUP(A113,Wine1!A:AF,32,FALSE),VLOOKUP(Agibility!A113,Drank!A:AA,27,FALSE))</f>
        <v>3</v>
      </c>
      <c r="G113" s="8">
        <f>COUNTIF(Wine1!A:A,Agibility!A113)</f>
        <v>1</v>
      </c>
      <c r="H113" s="37">
        <f>IFERROR(VLOOKUP(A113,Wine1!A:Y,25,FALSE),0)</f>
        <v>2024</v>
      </c>
      <c r="I113" s="37">
        <f>COUNTIF(Drank!A:A,Agibility!A113)</f>
        <v>0</v>
      </c>
      <c r="J113" s="37">
        <f>IFERROR(AVERAGEIF(Drank!A:A,Agibility!A113,Drank!P:P),0)</f>
        <v>0</v>
      </c>
      <c r="K113" s="37">
        <f t="shared" si="3"/>
        <v>2024</v>
      </c>
      <c r="L113" s="37">
        <f t="shared" si="4"/>
        <v>21</v>
      </c>
    </row>
    <row r="114" spans="1:12" x14ac:dyDescent="0.25">
      <c r="A114" s="37" t="s">
        <v>528</v>
      </c>
      <c r="B114" s="37">
        <f>IF(G114&lt;=0,VLOOKUP(A114,Drank!A:D,2,FALSE),VLOOKUP(A114,Wine1!A:D,2,FALSE))</f>
        <v>2010</v>
      </c>
      <c r="C114" s="37" t="str">
        <f>IF(G114&lt;=0,VLOOKUP(A114,Drank!A:D,3,FALSE),VLOOKUP(A114,Wine1!A:D,3,FALSE))</f>
        <v>Masi</v>
      </c>
      <c r="D114" s="37" t="str">
        <f>IF(G114&lt;=0,VLOOKUP(A114,Drank!A:D,4,FALSE),VLOOKUP(A114,Wine1!A:D,4,FALSE))</f>
        <v>Amarone della Valpolicella Classico Costasera</v>
      </c>
      <c r="E114" s="8" t="str">
        <f>IF(G114&gt;0,VLOOKUP(A114,Wine1!A:AF,5,FALSE),VLOOKUP(A114,Drank!A:AA,5,FALSE))</f>
        <v>Amarone Classico</v>
      </c>
      <c r="F114" s="8">
        <f>IF(G114&gt;0,VLOOKUP(A114,Wine1!A:AF,32,FALSE),VLOOKUP(Agibility!A114,Drank!A:AA,27,FALSE))</f>
        <v>3</v>
      </c>
      <c r="G114" s="8">
        <f>COUNTIF(Wine1!A:A,Agibility!A114)</f>
        <v>1</v>
      </c>
      <c r="H114" s="37">
        <f>IFERROR(VLOOKUP(A114,Wine1!A:Y,25,FALSE),0)</f>
        <v>2025</v>
      </c>
      <c r="I114" s="37">
        <f>COUNTIF(Drank!A:A,Agibility!A114)</f>
        <v>0</v>
      </c>
      <c r="J114" s="37">
        <f>IFERROR(AVERAGEIF(Drank!A:A,Agibility!A114,Drank!P:P),0)</f>
        <v>0</v>
      </c>
      <c r="K114" s="37">
        <f t="shared" si="3"/>
        <v>2025</v>
      </c>
      <c r="L114" s="37">
        <f t="shared" si="4"/>
        <v>15</v>
      </c>
    </row>
    <row r="115" spans="1:12" x14ac:dyDescent="0.25">
      <c r="A115" s="37" t="s">
        <v>458</v>
      </c>
      <c r="B115" s="37">
        <f>IF(G115&lt;=0,VLOOKUP(A115,Drank!A:D,2,FALSE),VLOOKUP(A115,Wine1!A:D,2,FALSE))</f>
        <v>2007</v>
      </c>
      <c r="C115" s="37" t="str">
        <f>IF(G115&lt;=0,VLOOKUP(A115,Drank!A:D,3,FALSE),VLOOKUP(A115,Wine1!A:D,3,FALSE))</f>
        <v>Talenti</v>
      </c>
      <c r="D115" s="37" t="str">
        <f>IF(G115&lt;=0,VLOOKUP(A115,Drank!A:D,4,FALSE),VLOOKUP(A115,Wine1!A:D,4,FALSE))</f>
        <v>Brunello di Montalcino</v>
      </c>
      <c r="E115" s="8" t="str">
        <f>IF(G115&gt;0,VLOOKUP(A115,Wine1!A:AF,5,FALSE),VLOOKUP(A115,Drank!A:AA,5,FALSE))</f>
        <v>Sangiovese</v>
      </c>
      <c r="F115" s="8">
        <f>IF(G115&gt;0,VLOOKUP(A115,Wine1!A:AF,32,FALSE),VLOOKUP(Agibility!A115,Drank!A:AA,27,FALSE))</f>
        <v>3</v>
      </c>
      <c r="G115" s="8">
        <f>COUNTIF(Wine1!A:A,Agibility!A115)</f>
        <v>2</v>
      </c>
      <c r="H115" s="37">
        <f>IFERROR(VLOOKUP(A115,Wine1!A:Y,25,FALSE),0)</f>
        <v>2027</v>
      </c>
      <c r="I115" s="37">
        <f>COUNTIF(Drank!A:A,Agibility!A115)</f>
        <v>1</v>
      </c>
      <c r="J115" s="37">
        <f>IFERROR(AVERAGEIF(Drank!A:A,Agibility!A115,Drank!P:P),0)</f>
        <v>2027</v>
      </c>
      <c r="K115" s="37">
        <f t="shared" si="3"/>
        <v>2027</v>
      </c>
      <c r="L115" s="37">
        <f t="shared" si="4"/>
        <v>20</v>
      </c>
    </row>
    <row r="116" spans="1:12" x14ac:dyDescent="0.25">
      <c r="A116" s="37" t="s">
        <v>529</v>
      </c>
      <c r="B116" s="37">
        <f>IF(G116&lt;=0,VLOOKUP(A116,Drank!A:D,2,FALSE),VLOOKUP(A116,Wine1!A:D,2,FALSE))</f>
        <v>2013</v>
      </c>
      <c r="C116" s="37" t="str">
        <f>IF(G116&lt;=0,VLOOKUP(A116,Drank!A:D,3,FALSE),VLOOKUP(A116,Wine1!A:D,3,FALSE))</f>
        <v>Giuseppe Campagnola</v>
      </c>
      <c r="D116" s="37" t="str">
        <f>IF(G116&lt;=0,VLOOKUP(A116,Drank!A:D,4,FALSE),VLOOKUP(A116,Wine1!A:D,4,FALSE))</f>
        <v>Amarone della Valpolicella Classico Riserva Caterina Zardini</v>
      </c>
      <c r="E116" s="8" t="str">
        <f>IF(G116&gt;0,VLOOKUP(A116,Wine1!A:AF,5,FALSE),VLOOKUP(A116,Drank!A:AA,5,FALSE))</f>
        <v>Amarone Classico</v>
      </c>
      <c r="F116" s="8">
        <f>IF(G116&gt;0,VLOOKUP(A116,Wine1!A:AF,32,FALSE),VLOOKUP(Agibility!A116,Drank!A:AA,27,FALSE))</f>
        <v>3</v>
      </c>
      <c r="G116" s="8">
        <f>COUNTIF(Wine1!A:A,Agibility!A116)</f>
        <v>2</v>
      </c>
      <c r="H116" s="37">
        <f>IFERROR(VLOOKUP(A116,Wine1!A:Y,25,FALSE),0)</f>
        <v>2027</v>
      </c>
      <c r="I116" s="37">
        <f>COUNTIF(Drank!A:A,Agibility!A116)</f>
        <v>0</v>
      </c>
      <c r="J116" s="37">
        <f>IFERROR(AVERAGEIF(Drank!A:A,Agibility!A116,Drank!P:P),0)</f>
        <v>0</v>
      </c>
      <c r="K116" s="37">
        <f t="shared" si="3"/>
        <v>2027</v>
      </c>
      <c r="L116" s="37">
        <f t="shared" si="4"/>
        <v>14</v>
      </c>
    </row>
    <row r="117" spans="1:12" x14ac:dyDescent="0.25">
      <c r="A117" s="37" t="s">
        <v>530</v>
      </c>
      <c r="B117" s="37">
        <f>IF(G117&lt;=0,VLOOKUP(A117,Drank!A:D,2,FALSE),VLOOKUP(A117,Wine1!A:D,2,FALSE))</f>
        <v>2012</v>
      </c>
      <c r="C117" s="37" t="str">
        <f>IF(G117&lt;=0,VLOOKUP(A117,Drank!A:D,3,FALSE),VLOOKUP(A117,Wine1!A:D,3,FALSE))</f>
        <v>Lalande-Borie</v>
      </c>
      <c r="D117" s="37" t="str">
        <f>IF(G117&lt;=0,VLOOKUP(A117,Drank!A:D,4,FALSE),VLOOKUP(A117,Wine1!A:D,4,FALSE))</f>
        <v>Lalande-Borie</v>
      </c>
      <c r="E117" s="8" t="str">
        <f>IF(G117&gt;0,VLOOKUP(A117,Wine1!A:AF,5,FALSE),VLOOKUP(A117,Drank!A:AA,5,FALSE))</f>
        <v>Merlot Blend</v>
      </c>
      <c r="F117" s="8">
        <f>IF(G117&gt;0,VLOOKUP(A117,Wine1!A:AF,32,FALSE),VLOOKUP(Agibility!A117,Drank!A:AA,27,FALSE))</f>
        <v>3</v>
      </c>
      <c r="G117" s="8">
        <f>COUNTIF(Wine1!A:A,Agibility!A117)</f>
        <v>1</v>
      </c>
      <c r="H117" s="37">
        <f>IFERROR(VLOOKUP(A117,Wine1!A:Y,25,FALSE),0)</f>
        <v>2027</v>
      </c>
      <c r="I117" s="37">
        <f>COUNTIF(Drank!A:A,Agibility!A117)</f>
        <v>0</v>
      </c>
      <c r="J117" s="37">
        <f>IFERROR(AVERAGEIF(Drank!A:A,Agibility!A117,Drank!P:P),0)</f>
        <v>0</v>
      </c>
      <c r="K117" s="37">
        <f t="shared" si="3"/>
        <v>2027</v>
      </c>
      <c r="L117" s="37">
        <f t="shared" si="4"/>
        <v>15</v>
      </c>
    </row>
    <row r="118" spans="1:12" x14ac:dyDescent="0.25">
      <c r="A118" s="37" t="s">
        <v>531</v>
      </c>
      <c r="B118" s="37">
        <f>IF(G118&lt;=0,VLOOKUP(A118,Drank!A:D,2,FALSE),VLOOKUP(A118,Wine1!A:D,2,FALSE))</f>
        <v>2014</v>
      </c>
      <c r="C118" s="37" t="str">
        <f>IF(G118&lt;=0,VLOOKUP(A118,Drank!A:D,3,FALSE),VLOOKUP(A118,Wine1!A:D,3,FALSE))</f>
        <v>Produttori del Barbaresco</v>
      </c>
      <c r="D118" s="37" t="str">
        <f>IF(G118&lt;=0,VLOOKUP(A118,Drank!A:D,4,FALSE),VLOOKUP(A118,Wine1!A:D,4,FALSE))</f>
        <v>Barbaresco</v>
      </c>
      <c r="E118" s="8" t="str">
        <f>IF(G118&gt;0,VLOOKUP(A118,Wine1!A:AF,5,FALSE),VLOOKUP(A118,Drank!A:AA,5,FALSE))</f>
        <v>100% Nebbiolo</v>
      </c>
      <c r="F118" s="8">
        <f>IF(G118&gt;0,VLOOKUP(A118,Wine1!A:AF,32,FALSE),VLOOKUP(Agibility!A118,Drank!A:AA,27,FALSE))</f>
        <v>3</v>
      </c>
      <c r="G118" s="8">
        <f>COUNTIF(Wine1!A:A,Agibility!A118)</f>
        <v>2</v>
      </c>
      <c r="H118" s="37">
        <f>IFERROR(VLOOKUP(A118,Wine1!A:Y,25,FALSE),0)</f>
        <v>2028</v>
      </c>
      <c r="I118" s="37">
        <f>COUNTIF(Drank!A:A,Agibility!A118)</f>
        <v>2</v>
      </c>
      <c r="J118" s="37">
        <f>IFERROR(AVERAGEIF(Drank!A:A,Agibility!A118,Drank!P:P),0)</f>
        <v>2028</v>
      </c>
      <c r="K118" s="37">
        <f t="shared" si="3"/>
        <v>2028</v>
      </c>
      <c r="L118" s="37">
        <f t="shared" si="4"/>
        <v>14</v>
      </c>
    </row>
    <row r="119" spans="1:12" x14ac:dyDescent="0.25">
      <c r="A119" s="37" t="s">
        <v>1279</v>
      </c>
      <c r="B119" s="37">
        <f>IF(G119&lt;=0,VLOOKUP(A119,Drank!A:D,2,FALSE),VLOOKUP(A119,Wine1!A:D,2,FALSE))</f>
        <v>2015</v>
      </c>
      <c r="C119" s="37" t="str">
        <f>IF(G119&lt;=0,VLOOKUP(A119,Drank!A:D,3,FALSE),VLOOKUP(A119,Wine1!A:D,3,FALSE))</f>
        <v>Luis Seabra Vinhos</v>
      </c>
      <c r="D119" s="37" t="str">
        <f>IF(G119&lt;=0,VLOOKUP(A119,Drank!A:D,4,FALSE),VLOOKUP(A119,Wine1!A:D,4,FALSE))</f>
        <v>Tinto Xisto Cru</v>
      </c>
      <c r="E119" s="8" t="str">
        <f>IF(G119&gt;0,VLOOKUP(A119,Wine1!A:AF,5,FALSE),VLOOKUP(A119,Drank!A:AA,5,FALSE))</f>
        <v>Proprietary Blend</v>
      </c>
      <c r="F119" s="8">
        <f>IF(G119&gt;0,VLOOKUP(A119,Wine1!A:AF,32,FALSE),VLOOKUP(Agibility!A119,Drank!A:AA,27,FALSE))</f>
        <v>3</v>
      </c>
      <c r="G119" s="8">
        <f>COUNTIF(Wine1!A:A,Agibility!A119)</f>
        <v>3</v>
      </c>
      <c r="H119" s="37">
        <f>IFERROR(VLOOKUP(A119,Wine1!A:Y,25,FALSE),0)</f>
        <v>2028</v>
      </c>
      <c r="I119" s="37">
        <f>COUNTIF(Drank!A:A,Agibility!A119)</f>
        <v>1</v>
      </c>
      <c r="J119" s="37">
        <f>IFERROR(AVERAGEIF(Drank!A:A,Agibility!A119,Drank!P:P),0)</f>
        <v>2028</v>
      </c>
      <c r="K119" s="37">
        <f t="shared" si="3"/>
        <v>2028</v>
      </c>
      <c r="L119" s="37">
        <f t="shared" si="4"/>
        <v>13</v>
      </c>
    </row>
    <row r="120" spans="1:12" x14ac:dyDescent="0.25">
      <c r="A120" s="37" t="s">
        <v>533</v>
      </c>
      <c r="B120" s="37">
        <f>IF(G120&lt;=0,VLOOKUP(A120,Drank!A:D,2,FALSE),VLOOKUP(A120,Wine1!A:D,2,FALSE))</f>
        <v>2015</v>
      </c>
      <c r="C120" s="37" t="str">
        <f>IF(G120&lt;=0,VLOOKUP(A120,Drank!A:D,3,FALSE),VLOOKUP(A120,Wine1!A:D,3,FALSE))</f>
        <v>Christian Moreau</v>
      </c>
      <c r="D120" s="37" t="str">
        <f>IF(G120&lt;=0,VLOOKUP(A120,Drank!A:D,4,FALSE),VLOOKUP(A120,Wine1!A:D,4,FALSE))</f>
        <v>Chablis Grand Cru Blanchot</v>
      </c>
      <c r="E120" s="8" t="str">
        <f>IF(G120&gt;0,VLOOKUP(A120,Wine1!A:AF,5,FALSE),VLOOKUP(A120,Drank!A:AA,5,FALSE))</f>
        <v>Chardonay</v>
      </c>
      <c r="F120" s="8">
        <f>IF(G120&gt;0,VLOOKUP(A120,Wine1!A:AF,32,FALSE),VLOOKUP(Agibility!A120,Drank!A:AA,27,FALSE))</f>
        <v>4</v>
      </c>
      <c r="G120" s="8">
        <f>COUNTIF(Wine1!A:A,Agibility!A120)</f>
        <v>1</v>
      </c>
      <c r="H120" s="37">
        <f>IFERROR(VLOOKUP(A120,Wine1!A:Y,25,FALSE),0)</f>
        <v>2029</v>
      </c>
      <c r="I120" s="37">
        <f>COUNTIF(Drank!A:A,Agibility!A120)</f>
        <v>0</v>
      </c>
      <c r="J120" s="37">
        <f>IFERROR(AVERAGEIF(Drank!A:A,Agibility!A120,Drank!P:P),0)</f>
        <v>0</v>
      </c>
      <c r="K120" s="37">
        <f t="shared" si="3"/>
        <v>2029</v>
      </c>
      <c r="L120" s="37">
        <f t="shared" si="4"/>
        <v>14</v>
      </c>
    </row>
    <row r="121" spans="1:12" x14ac:dyDescent="0.25">
      <c r="A121" s="37" t="s">
        <v>534</v>
      </c>
      <c r="B121" s="37">
        <f>IF(G121&lt;=0,VLOOKUP(A121,Drank!A:D,2,FALSE),VLOOKUP(A121,Wine1!A:D,2,FALSE))</f>
        <v>2016</v>
      </c>
      <c r="C121" s="37" t="str">
        <f>IF(G121&lt;=0,VLOOKUP(A121,Drank!A:D,3,FALSE),VLOOKUP(A121,Wine1!A:D,3,FALSE))</f>
        <v>Luna Beberide</v>
      </c>
      <c r="D121" s="37" t="str">
        <f>IF(G121&lt;=0,VLOOKUP(A121,Drank!A:D,4,FALSE),VLOOKUP(A121,Wine1!A:D,4,FALSE))</f>
        <v>Paixar</v>
      </c>
      <c r="E121" s="8" t="str">
        <f>IF(G121&gt;0,VLOOKUP(A121,Wine1!A:AF,5,FALSE),VLOOKUP(A121,Drank!A:AA,5,FALSE))</f>
        <v>Mencia</v>
      </c>
      <c r="F121" s="8">
        <f>IF(G121&gt;0,VLOOKUP(A121,Wine1!A:AF,32,FALSE),VLOOKUP(Agibility!A121,Drank!A:AA,27,FALSE))</f>
        <v>3</v>
      </c>
      <c r="G121" s="8">
        <f>COUNTIF(Wine1!A:A,Agibility!A121)</f>
        <v>3</v>
      </c>
      <c r="H121" s="37">
        <f>IFERROR(VLOOKUP(A121,Wine1!A:Y,25,FALSE),0)</f>
        <v>2029</v>
      </c>
      <c r="I121" s="37">
        <f>COUNTIF(Drank!A:A,Agibility!A121)</f>
        <v>1</v>
      </c>
      <c r="J121" s="37">
        <f>IFERROR(AVERAGEIF(Drank!A:A,Agibility!A121,Drank!P:P),0)</f>
        <v>2029</v>
      </c>
      <c r="K121" s="37">
        <f t="shared" si="3"/>
        <v>2029</v>
      </c>
      <c r="L121" s="37">
        <f t="shared" si="4"/>
        <v>13</v>
      </c>
    </row>
    <row r="122" spans="1:12" x14ac:dyDescent="0.25">
      <c r="A122" s="37" t="s">
        <v>708</v>
      </c>
      <c r="B122" s="37">
        <f>IF(G122&lt;=0,VLOOKUP(A122,Drank!A:D,2,FALSE),VLOOKUP(A122,Wine1!A:D,2,FALSE))</f>
        <v>2016</v>
      </c>
      <c r="C122" s="37" t="str">
        <f>IF(G122&lt;=0,VLOOKUP(A122,Drank!A:D,3,FALSE),VLOOKUP(A122,Wine1!A:D,3,FALSE))</f>
        <v>Chauvin</v>
      </c>
      <c r="D122" s="37" t="str">
        <f>IF(G122&lt;=0,VLOOKUP(A122,Drank!A:D,4,FALSE),VLOOKUP(A122,Wine1!A:D,4,FALSE))</f>
        <v>Chauvin</v>
      </c>
      <c r="E122" s="8" t="str">
        <f>IF(G122&gt;0,VLOOKUP(A122,Wine1!A:AF,5,FALSE),VLOOKUP(A122,Drank!A:AA,5,FALSE))</f>
        <v>Merlot Blend</v>
      </c>
      <c r="F122" s="8">
        <f>IF(G122&gt;0,VLOOKUP(A122,Wine1!A:AF,32,FALSE),VLOOKUP(Agibility!A122,Drank!A:AA,27,FALSE))</f>
        <v>3</v>
      </c>
      <c r="G122" s="8">
        <f>COUNTIF(Wine1!A:A,Agibility!A122)</f>
        <v>2</v>
      </c>
      <c r="H122" s="37">
        <f>IFERROR(VLOOKUP(A122,Wine1!A:Y,25,FALSE),0)</f>
        <v>2029</v>
      </c>
      <c r="I122" s="37">
        <f>COUNTIF(Drank!A:A,Agibility!A122)</f>
        <v>0</v>
      </c>
      <c r="J122" s="37">
        <f>IFERROR(AVERAGEIF(Drank!A:A,Agibility!A122,Drank!P:P),0)</f>
        <v>0</v>
      </c>
      <c r="K122" s="37">
        <f t="shared" si="3"/>
        <v>2029</v>
      </c>
      <c r="L122" s="37">
        <f t="shared" si="4"/>
        <v>13</v>
      </c>
    </row>
    <row r="123" spans="1:12" x14ac:dyDescent="0.25">
      <c r="A123" s="37" t="s">
        <v>527</v>
      </c>
      <c r="B123" s="37">
        <f>IF(G123&lt;=0,VLOOKUP(A123,Drank!A:D,2,FALSE),VLOOKUP(A123,Wine1!A:D,2,FALSE))</f>
        <v>2012</v>
      </c>
      <c r="C123" s="37" t="str">
        <f>IF(G123&lt;=0,VLOOKUP(A123,Drank!A:D,3,FALSE),VLOOKUP(A123,Wine1!A:D,3,FALSE))</f>
        <v>La Fortuna</v>
      </c>
      <c r="D123" s="37" t="str">
        <f>IF(G123&lt;=0,VLOOKUP(A123,Drank!A:D,4,FALSE),VLOOKUP(A123,Wine1!A:D,4,FALSE))</f>
        <v>Brunello di Montalcino Riserva</v>
      </c>
      <c r="E123" s="8" t="str">
        <f>IF(G123&gt;0,VLOOKUP(A123,Wine1!A:AF,5,FALSE),VLOOKUP(A123,Drank!A:AA,5,FALSE))</f>
        <v>Sangiovese</v>
      </c>
      <c r="F123" s="8">
        <f>IF(G123&gt;0,VLOOKUP(A123,Wine1!A:AF,32,FALSE),VLOOKUP(Agibility!A123,Drank!A:AA,27,FALSE))</f>
        <v>4</v>
      </c>
      <c r="G123" s="8">
        <f>COUNTIF(Wine1!A:A,Agibility!A123)</f>
        <v>2</v>
      </c>
      <c r="H123" s="37">
        <f>IFERROR(VLOOKUP(A123,Wine1!A:Y,25,FALSE),0)</f>
        <v>2030</v>
      </c>
      <c r="I123" s="37">
        <f>COUNTIF(Drank!A:A,Agibility!A123)</f>
        <v>0</v>
      </c>
      <c r="J123" s="37">
        <f>IFERROR(AVERAGEIF(Drank!A:A,Agibility!A123,Drank!P:P),0)</f>
        <v>0</v>
      </c>
      <c r="K123" s="37">
        <f t="shared" si="3"/>
        <v>2030</v>
      </c>
      <c r="L123" s="37">
        <f t="shared" si="4"/>
        <v>18</v>
      </c>
    </row>
    <row r="124" spans="1:12" x14ac:dyDescent="0.25">
      <c r="A124" s="37" t="s">
        <v>535</v>
      </c>
      <c r="B124" s="37">
        <f>IF(G124&lt;=0,VLOOKUP(A124,Drank!A:D,2,FALSE),VLOOKUP(A124,Wine1!A:D,2,FALSE))</f>
        <v>2012</v>
      </c>
      <c r="C124" s="37" t="str">
        <f>IF(G124&lt;=0,VLOOKUP(A124,Drank!A:D,3,FALSE),VLOOKUP(A124,Wine1!A:D,3,FALSE))</f>
        <v>BenjamÃ­n Romeo</v>
      </c>
      <c r="D124" s="37" t="str">
        <f>IF(G124&lt;=0,VLOOKUP(A124,Drank!A:D,4,FALSE),VLOOKUP(A124,Wine1!A:D,4,FALSE))</f>
        <v>Contador</v>
      </c>
      <c r="E124" s="8" t="str">
        <f>IF(G124&gt;0,VLOOKUP(A124,Wine1!A:AF,5,FALSE),VLOOKUP(A124,Drank!A:AA,5,FALSE))</f>
        <v>Tempranillo</v>
      </c>
      <c r="F124" s="8">
        <f>IF(G124&gt;0,VLOOKUP(A124,Wine1!A:AF,32,FALSE),VLOOKUP(Agibility!A124,Drank!A:AA,27,FALSE))</f>
        <v>4</v>
      </c>
      <c r="G124" s="8">
        <f>COUNTIF(Wine1!A:A,Agibility!A124)</f>
        <v>2</v>
      </c>
      <c r="H124" s="37">
        <f>IFERROR(VLOOKUP(A124,Wine1!A:Y,25,FALSE),0)</f>
        <v>2030</v>
      </c>
      <c r="I124" s="37">
        <f>COUNTIF(Drank!A:A,Agibility!A124)</f>
        <v>0</v>
      </c>
      <c r="J124" s="37">
        <f>IFERROR(AVERAGEIF(Drank!A:A,Agibility!A124,Drank!P:P),0)</f>
        <v>0</v>
      </c>
      <c r="K124" s="37">
        <f t="shared" si="3"/>
        <v>2030</v>
      </c>
      <c r="L124" s="37">
        <f t="shared" si="4"/>
        <v>18</v>
      </c>
    </row>
    <row r="125" spans="1:12" x14ac:dyDescent="0.25">
      <c r="A125" s="37" t="s">
        <v>536</v>
      </c>
      <c r="B125" s="37">
        <f>IF(G125&lt;=0,VLOOKUP(A125,Drank!A:D,2,FALSE),VLOOKUP(A125,Wine1!A:D,2,FALSE))</f>
        <v>2016</v>
      </c>
      <c r="C125" s="37" t="str">
        <f>IF(G125&lt;=0,VLOOKUP(A125,Drank!A:D,3,FALSE),VLOOKUP(A125,Wine1!A:D,3,FALSE))</f>
        <v>Anderson's Conn Valley</v>
      </c>
      <c r="D125" s="37" t="str">
        <f>IF(G125&lt;=0,VLOOKUP(A125,Drank!A:D,4,FALSE),VLOOKUP(A125,Wine1!A:D,4,FALSE))</f>
        <v>Cabernet Sauvignon</v>
      </c>
      <c r="E125" s="8" t="str">
        <f>IF(G125&gt;0,VLOOKUP(A125,Wine1!A:AF,5,FALSE),VLOOKUP(A125,Drank!A:AA,5,FALSE))</f>
        <v>86% Cabernet Sauvignon, 7% Merlot, 5% Cabernet Franc</v>
      </c>
      <c r="F125" s="8">
        <f>IF(G125&gt;0,VLOOKUP(A125,Wine1!A:AF,32,FALSE),VLOOKUP(Agibility!A125,Drank!A:AA,27,FALSE))</f>
        <v>3</v>
      </c>
      <c r="G125" s="8">
        <f>COUNTIF(Wine1!A:A,Agibility!A125)</f>
        <v>3</v>
      </c>
      <c r="H125" s="37">
        <f>IFERROR(VLOOKUP(A125,Wine1!A:Y,25,FALSE),0)</f>
        <v>2031</v>
      </c>
      <c r="I125" s="37">
        <f>COUNTIF(Drank!A:A,Agibility!A125)</f>
        <v>1</v>
      </c>
      <c r="J125" s="37">
        <f>IFERROR(AVERAGEIF(Drank!A:A,Agibility!A125,Drank!P:P),0)</f>
        <v>2031</v>
      </c>
      <c r="K125" s="37">
        <f t="shared" si="3"/>
        <v>2031</v>
      </c>
      <c r="L125" s="37">
        <f t="shared" si="4"/>
        <v>15</v>
      </c>
    </row>
    <row r="126" spans="1:12" x14ac:dyDescent="0.25">
      <c r="A126" s="37" t="s">
        <v>537</v>
      </c>
      <c r="B126" s="37">
        <f>IF(G126&lt;=0,VLOOKUP(A126,Drank!A:D,2,FALSE),VLOOKUP(A126,Wine1!A:D,2,FALSE))</f>
        <v>2013</v>
      </c>
      <c r="C126" s="37" t="str">
        <f>IF(G126&lt;=0,VLOOKUP(A126,Drank!A:D,3,FALSE),VLOOKUP(A126,Wine1!A:D,3,FALSE))</f>
        <v>Giovanni Manzone</v>
      </c>
      <c r="D126" s="37" t="str">
        <f>IF(G126&lt;=0,VLOOKUP(A126,Drank!A:D,4,FALSE),VLOOKUP(A126,Wine1!A:D,4,FALSE))</f>
        <v>Barolo Gramolere</v>
      </c>
      <c r="E126" s="8" t="str">
        <f>IF(G126&gt;0,VLOOKUP(A126,Wine1!A:AF,5,FALSE),VLOOKUP(A126,Drank!A:AA,5,FALSE))</f>
        <v>100% Nebbiolo</v>
      </c>
      <c r="F126" s="8">
        <f>IF(G126&gt;0,VLOOKUP(A126,Wine1!A:AF,32,FALSE),VLOOKUP(Agibility!A126,Drank!A:AA,27,FALSE))</f>
        <v>3</v>
      </c>
      <c r="G126" s="8">
        <f>COUNTIF(Wine1!A:A,Agibility!A126)</f>
        <v>3</v>
      </c>
      <c r="H126" s="37">
        <f>IFERROR(VLOOKUP(A126,Wine1!A:Y,25,FALSE),0)</f>
        <v>2032</v>
      </c>
      <c r="I126" s="37">
        <f>COUNTIF(Drank!A:A,Agibility!A126)</f>
        <v>1</v>
      </c>
      <c r="J126" s="37">
        <f>IFERROR(AVERAGEIF(Drank!A:A,Agibility!A126,Drank!P:P),0)</f>
        <v>2032</v>
      </c>
      <c r="K126" s="37">
        <f t="shared" si="3"/>
        <v>2032</v>
      </c>
      <c r="L126" s="37">
        <f t="shared" si="4"/>
        <v>19</v>
      </c>
    </row>
    <row r="127" spans="1:12" x14ac:dyDescent="0.25">
      <c r="A127" s="37" t="s">
        <v>538</v>
      </c>
      <c r="B127" s="37">
        <f>IF(G127&lt;=0,VLOOKUP(A127,Drank!A:D,2,FALSE),VLOOKUP(A127,Wine1!A:D,2,FALSE))</f>
        <v>2016</v>
      </c>
      <c r="C127" s="37" t="str">
        <f>IF(G127&lt;=0,VLOOKUP(A127,Drank!A:D,3,FALSE),VLOOKUP(A127,Wine1!A:D,3,FALSE))</f>
        <v>Foley Johnson</v>
      </c>
      <c r="D127" s="37" t="str">
        <f>IF(G127&lt;=0,VLOOKUP(A127,Drank!A:D,4,FALSE),VLOOKUP(A127,Wine1!A:D,4,FALSE))</f>
        <v>Cabernet Sauvignon Estate</v>
      </c>
      <c r="E127" s="8" t="str">
        <f>IF(G127&gt;0,VLOOKUP(A127,Wine1!A:AF,5,FALSE),VLOOKUP(A127,Drank!A:AA,5,FALSE))</f>
        <v>Cabernet Sauvignon</v>
      </c>
      <c r="F127" s="8">
        <f>IF(G127&gt;0,VLOOKUP(A127,Wine1!A:AF,32,FALSE),VLOOKUP(Agibility!A127,Drank!A:AA,27,FALSE))</f>
        <v>3</v>
      </c>
      <c r="G127" s="8">
        <f>COUNTIF(Wine1!A:A,Agibility!A127)</f>
        <v>3</v>
      </c>
      <c r="H127" s="37">
        <f>IFERROR(VLOOKUP(A127,Wine1!A:Y,25,FALSE),0)</f>
        <v>2032</v>
      </c>
      <c r="I127" s="37">
        <f>COUNTIF(Drank!A:A,Agibility!A127)</f>
        <v>1</v>
      </c>
      <c r="J127" s="37">
        <f>IFERROR(AVERAGEIF(Drank!A:A,Agibility!A127,Drank!P:P),0)</f>
        <v>2032</v>
      </c>
      <c r="K127" s="37">
        <f t="shared" si="3"/>
        <v>2032</v>
      </c>
      <c r="L127" s="37">
        <f t="shared" si="4"/>
        <v>16</v>
      </c>
    </row>
    <row r="128" spans="1:12" x14ac:dyDescent="0.25">
      <c r="A128" s="37" t="s">
        <v>539</v>
      </c>
      <c r="B128" s="37">
        <f>IF(G128&lt;=0,VLOOKUP(A128,Drank!A:D,2,FALSE),VLOOKUP(A128,Wine1!A:D,2,FALSE))</f>
        <v>2013</v>
      </c>
      <c r="C128" s="37" t="str">
        <f>IF(G128&lt;=0,VLOOKUP(A128,Drank!A:D,3,FALSE),VLOOKUP(A128,Wine1!A:D,3,FALSE))</f>
        <v>Giovanni Manzone</v>
      </c>
      <c r="D128" s="37" t="str">
        <f>IF(G128&lt;=0,VLOOKUP(A128,Drank!A:D,4,FALSE),VLOOKUP(A128,Wine1!A:D,4,FALSE))</f>
        <v>Barolo Bricat</v>
      </c>
      <c r="E128" s="8" t="str">
        <f>IF(G128&gt;0,VLOOKUP(A128,Wine1!A:AF,5,FALSE),VLOOKUP(A128,Drank!A:AA,5,FALSE))</f>
        <v>100% Nebbiolo</v>
      </c>
      <c r="F128" s="8">
        <f>IF(G128&gt;0,VLOOKUP(A128,Wine1!A:AF,32,FALSE),VLOOKUP(Agibility!A128,Drank!A:AA,27,FALSE))</f>
        <v>3</v>
      </c>
      <c r="G128" s="8">
        <f>COUNTIF(Wine1!A:A,Agibility!A128)</f>
        <v>3</v>
      </c>
      <c r="H128" s="37">
        <f>IFERROR(VLOOKUP(A128,Wine1!A:Y,25,FALSE),0)</f>
        <v>2032</v>
      </c>
      <c r="I128" s="37">
        <f>COUNTIF(Drank!A:A,Agibility!A128)</f>
        <v>1</v>
      </c>
      <c r="J128" s="37">
        <f>IFERROR(AVERAGEIF(Drank!A:A,Agibility!A128,Drank!P:P),0)</f>
        <v>2032</v>
      </c>
      <c r="K128" s="37">
        <f t="shared" si="3"/>
        <v>2032</v>
      </c>
      <c r="L128" s="37">
        <f t="shared" si="4"/>
        <v>19</v>
      </c>
    </row>
    <row r="129" spans="1:12" x14ac:dyDescent="0.25">
      <c r="A129" s="37" t="s">
        <v>540</v>
      </c>
      <c r="B129" s="37">
        <f>IF(G129&lt;=0,VLOOKUP(A129,Drank!A:D,2,FALSE),VLOOKUP(A129,Wine1!A:D,2,FALSE))</f>
        <v>2015</v>
      </c>
      <c r="C129" s="37" t="str">
        <f>IF(G129&lt;=0,VLOOKUP(A129,Drank!A:D,3,FALSE),VLOOKUP(A129,Wine1!A:D,3,FALSE))</f>
        <v>Orin Swift Cellars</v>
      </c>
      <c r="D129" s="37" t="str">
        <f>IF(G129&lt;=0,VLOOKUP(A129,Drank!A:D,4,FALSE),VLOOKUP(A129,Wine1!A:D,4,FALSE))</f>
        <v>Papillon Proprietary Red</v>
      </c>
      <c r="E129" s="8" t="str">
        <f>IF(G129&gt;0,VLOOKUP(A129,Wine1!A:AF,5,FALSE),VLOOKUP(A129,Drank!A:AA,5,FALSE))</f>
        <v>Cabernet Sauvignon Blend</v>
      </c>
      <c r="F129" s="8">
        <f>IF(G129&gt;0,VLOOKUP(A129,Wine1!A:AF,32,FALSE),VLOOKUP(Agibility!A129,Drank!A:AA,27,FALSE))</f>
        <v>4</v>
      </c>
      <c r="G129" s="8">
        <f>COUNTIF(Wine1!A:A,Agibility!A129)</f>
        <v>2</v>
      </c>
      <c r="H129" s="37">
        <f>IFERROR(VLOOKUP(A129,Wine1!A:Y,25,FALSE),0)</f>
        <v>2034</v>
      </c>
      <c r="I129" s="37">
        <f>COUNTIF(Drank!A:A,Agibility!A129)</f>
        <v>0</v>
      </c>
      <c r="J129" s="37">
        <f>IFERROR(AVERAGEIF(Drank!A:A,Agibility!A129,Drank!P:P),0)</f>
        <v>0</v>
      </c>
      <c r="K129" s="37">
        <f t="shared" si="3"/>
        <v>2034</v>
      </c>
      <c r="L129" s="37">
        <f t="shared" si="4"/>
        <v>19</v>
      </c>
    </row>
    <row r="130" spans="1:12" x14ac:dyDescent="0.25">
      <c r="A130" s="37" t="s">
        <v>942</v>
      </c>
      <c r="B130" s="37">
        <f>IF(G130&lt;=0,VLOOKUP(A130,Drank!A:D,2,FALSE),VLOOKUP(A130,Wine1!A:D,2,FALSE))</f>
        <v>2013</v>
      </c>
      <c r="C130" s="37" t="str">
        <f>IF(G130&lt;=0,VLOOKUP(A130,Drank!A:D,3,FALSE),VLOOKUP(A130,Wine1!A:D,3,FALSE))</f>
        <v>Felsina</v>
      </c>
      <c r="D130" s="37" t="str">
        <f>IF(G130&lt;=0,VLOOKUP(A130,Drank!A:D,4,FALSE),VLOOKUP(A130,Wine1!A:D,4,FALSE))</f>
        <v>Fontalloro</v>
      </c>
      <c r="E130" s="8" t="str">
        <f>IF(G130&gt;0,VLOOKUP(A130,Wine1!A:AF,5,FALSE),VLOOKUP(A130,Drank!A:AA,5,FALSE))</f>
        <v>Sangiovese</v>
      </c>
      <c r="F130" s="8">
        <f>IF(G130&gt;0,VLOOKUP(A130,Wine1!A:AF,32,FALSE),VLOOKUP(Agibility!A130,Drank!A:AA,27,FALSE))</f>
        <v>3</v>
      </c>
      <c r="G130" s="8">
        <f>COUNTIF(Wine1!A:A,Agibility!A130)</f>
        <v>3</v>
      </c>
      <c r="H130" s="37">
        <f>IFERROR(VLOOKUP(A130,Wine1!A:Y,25,FALSE),0)</f>
        <v>2035</v>
      </c>
      <c r="I130" s="37">
        <f>COUNTIF(Drank!A:A,Agibility!A130)</f>
        <v>0</v>
      </c>
      <c r="J130" s="37">
        <f>IFERROR(AVERAGEIF(Drank!A:A,Agibility!A130,Drank!P:P),0)</f>
        <v>0</v>
      </c>
      <c r="K130" s="37">
        <f t="shared" si="3"/>
        <v>2035</v>
      </c>
      <c r="L130" s="37">
        <f t="shared" si="4"/>
        <v>22</v>
      </c>
    </row>
    <row r="131" spans="1:12" x14ac:dyDescent="0.25">
      <c r="A131" s="37" t="s">
        <v>542</v>
      </c>
      <c r="B131" s="37">
        <f>IF(G131&lt;=0,VLOOKUP(A131,Drank!A:D,2,FALSE),VLOOKUP(A131,Wine1!A:D,2,FALSE))</f>
        <v>2016</v>
      </c>
      <c r="C131" s="37" t="str">
        <f>IF(G131&lt;=0,VLOOKUP(A131,Drank!A:D,3,FALSE),VLOOKUP(A131,Wine1!A:D,3,FALSE))</f>
        <v>Kay Brothers</v>
      </c>
      <c r="D131" s="37" t="str">
        <f>IF(G131&lt;=0,VLOOKUP(A131,Drank!A:D,4,FALSE),VLOOKUP(A131,Wine1!A:D,4,FALSE))</f>
        <v>Shiraz Block 6</v>
      </c>
      <c r="E131" s="8" t="str">
        <f>IF(G131&gt;0,VLOOKUP(A131,Wine1!A:AF,5,FALSE),VLOOKUP(A131,Drank!A:AA,5,FALSE))</f>
        <v>Shiraz</v>
      </c>
      <c r="F131" s="8">
        <f>IF(G131&gt;0,VLOOKUP(A131,Wine1!A:AF,32,FALSE),VLOOKUP(Agibility!A131,Drank!A:AA,27,FALSE))</f>
        <v>3</v>
      </c>
      <c r="G131" s="8">
        <f>COUNTIF(Wine1!A:A,Agibility!A131)</f>
        <v>3</v>
      </c>
      <c r="H131" s="37">
        <f>IFERROR(VLOOKUP(A131,Wine1!A:Y,25,FALSE),0)</f>
        <v>2035</v>
      </c>
      <c r="I131" s="37">
        <f>COUNTIF(Drank!A:A,Agibility!A131)</f>
        <v>0</v>
      </c>
      <c r="J131" s="37">
        <f>IFERROR(AVERAGEIF(Drank!A:A,Agibility!A131,Drank!P:P),0)</f>
        <v>0</v>
      </c>
      <c r="K131" s="37">
        <f t="shared" si="3"/>
        <v>2035</v>
      </c>
      <c r="L131" s="37">
        <f t="shared" si="4"/>
        <v>19</v>
      </c>
    </row>
    <row r="132" spans="1:12" x14ac:dyDescent="0.25">
      <c r="A132" s="37" t="s">
        <v>543</v>
      </c>
      <c r="B132" s="37">
        <f>IF(G132&lt;=0,VLOOKUP(A132,Drank!A:D,2,FALSE),VLOOKUP(A132,Wine1!A:D,2,FALSE))</f>
        <v>2016</v>
      </c>
      <c r="C132" s="37" t="str">
        <f>IF(G132&lt;=0,VLOOKUP(A132,Drank!A:D,3,FALSE),VLOOKUP(A132,Wine1!A:D,3,FALSE))</f>
        <v>Produttori del Barbaresco</v>
      </c>
      <c r="D132" s="37" t="str">
        <f>IF(G132&lt;=0,VLOOKUP(A132,Drank!A:D,4,FALSE),VLOOKUP(A132,Wine1!A:D,4,FALSE))</f>
        <v>Barbaresco</v>
      </c>
      <c r="E132" s="8" t="str">
        <f>IF(G132&gt;0,VLOOKUP(A132,Wine1!A:AF,5,FALSE),VLOOKUP(A132,Drank!A:AA,5,FALSE))</f>
        <v>100% Nebbiolo</v>
      </c>
      <c r="F132" s="8">
        <f>IF(G132&gt;0,VLOOKUP(A132,Wine1!A:AF,32,FALSE),VLOOKUP(Agibility!A132,Drank!A:AA,27,FALSE))</f>
        <v>3</v>
      </c>
      <c r="G132" s="8">
        <f>COUNTIF(Wine1!A:A,Agibility!A132)</f>
        <v>41</v>
      </c>
      <c r="H132" s="37">
        <f>IFERROR(VLOOKUP(A132,Wine1!A:Y,25,FALSE),0)</f>
        <v>2032</v>
      </c>
      <c r="I132" s="37">
        <f>COUNTIF(Drank!A:A,Agibility!A132)</f>
        <v>2</v>
      </c>
      <c r="J132" s="37">
        <f>IFERROR(AVERAGEIF(Drank!A:A,Agibility!A132,Drank!P:P),0)</f>
        <v>2033.5</v>
      </c>
      <c r="K132" s="37">
        <f t="shared" ref="K132:K197" si="5">IF(J132&gt;0,J132,H132)</f>
        <v>2033.5</v>
      </c>
      <c r="L132" s="37">
        <f t="shared" ref="L132:L197" si="6">IF(K132&gt;0,K132-B132," ")</f>
        <v>17.5</v>
      </c>
    </row>
    <row r="133" spans="1:12" x14ac:dyDescent="0.25">
      <c r="A133" s="37" t="s">
        <v>544</v>
      </c>
      <c r="B133" s="37">
        <f>IF(G133&lt;=0,VLOOKUP(A133,Drank!A:D,2,FALSE),VLOOKUP(A133,Wine1!A:D,2,FALSE))</f>
        <v>2014</v>
      </c>
      <c r="C133" s="37" t="str">
        <f>IF(G133&lt;=0,VLOOKUP(A133,Drank!A:D,3,FALSE),VLOOKUP(A133,Wine1!A:D,3,FALSE))</f>
        <v>Anderson's Conn Valley</v>
      </c>
      <c r="D133" s="37" t="str">
        <f>IF(G133&lt;=0,VLOOKUP(A133,Drank!A:D,4,FALSE),VLOOKUP(A133,Wine1!A:D,4,FALSE))</f>
        <v>Cabernet Sauvignon Reserve</v>
      </c>
      <c r="E133" s="8" t="str">
        <f>IF(G133&gt;0,VLOOKUP(A133,Wine1!A:AF,5,FALSE),VLOOKUP(A133,Drank!A:AA,5,FALSE))</f>
        <v>97% Cabernet Sauvignon, 3% Petite Verdot</v>
      </c>
      <c r="F133" s="8">
        <f>IF(G133&gt;0,VLOOKUP(A133,Wine1!A:AF,32,FALSE),VLOOKUP(Agibility!A133,Drank!A:AA,27,FALSE))</f>
        <v>3</v>
      </c>
      <c r="G133" s="8">
        <f>COUNTIF(Wine1!A:A,Agibility!A133)</f>
        <v>4</v>
      </c>
      <c r="H133" s="37">
        <f>IFERROR(VLOOKUP(A133,Wine1!A:Y,25,FALSE),0)</f>
        <v>2046</v>
      </c>
      <c r="I133" s="37">
        <f>COUNTIF(Drank!A:A,Agibility!A133)</f>
        <v>0</v>
      </c>
      <c r="J133" s="37">
        <f>IFERROR(AVERAGEIF(Drank!A:A,Agibility!A133,Drank!P:P),0)</f>
        <v>0</v>
      </c>
      <c r="K133" s="37">
        <f t="shared" si="5"/>
        <v>2046</v>
      </c>
      <c r="L133" s="37">
        <f t="shared" si="6"/>
        <v>32</v>
      </c>
    </row>
    <row r="134" spans="1:12" x14ac:dyDescent="0.25">
      <c r="A134" s="37" t="s">
        <v>545</v>
      </c>
      <c r="B134" s="37">
        <f>IF(G134&lt;=0,VLOOKUP(A134,Drank!A:D,2,FALSE),VLOOKUP(A134,Wine1!A:D,2,FALSE))</f>
        <v>2016</v>
      </c>
      <c r="C134" s="37" t="str">
        <f>IF(G134&lt;=0,VLOOKUP(A134,Drank!A:D,3,FALSE),VLOOKUP(A134,Wine1!A:D,3,FALSE))</f>
        <v>Tenuta San Guido</v>
      </c>
      <c r="D134" s="37" t="str">
        <f>IF(G134&lt;=0,VLOOKUP(A134,Drank!A:D,4,FALSE),VLOOKUP(A134,Wine1!A:D,4,FALSE))</f>
        <v>Sassicaia</v>
      </c>
      <c r="E134" s="8" t="str">
        <f>IF(G134&gt;0,VLOOKUP(A134,Wine1!A:AF,5,FALSE),VLOOKUP(A134,Drank!A:AA,5,FALSE))</f>
        <v>85% Cabernet Sauvignon, 15% Cabernet Franc</v>
      </c>
      <c r="F134" s="8">
        <f>IF(G134&gt;0,VLOOKUP(A134,Wine1!A:AF,32,FALSE),VLOOKUP(Agibility!A134,Drank!A:AA,27,FALSE))</f>
        <v>4</v>
      </c>
      <c r="G134" s="8">
        <f>COUNTIF(Wine1!A:A,Agibility!A134)</f>
        <v>6</v>
      </c>
      <c r="H134" s="37">
        <f>IFERROR(VLOOKUP(A134,Wine1!A:Y,25,FALSE),0)</f>
        <v>2050</v>
      </c>
      <c r="I134" s="37">
        <f>COUNTIF(Drank!A:A,Agibility!A134)</f>
        <v>0</v>
      </c>
      <c r="J134" s="37">
        <f>IFERROR(AVERAGEIF(Drank!A:A,Agibility!A134,Drank!P:P),0)</f>
        <v>0</v>
      </c>
      <c r="K134" s="37">
        <f t="shared" si="5"/>
        <v>2050</v>
      </c>
      <c r="L134" s="37">
        <f t="shared" si="6"/>
        <v>34</v>
      </c>
    </row>
    <row r="135" spans="1:12" x14ac:dyDescent="0.25">
      <c r="A135" s="37" t="s">
        <v>547</v>
      </c>
      <c r="B135" s="37">
        <f>IF(G135&lt;=0,VLOOKUP(A135,Drank!A:D,2,FALSE),VLOOKUP(A135,Wine1!A:D,2,FALSE))</f>
        <v>2010</v>
      </c>
      <c r="C135" s="37" t="str">
        <f>IF(G135&lt;=0,VLOOKUP(A135,Drank!A:D,3,FALSE),VLOOKUP(A135,Wine1!A:D,3,FALSE))</f>
        <v>V Madrone</v>
      </c>
      <c r="D135" s="37" t="str">
        <f>IF(G135&lt;=0,VLOOKUP(A135,Drank!A:D,4,FALSE),VLOOKUP(A135,Wine1!A:D,4,FALSE))</f>
        <v>Cabernet Sauvignon</v>
      </c>
      <c r="E135" s="8" t="str">
        <f>IF(G135&gt;0,VLOOKUP(A135,Wine1!A:AF,5,FALSE),VLOOKUP(A135,Drank!A:AA,5,FALSE))</f>
        <v>Cabernet Sauvignon</v>
      </c>
      <c r="F135" s="8">
        <f>IF(G135&gt;0,VLOOKUP(A135,Wine1!A:AF,32,FALSE),VLOOKUP(Agibility!A135,Drank!A:AA,27,FALSE))</f>
        <v>4</v>
      </c>
      <c r="G135" s="8">
        <f>COUNTIF(Wine1!A:A,Agibility!A135)</f>
        <v>1</v>
      </c>
      <c r="H135" s="37">
        <f>IFERROR(VLOOKUP(A135,Wine1!A:Y,25,FALSE),0)</f>
        <v>2026</v>
      </c>
      <c r="I135" s="37">
        <f>COUNTIF(Drank!A:A,Agibility!A135)</f>
        <v>1</v>
      </c>
      <c r="J135" s="37">
        <f>IFERROR(AVERAGEIF(Drank!A:A,Agibility!A135,Drank!P:P),0)</f>
        <v>2026</v>
      </c>
      <c r="K135" s="37">
        <f t="shared" si="5"/>
        <v>2026</v>
      </c>
      <c r="L135" s="37">
        <f t="shared" si="6"/>
        <v>16</v>
      </c>
    </row>
    <row r="136" spans="1:12" x14ac:dyDescent="0.25">
      <c r="A136" s="37" t="s">
        <v>548</v>
      </c>
      <c r="B136" s="37">
        <f>IF(G136&lt;=0,VLOOKUP(A136,Drank!A:D,2,FALSE),VLOOKUP(A136,Wine1!A:D,2,FALSE))</f>
        <v>2006</v>
      </c>
      <c r="C136" s="37" t="str">
        <f>IF(G136&lt;=0,VLOOKUP(A136,Drank!A:D,3,FALSE),VLOOKUP(A136,Wine1!A:D,3,FALSE))</f>
        <v>Sella &amp; Mosca</v>
      </c>
      <c r="D136" s="37" t="str">
        <f>IF(G136&lt;=0,VLOOKUP(A136,Drank!A:D,4,FALSE),VLOOKUP(A136,Wine1!A:D,4,FALSE))</f>
        <v>Marchese di Villamarina</v>
      </c>
      <c r="E136" s="8" t="str">
        <f>IF(G136&gt;0,VLOOKUP(A136,Wine1!A:AF,5,FALSE),VLOOKUP(A136,Drank!A:AA,5,FALSE))</f>
        <v>Cabernet Sauvignon Blend</v>
      </c>
      <c r="F136" s="8">
        <f>IF(G136&gt;0,VLOOKUP(A136,Wine1!A:AF,32,FALSE),VLOOKUP(Agibility!A136,Drank!A:AA,27,FALSE))</f>
        <v>3</v>
      </c>
      <c r="G136" s="8">
        <f>COUNTIF(Wine1!A:A,Agibility!A136)</f>
        <v>0</v>
      </c>
      <c r="H136" s="37">
        <f>IFERROR(VLOOKUP(A136,Wine1!A:Y,25,FALSE),0)</f>
        <v>0</v>
      </c>
      <c r="I136" s="37">
        <f>COUNTIF(Drank!A:A,Agibility!A136)</f>
        <v>1</v>
      </c>
      <c r="J136" s="37">
        <f>IFERROR(AVERAGEIF(Drank!A:A,Agibility!A136,Drank!P:P),0)</f>
        <v>2024</v>
      </c>
      <c r="K136" s="37">
        <f t="shared" si="5"/>
        <v>2024</v>
      </c>
      <c r="L136" s="37">
        <f t="shared" si="6"/>
        <v>18</v>
      </c>
    </row>
    <row r="137" spans="1:12" x14ac:dyDescent="0.25">
      <c r="A137" s="37" t="s">
        <v>549</v>
      </c>
      <c r="B137" s="37">
        <f>IF(G137&lt;=0,VLOOKUP(A137,Drank!A:D,2,FALSE),VLOOKUP(A137,Wine1!A:D,2,FALSE))</f>
        <v>2006</v>
      </c>
      <c r="C137" s="37" t="str">
        <f>IF(G137&lt;=0,VLOOKUP(A137,Drank!A:D,3,FALSE),VLOOKUP(A137,Wine1!A:D,3,FALSE))</f>
        <v>Capanna</v>
      </c>
      <c r="D137" s="37" t="str">
        <f>IF(G137&lt;=0,VLOOKUP(A137,Drank!A:D,4,FALSE),VLOOKUP(A137,Wine1!A:D,4,FALSE))</f>
        <v>Brunello di Montalcino</v>
      </c>
      <c r="E137" s="8" t="str">
        <f>IF(G137&gt;0,VLOOKUP(A137,Wine1!A:AF,5,FALSE),VLOOKUP(A137,Drank!A:AA,5,FALSE))</f>
        <v>Sangiovese</v>
      </c>
      <c r="F137" s="8">
        <f>IF(G137&gt;0,VLOOKUP(A137,Wine1!A:AF,32,FALSE),VLOOKUP(Agibility!A137,Drank!A:AA,27,FALSE))</f>
        <v>3</v>
      </c>
      <c r="G137" s="8">
        <f>COUNTIF(Wine1!A:A,Agibility!A137)</f>
        <v>1</v>
      </c>
      <c r="H137" s="37">
        <f>IFERROR(VLOOKUP(A137,Wine1!A:Y,25,FALSE),0)</f>
        <v>2026</v>
      </c>
      <c r="I137" s="37">
        <f>COUNTIF(Drank!A:A,Agibility!A137)</f>
        <v>0</v>
      </c>
      <c r="J137" s="37">
        <f>IFERROR(AVERAGEIF(Drank!A:A,Agibility!A137,Drank!P:P),0)</f>
        <v>0</v>
      </c>
      <c r="K137" s="37">
        <f t="shared" si="5"/>
        <v>2026</v>
      </c>
      <c r="L137" s="37">
        <f t="shared" si="6"/>
        <v>20</v>
      </c>
    </row>
    <row r="138" spans="1:12" x14ac:dyDescent="0.25">
      <c r="A138" s="37" t="s">
        <v>546</v>
      </c>
      <c r="B138" s="37">
        <f>IF(G138&lt;=0,VLOOKUP(A138,Drank!A:D,2,FALSE),VLOOKUP(A138,Wine1!A:D,2,FALSE))</f>
        <v>2009</v>
      </c>
      <c r="C138" s="37" t="str">
        <f>IF(G138&lt;=0,VLOOKUP(A138,Drank!A:D,3,FALSE),VLOOKUP(A138,Wine1!A:D,3,FALSE))</f>
        <v>Masi</v>
      </c>
      <c r="D138" s="37" t="str">
        <f>IF(G138&lt;=0,VLOOKUP(A138,Drank!A:D,4,FALSE),VLOOKUP(A138,Wine1!A:D,4,FALSE))</f>
        <v>Amarone della Valpolicella Classico Serego Alighieri Vaio Armaron</v>
      </c>
      <c r="E138" s="8" t="str">
        <f>IF(G138&gt;0,VLOOKUP(A138,Wine1!A:AF,5,FALSE),VLOOKUP(A138,Drank!A:AA,5,FALSE))</f>
        <v>Amarone Classico</v>
      </c>
      <c r="F138" s="8">
        <f>IF(G138&gt;0,VLOOKUP(A138,Wine1!A:AF,32,FALSE),VLOOKUP(Agibility!A138,Drank!A:AA,27,FALSE))</f>
        <v>4</v>
      </c>
      <c r="G138" s="8">
        <f>COUNTIF(Wine1!A:A,Agibility!A138)</f>
        <v>1</v>
      </c>
      <c r="H138" s="37">
        <f>IFERROR(VLOOKUP(A138,Wine1!A:Y,25,FALSE),0)</f>
        <v>2027</v>
      </c>
      <c r="I138" s="37">
        <f>COUNTIF(Drank!A:A,Agibility!A138)</f>
        <v>0</v>
      </c>
      <c r="J138" s="37">
        <f>IFERROR(AVERAGEIF(Drank!A:A,Agibility!A138,Drank!P:P),0)</f>
        <v>0</v>
      </c>
      <c r="K138" s="37">
        <f t="shared" si="5"/>
        <v>2027</v>
      </c>
      <c r="L138" s="37">
        <f t="shared" si="6"/>
        <v>18</v>
      </c>
    </row>
    <row r="139" spans="1:12" x14ac:dyDescent="0.25">
      <c r="A139" s="37" t="s">
        <v>550</v>
      </c>
      <c r="B139" s="37">
        <f>IF(G139&lt;=0,VLOOKUP(A139,Drank!A:D,2,FALSE),VLOOKUP(A139,Wine1!A:D,2,FALSE))</f>
        <v>2012</v>
      </c>
      <c r="C139" s="37" t="str">
        <f>IF(G139&lt;=0,VLOOKUP(A139,Drank!A:D,3,FALSE),VLOOKUP(A139,Wine1!A:D,3,FALSE))</f>
        <v>Cortonesi</v>
      </c>
      <c r="D139" s="37" t="str">
        <f>IF(G139&lt;=0,VLOOKUP(A139,Drank!A:D,4,FALSE),VLOOKUP(A139,Wine1!A:D,4,FALSE))</f>
        <v>Brunello di Montalcino La Mannella</v>
      </c>
      <c r="E139" s="8" t="str">
        <f>IF(G139&gt;0,VLOOKUP(A139,Wine1!A:AF,5,FALSE),VLOOKUP(A139,Drank!A:AA,5,FALSE))</f>
        <v>Sangiovese</v>
      </c>
      <c r="F139" s="8">
        <f>IF(G139&gt;0,VLOOKUP(A139,Wine1!A:AF,32,FALSE),VLOOKUP(Agibility!A139,Drank!A:AA,27,FALSE))</f>
        <v>3</v>
      </c>
      <c r="G139" s="8">
        <f>COUNTIF(Wine1!A:A,Agibility!A139)</f>
        <v>1</v>
      </c>
      <c r="H139" s="37">
        <f>IFERROR(VLOOKUP(A139,Wine1!A:Y,25,FALSE),0)</f>
        <v>2027</v>
      </c>
      <c r="I139" s="37">
        <f>COUNTIF(Drank!A:A,Agibility!A139)</f>
        <v>1</v>
      </c>
      <c r="J139" s="37">
        <f>IFERROR(AVERAGEIF(Drank!A:A,Agibility!A139,Drank!P:P),0)</f>
        <v>2027</v>
      </c>
      <c r="K139" s="37">
        <f t="shared" si="5"/>
        <v>2027</v>
      </c>
      <c r="L139" s="37">
        <f t="shared" si="6"/>
        <v>15</v>
      </c>
    </row>
    <row r="140" spans="1:12" x14ac:dyDescent="0.25">
      <c r="A140" s="37" t="s">
        <v>551</v>
      </c>
      <c r="B140" s="37">
        <f>IF(G140&lt;=0,VLOOKUP(A140,Drank!A:D,2,FALSE),VLOOKUP(A140,Wine1!A:D,2,FALSE))</f>
        <v>2010</v>
      </c>
      <c r="C140" s="37" t="str">
        <f>IF(G140&lt;=0,VLOOKUP(A140,Drank!A:D,3,FALSE),VLOOKUP(A140,Wine1!A:D,3,FALSE))</f>
        <v>Salvatore Molettieri</v>
      </c>
      <c r="D140" s="37" t="str">
        <f>IF(G140&lt;=0,VLOOKUP(A140,Drank!A:D,4,FALSE),VLOOKUP(A140,Wine1!A:D,4,FALSE))</f>
        <v>Taurasi Vigna Cinque Querce</v>
      </c>
      <c r="E140" s="8" t="str">
        <f>IF(G140&gt;0,VLOOKUP(A140,Wine1!A:AF,5,FALSE),VLOOKUP(A140,Drank!A:AA,5,FALSE))</f>
        <v>Aglianico</v>
      </c>
      <c r="F140" s="8">
        <f>IF(G140&gt;0,VLOOKUP(A140,Wine1!A:AF,32,FALSE),VLOOKUP(Agibility!A140,Drank!A:AA,27,FALSE))</f>
        <v>3</v>
      </c>
      <c r="G140" s="8">
        <f>COUNTIF(Wine1!A:A,Agibility!A140)</f>
        <v>1</v>
      </c>
      <c r="H140" s="37">
        <f>IFERROR(VLOOKUP(A140,Wine1!A:Y,25,FALSE),0)</f>
        <v>2027</v>
      </c>
      <c r="I140" s="37">
        <f>COUNTIF(Drank!A:A,Agibility!A140)</f>
        <v>0</v>
      </c>
      <c r="J140" s="37">
        <f>IFERROR(AVERAGEIF(Drank!A:A,Agibility!A140,Drank!P:P),0)</f>
        <v>0</v>
      </c>
      <c r="K140" s="37">
        <f t="shared" si="5"/>
        <v>2027</v>
      </c>
      <c r="L140" s="37">
        <f t="shared" si="6"/>
        <v>17</v>
      </c>
    </row>
    <row r="141" spans="1:12" x14ac:dyDescent="0.25">
      <c r="A141" s="37" t="s">
        <v>511</v>
      </c>
      <c r="B141" s="37">
        <f>IF(G141&lt;=0,VLOOKUP(A141,Drank!A:D,2,FALSE),VLOOKUP(A141,Wine1!A:D,2,FALSE))</f>
        <v>2012</v>
      </c>
      <c r="C141" s="37" t="str">
        <f>IF(G141&lt;=0,VLOOKUP(A141,Drank!A:D,3,FALSE),VLOOKUP(A141,Wine1!A:D,3,FALSE))</f>
        <v>Eighty Four</v>
      </c>
      <c r="D141" s="37" t="str">
        <f>IF(G141&lt;=0,VLOOKUP(A141,Drank!A:D,4,FALSE),VLOOKUP(A141,Wine1!A:D,4,FALSE))</f>
        <v>Petit Sirah</v>
      </c>
      <c r="E141" s="8" t="str">
        <f>IF(G141&gt;0,VLOOKUP(A141,Wine1!A:AF,5,FALSE),VLOOKUP(A141,Drank!A:AA,5,FALSE))</f>
        <v>Petite Sirah</v>
      </c>
      <c r="F141" s="8">
        <f>IF(G141&gt;0,VLOOKUP(A141,Wine1!A:AF,32,FALSE),VLOOKUP(Agibility!A141,Drank!A:AA,27,FALSE))</f>
        <v>3</v>
      </c>
      <c r="G141" s="8">
        <f>COUNTIF(Wine1!A:A,Agibility!A141)</f>
        <v>2</v>
      </c>
      <c r="H141" s="37">
        <f>IFERROR(VLOOKUP(A141,Wine1!A:Y,25,FALSE),0)</f>
        <v>2028</v>
      </c>
      <c r="I141" s="37">
        <f>COUNTIF(Drank!A:A,Agibility!A141)</f>
        <v>1</v>
      </c>
      <c r="J141" s="37">
        <f>IFERROR(AVERAGEIF(Drank!A:A,Agibility!A141,Drank!P:P),0)</f>
        <v>2028</v>
      </c>
      <c r="K141" s="37">
        <f t="shared" si="5"/>
        <v>2028</v>
      </c>
      <c r="L141" s="37">
        <f t="shared" si="6"/>
        <v>16</v>
      </c>
    </row>
    <row r="142" spans="1:12" x14ac:dyDescent="0.25">
      <c r="A142" s="37" t="s">
        <v>943</v>
      </c>
      <c r="B142" s="37">
        <f>IF(G142&lt;=0,VLOOKUP(A142,Drank!A:D,2,FALSE),VLOOKUP(A142,Wine1!A:D,2,FALSE))</f>
        <v>2010</v>
      </c>
      <c r="C142" s="37" t="str">
        <f>IF(G142&lt;=0,VLOOKUP(A142,Drank!A:D,3,FALSE),VLOOKUP(A142,Wine1!A:D,3,FALSE))</f>
        <v>Fontanafredda</v>
      </c>
      <c r="D142" s="37" t="str">
        <f>IF(G142&lt;=0,VLOOKUP(A142,Drank!A:D,4,FALSE),VLOOKUP(A142,Wine1!A:D,4,FALSE))</f>
        <v>Barolo la Rosa</v>
      </c>
      <c r="E142" s="8" t="str">
        <f>IF(G142&gt;0,VLOOKUP(A142,Wine1!A:AF,5,FALSE),VLOOKUP(A142,Drank!A:AA,5,FALSE))</f>
        <v>100% Nebbiolo</v>
      </c>
      <c r="F142" s="8">
        <f>IF(G142&gt;0,VLOOKUP(A142,Wine1!A:AF,32,FALSE),VLOOKUP(Agibility!A142,Drank!A:AA,27,FALSE))</f>
        <v>3</v>
      </c>
      <c r="G142" s="8">
        <f>COUNTIF(Wine1!A:A,Agibility!A142)</f>
        <v>3</v>
      </c>
      <c r="H142" s="37">
        <f>IFERROR(VLOOKUP(A142,Wine1!A:Y,25,FALSE),0)</f>
        <v>2032</v>
      </c>
      <c r="I142" s="37">
        <f>COUNTIF(Drank!A:A,Agibility!A142)</f>
        <v>0</v>
      </c>
      <c r="J142" s="37">
        <f>IFERROR(AVERAGEIF(Drank!A:A,Agibility!A142,Drank!P:P),0)</f>
        <v>0</v>
      </c>
      <c r="K142" s="37">
        <f t="shared" si="5"/>
        <v>2032</v>
      </c>
      <c r="L142" s="37">
        <f t="shared" si="6"/>
        <v>22</v>
      </c>
    </row>
    <row r="143" spans="1:12" x14ac:dyDescent="0.25">
      <c r="A143" s="37" t="s">
        <v>552</v>
      </c>
      <c r="B143" s="37">
        <f>IF(G143&lt;=0,VLOOKUP(A143,Drank!A:D,2,FALSE),VLOOKUP(A143,Wine1!A:D,2,FALSE))</f>
        <v>2015</v>
      </c>
      <c r="C143" s="37" t="str">
        <f>IF(G143&lt;=0,VLOOKUP(A143,Drank!A:D,3,FALSE),VLOOKUP(A143,Wine1!A:D,3,FALSE))</f>
        <v>Alter Ego de Palmer</v>
      </c>
      <c r="D143" s="37" t="str">
        <f>IF(G143&lt;=0,VLOOKUP(A143,Drank!A:D,4,FALSE),VLOOKUP(A143,Wine1!A:D,4,FALSE))</f>
        <v>Alter Ego de Palmer</v>
      </c>
      <c r="E143" s="8" t="str">
        <f>IF(G143&gt;0,VLOOKUP(A143,Wine1!A:AF,5,FALSE),VLOOKUP(A143,Drank!A:AA,5,FALSE))</f>
        <v>Proprietary Blend</v>
      </c>
      <c r="F143" s="8">
        <f>IF(G143&gt;0,VLOOKUP(A143,Wine1!A:AF,32,FALSE),VLOOKUP(Agibility!A143,Drank!A:AA,27,FALSE))</f>
        <v>4</v>
      </c>
      <c r="G143" s="8">
        <f>COUNTIF(Wine1!A:A,Agibility!A143)</f>
        <v>2</v>
      </c>
      <c r="H143" s="37">
        <f>IFERROR(VLOOKUP(A143,Wine1!A:Y,25,FALSE),0)</f>
        <v>2034</v>
      </c>
      <c r="I143" s="37">
        <f>COUNTIF(Drank!A:A,Agibility!A143)</f>
        <v>0</v>
      </c>
      <c r="J143" s="37">
        <f>IFERROR(AVERAGEIF(Drank!A:A,Agibility!A143,Drank!P:P),0)</f>
        <v>0</v>
      </c>
      <c r="K143" s="37">
        <f t="shared" si="5"/>
        <v>2034</v>
      </c>
      <c r="L143" s="37">
        <f t="shared" si="6"/>
        <v>19</v>
      </c>
    </row>
    <row r="144" spans="1:12" x14ac:dyDescent="0.25">
      <c r="A144" s="37" t="s">
        <v>553</v>
      </c>
      <c r="B144" s="37">
        <f>IF(G144&lt;=0,VLOOKUP(A144,Drank!A:D,2,FALSE),VLOOKUP(A144,Wine1!A:D,2,FALSE))</f>
        <v>2013</v>
      </c>
      <c r="C144" s="37" t="str">
        <f>IF(G144&lt;=0,VLOOKUP(A144,Drank!A:D,3,FALSE),VLOOKUP(A144,Wine1!A:D,3,FALSE))</f>
        <v>Pertimali - Livio Sassetti</v>
      </c>
      <c r="D144" s="37" t="str">
        <f>IF(G144&lt;=0,VLOOKUP(A144,Drank!A:D,4,FALSE),VLOOKUP(A144,Wine1!A:D,4,FALSE))</f>
        <v>Brunello di Montalcino</v>
      </c>
      <c r="E144" s="8" t="str">
        <f>IF(G144&gt;0,VLOOKUP(A144,Wine1!A:AF,5,FALSE),VLOOKUP(A144,Drank!A:AA,5,FALSE))</f>
        <v>Sangiovese</v>
      </c>
      <c r="F144" s="8">
        <f>IF(G144&gt;0,VLOOKUP(A144,Wine1!A:AF,32,FALSE),VLOOKUP(Agibility!A144,Drank!A:AA,27,FALSE))</f>
        <v>3</v>
      </c>
      <c r="G144" s="8">
        <f>COUNTIF(Wine1!A:A,Agibility!A144)</f>
        <v>2</v>
      </c>
      <c r="H144" s="37">
        <f>IFERROR(VLOOKUP(A144,Wine1!A:Y,25,FALSE),0)</f>
        <v>2035</v>
      </c>
      <c r="I144" s="37">
        <f>COUNTIF(Drank!A:A,Agibility!A144)</f>
        <v>1</v>
      </c>
      <c r="J144" s="37">
        <f>IFERROR(AVERAGEIF(Drank!A:A,Agibility!A144,Drank!P:P),0)</f>
        <v>2035</v>
      </c>
      <c r="K144" s="37">
        <f t="shared" si="5"/>
        <v>2035</v>
      </c>
      <c r="L144" s="37">
        <f t="shared" si="6"/>
        <v>22</v>
      </c>
    </row>
    <row r="145" spans="1:12" s="37" customFormat="1" x14ac:dyDescent="0.25">
      <c r="A145" s="37" t="s">
        <v>554</v>
      </c>
      <c r="B145" s="37">
        <f>IF(G145&lt;=0,VLOOKUP(A145,Drank!A:D,2,FALSE),VLOOKUP(A145,Wine1!A:D,2,FALSE))</f>
        <v>2000</v>
      </c>
      <c r="C145" s="37" t="str">
        <f>IF(G145&lt;=0,VLOOKUP(A145,Drank!A:D,3,FALSE),VLOOKUP(A145,Wine1!A:D,3,FALSE))</f>
        <v>Taylor Fladgate</v>
      </c>
      <c r="D145" s="37" t="str">
        <f>IF(G145&lt;=0,VLOOKUP(A145,Drank!A:D,4,FALSE),VLOOKUP(A145,Wine1!A:D,4,FALSE))</f>
        <v>Vintage Port</v>
      </c>
      <c r="E145" s="8" t="str">
        <f>IF(G145&gt;0,VLOOKUP(A145,Wine1!A:AF,5,FALSE),VLOOKUP(A145,Drank!A:AA,5,FALSE))</f>
        <v>Port</v>
      </c>
      <c r="F145" s="8">
        <f>IF(G145&gt;0,VLOOKUP(A145,Wine1!A:AF,32,FALSE),VLOOKUP(Agibility!A145,Drank!A:AA,27,FALSE))</f>
        <v>4</v>
      </c>
      <c r="G145" s="8">
        <f>COUNTIF(Wine1!A:A,Agibility!A145)</f>
        <v>0</v>
      </c>
      <c r="H145" s="37">
        <f>IFERROR(VLOOKUP(A145,Wine1!A:Y,25,FALSE),0)</f>
        <v>0</v>
      </c>
      <c r="I145" s="37">
        <f>COUNTIF(Drank!A:A,Agibility!A145)</f>
        <v>1</v>
      </c>
      <c r="J145" s="37">
        <f>IFERROR(AVERAGEIF(Drank!A:A,Agibility!A145,Drank!P:P),0)</f>
        <v>0</v>
      </c>
      <c r="K145" s="37">
        <f>IF(J145&gt;0,J145,H145)</f>
        <v>0</v>
      </c>
      <c r="L145" s="37" t="str">
        <f>IF(K145&gt;0,K145-B145," ")</f>
        <v xml:space="preserve"> </v>
      </c>
    </row>
    <row r="146" spans="1:12" x14ac:dyDescent="0.25">
      <c r="A146" s="37" t="s">
        <v>944</v>
      </c>
      <c r="B146" s="37">
        <f>IF(G146&lt;=0,VLOOKUP(A146,Drank!A:D,2,FALSE),VLOOKUP(A146,Wine1!A:D,2,FALSE))</f>
        <v>2014</v>
      </c>
      <c r="C146" s="37" t="str">
        <f>IF(G146&lt;=0,VLOOKUP(A146,Drank!A:D,3,FALSE),VLOOKUP(A146,Wine1!A:D,3,FALSE))</f>
        <v>Produttori del Barbaresco</v>
      </c>
      <c r="D146" s="37" t="str">
        <f>IF(G146&lt;=0,VLOOKUP(A146,Drank!A:D,4,FALSE),VLOOKUP(A146,Wine1!A:D,4,FALSE))</f>
        <v>Barbaresco Riserva RabajÃ </v>
      </c>
      <c r="E146" s="8" t="str">
        <f>IF(G146&gt;0,VLOOKUP(A146,Wine1!A:AF,5,FALSE),VLOOKUP(A146,Drank!A:AA,5,FALSE))</f>
        <v>100% Nebbiolo</v>
      </c>
      <c r="F146" s="8">
        <f>IF(G146&gt;0,VLOOKUP(A146,Wine1!A:AF,32,FALSE),VLOOKUP(Agibility!A146,Drank!A:AA,27,FALSE))</f>
        <v>3</v>
      </c>
      <c r="G146" s="8">
        <f>COUNTIF(Wine1!A:A,Agibility!A146)</f>
        <v>3</v>
      </c>
      <c r="H146" s="37">
        <f>IFERROR(VLOOKUP(A146,Wine1!A:Y,25,FALSE),0)</f>
        <v>2045</v>
      </c>
      <c r="I146" s="37">
        <f>COUNTIF(Drank!A:A,Agibility!A146)</f>
        <v>0</v>
      </c>
      <c r="J146" s="37">
        <f>IFERROR(AVERAGEIF(Drank!A:A,Agibility!A146,Drank!P:P),0)</f>
        <v>0</v>
      </c>
      <c r="K146" s="37">
        <f t="shared" si="5"/>
        <v>2045</v>
      </c>
      <c r="L146" s="37">
        <f t="shared" si="6"/>
        <v>31</v>
      </c>
    </row>
    <row r="147" spans="1:12" x14ac:dyDescent="0.25">
      <c r="A147" s="37" t="s">
        <v>555</v>
      </c>
      <c r="B147" s="37">
        <f>IF(G147&lt;=0,VLOOKUP(A147,Drank!A:D,2,FALSE),VLOOKUP(A147,Wine1!A:D,2,FALSE))</f>
        <v>2012</v>
      </c>
      <c r="C147" s="37" t="str">
        <f>IF(G147&lt;=0,VLOOKUP(A147,Drank!A:D,3,FALSE),VLOOKUP(A147,Wine1!A:D,3,FALSE))</f>
        <v>Tenuta Vitanza</v>
      </c>
      <c r="D147" s="37" t="str">
        <f>IF(G147&lt;=0,VLOOKUP(A147,Drank!A:D,4,FALSE),VLOOKUP(A147,Wine1!A:D,4,FALSE))</f>
        <v>Brunello di Montalcino Riserva Firma</v>
      </c>
      <c r="E147" s="8" t="str">
        <f>IF(G147&gt;0,VLOOKUP(A147,Wine1!A:AF,5,FALSE),VLOOKUP(A147,Drank!A:AA,5,FALSE))</f>
        <v>100% Sangiovese</v>
      </c>
      <c r="F147" s="8">
        <f>IF(G147&gt;0,VLOOKUP(A147,Wine1!A:AF,32,FALSE),VLOOKUP(Agibility!A147,Drank!A:AA,27,FALSE))</f>
        <v>3</v>
      </c>
      <c r="G147" s="8">
        <f>COUNTIF(Wine1!A:A,Agibility!A147)</f>
        <v>1</v>
      </c>
      <c r="H147" s="37">
        <f>IFERROR(VLOOKUP(A147,Wine1!A:Y,25,FALSE),0)</f>
        <v>2028</v>
      </c>
      <c r="I147" s="37">
        <f>COUNTIF(Drank!A:A,Agibility!A147)</f>
        <v>1</v>
      </c>
      <c r="J147" s="37">
        <f>IFERROR(AVERAGEIF(Drank!A:A,Agibility!A147,Drank!P:P),0)</f>
        <v>2028</v>
      </c>
      <c r="K147" s="37">
        <f t="shared" si="5"/>
        <v>2028</v>
      </c>
      <c r="L147" s="37">
        <f t="shared" si="6"/>
        <v>16</v>
      </c>
    </row>
    <row r="148" spans="1:12" x14ac:dyDescent="0.25">
      <c r="A148" s="37" t="s">
        <v>557</v>
      </c>
      <c r="B148" s="37">
        <f>IF(G148&lt;=0,VLOOKUP(A148,Drank!A:D,2,FALSE),VLOOKUP(A148,Wine1!A:D,2,FALSE))</f>
        <v>2013</v>
      </c>
      <c r="C148" s="37" t="str">
        <f>IF(G148&lt;=0,VLOOKUP(A148,Drank!A:D,3,FALSE),VLOOKUP(A148,Wine1!A:D,3,FALSE))</f>
        <v>Le Gode</v>
      </c>
      <c r="D148" s="37" t="str">
        <f>IF(G148&lt;=0,VLOOKUP(A148,Drank!A:D,4,FALSE),VLOOKUP(A148,Wine1!A:D,4,FALSE))</f>
        <v>Brunello di Montalcino</v>
      </c>
      <c r="E148" s="8" t="str">
        <f>IF(G148&gt;0,VLOOKUP(A148,Wine1!A:AF,5,FALSE),VLOOKUP(A148,Drank!A:AA,5,FALSE))</f>
        <v>Sangiovese</v>
      </c>
      <c r="F148" s="8">
        <f>IF(G148&gt;0,VLOOKUP(A148,Wine1!A:AF,32,FALSE),VLOOKUP(Agibility!A148,Drank!A:AA,27,FALSE))</f>
        <v>3</v>
      </c>
      <c r="G148" s="8">
        <f>COUNTIF(Wine1!A:A,Agibility!A148)</f>
        <v>1</v>
      </c>
      <c r="H148" s="37">
        <f>IFERROR(VLOOKUP(A148,Wine1!A:Y,25,FALSE),0)</f>
        <v>2028</v>
      </c>
      <c r="I148" s="37">
        <f>COUNTIF(Drank!A:A,Agibility!A148)</f>
        <v>2</v>
      </c>
      <c r="J148" s="37">
        <f>IFERROR(AVERAGEIF(Drank!A:A,Agibility!A148,Drank!P:P),0)</f>
        <v>2028</v>
      </c>
      <c r="K148" s="37">
        <f t="shared" si="5"/>
        <v>2028</v>
      </c>
      <c r="L148" s="37">
        <f t="shared" si="6"/>
        <v>15</v>
      </c>
    </row>
    <row r="149" spans="1:12" x14ac:dyDescent="0.25">
      <c r="A149" s="37" t="s">
        <v>556</v>
      </c>
      <c r="B149" s="37">
        <f>IF(G149&lt;=0,VLOOKUP(A149,Drank!A:D,2,FALSE),VLOOKUP(A149,Wine1!A:D,2,FALSE))</f>
        <v>2013</v>
      </c>
      <c r="C149" s="37" t="str">
        <f>IF(G149&lt;=0,VLOOKUP(A149,Drank!A:D,3,FALSE),VLOOKUP(A149,Wine1!A:D,3,FALSE))</f>
        <v>Marchesi di Barolo</v>
      </c>
      <c r="D149" s="37" t="str">
        <f>IF(G149&lt;=0,VLOOKUP(A149,Drank!A:D,4,FALSE),VLOOKUP(A149,Wine1!A:D,4,FALSE))</f>
        <v>Barbaresco</v>
      </c>
      <c r="E149" s="8" t="str">
        <f>IF(G149&gt;0,VLOOKUP(A149,Wine1!A:AF,5,FALSE),VLOOKUP(A149,Drank!A:AA,5,FALSE))</f>
        <v>100% Nebbiolo</v>
      </c>
      <c r="F149" s="8">
        <f>IF(G149&gt;0,VLOOKUP(A149,Wine1!A:AF,32,FALSE),VLOOKUP(Agibility!A149,Drank!A:AA,27,FALSE))</f>
        <v>3</v>
      </c>
      <c r="G149" s="8">
        <f>COUNTIF(Wine1!A:A,Agibility!A149)</f>
        <v>1</v>
      </c>
      <c r="H149" s="37">
        <f>IFERROR(VLOOKUP(A149,Wine1!A:Y,25,FALSE),0)</f>
        <v>2030</v>
      </c>
      <c r="I149" s="37">
        <f>COUNTIF(Drank!A:A,Agibility!A149)</f>
        <v>1</v>
      </c>
      <c r="J149" s="37">
        <f>IFERROR(AVERAGEIF(Drank!A:A,Agibility!A149,Drank!P:P),0)</f>
        <v>2030</v>
      </c>
      <c r="K149" s="37">
        <f t="shared" si="5"/>
        <v>2030</v>
      </c>
      <c r="L149" s="37">
        <f t="shared" si="6"/>
        <v>17</v>
      </c>
    </row>
    <row r="150" spans="1:12" x14ac:dyDescent="0.25">
      <c r="A150" s="37" t="s">
        <v>945</v>
      </c>
      <c r="B150" s="37">
        <f>IF(G150&lt;=0,VLOOKUP(A150,Drank!A:D,2,FALSE),VLOOKUP(A150,Wine1!A:D,2,FALSE))</f>
        <v>2016</v>
      </c>
      <c r="C150" s="37" t="str">
        <f>IF(G150&lt;=0,VLOOKUP(A150,Drank!A:D,3,FALSE),VLOOKUP(A150,Wine1!A:D,3,FALSE))</f>
        <v>Coutet</v>
      </c>
      <c r="D150" s="37" t="str">
        <f>IF(G150&lt;=0,VLOOKUP(A150,Drank!A:D,4,FALSE),VLOOKUP(A150,Wine1!A:D,4,FALSE))</f>
        <v>Coutet</v>
      </c>
      <c r="E150" s="8" t="str">
        <f>IF(G150&gt;0,VLOOKUP(A150,Wine1!A:AF,5,FALSE),VLOOKUP(A150,Drank!A:AA,5,FALSE))</f>
        <v>Sauternes</v>
      </c>
      <c r="F150" s="8">
        <f>IF(G150&gt;0,VLOOKUP(A150,Wine1!A:AF,32,FALSE),VLOOKUP(Agibility!A150,Drank!A:AA,27,FALSE))</f>
        <v>3</v>
      </c>
      <c r="G150" s="8">
        <f>COUNTIF(Wine1!A:A,Agibility!A150)</f>
        <v>3</v>
      </c>
      <c r="H150" s="37">
        <f>IFERROR(VLOOKUP(A150,Wine1!A:Y,25,FALSE),0)</f>
        <v>2044</v>
      </c>
      <c r="I150" s="37">
        <f>COUNTIF(Drank!A:A,Agibility!A150)</f>
        <v>0</v>
      </c>
      <c r="J150" s="37">
        <f>IFERROR(AVERAGEIF(Drank!A:A,Agibility!A150,Drank!P:P),0)</f>
        <v>0</v>
      </c>
      <c r="K150" s="37">
        <f t="shared" si="5"/>
        <v>2044</v>
      </c>
      <c r="L150" s="37">
        <f t="shared" si="6"/>
        <v>28</v>
      </c>
    </row>
    <row r="151" spans="1:12" x14ac:dyDescent="0.25">
      <c r="A151" s="37" t="s">
        <v>946</v>
      </c>
      <c r="B151" s="37" t="e">
        <f>IF(G151&lt;=0,VLOOKUP(A151,Drank!A:D,2,FALSE),VLOOKUP(A151,Wine1!A:D,2,FALSE))</f>
        <v>#N/A</v>
      </c>
      <c r="C151" s="37" t="e">
        <f>IF(G151&lt;=0,VLOOKUP(A151,Drank!A:D,3,FALSE),VLOOKUP(A151,Wine1!A:D,3,FALSE))</f>
        <v>#N/A</v>
      </c>
      <c r="D151" s="37" t="e">
        <f>IF(G151&lt;=0,VLOOKUP(A151,Drank!A:D,4,FALSE),VLOOKUP(A151,Wine1!A:D,4,FALSE))</f>
        <v>#N/A</v>
      </c>
      <c r="E151" s="8" t="e">
        <f>IF(G151&gt;0,VLOOKUP(A151,Wine1!A:AF,5,FALSE),VLOOKUP(A151,Drank!A:AA,5,FALSE))</f>
        <v>#N/A</v>
      </c>
      <c r="F151" s="8" t="e">
        <f>IF(G151&gt;0,VLOOKUP(A151,Wine1!A:AF,32,FALSE),VLOOKUP(Agibility!A151,Drank!A:AA,27,FALSE))</f>
        <v>#N/A</v>
      </c>
      <c r="G151" s="8">
        <f>COUNTIF(Wine1!A:A,Agibility!A151)</f>
        <v>0</v>
      </c>
      <c r="H151" s="37">
        <f>IFERROR(VLOOKUP(A151,Wine1!A:Y,25,FALSE),0)</f>
        <v>0</v>
      </c>
      <c r="I151" s="37">
        <f>COUNTIF(Drank!A:A,Agibility!A151)</f>
        <v>0</v>
      </c>
      <c r="J151" s="37">
        <f>IFERROR(AVERAGEIF(Drank!A:A,Agibility!A151,Drank!P:P),0)</f>
        <v>0</v>
      </c>
      <c r="K151" s="37">
        <f t="shared" si="5"/>
        <v>0</v>
      </c>
      <c r="L151" s="37" t="str">
        <f t="shared" si="6"/>
        <v xml:space="preserve"> </v>
      </c>
    </row>
    <row r="152" spans="1:12" x14ac:dyDescent="0.25">
      <c r="A152" s="37" t="s">
        <v>558</v>
      </c>
      <c r="B152" s="37">
        <f>IF(G152&lt;=0,VLOOKUP(A152,Drank!A:D,2,FALSE),VLOOKUP(A152,Wine1!A:D,2,FALSE))</f>
        <v>2012</v>
      </c>
      <c r="C152" s="37" t="str">
        <f>IF(G152&lt;=0,VLOOKUP(A152,Drank!A:D,3,FALSE),VLOOKUP(A152,Wine1!A:D,3,FALSE))</f>
        <v>Poggio Antico</v>
      </c>
      <c r="D152" s="37" t="str">
        <f>IF(G152&lt;=0,VLOOKUP(A152,Drank!A:D,4,FALSE),VLOOKUP(A152,Wine1!A:D,4,FALSE))</f>
        <v>Brunello di Montalcino</v>
      </c>
      <c r="E152" s="8" t="str">
        <f>IF(G152&gt;0,VLOOKUP(A152,Wine1!A:AF,5,FALSE),VLOOKUP(A152,Drank!A:AA,5,FALSE))</f>
        <v>Sangiovese</v>
      </c>
      <c r="F152" s="8">
        <f>IF(G152&gt;0,VLOOKUP(A152,Wine1!A:AF,32,FALSE),VLOOKUP(Agibility!A152,Drank!A:AA,27,FALSE))</f>
        <v>3</v>
      </c>
      <c r="G152" s="8">
        <f>COUNTIF(Wine1!A:A,Agibility!A152)</f>
        <v>1</v>
      </c>
      <c r="H152" s="37">
        <f>IFERROR(VLOOKUP(A152,Wine1!A:Y,25,FALSE),0)</f>
        <v>2028</v>
      </c>
      <c r="I152" s="37">
        <f>COUNTIF(Drank!A:A,Agibility!A152)</f>
        <v>0</v>
      </c>
      <c r="J152" s="37">
        <f>IFERROR(AVERAGEIF(Drank!A:A,Agibility!A152,Drank!P:P),0)</f>
        <v>0</v>
      </c>
      <c r="K152" s="37">
        <f t="shared" si="5"/>
        <v>2028</v>
      </c>
      <c r="L152" s="37">
        <f t="shared" si="6"/>
        <v>16</v>
      </c>
    </row>
    <row r="153" spans="1:12" x14ac:dyDescent="0.25">
      <c r="A153" s="37" t="s">
        <v>1280</v>
      </c>
      <c r="B153" s="37">
        <f>IF(G153&lt;=0,VLOOKUP(A153,Drank!A:D,2,FALSE),VLOOKUP(A153,Wine1!A:D,2,FALSE))</f>
        <v>2008</v>
      </c>
      <c r="C153" s="37" t="str">
        <f>IF(G153&lt;=0,VLOOKUP(A153,Drank!A:D,3,FALSE),VLOOKUP(A153,Wine1!A:D,3,FALSE))</f>
        <v>Lisini</v>
      </c>
      <c r="D153" s="37" t="str">
        <f>IF(G153&lt;=0,VLOOKUP(A153,Drank!A:D,4,FALSE),VLOOKUP(A153,Wine1!A:D,4,FALSE))</f>
        <v>Brunello di Montalcino</v>
      </c>
      <c r="E153" s="8" t="str">
        <f>IF(G153&gt;0,VLOOKUP(A153,Wine1!A:AF,5,FALSE),VLOOKUP(A153,Drank!A:AA,5,FALSE))</f>
        <v>Sangiovese</v>
      </c>
      <c r="F153" s="8">
        <f>IF(G153&gt;0,VLOOKUP(A153,Wine1!A:AF,32,FALSE),VLOOKUP(Agibility!A153,Drank!A:AA,27,FALSE))</f>
        <v>3</v>
      </c>
      <c r="G153" s="8">
        <f>COUNTIF(Wine1!A:A,Agibility!A153)</f>
        <v>1</v>
      </c>
      <c r="H153" s="37">
        <f>IFERROR(VLOOKUP(A153,Wine1!A:Y,25,FALSE),0)</f>
        <v>2028</v>
      </c>
      <c r="I153" s="37">
        <f>COUNTIF(Drank!A:A,Agibility!A153)</f>
        <v>0</v>
      </c>
      <c r="J153" s="37">
        <f>IFERROR(AVERAGEIF(Drank!A:A,Agibility!A153,Drank!P:P),0)</f>
        <v>0</v>
      </c>
      <c r="K153" s="37">
        <f t="shared" si="5"/>
        <v>2028</v>
      </c>
      <c r="L153" s="37">
        <f t="shared" si="6"/>
        <v>20</v>
      </c>
    </row>
    <row r="154" spans="1:12" x14ac:dyDescent="0.25">
      <c r="A154" s="37" t="s">
        <v>560</v>
      </c>
      <c r="B154" s="37">
        <f>IF(G154&lt;=0,VLOOKUP(A154,Drank!A:D,2,FALSE),VLOOKUP(A154,Wine1!A:D,2,FALSE))</f>
        <v>2008</v>
      </c>
      <c r="C154" s="37" t="str">
        <f>IF(G154&lt;=0,VLOOKUP(A154,Drank!A:D,3,FALSE),VLOOKUP(A154,Wine1!A:D,3,FALSE))</f>
        <v>Caparzo</v>
      </c>
      <c r="D154" s="37" t="str">
        <f>IF(G154&lt;=0,VLOOKUP(A154,Drank!A:D,4,FALSE),VLOOKUP(A154,Wine1!A:D,4,FALSE))</f>
        <v>Brunello di Montalcino</v>
      </c>
      <c r="E154" s="8" t="str">
        <f>IF(G154&gt;0,VLOOKUP(A154,Wine1!A:AF,5,FALSE),VLOOKUP(A154,Drank!A:AA,5,FALSE))</f>
        <v>100% Sangiovese</v>
      </c>
      <c r="F154" s="8">
        <f>IF(G154&gt;0,VLOOKUP(A154,Wine1!A:AF,32,FALSE),VLOOKUP(Agibility!A154,Drank!A:AA,27,FALSE))</f>
        <v>3</v>
      </c>
      <c r="G154" s="8">
        <f>COUNTIF(Wine1!A:A,Agibility!A154)</f>
        <v>1</v>
      </c>
      <c r="H154" s="37">
        <f>IFERROR(VLOOKUP(A154,Wine1!A:Y,25,FALSE),0)</f>
        <v>2028</v>
      </c>
      <c r="I154" s="37">
        <f>COUNTIF(Drank!A:A,Agibility!A154)</f>
        <v>0</v>
      </c>
      <c r="J154" s="37">
        <f>IFERROR(AVERAGEIF(Drank!A:A,Agibility!A154,Drank!P:P),0)</f>
        <v>0</v>
      </c>
      <c r="K154" s="37">
        <f t="shared" si="5"/>
        <v>2028</v>
      </c>
      <c r="L154" s="37">
        <f t="shared" si="6"/>
        <v>20</v>
      </c>
    </row>
    <row r="155" spans="1:12" x14ac:dyDescent="0.25">
      <c r="A155" s="37" t="s">
        <v>561</v>
      </c>
      <c r="B155" s="37">
        <f>IF(G155&lt;=0,VLOOKUP(A155,Drank!A:D,2,FALSE),VLOOKUP(A155,Wine1!A:D,2,FALSE))</f>
        <v>2009</v>
      </c>
      <c r="C155" s="37" t="str">
        <f>IF(G155&lt;=0,VLOOKUP(A155,Drank!A:D,3,FALSE),VLOOKUP(A155,Wine1!A:D,3,FALSE))</f>
        <v>Prunotto</v>
      </c>
      <c r="D155" s="37" t="str">
        <f>IF(G155&lt;=0,VLOOKUP(A155,Drank!A:D,4,FALSE),VLOOKUP(A155,Wine1!A:D,4,FALSE))</f>
        <v>Barolo Bussia</v>
      </c>
      <c r="E155" s="8" t="str">
        <f>IF(G155&gt;0,VLOOKUP(A155,Wine1!A:AF,5,FALSE),VLOOKUP(A155,Drank!A:AA,5,FALSE))</f>
        <v>100% Nebbiolo</v>
      </c>
      <c r="F155" s="8">
        <f>IF(G155&gt;0,VLOOKUP(A155,Wine1!A:AF,32,FALSE),VLOOKUP(Agibility!A155,Drank!A:AA,27,FALSE))</f>
        <v>4</v>
      </c>
      <c r="G155" s="8">
        <f>COUNTIF(Wine1!A:A,Agibility!A155)</f>
        <v>1</v>
      </c>
      <c r="H155" s="37">
        <f>IFERROR(VLOOKUP(A155,Wine1!A:Y,25,FALSE),0)</f>
        <v>2028</v>
      </c>
      <c r="I155" s="37">
        <f>COUNTIF(Drank!A:A,Agibility!A155)</f>
        <v>0</v>
      </c>
      <c r="J155" s="37">
        <f>IFERROR(AVERAGEIF(Drank!A:A,Agibility!A155,Drank!P:P),0)</f>
        <v>0</v>
      </c>
      <c r="K155" s="37">
        <f t="shared" si="5"/>
        <v>2028</v>
      </c>
      <c r="L155" s="37">
        <f t="shared" si="6"/>
        <v>19</v>
      </c>
    </row>
    <row r="156" spans="1:12" x14ac:dyDescent="0.25">
      <c r="A156" s="37" t="s">
        <v>562</v>
      </c>
      <c r="B156" s="37">
        <f>IF(G156&lt;=0,VLOOKUP(A156,Drank!A:D,2,FALSE),VLOOKUP(A156,Wine1!A:D,2,FALSE))</f>
        <v>2009</v>
      </c>
      <c r="C156" s="37" t="str">
        <f>IF(G156&lt;=0,VLOOKUP(A156,Drank!A:D,3,FALSE),VLOOKUP(A156,Wine1!A:D,3,FALSE))</f>
        <v>Antica</v>
      </c>
      <c r="D156" s="37" t="str">
        <f>IF(G156&lt;=0,VLOOKUP(A156,Drank!A:D,4,FALSE),VLOOKUP(A156,Wine1!A:D,4,FALSE))</f>
        <v>Cabernet Sauvignon</v>
      </c>
      <c r="E156" s="8" t="str">
        <f>IF(G156&gt;0,VLOOKUP(A156,Wine1!A:AF,5,FALSE),VLOOKUP(A156,Drank!A:AA,5,FALSE))</f>
        <v>Cabernet Sauvignon</v>
      </c>
      <c r="F156" s="8">
        <f>IF(G156&gt;0,VLOOKUP(A156,Wine1!A:AF,32,FALSE),VLOOKUP(Agibility!A156,Drank!A:AA,27,FALSE))</f>
        <v>3</v>
      </c>
      <c r="G156" s="8">
        <f>COUNTIF(Wine1!A:A,Agibility!A156)</f>
        <v>1</v>
      </c>
      <c r="H156" s="37">
        <f>IFERROR(VLOOKUP(A156,Wine1!A:Y,25,FALSE),0)</f>
        <v>2029</v>
      </c>
      <c r="I156" s="37">
        <f>COUNTIF(Drank!A:A,Agibility!A156)</f>
        <v>0</v>
      </c>
      <c r="J156" s="37">
        <f>IFERROR(AVERAGEIF(Drank!A:A,Agibility!A156,Drank!P:P),0)</f>
        <v>0</v>
      </c>
      <c r="K156" s="37">
        <f t="shared" si="5"/>
        <v>2029</v>
      </c>
      <c r="L156" s="37">
        <f t="shared" si="6"/>
        <v>20</v>
      </c>
    </row>
    <row r="157" spans="1:12" x14ac:dyDescent="0.25">
      <c r="A157" s="37" t="s">
        <v>563</v>
      </c>
      <c r="B157" s="37">
        <f>IF(G157&lt;=0,VLOOKUP(A157,Drank!A:D,2,FALSE),VLOOKUP(A157,Wine1!A:D,2,FALSE))</f>
        <v>2013</v>
      </c>
      <c r="C157" s="37" t="str">
        <f>IF(G157&lt;=0,VLOOKUP(A157,Drank!A:D,3,FALSE),VLOOKUP(A157,Wine1!A:D,3,FALSE))</f>
        <v>Castello di Ama</v>
      </c>
      <c r="D157" s="37" t="str">
        <f>IF(G157&lt;=0,VLOOKUP(A157,Drank!A:D,4,FALSE),VLOOKUP(A157,Wine1!A:D,4,FALSE))</f>
        <v>Chianti Classico Gran Selezione San Lorenzo</v>
      </c>
      <c r="E157" s="8" t="str">
        <f>IF(G157&gt;0,VLOOKUP(A157,Wine1!A:AF,5,FALSE),VLOOKUP(A157,Drank!A:AA,5,FALSE))</f>
        <v>Sangiovese Blend</v>
      </c>
      <c r="F157" s="8">
        <f>IF(G157&gt;0,VLOOKUP(A157,Wine1!A:AF,32,FALSE),VLOOKUP(Agibility!A157,Drank!A:AA,27,FALSE))</f>
        <v>3</v>
      </c>
      <c r="G157" s="8">
        <f>COUNTIF(Wine1!A:A,Agibility!A157)</f>
        <v>1</v>
      </c>
      <c r="H157" s="37">
        <f>IFERROR(VLOOKUP(A157,Wine1!A:Y,25,FALSE),0)</f>
        <v>2030</v>
      </c>
      <c r="I157" s="37">
        <f>COUNTIF(Drank!A:A,Agibility!A157)</f>
        <v>0</v>
      </c>
      <c r="J157" s="37">
        <f>IFERROR(AVERAGEIF(Drank!A:A,Agibility!A157,Drank!P:P),0)</f>
        <v>0</v>
      </c>
      <c r="K157" s="37">
        <f t="shared" si="5"/>
        <v>2030</v>
      </c>
      <c r="L157" s="37">
        <f t="shared" si="6"/>
        <v>17</v>
      </c>
    </row>
    <row r="158" spans="1:12" x14ac:dyDescent="0.25">
      <c r="A158" s="37" t="s">
        <v>564</v>
      </c>
      <c r="B158" s="37">
        <f>IF(G158&lt;=0,VLOOKUP(A158,Drank!A:D,2,FALSE),VLOOKUP(A158,Wine1!A:D,2,FALSE))</f>
        <v>2015</v>
      </c>
      <c r="C158" s="37" t="str">
        <f>IF(G158&lt;=0,VLOOKUP(A158,Drank!A:D,3,FALSE),VLOOKUP(A158,Wine1!A:D,3,FALSE))</f>
        <v>D'Issan</v>
      </c>
      <c r="D158" s="37" t="str">
        <f>IF(G158&lt;=0,VLOOKUP(A158,Drank!A:D,4,FALSE),VLOOKUP(A158,Wine1!A:D,4,FALSE))</f>
        <v>Blason d'Issan</v>
      </c>
      <c r="E158" s="8" t="str">
        <f>IF(G158&gt;0,VLOOKUP(A158,Wine1!A:AF,5,FALSE),VLOOKUP(A158,Drank!A:AA,5,FALSE))</f>
        <v>Cabernet Sauvignon Blend</v>
      </c>
      <c r="F158" s="8">
        <f>IF(G158&gt;0,VLOOKUP(A158,Wine1!A:AF,32,FALSE),VLOOKUP(Agibility!A158,Drank!A:AA,27,FALSE))</f>
        <v>2</v>
      </c>
      <c r="G158" s="8">
        <f>COUNTIF(Wine1!A:A,Agibility!A158)</f>
        <v>1</v>
      </c>
      <c r="H158" s="37">
        <f>IFERROR(VLOOKUP(A158,Wine1!A:Y,25,FALSE),0)</f>
        <v>2030</v>
      </c>
      <c r="I158" s="37">
        <f>COUNTIF(Drank!A:A,Agibility!A158)</f>
        <v>0</v>
      </c>
      <c r="J158" s="37">
        <f>IFERROR(AVERAGEIF(Drank!A:A,Agibility!A158,Drank!P:P),0)</f>
        <v>0</v>
      </c>
      <c r="K158" s="37">
        <f t="shared" si="5"/>
        <v>2030</v>
      </c>
      <c r="L158" s="37">
        <f t="shared" si="6"/>
        <v>15</v>
      </c>
    </row>
    <row r="159" spans="1:12" x14ac:dyDescent="0.25">
      <c r="A159" s="37" t="s">
        <v>565</v>
      </c>
      <c r="B159" s="37">
        <f>IF(G159&lt;=0,VLOOKUP(A159,Drank!A:D,2,FALSE),VLOOKUP(A159,Wine1!A:D,2,FALSE))</f>
        <v>2015</v>
      </c>
      <c r="C159" s="37" t="str">
        <f>IF(G159&lt;=0,VLOOKUP(A159,Drank!A:D,3,FALSE),VLOOKUP(A159,Wine1!A:D,3,FALSE))</f>
        <v>Domaine Ferrando</v>
      </c>
      <c r="D159" s="37" t="str">
        <f>IF(G159&lt;=0,VLOOKUP(A159,Drank!A:D,4,FALSE),VLOOKUP(A159,Wine1!A:D,4,FALSE))</f>
        <v>Chateauneuf du Pape Colombis</v>
      </c>
      <c r="E159" s="8" t="str">
        <f>IF(G159&gt;0,VLOOKUP(A159,Wine1!A:AF,5,FALSE),VLOOKUP(A159,Drank!A:AA,5,FALSE))</f>
        <v>Grenache</v>
      </c>
      <c r="F159" s="8">
        <f>IF(G159&gt;0,VLOOKUP(A159,Wine1!A:AF,32,FALSE),VLOOKUP(Agibility!A159,Drank!A:AA,27,FALSE))</f>
        <v>3</v>
      </c>
      <c r="G159" s="8">
        <f>COUNTIF(Wine1!A:A,Agibility!A159)</f>
        <v>1</v>
      </c>
      <c r="H159" s="37">
        <f>IFERROR(VLOOKUP(A159,Wine1!A:Y,25,FALSE),0)</f>
        <v>2030</v>
      </c>
      <c r="I159" s="37">
        <f>COUNTIF(Drank!A:A,Agibility!A159)</f>
        <v>0</v>
      </c>
      <c r="J159" s="37">
        <f>IFERROR(AVERAGEIF(Drank!A:A,Agibility!A159,Drank!P:P),0)</f>
        <v>0</v>
      </c>
      <c r="K159" s="37">
        <f t="shared" si="5"/>
        <v>2030</v>
      </c>
      <c r="L159" s="37">
        <f t="shared" si="6"/>
        <v>15</v>
      </c>
    </row>
    <row r="160" spans="1:12" x14ac:dyDescent="0.25">
      <c r="A160" s="37" t="s">
        <v>460</v>
      </c>
      <c r="B160" s="37">
        <f>IF(G160&lt;=0,VLOOKUP(A160,Drank!A:D,2,FALSE),VLOOKUP(A160,Wine1!A:D,2,FALSE))</f>
        <v>2013</v>
      </c>
      <c r="C160" s="37" t="str">
        <f>IF(G160&lt;=0,VLOOKUP(A160,Drank!A:D,3,FALSE),VLOOKUP(A160,Wine1!A:D,3,FALSE))</f>
        <v>Masi</v>
      </c>
      <c r="D160" s="37" t="str">
        <f>IF(G160&lt;=0,VLOOKUP(A160,Drank!A:D,4,FALSE),VLOOKUP(A160,Wine1!A:D,4,FALSE))</f>
        <v>Amarone della Valpolicella Classico Costasera</v>
      </c>
      <c r="E160" s="8" t="str">
        <f>IF(G160&gt;0,VLOOKUP(A160,Wine1!A:AF,5,FALSE),VLOOKUP(A160,Drank!A:AA,5,FALSE))</f>
        <v>Amarone Classico</v>
      </c>
      <c r="F160" s="8">
        <f>IF(G160&gt;0,VLOOKUP(A160,Wine1!A:AF,32,FALSE),VLOOKUP(Agibility!A160,Drank!A:AA,27,FALSE))</f>
        <v>3</v>
      </c>
      <c r="G160" s="8">
        <f>COUNTIF(Wine1!A:A,Agibility!A160)</f>
        <v>2</v>
      </c>
      <c r="H160" s="37">
        <f>IFERROR(VLOOKUP(A160,Wine1!A:Y,25,FALSE),0)</f>
        <v>2032</v>
      </c>
      <c r="I160" s="37">
        <f>COUNTIF(Drank!A:A,Agibility!A160)</f>
        <v>1</v>
      </c>
      <c r="J160" s="37">
        <f>IFERROR(AVERAGEIF(Drank!A:A,Agibility!A160,Drank!P:P),0)</f>
        <v>2032</v>
      </c>
      <c r="K160" s="37">
        <f t="shared" si="5"/>
        <v>2032</v>
      </c>
      <c r="L160" s="37">
        <f t="shared" si="6"/>
        <v>19</v>
      </c>
    </row>
    <row r="161" spans="1:12" x14ac:dyDescent="0.25">
      <c r="A161" s="37" t="s">
        <v>526</v>
      </c>
      <c r="B161" s="37">
        <f>IF(G161&lt;=0,VLOOKUP(A161,Drank!A:D,2,FALSE),VLOOKUP(A161,Wine1!A:D,2,FALSE))</f>
        <v>2013</v>
      </c>
      <c r="C161" s="37" t="str">
        <f>IF(G161&lt;=0,VLOOKUP(A161,Drank!A:D,3,FALSE),VLOOKUP(A161,Wine1!A:D,3,FALSE))</f>
        <v>G.D. Vajra</v>
      </c>
      <c r="D161" s="37" t="str">
        <f>IF(G161&lt;=0,VLOOKUP(A161,Drank!A:D,4,FALSE),VLOOKUP(A161,Wine1!A:D,4,FALSE))</f>
        <v>Barolo Albe</v>
      </c>
      <c r="E161" s="8" t="str">
        <f>IF(G161&gt;0,VLOOKUP(A161,Wine1!A:AF,5,FALSE),VLOOKUP(A161,Drank!A:AA,5,FALSE))</f>
        <v>100% Nebbiolo</v>
      </c>
      <c r="F161" s="8">
        <f>IF(G161&gt;0,VLOOKUP(A161,Wine1!A:AF,32,FALSE),VLOOKUP(Agibility!A161,Drank!A:AA,27,FALSE))</f>
        <v>3</v>
      </c>
      <c r="G161" s="8">
        <f>COUNTIF(Wine1!A:A,Agibility!A161)</f>
        <v>1</v>
      </c>
      <c r="H161" s="37">
        <f>IFERROR(VLOOKUP(A161,Wine1!A:Y,25,FALSE),0)</f>
        <v>2033</v>
      </c>
      <c r="I161" s="37">
        <f>COUNTIF(Drank!A:A,Agibility!A161)</f>
        <v>0</v>
      </c>
      <c r="J161" s="37">
        <f>IFERROR(AVERAGEIF(Drank!A:A,Agibility!A161,Drank!P:P),0)</f>
        <v>0</v>
      </c>
      <c r="K161" s="37">
        <f t="shared" si="5"/>
        <v>2033</v>
      </c>
      <c r="L161" s="37">
        <f t="shared" si="6"/>
        <v>20</v>
      </c>
    </row>
    <row r="162" spans="1:12" x14ac:dyDescent="0.25">
      <c r="A162" s="37" t="s">
        <v>566</v>
      </c>
      <c r="B162" s="37">
        <f>IF(G162&lt;=0,VLOOKUP(A162,Drank!A:D,2,FALSE),VLOOKUP(A162,Wine1!A:D,2,FALSE))</f>
        <v>2015</v>
      </c>
      <c r="C162" s="37" t="str">
        <f>IF(G162&lt;=0,VLOOKUP(A162,Drank!A:D,3,FALSE),VLOOKUP(A162,Wine1!A:D,3,FALSE))</f>
        <v>Bellevue</v>
      </c>
      <c r="D162" s="37" t="str">
        <f>IF(G162&lt;=0,VLOOKUP(A162,Drank!A:D,4,FALSE),VLOOKUP(A162,Wine1!A:D,4,FALSE))</f>
        <v>Bellevue</v>
      </c>
      <c r="E162" s="8" t="str">
        <f>IF(G162&gt;0,VLOOKUP(A162,Wine1!A:AF,5,FALSE),VLOOKUP(A162,Drank!A:AA,5,FALSE))</f>
        <v>Merlot</v>
      </c>
      <c r="F162" s="8">
        <f>IF(G162&gt;0,VLOOKUP(A162,Wine1!A:AF,32,FALSE),VLOOKUP(Agibility!A162,Drank!A:AA,27,FALSE))</f>
        <v>3</v>
      </c>
      <c r="G162" s="8">
        <f>COUNTIF(Wine1!A:A,Agibility!A162)</f>
        <v>2</v>
      </c>
      <c r="H162" s="37">
        <f>IFERROR(VLOOKUP(A162,Wine1!A:Y,25,FALSE),0)</f>
        <v>2039</v>
      </c>
      <c r="I162" s="37">
        <f>COUNTIF(Drank!A:A,Agibility!A162)</f>
        <v>0</v>
      </c>
      <c r="J162" s="37">
        <f>IFERROR(AVERAGEIF(Drank!A:A,Agibility!A162,Drank!P:P),0)</f>
        <v>0</v>
      </c>
      <c r="K162" s="37">
        <f t="shared" si="5"/>
        <v>2039</v>
      </c>
      <c r="L162" s="37">
        <f t="shared" si="6"/>
        <v>24</v>
      </c>
    </row>
    <row r="163" spans="1:12" x14ac:dyDescent="0.25">
      <c r="A163" s="37" t="s">
        <v>567</v>
      </c>
      <c r="B163" s="37">
        <f>IF(G163&lt;=0,VLOOKUP(A163,Drank!A:D,2,FALSE),VLOOKUP(A163,Wine1!A:D,2,FALSE))</f>
        <v>2007</v>
      </c>
      <c r="C163" s="37" t="str">
        <f>IF(G163&lt;=0,VLOOKUP(A163,Drank!A:D,3,FALSE),VLOOKUP(A163,Wine1!A:D,3,FALSE))</f>
        <v>Bertani</v>
      </c>
      <c r="D163" s="37" t="str">
        <f>IF(G163&lt;=0,VLOOKUP(A163,Drank!A:D,4,FALSE),VLOOKUP(A163,Wine1!A:D,4,FALSE))</f>
        <v>Amarone della Valpolicella Classico</v>
      </c>
      <c r="E163" s="8" t="str">
        <f>IF(G163&gt;0,VLOOKUP(A163,Wine1!A:AF,5,FALSE),VLOOKUP(A163,Drank!A:AA,5,FALSE))</f>
        <v>Amarone Classico</v>
      </c>
      <c r="F163" s="8">
        <f>IF(G163&gt;0,VLOOKUP(A163,Wine1!A:AF,32,FALSE),VLOOKUP(Agibility!A163,Drank!A:AA,27,FALSE))</f>
        <v>4</v>
      </c>
      <c r="G163" s="8">
        <f>COUNTIF(Wine1!A:A,Agibility!A163)</f>
        <v>1</v>
      </c>
      <c r="H163" s="37">
        <f>IFERROR(VLOOKUP(A163,Wine1!A:Y,25,FALSE),0)</f>
        <v>2030</v>
      </c>
      <c r="I163" s="37">
        <f>COUNTIF(Drank!A:A,Agibility!A163)</f>
        <v>0</v>
      </c>
      <c r="J163" s="37">
        <f>IFERROR(AVERAGEIF(Drank!A:A,Agibility!A163,Drank!P:P),0)</f>
        <v>0</v>
      </c>
      <c r="K163" s="37">
        <f t="shared" si="5"/>
        <v>2030</v>
      </c>
      <c r="L163" s="37">
        <f t="shared" si="6"/>
        <v>23</v>
      </c>
    </row>
    <row r="164" spans="1:12" x14ac:dyDescent="0.25">
      <c r="A164" s="37" t="s">
        <v>568</v>
      </c>
      <c r="B164" s="37">
        <f>IF(G164&lt;=0,VLOOKUP(A164,Drank!A:D,2,FALSE),VLOOKUP(A164,Wine1!A:D,2,FALSE))</f>
        <v>2010</v>
      </c>
      <c r="C164" s="37" t="str">
        <f>IF(G164&lt;=0,VLOOKUP(A164,Drank!A:D,3,FALSE),VLOOKUP(A164,Wine1!A:D,3,FALSE))</f>
        <v>Beringer</v>
      </c>
      <c r="D164" s="37" t="str">
        <f>IF(G164&lt;=0,VLOOKUP(A164,Drank!A:D,4,FALSE),VLOOKUP(A164,Wine1!A:D,4,FALSE))</f>
        <v>Cabernet Sauvignon Private Reserve</v>
      </c>
      <c r="E164" s="8" t="str">
        <f>IF(G164&gt;0,VLOOKUP(A164,Wine1!A:AF,5,FALSE),VLOOKUP(A164,Drank!A:AA,5,FALSE))</f>
        <v>Cabernet Sauvignon</v>
      </c>
      <c r="F164" s="8">
        <f>IF(G164&gt;0,VLOOKUP(A164,Wine1!A:AF,32,FALSE),VLOOKUP(Agibility!A164,Drank!A:AA,27,FALSE))</f>
        <v>4</v>
      </c>
      <c r="G164" s="8">
        <f>COUNTIF(Wine1!A:A,Agibility!A164)</f>
        <v>1</v>
      </c>
      <c r="H164" s="37">
        <f>IFERROR(VLOOKUP(A164,Wine1!A:Y,25,FALSE),0)</f>
        <v>2030</v>
      </c>
      <c r="I164" s="37">
        <f>COUNTIF(Drank!A:A,Agibility!A164)</f>
        <v>0</v>
      </c>
      <c r="J164" s="37">
        <f>IFERROR(AVERAGEIF(Drank!A:A,Agibility!A164,Drank!P:P),0)</f>
        <v>0</v>
      </c>
      <c r="K164" s="37">
        <f t="shared" si="5"/>
        <v>2030</v>
      </c>
      <c r="L164" s="37">
        <f t="shared" si="6"/>
        <v>20</v>
      </c>
    </row>
    <row r="165" spans="1:12" x14ac:dyDescent="0.25">
      <c r="A165" s="37" t="s">
        <v>569</v>
      </c>
      <c r="B165" s="37">
        <f>IF(G165&lt;=0,VLOOKUP(A165,Drank!A:D,2,FALSE),VLOOKUP(A165,Wine1!A:D,2,FALSE))</f>
        <v>2010</v>
      </c>
      <c r="C165" s="37" t="str">
        <f>IF(G165&lt;=0,VLOOKUP(A165,Drank!A:D,3,FALSE),VLOOKUP(A165,Wine1!A:D,3,FALSE))</f>
        <v>Cavallotto</v>
      </c>
      <c r="D165" s="37" t="str">
        <f>IF(G165&lt;=0,VLOOKUP(A165,Drank!A:D,4,FALSE),VLOOKUP(A165,Wine1!A:D,4,FALSE))</f>
        <v>Barolo Riserva Vignolo</v>
      </c>
      <c r="E165" s="8" t="str">
        <f>IF(G165&gt;0,VLOOKUP(A165,Wine1!A:AF,5,FALSE),VLOOKUP(A165,Drank!A:AA,5,FALSE))</f>
        <v>100% Nebbiolo</v>
      </c>
      <c r="F165" s="8">
        <f>IF(G165&gt;0,VLOOKUP(A165,Wine1!A:AF,32,FALSE),VLOOKUP(Agibility!A165,Drank!A:AA,27,FALSE))</f>
        <v>4</v>
      </c>
      <c r="G165" s="8">
        <f>COUNTIF(Wine1!A:A,Agibility!A165)</f>
        <v>1</v>
      </c>
      <c r="H165" s="37">
        <f>IFERROR(VLOOKUP(A165,Wine1!A:Y,25,FALSE),0)</f>
        <v>2030</v>
      </c>
      <c r="I165" s="37">
        <f>COUNTIF(Drank!A:A,Agibility!A165)</f>
        <v>0</v>
      </c>
      <c r="J165" s="37">
        <f>IFERROR(AVERAGEIF(Drank!A:A,Agibility!A165,Drank!P:P),0)</f>
        <v>0</v>
      </c>
      <c r="K165" s="37">
        <f t="shared" si="5"/>
        <v>2030</v>
      </c>
      <c r="L165" s="37">
        <f t="shared" si="6"/>
        <v>20</v>
      </c>
    </row>
    <row r="166" spans="1:12" x14ac:dyDescent="0.25">
      <c r="A166" s="37" t="s">
        <v>571</v>
      </c>
      <c r="B166" s="37">
        <f>IF(G166&lt;=0,VLOOKUP(A166,Drank!A:D,2,FALSE),VLOOKUP(A166,Wine1!A:D,2,FALSE))</f>
        <v>2015</v>
      </c>
      <c r="C166" s="37" t="str">
        <f>IF(G166&lt;=0,VLOOKUP(A166,Drank!A:D,3,FALSE),VLOOKUP(A166,Wine1!A:D,3,FALSE))</f>
        <v>Caymus</v>
      </c>
      <c r="D166" s="37" t="str">
        <f>IF(G166&lt;=0,VLOOKUP(A166,Drank!A:D,4,FALSE),VLOOKUP(A166,Wine1!A:D,4,FALSE))</f>
        <v>Cabernet Sauvignon</v>
      </c>
      <c r="E166" s="8" t="str">
        <f>IF(G166&gt;0,VLOOKUP(A166,Wine1!A:AF,5,FALSE),VLOOKUP(A166,Drank!A:AA,5,FALSE))</f>
        <v>Cabernet Sauvignon</v>
      </c>
      <c r="F166" s="8">
        <f>IF(G166&gt;0,VLOOKUP(A166,Wine1!A:AF,32,FALSE),VLOOKUP(Agibility!A166,Drank!A:AA,27,FALSE))</f>
        <v>4</v>
      </c>
      <c r="G166" s="8">
        <f>COUNTIF(Wine1!A:A,Agibility!A166)</f>
        <v>1</v>
      </c>
      <c r="H166" s="37">
        <f>IFERROR(VLOOKUP(A166,Wine1!A:Y,25,FALSE),0)</f>
        <v>2032</v>
      </c>
      <c r="I166" s="37">
        <f>COUNTIF(Drank!A:A,Agibility!A166)</f>
        <v>0</v>
      </c>
      <c r="J166" s="37">
        <f>IFERROR(AVERAGEIF(Drank!A:A,Agibility!A166,Drank!P:P),0)</f>
        <v>0</v>
      </c>
      <c r="K166" s="37">
        <f t="shared" si="5"/>
        <v>2032</v>
      </c>
      <c r="L166" s="37">
        <f t="shared" si="6"/>
        <v>17</v>
      </c>
    </row>
    <row r="167" spans="1:12" x14ac:dyDescent="0.25">
      <c r="A167" s="37" t="s">
        <v>572</v>
      </c>
      <c r="B167" s="37">
        <f>IF(G167&lt;=0,VLOOKUP(A167,Drank!A:D,2,FALSE),VLOOKUP(A167,Wine1!A:D,2,FALSE))</f>
        <v>2004</v>
      </c>
      <c r="C167" s="37" t="str">
        <f>IF(G167&lt;=0,VLOOKUP(A167,Drank!A:D,3,FALSE),VLOOKUP(A167,Wine1!A:D,3,FALSE))</f>
        <v>Bertani</v>
      </c>
      <c r="D167" s="37" t="str">
        <f>IF(G167&lt;=0,VLOOKUP(A167,Drank!A:D,4,FALSE),VLOOKUP(A167,Wine1!A:D,4,FALSE))</f>
        <v>Amarone della Valpolicella</v>
      </c>
      <c r="E167" s="8" t="str">
        <f>IF(G167&gt;0,VLOOKUP(A167,Wine1!A:AF,5,FALSE),VLOOKUP(A167,Drank!A:AA,5,FALSE))</f>
        <v>Amarone</v>
      </c>
      <c r="F167" s="8">
        <f>IF(G167&gt;0,VLOOKUP(A167,Wine1!A:AF,32,FALSE),VLOOKUP(Agibility!A167,Drank!A:AA,27,FALSE))</f>
        <v>4</v>
      </c>
      <c r="G167" s="8">
        <f>COUNTIF(Wine1!A:A,Agibility!A167)</f>
        <v>1</v>
      </c>
      <c r="H167" s="37">
        <f>IFERROR(VLOOKUP(A167,Wine1!A:Y,25,FALSE),0)</f>
        <v>2034</v>
      </c>
      <c r="I167" s="37">
        <f>COUNTIF(Drank!A:A,Agibility!A167)</f>
        <v>0</v>
      </c>
      <c r="J167" s="37">
        <f>IFERROR(AVERAGEIF(Drank!A:A,Agibility!A167,Drank!P:P),0)</f>
        <v>0</v>
      </c>
      <c r="K167" s="37">
        <f t="shared" si="5"/>
        <v>2034</v>
      </c>
      <c r="L167" s="37">
        <f t="shared" si="6"/>
        <v>30</v>
      </c>
    </row>
    <row r="168" spans="1:12" x14ac:dyDescent="0.25">
      <c r="A168" s="37" t="s">
        <v>947</v>
      </c>
      <c r="B168" s="37">
        <f>IF(G168&lt;=0,VLOOKUP(A168,Drank!A:D,2,FALSE),VLOOKUP(A168,Wine1!A:D,2,FALSE))</f>
        <v>2015</v>
      </c>
      <c r="C168" s="37" t="str">
        <f>IF(G168&lt;=0,VLOOKUP(A168,Drank!A:D,3,FALSE),VLOOKUP(A168,Wine1!A:D,3,FALSE))</f>
        <v>Domenico Clerico</v>
      </c>
      <c r="D168" s="37" t="str">
        <f>IF(G168&lt;=0,VLOOKUP(A168,Drank!A:D,4,FALSE),VLOOKUP(A168,Wine1!A:D,4,FALSE))</f>
        <v>Barolo</v>
      </c>
      <c r="E168" s="8" t="str">
        <f>IF(G168&gt;0,VLOOKUP(A168,Wine1!A:AF,5,FALSE),VLOOKUP(A168,Drank!A:AA,5,FALSE))</f>
        <v>100% Nebbiolo</v>
      </c>
      <c r="F168" s="8">
        <f>IF(G168&gt;0,VLOOKUP(A168,Wine1!A:AF,32,FALSE),VLOOKUP(Agibility!A168,Drank!A:AA,27,FALSE))</f>
        <v>3</v>
      </c>
      <c r="G168" s="8">
        <f>COUNTIF(Wine1!A:A,Agibility!A168)</f>
        <v>1</v>
      </c>
      <c r="H168" s="37">
        <f>IFERROR(VLOOKUP(A168,Wine1!A:Y,25,FALSE),0)</f>
        <v>2040</v>
      </c>
      <c r="I168" s="37">
        <f>COUNTIF(Drank!A:A,Agibility!A168)</f>
        <v>0</v>
      </c>
      <c r="J168" s="37">
        <f>IFERROR(AVERAGEIF(Drank!A:A,Agibility!A168,Drank!P:P),0)</f>
        <v>0</v>
      </c>
      <c r="K168" s="37">
        <f t="shared" si="5"/>
        <v>2040</v>
      </c>
      <c r="L168" s="37">
        <f t="shared" si="6"/>
        <v>25</v>
      </c>
    </row>
    <row r="169" spans="1:12" x14ac:dyDescent="0.25">
      <c r="A169" s="37" t="s">
        <v>1213</v>
      </c>
      <c r="B169" s="37">
        <f>IF(G169&lt;=0,VLOOKUP(A169,Drank!A:D,2,FALSE),VLOOKUP(A169,Wine1!A:D,2,FALSE))</f>
        <v>2015</v>
      </c>
      <c r="C169" s="37" t="str">
        <f>IF(G169&lt;=0,VLOOKUP(A169,Drank!A:D,3,FALSE),VLOOKUP(A169,Wine1!A:D,3,FALSE))</f>
        <v>Chateau Guiraud</v>
      </c>
      <c r="D169" s="37" t="str">
        <f>IF(G169&lt;=0,VLOOKUP(A169,Drank!A:D,4,FALSE),VLOOKUP(A169,Wine1!A:D,4,FALSE))</f>
        <v>Chateau Guiraud</v>
      </c>
      <c r="E169" s="8" t="str">
        <f>IF(G169&gt;0,VLOOKUP(A169,Wine1!A:AF,5,FALSE),VLOOKUP(A169,Drank!A:AA,5,FALSE))</f>
        <v>65% Sémillon,35% Sauvignon Blanc</v>
      </c>
      <c r="F169" s="8">
        <f>IF(G169&gt;0,VLOOKUP(A169,Wine1!A:AF,32,FALSE),VLOOKUP(Agibility!A169,Drank!A:AA,27,FALSE))</f>
        <v>3</v>
      </c>
      <c r="G169" s="8">
        <f>COUNTIF(Wine1!A:A,Agibility!A169)</f>
        <v>3</v>
      </c>
      <c r="H169" s="37">
        <f>IFERROR(VLOOKUP(A169,Wine1!A:Y,25,FALSE),0)</f>
        <v>2046</v>
      </c>
      <c r="I169" s="37">
        <f>COUNTIF(Drank!A:A,Agibility!A169)</f>
        <v>0</v>
      </c>
      <c r="J169" s="37">
        <f>IFERROR(AVERAGEIF(Drank!A:A,Agibility!A169,Drank!P:P),0)</f>
        <v>0</v>
      </c>
      <c r="K169" s="37">
        <f t="shared" si="5"/>
        <v>2046</v>
      </c>
      <c r="L169" s="37">
        <f t="shared" si="6"/>
        <v>31</v>
      </c>
    </row>
    <row r="170" spans="1:12" x14ac:dyDescent="0.25">
      <c r="A170" s="37" t="s">
        <v>948</v>
      </c>
      <c r="B170" s="37">
        <f>IF(G170&lt;=0,VLOOKUP(A170,Drank!A:D,2,FALSE),VLOOKUP(A170,Wine1!A:D,2,FALSE))</f>
        <v>2017</v>
      </c>
      <c r="C170" s="37" t="str">
        <f>IF(G170&lt;=0,VLOOKUP(A170,Drank!A:D,3,FALSE),VLOOKUP(A170,Wine1!A:D,3,FALSE))</f>
        <v>Rieussec</v>
      </c>
      <c r="D170" s="37" t="str">
        <f>IF(G170&lt;=0,VLOOKUP(A170,Drank!A:D,4,FALSE),VLOOKUP(A170,Wine1!A:D,4,FALSE))</f>
        <v>Rieussec</v>
      </c>
      <c r="E170" s="8" t="str">
        <f>IF(G170&gt;0,VLOOKUP(A170,Wine1!A:AF,5,FALSE),VLOOKUP(A170,Drank!A:AA,5,FALSE))</f>
        <v>Sauternes</v>
      </c>
      <c r="F170" s="8">
        <f>IF(G170&gt;0,VLOOKUP(A170,Wine1!A:AF,32,FALSE),VLOOKUP(Agibility!A170,Drank!A:AA,27,FALSE))</f>
        <v>3</v>
      </c>
      <c r="G170" s="8">
        <f>COUNTIF(Wine1!A:A,Agibility!A170)</f>
        <v>3</v>
      </c>
      <c r="H170" s="37">
        <f>IFERROR(VLOOKUP(A170,Wine1!A:Y,25,FALSE),0)</f>
        <v>2060</v>
      </c>
      <c r="I170" s="37">
        <f>COUNTIF(Drank!A:A,Agibility!A170)</f>
        <v>0</v>
      </c>
      <c r="J170" s="37">
        <f>IFERROR(AVERAGEIF(Drank!A:A,Agibility!A170,Drank!P:P),0)</f>
        <v>0</v>
      </c>
      <c r="K170" s="37">
        <f t="shared" si="5"/>
        <v>2060</v>
      </c>
      <c r="L170" s="37">
        <f t="shared" si="6"/>
        <v>43</v>
      </c>
    </row>
    <row r="171" spans="1:12" x14ac:dyDescent="0.25">
      <c r="A171" s="37" t="s">
        <v>574</v>
      </c>
      <c r="B171" s="37">
        <f>IF(G171&lt;=0,VLOOKUP(A171,Drank!A:D,2,FALSE),VLOOKUP(A171,Wine1!A:D,2,FALSE))</f>
        <v>2006</v>
      </c>
      <c r="C171" s="37" t="str">
        <f>IF(G171&lt;=0,VLOOKUP(A171,Drank!A:D,3,FALSE),VLOOKUP(A171,Wine1!A:D,3,FALSE))</f>
        <v>Fontodi</v>
      </c>
      <c r="D171" s="37" t="str">
        <f>IF(G171&lt;=0,VLOOKUP(A171,Drank!A:D,4,FALSE),VLOOKUP(A171,Wine1!A:D,4,FALSE))</f>
        <v>Flaccianello della Pieve</v>
      </c>
      <c r="E171" s="8" t="str">
        <f>IF(G171&gt;0,VLOOKUP(A171,Wine1!A:AF,5,FALSE),VLOOKUP(A171,Drank!A:AA,5,FALSE))</f>
        <v>100% Sangiovese</v>
      </c>
      <c r="F171" s="8">
        <f>IF(G171&gt;0,VLOOKUP(A171,Wine1!A:AF,32,FALSE),VLOOKUP(Agibility!A171,Drank!A:AA,27,FALSE))</f>
        <v>4</v>
      </c>
      <c r="G171" s="8">
        <f>COUNTIF(Wine1!A:A,Agibility!A171)</f>
        <v>1</v>
      </c>
      <c r="H171" s="37">
        <f>IFERROR(VLOOKUP(A171,Wine1!A:Y,25,FALSE),0)</f>
        <v>2036</v>
      </c>
      <c r="I171" s="37">
        <f>COUNTIF(Drank!A:A,Agibility!A171)</f>
        <v>0</v>
      </c>
      <c r="J171" s="37">
        <f>IFERROR(AVERAGEIF(Drank!A:A,Agibility!A171,Drank!P:P),0)</f>
        <v>0</v>
      </c>
      <c r="K171" s="37">
        <f t="shared" si="5"/>
        <v>2036</v>
      </c>
      <c r="L171" s="37">
        <f t="shared" si="6"/>
        <v>30</v>
      </c>
    </row>
    <row r="172" spans="1:12" x14ac:dyDescent="0.25">
      <c r="A172" s="37" t="s">
        <v>575</v>
      </c>
      <c r="B172" s="37">
        <f>IF(G172&lt;=0,VLOOKUP(A172,Drank!A:D,2,FALSE),VLOOKUP(A172,Wine1!A:D,2,FALSE))</f>
        <v>2015</v>
      </c>
      <c r="C172" s="37" t="str">
        <f>IF(G172&lt;=0,VLOOKUP(A172,Drank!A:D,3,FALSE),VLOOKUP(A172,Wine1!A:D,3,FALSE))</f>
        <v>Fombrauge</v>
      </c>
      <c r="D172" s="37" t="str">
        <f>IF(G172&lt;=0,VLOOKUP(A172,Drank!A:D,4,FALSE),VLOOKUP(A172,Wine1!A:D,4,FALSE))</f>
        <v>Fombrauge</v>
      </c>
      <c r="E172" s="8" t="str">
        <f>IF(G172&gt;0,VLOOKUP(A172,Wine1!A:AF,5,FALSE),VLOOKUP(A172,Drank!A:AA,5,FALSE))</f>
        <v>Proprietary Blend</v>
      </c>
      <c r="F172" s="8">
        <f>IF(G172&gt;0,VLOOKUP(A172,Wine1!A:AF,32,FALSE),VLOOKUP(Agibility!A172,Drank!A:AA,27,FALSE))</f>
        <v>3</v>
      </c>
      <c r="G172" s="8">
        <f>COUNTIF(Wine1!A:A,Agibility!A172)</f>
        <v>1</v>
      </c>
      <c r="H172" s="37">
        <f>IFERROR(VLOOKUP(A172,Wine1!A:Y,25,FALSE),0)</f>
        <v>2036</v>
      </c>
      <c r="I172" s="37">
        <f>COUNTIF(Drank!A:A,Agibility!A172)</f>
        <v>0</v>
      </c>
      <c r="J172" s="37">
        <f>IFERROR(AVERAGEIF(Drank!A:A,Agibility!A172,Drank!P:P),0)</f>
        <v>0</v>
      </c>
      <c r="K172" s="37">
        <f t="shared" si="5"/>
        <v>2036</v>
      </c>
      <c r="L172" s="37">
        <f t="shared" si="6"/>
        <v>21</v>
      </c>
    </row>
    <row r="173" spans="1:12" x14ac:dyDescent="0.25">
      <c r="A173" s="37" t="s">
        <v>709</v>
      </c>
      <c r="B173" s="37">
        <f>IF(G173&lt;=0,VLOOKUP(A173,Drank!A:D,2,FALSE),VLOOKUP(A173,Wine1!A:D,2,FALSE))</f>
        <v>2016</v>
      </c>
      <c r="C173" s="37" t="str">
        <f>IF(G173&lt;=0,VLOOKUP(A173,Drank!A:D,3,FALSE),VLOOKUP(A173,Wine1!A:D,3,FALSE))</f>
        <v>Doisy Daene</v>
      </c>
      <c r="D173" s="37" t="str">
        <f>IF(G173&lt;=0,VLOOKUP(A173,Drank!A:D,4,FALSE),VLOOKUP(A173,Wine1!A:D,4,FALSE))</f>
        <v>Doisy Daene</v>
      </c>
      <c r="E173" s="8" t="str">
        <f>IF(G173&gt;0,VLOOKUP(A173,Wine1!A:AF,5,FALSE),VLOOKUP(A173,Drank!A:AA,5,FALSE))</f>
        <v>Sauternes</v>
      </c>
      <c r="F173" s="8">
        <f>IF(G173&gt;0,VLOOKUP(A173,Wine1!A:AF,32,FALSE),VLOOKUP(Agibility!A173,Drank!A:AA,27,FALSE))</f>
        <v>3</v>
      </c>
      <c r="G173" s="8">
        <f>COUNTIF(Wine1!A:A,Agibility!A173)</f>
        <v>2</v>
      </c>
      <c r="H173" s="37">
        <f>IFERROR(VLOOKUP(A173,Wine1!A:Y,25,FALSE),0)</f>
        <v>2034</v>
      </c>
      <c r="I173" s="37">
        <f>COUNTIF(Drank!A:A,Agibility!A173)</f>
        <v>0</v>
      </c>
      <c r="J173" s="37">
        <f>IFERROR(AVERAGEIF(Drank!A:A,Agibility!A173,Drank!P:P),0)</f>
        <v>0</v>
      </c>
      <c r="K173" s="37">
        <f t="shared" si="5"/>
        <v>2034</v>
      </c>
      <c r="L173" s="37">
        <f t="shared" si="6"/>
        <v>18</v>
      </c>
    </row>
    <row r="174" spans="1:12" x14ac:dyDescent="0.25">
      <c r="A174" s="37" t="s">
        <v>576</v>
      </c>
      <c r="B174" s="37">
        <f>IF(G174&lt;=0,VLOOKUP(A174,Drank!A:D,2,FALSE),VLOOKUP(A174,Wine1!A:D,2,FALSE))</f>
        <v>2013</v>
      </c>
      <c r="C174" s="37" t="str">
        <f>IF(G174&lt;=0,VLOOKUP(A174,Drank!A:D,3,FALSE),VLOOKUP(A174,Wine1!A:D,3,FALSE))</f>
        <v>Tenuta San Guido</v>
      </c>
      <c r="D174" s="37" t="str">
        <f>IF(G174&lt;=0,VLOOKUP(A174,Drank!A:D,4,FALSE),VLOOKUP(A174,Wine1!A:D,4,FALSE))</f>
        <v>Bolgheri Sassicaia</v>
      </c>
      <c r="E174" s="8" t="str">
        <f>IF(G174&gt;0,VLOOKUP(A174,Wine1!A:AF,5,FALSE),VLOOKUP(A174,Drank!A:AA,5,FALSE))</f>
        <v>Cabernet Sauvignon Blend</v>
      </c>
      <c r="F174" s="8">
        <f>IF(G174&gt;0,VLOOKUP(A174,Wine1!A:AF,32,FALSE),VLOOKUP(Agibility!A174,Drank!A:AA,27,FALSE))</f>
        <v>4</v>
      </c>
      <c r="G174" s="8">
        <f>COUNTIF(Wine1!A:A,Agibility!A174)</f>
        <v>1</v>
      </c>
      <c r="H174" s="37">
        <f>IFERROR(VLOOKUP(A174,Wine1!A:Y,25,FALSE),0)</f>
        <v>2040</v>
      </c>
      <c r="I174" s="37">
        <f>COUNTIF(Drank!A:A,Agibility!A174)</f>
        <v>0</v>
      </c>
      <c r="J174" s="37">
        <f>IFERROR(AVERAGEIF(Drank!A:A,Agibility!A174,Drank!P:P),0)</f>
        <v>0</v>
      </c>
      <c r="K174" s="37">
        <f t="shared" si="5"/>
        <v>2040</v>
      </c>
      <c r="L174" s="37">
        <f t="shared" si="6"/>
        <v>27</v>
      </c>
    </row>
    <row r="175" spans="1:12" x14ac:dyDescent="0.25">
      <c r="A175" s="37" t="s">
        <v>577</v>
      </c>
      <c r="B175" s="37">
        <f>IF(G175&lt;=0,VLOOKUP(A175,Drank!A:D,2,FALSE),VLOOKUP(A175,Wine1!A:D,2,FALSE))</f>
        <v>2015</v>
      </c>
      <c r="C175" s="37" t="str">
        <f>IF(G175&lt;=0,VLOOKUP(A175,Drank!A:D,3,FALSE),VLOOKUP(A175,Wine1!A:D,3,FALSE))</f>
        <v>Lafaurie-Peyraguey</v>
      </c>
      <c r="D175" s="37" t="str">
        <f>IF(G175&lt;=0,VLOOKUP(A175,Drank!A:D,4,FALSE),VLOOKUP(A175,Wine1!A:D,4,FALSE))</f>
        <v>Lafaurie-Peyraguey</v>
      </c>
      <c r="E175" s="8" t="str">
        <f>IF(G175&gt;0,VLOOKUP(A175,Wine1!A:AF,5,FALSE),VLOOKUP(A175,Drank!A:AA,5,FALSE))</f>
        <v>Sauternes</v>
      </c>
      <c r="F175" s="8">
        <f>IF(G175&gt;0,VLOOKUP(A175,Wine1!A:AF,32,FALSE),VLOOKUP(Agibility!A175,Drank!A:AA,27,FALSE))</f>
        <v>4</v>
      </c>
      <c r="G175" s="8">
        <f>COUNTIF(Wine1!A:A,Agibility!A175)</f>
        <v>1</v>
      </c>
      <c r="H175" s="37">
        <f>IFERROR(VLOOKUP(A175,Wine1!A:Y,25,FALSE),0)</f>
        <v>2046</v>
      </c>
      <c r="I175" s="37">
        <f>COUNTIF(Drank!A:A,Agibility!A175)</f>
        <v>0</v>
      </c>
      <c r="J175" s="37">
        <f>IFERROR(AVERAGEIF(Drank!A:A,Agibility!A175,Drank!P:P),0)</f>
        <v>0</v>
      </c>
      <c r="K175" s="37">
        <f t="shared" si="5"/>
        <v>2046</v>
      </c>
      <c r="L175" s="37">
        <f t="shared" si="6"/>
        <v>31</v>
      </c>
    </row>
    <row r="176" spans="1:12" x14ac:dyDescent="0.25">
      <c r="A176" s="37" t="s">
        <v>930</v>
      </c>
      <c r="B176" s="37">
        <f>IF(G176&lt;=0,VLOOKUP(A176,Drank!A:D,2,FALSE),VLOOKUP(A176,Wine1!A:D,2,FALSE))</f>
        <v>2015</v>
      </c>
      <c r="C176" s="37" t="str">
        <f>IF(G176&lt;=0,VLOOKUP(A176,Drank!A:D,3,FALSE),VLOOKUP(A176,Wine1!A:D,3,FALSE))</f>
        <v>Montresor</v>
      </c>
      <c r="D176" s="37" t="str">
        <f>IF(G176&lt;=0,VLOOKUP(A176,Drank!A:D,4,FALSE),VLOOKUP(A176,Wine1!A:D,4,FALSE))</f>
        <v>Re Teodorico Recioto Della Valpolicella</v>
      </c>
      <c r="E176" s="8" t="str">
        <f>IF(G176&gt;0,VLOOKUP(A176,Wine1!A:AF,5,FALSE),VLOOKUP(A176,Drank!A:AA,5,FALSE))</f>
        <v>Recioto</v>
      </c>
      <c r="F176" s="8">
        <f>IF(G176&gt;0,VLOOKUP(A176,Wine1!A:AF,32,FALSE),VLOOKUP(Agibility!A176,Drank!A:AA,27,FALSE))</f>
        <v>4</v>
      </c>
      <c r="G176" s="8">
        <f>COUNTIF(Wine1!A:A,Agibility!A176)</f>
        <v>0</v>
      </c>
      <c r="H176" s="37">
        <f>IFERROR(VLOOKUP(A176,Wine1!A:Y,25,FALSE),0)</f>
        <v>0</v>
      </c>
      <c r="I176" s="37">
        <f>COUNTIF(Drank!A:A,Agibility!A176)</f>
        <v>1</v>
      </c>
      <c r="J176" s="37">
        <f>IFERROR(AVERAGEIF(Drank!A:A,Agibility!A176,Drank!P:P),0)</f>
        <v>2040</v>
      </c>
      <c r="K176" s="37">
        <f t="shared" si="5"/>
        <v>2040</v>
      </c>
      <c r="L176" s="37">
        <f t="shared" si="6"/>
        <v>25</v>
      </c>
    </row>
    <row r="177" spans="1:12" x14ac:dyDescent="0.25">
      <c r="A177" s="37" t="s">
        <v>866</v>
      </c>
      <c r="B177" s="37">
        <f>IF(G177&lt;=0,VLOOKUP(A177,Drank!A:D,2,FALSE),VLOOKUP(A177,Wine1!A:D,2,FALSE))</f>
        <v>2015</v>
      </c>
      <c r="C177" s="37" t="str">
        <f>IF(G177&lt;=0,VLOOKUP(A177,Drank!A:D,3,FALSE),VLOOKUP(A177,Wine1!A:D,3,FALSE))</f>
        <v>Royal Tokaji</v>
      </c>
      <c r="D177" s="37" t="str">
        <f>IF(G177&lt;=0,VLOOKUP(A177,Drank!A:D,4,FALSE),VLOOKUP(A177,Wine1!A:D,4,FALSE))</f>
        <v>Royal Tokaji</v>
      </c>
      <c r="E177" s="8" t="str">
        <f>IF(G177&gt;0,VLOOKUP(A177,Wine1!A:AF,5,FALSE),VLOOKUP(A177,Drank!A:AA,5,FALSE))</f>
        <v>Tokaji</v>
      </c>
      <c r="F177" s="8">
        <f>IF(G177&gt;0,VLOOKUP(A177,Wine1!A:AF,32,FALSE),VLOOKUP(Agibility!A177,Drank!A:AA,27,FALSE))</f>
        <v>2</v>
      </c>
      <c r="G177" s="8">
        <f>COUNTIF(Wine1!A:A,Agibility!A177)</f>
        <v>0</v>
      </c>
      <c r="H177" s="37">
        <f>IFERROR(VLOOKUP(A177,Wine1!A:Y,25,FALSE),0)</f>
        <v>0</v>
      </c>
      <c r="I177" s="37">
        <f>COUNTIF(Drank!A:A,Agibility!A177)</f>
        <v>1</v>
      </c>
      <c r="J177" s="37">
        <f>IFERROR(AVERAGEIF(Drank!A:A,Agibility!A177,Drank!P:P),0)</f>
        <v>2035</v>
      </c>
      <c r="K177" s="37">
        <f t="shared" si="5"/>
        <v>2035</v>
      </c>
      <c r="L177" s="37">
        <f t="shared" si="6"/>
        <v>20</v>
      </c>
    </row>
    <row r="178" spans="1:12" x14ac:dyDescent="0.25">
      <c r="A178" s="37" t="s">
        <v>862</v>
      </c>
      <c r="B178" s="37">
        <f>IF(G178&lt;=0,VLOOKUP(A178,Drank!A:D,2,FALSE),VLOOKUP(A178,Wine1!A:D,2,FALSE))</f>
        <v>2016</v>
      </c>
      <c r="C178" s="37" t="str">
        <f>IF(G178&lt;=0,VLOOKUP(A178,Drank!A:D,3,FALSE),VLOOKUP(A178,Wine1!A:D,3,FALSE))</f>
        <v>Altos Las Hormigas</v>
      </c>
      <c r="D178" s="37" t="str">
        <f>IF(G178&lt;=0,VLOOKUP(A178,Drank!A:D,4,FALSE),VLOOKUP(A178,Wine1!A:D,4,FALSE))</f>
        <v>Malbec Terroir Valle de Uco</v>
      </c>
      <c r="E178" s="8" t="str">
        <f>IF(G178&gt;0,VLOOKUP(A178,Wine1!A:AF,5,FALSE),VLOOKUP(A178,Drank!A:AA,5,FALSE))</f>
        <v>Malbec</v>
      </c>
      <c r="F178" s="8">
        <f>IF(G178&gt;0,VLOOKUP(A178,Wine1!A:AF,32,FALSE),VLOOKUP(Agibility!A178,Drank!A:AA,27,FALSE))</f>
        <v>1</v>
      </c>
      <c r="G178" s="8">
        <f>COUNTIF(Wine1!A:A,Agibility!A178)</f>
        <v>0</v>
      </c>
      <c r="H178" s="37">
        <f>IFERROR(VLOOKUP(A178,Wine1!A:Y,25,FALSE),0)</f>
        <v>0</v>
      </c>
      <c r="I178" s="37">
        <f>COUNTIF(Drank!A:A,Agibility!A178)</f>
        <v>1</v>
      </c>
      <c r="J178" s="37">
        <f>IFERROR(AVERAGEIF(Drank!A:A,Agibility!A178,Drank!P:P),0)</f>
        <v>2021</v>
      </c>
      <c r="K178" s="37">
        <f t="shared" si="5"/>
        <v>2021</v>
      </c>
      <c r="L178" s="37">
        <f t="shared" si="6"/>
        <v>5</v>
      </c>
    </row>
    <row r="179" spans="1:12" x14ac:dyDescent="0.25">
      <c r="A179" s="37" t="s">
        <v>692</v>
      </c>
      <c r="B179" s="37">
        <f>IF(G179&lt;=0,VLOOKUP(A179,Drank!A:D,2,FALSE),VLOOKUP(A179,Wine1!A:D,2,FALSE))</f>
        <v>2017</v>
      </c>
      <c r="C179" s="37" t="str">
        <f>IF(G179&lt;=0,VLOOKUP(A179,Drank!A:D,3,FALSE),VLOOKUP(A179,Wine1!A:D,3,FALSE))</f>
        <v>Smith and Hook</v>
      </c>
      <c r="D179" s="37" t="str">
        <f>IF(G179&lt;=0,VLOOKUP(A179,Drank!A:D,4,FALSE),VLOOKUP(A179,Wine1!A:D,4,FALSE))</f>
        <v>Cabernet Sauvignon</v>
      </c>
      <c r="E179" s="8" t="str">
        <f>IF(G179&gt;0,VLOOKUP(A179,Wine1!A:AF,5,FALSE),VLOOKUP(A179,Drank!A:AA,5,FALSE))</f>
        <v>Cabernet Sauvignon</v>
      </c>
      <c r="F179" s="8">
        <f>IF(G179&gt;0,VLOOKUP(A179,Wine1!A:AF,32,FALSE),VLOOKUP(Agibility!A179,Drank!A:AA,27,FALSE))</f>
        <v>2</v>
      </c>
      <c r="G179" s="8">
        <f>COUNTIF(Wine1!A:A,Agibility!A179)</f>
        <v>0</v>
      </c>
      <c r="H179" s="37">
        <f>IFERROR(VLOOKUP(A179,Wine1!A:Y,25,FALSE),0)</f>
        <v>0</v>
      </c>
      <c r="I179" s="37">
        <f>COUNTIF(Drank!A:A,Agibility!A179)</f>
        <v>1</v>
      </c>
      <c r="J179" s="37">
        <f>IFERROR(AVERAGEIF(Drank!A:A,Agibility!A179,Drank!P:P),0)</f>
        <v>2026</v>
      </c>
      <c r="K179" s="37">
        <f t="shared" si="5"/>
        <v>2026</v>
      </c>
      <c r="L179" s="37">
        <f t="shared" si="6"/>
        <v>9</v>
      </c>
    </row>
    <row r="180" spans="1:12" x14ac:dyDescent="0.25">
      <c r="A180" s="37" t="s">
        <v>1203</v>
      </c>
      <c r="B180" s="37">
        <f>IF(G180&lt;=0,VLOOKUP(A180,Drank!A:D,2,FALSE),VLOOKUP(A180,Wine1!A:D,2,FALSE))</f>
        <v>2015</v>
      </c>
      <c r="C180" s="37" t="str">
        <f>IF(G180&lt;=0,VLOOKUP(A180,Drank!A:D,3,FALSE),VLOOKUP(A180,Wine1!A:D,3,FALSE))</f>
        <v>Ghost Pines</v>
      </c>
      <c r="D180" s="37" t="str">
        <f>IF(G180&lt;=0,VLOOKUP(A180,Drank!A:D,4,FALSE),VLOOKUP(A180,Wine1!A:D,4,FALSE))</f>
        <v>Cabernet Sauvignon</v>
      </c>
      <c r="E180" s="8" t="str">
        <f>IF(G180&gt;0,VLOOKUP(A180,Wine1!A:AF,5,FALSE),VLOOKUP(A180,Drank!A:AA,5,FALSE))</f>
        <v>Cabernet Sauvignon</v>
      </c>
      <c r="F180" s="8">
        <f>IF(G180&gt;0,VLOOKUP(A180,Wine1!A:AF,32,FALSE),VLOOKUP(Agibility!A180,Drank!A:AA,27,FALSE))</f>
        <v>2</v>
      </c>
      <c r="G180" s="8">
        <f>COUNTIF(Wine1!A:A,Agibility!A180)</f>
        <v>0</v>
      </c>
      <c r="H180" s="37">
        <f>IFERROR(VLOOKUP(A180,Wine1!A:Y,25,FALSE),0)</f>
        <v>0</v>
      </c>
      <c r="I180" s="37">
        <f>COUNTIF(Drank!A:A,Agibility!A180)</f>
        <v>1</v>
      </c>
      <c r="J180" s="37">
        <f>IFERROR(AVERAGEIF(Drank!A:A,Agibility!A180,Drank!P:P),0)</f>
        <v>2023</v>
      </c>
      <c r="K180" s="37">
        <f t="shared" si="5"/>
        <v>2023</v>
      </c>
      <c r="L180" s="37">
        <f t="shared" si="6"/>
        <v>8</v>
      </c>
    </row>
    <row r="181" spans="1:12" x14ac:dyDescent="0.25">
      <c r="A181" s="37" t="s">
        <v>570</v>
      </c>
      <c r="B181" s="37" t="str">
        <f>IF(G181&lt;=0,VLOOKUP(A181,Drank!A:D,2,FALSE),VLOOKUP(A181,Wine1!A:D,2,FALSE))</f>
        <v>NV</v>
      </c>
      <c r="C181" s="37" t="str">
        <f>IF(G181&lt;=0,VLOOKUP(A181,Drank!A:D,3,FALSE),VLOOKUP(A181,Wine1!A:D,3,FALSE))</f>
        <v>Sandeman</v>
      </c>
      <c r="D181" s="37" t="str">
        <f>IF(G181&lt;=0,VLOOKUP(A181,Drank!A:D,4,FALSE),VLOOKUP(A181,Wine1!A:D,4,FALSE))</f>
        <v>Founder's Reserve Ruby Porto</v>
      </c>
      <c r="E181" s="8" t="str">
        <f>IF(G181&gt;0,VLOOKUP(A181,Wine1!A:AF,5,FALSE),VLOOKUP(A181,Drank!A:AA,5,FALSE))</f>
        <v>Port</v>
      </c>
      <c r="F181" s="8">
        <f>IF(G181&gt;0,VLOOKUP(A181,Wine1!A:AF,32,FALSE),VLOOKUP(Agibility!A181,Drank!A:AA,27,FALSE))</f>
        <v>2</v>
      </c>
      <c r="G181" s="8">
        <f>COUNTIF(Wine1!A:A,Agibility!A181)</f>
        <v>0</v>
      </c>
      <c r="H181" s="37">
        <f>IFERROR(VLOOKUP(A181,Wine1!A:Y,25,FALSE),0)</f>
        <v>0</v>
      </c>
      <c r="I181" s="37">
        <f>COUNTIF(Drank!A:A,Agibility!A181)</f>
        <v>1</v>
      </c>
      <c r="J181" s="37">
        <f>IFERROR(AVERAGEIF(Drank!A:A,Agibility!A181,Drank!P:P),0)</f>
        <v>0</v>
      </c>
      <c r="K181" s="37">
        <f t="shared" si="5"/>
        <v>0</v>
      </c>
      <c r="L181" s="37" t="str">
        <f t="shared" si="6"/>
        <v xml:space="preserve"> </v>
      </c>
    </row>
    <row r="182" spans="1:12" x14ac:dyDescent="0.25">
      <c r="A182" s="37" t="s">
        <v>457</v>
      </c>
      <c r="B182" s="37">
        <f>IF(G182&lt;=0,VLOOKUP(A182,Drank!A:D,2,FALSE),VLOOKUP(A182,Wine1!A:D,2,FALSE))</f>
        <v>2013</v>
      </c>
      <c r="C182" s="37" t="str">
        <f>IF(G182&lt;=0,VLOOKUP(A182,Drank!A:D,3,FALSE),VLOOKUP(A182,Wine1!A:D,3,FALSE))</f>
        <v>Grateful Palate</v>
      </c>
      <c r="D182" s="37" t="str">
        <f>IF(G182&lt;=0,VLOOKUP(A182,Drank!A:D,4,FALSE),VLOOKUP(A182,Wine1!A:D,4,FALSE))</f>
        <v>Precious</v>
      </c>
      <c r="E182" s="8" t="str">
        <f>IF(G182&gt;0,VLOOKUP(A182,Wine1!A:AF,5,FALSE),VLOOKUP(A182,Drank!A:AA,5,FALSE))</f>
        <v>Syrah</v>
      </c>
      <c r="F182" s="8">
        <f>IF(G182&gt;0,VLOOKUP(A182,Wine1!A:AF,32,FALSE),VLOOKUP(Agibility!A182,Drank!A:AA,27,FALSE))</f>
        <v>3</v>
      </c>
      <c r="G182" s="8">
        <f>COUNTIF(Wine1!A:A,Agibility!A182)</f>
        <v>0</v>
      </c>
      <c r="H182" s="37">
        <f>IFERROR(VLOOKUP(A182,Wine1!A:Y,25,FALSE),0)</f>
        <v>0</v>
      </c>
      <c r="I182" s="37">
        <f>COUNTIF(Drank!A:A,Agibility!A182)</f>
        <v>2</v>
      </c>
      <c r="J182" s="37">
        <f>IFERROR(AVERAGEIF(Drank!A:A,Agibility!A182,Drank!P:P),0)</f>
        <v>2021</v>
      </c>
      <c r="K182" s="37">
        <f t="shared" si="5"/>
        <v>2021</v>
      </c>
      <c r="L182" s="37">
        <f t="shared" si="6"/>
        <v>8</v>
      </c>
    </row>
    <row r="183" spans="1:12" x14ac:dyDescent="0.25">
      <c r="A183" s="37" t="s">
        <v>455</v>
      </c>
      <c r="B183" s="37">
        <f>IF(G183&lt;=0,VLOOKUP(A183,Drank!A:D,2,FALSE),VLOOKUP(A183,Wine1!A:D,2,FALSE))</f>
        <v>2017</v>
      </c>
      <c r="C183" s="37" t="str">
        <f>IF(G183&lt;=0,VLOOKUP(A183,Drank!A:D,3,FALSE),VLOOKUP(A183,Wine1!A:D,3,FALSE))</f>
        <v>Domaine Georges &amp; Pierre Glantenay</v>
      </c>
      <c r="D183" s="37" t="str">
        <f>IF(G183&lt;=0,VLOOKUP(A183,Drank!A:D,4,FALSE),VLOOKUP(A183,Wine1!A:D,4,FALSE))</f>
        <v>Bourgogne Rouge Bugundy</v>
      </c>
      <c r="E183" s="8" t="str">
        <f>IF(G183&gt;0,VLOOKUP(A183,Wine1!A:AF,5,FALSE),VLOOKUP(A183,Drank!A:AA,5,FALSE))</f>
        <v>Pinot Noir</v>
      </c>
      <c r="F183" s="8">
        <f>IF(G183&gt;0,VLOOKUP(A183,Wine1!A:AF,32,FALSE),VLOOKUP(Agibility!A183,Drank!A:AA,27,FALSE))</f>
        <v>2</v>
      </c>
      <c r="G183" s="8">
        <f>COUNTIF(Wine1!A:A,Agibility!A183)</f>
        <v>0</v>
      </c>
      <c r="H183" s="37">
        <f>IFERROR(VLOOKUP(A183,Wine1!A:Y,25,FALSE),0)</f>
        <v>0</v>
      </c>
      <c r="I183" s="37">
        <f>COUNTIF(Drank!A:A,Agibility!A183)</f>
        <v>1</v>
      </c>
      <c r="J183" s="37">
        <f>IFERROR(AVERAGEIF(Drank!A:A,Agibility!A183,Drank!P:P),0)</f>
        <v>2027</v>
      </c>
      <c r="K183" s="37">
        <f t="shared" si="5"/>
        <v>2027</v>
      </c>
      <c r="L183" s="37">
        <f t="shared" si="6"/>
        <v>10</v>
      </c>
    </row>
    <row r="184" spans="1:12" s="37" customFormat="1" x14ac:dyDescent="0.25">
      <c r="A184" s="37" t="s">
        <v>867</v>
      </c>
      <c r="B184" s="37">
        <f>IF(G184&lt;=0,VLOOKUP(A184,Drank!A:D,2,FALSE),VLOOKUP(A184,Wine1!A:D,2,FALSE))</f>
        <v>2017</v>
      </c>
      <c r="C184" s="37" t="str">
        <f>IF(G184&lt;=0,VLOOKUP(A184,Drank!A:D,3,FALSE),VLOOKUP(A184,Wine1!A:D,3,FALSE))</f>
        <v>Robert Mondavi</v>
      </c>
      <c r="D184" s="37" t="str">
        <f>IF(G184&lt;=0,VLOOKUP(A184,Drank!A:D,4,FALSE),VLOOKUP(A184,Wine1!A:D,4,FALSE))</f>
        <v>Private Selection Bourbon Barrels</v>
      </c>
      <c r="E184" s="8" t="str">
        <f>IF(G184&gt;0,VLOOKUP(A184,Wine1!A:AF,5,FALSE),VLOOKUP(A184,Drank!A:AA,5,FALSE))</f>
        <v>Cabernet Sauvignon</v>
      </c>
      <c r="F184" s="8">
        <f>IF(G184&gt;0,VLOOKUP(A184,Wine1!A:AF,32,FALSE),VLOOKUP(Agibility!A184,Drank!A:AA,27,FALSE))</f>
        <v>1</v>
      </c>
      <c r="G184" s="8">
        <f>COUNTIF(Wine1!A:A,Agibility!A184)</f>
        <v>0</v>
      </c>
      <c r="H184" s="37">
        <f>IFERROR(VLOOKUP(A184,Wine1!A:Y,25,FALSE),0)</f>
        <v>0</v>
      </c>
      <c r="I184" s="37">
        <f>COUNTIF(Drank!A:A,Agibility!A184)</f>
        <v>1</v>
      </c>
      <c r="J184" s="37">
        <f>IFERROR(AVERAGEIF(Drank!A:A,Agibility!A184,Drank!P:P),0)</f>
        <v>0</v>
      </c>
      <c r="K184" s="37">
        <f>IF(J184&gt;0,J184,H184)</f>
        <v>0</v>
      </c>
      <c r="L184" s="37" t="str">
        <f>IF(K184&gt;0,K184-B184," ")</f>
        <v xml:space="preserve"> </v>
      </c>
    </row>
    <row r="185" spans="1:12" x14ac:dyDescent="0.25">
      <c r="A185" s="37" t="s">
        <v>868</v>
      </c>
      <c r="B185" s="37">
        <f>IF(G185&lt;=0,VLOOKUP(A185,Drank!A:D,2,FALSE),VLOOKUP(A185,Wine1!A:D,2,FALSE))</f>
        <v>2015</v>
      </c>
      <c r="C185" s="37" t="str">
        <f>IF(G185&lt;=0,VLOOKUP(A185,Drank!A:D,3,FALSE),VLOOKUP(A185,Wine1!A:D,3,FALSE))</f>
        <v>Susana Balbo</v>
      </c>
      <c r="D185" s="37" t="str">
        <f>IF(G185&lt;=0,VLOOKUP(A185,Drank!A:D,4,FALSE),VLOOKUP(A185,Wine1!A:D,4,FALSE))</f>
        <v>Susana Balbo Signature Cabernet Sauvignon</v>
      </c>
      <c r="E185" s="8" t="str">
        <f>IF(G185&gt;0,VLOOKUP(A185,Wine1!A:AF,5,FALSE),VLOOKUP(A185,Drank!A:AA,5,FALSE))</f>
        <v>Cabernet Sauvignon</v>
      </c>
      <c r="F185" s="8">
        <f>IF(G185&gt;0,VLOOKUP(A185,Wine1!A:AF,32,FALSE),VLOOKUP(Agibility!A185,Drank!A:AA,27,FALSE))</f>
        <v>2</v>
      </c>
      <c r="G185" s="8">
        <f>COUNTIF(Wine1!A:A,Agibility!A185)</f>
        <v>0</v>
      </c>
      <c r="H185" s="37">
        <f>IFERROR(VLOOKUP(A185,Wine1!A:Y,25,FALSE),0)</f>
        <v>0</v>
      </c>
      <c r="I185" s="37">
        <f>COUNTIF(Drank!A:A,Agibility!A185)</f>
        <v>1</v>
      </c>
      <c r="J185" s="37">
        <f>IFERROR(AVERAGEIF(Drank!A:A,Agibility!A185,Drank!P:P),0)</f>
        <v>2022</v>
      </c>
      <c r="K185" s="37">
        <f t="shared" si="5"/>
        <v>2022</v>
      </c>
      <c r="L185" s="37">
        <f t="shared" si="6"/>
        <v>7</v>
      </c>
    </row>
    <row r="186" spans="1:12" x14ac:dyDescent="0.25">
      <c r="A186" s="37" t="s">
        <v>869</v>
      </c>
      <c r="B186" s="37">
        <f>IF(G186&lt;=0,VLOOKUP(A186,Drank!A:D,2,FALSE),VLOOKUP(A186,Wine1!A:D,2,FALSE))</f>
        <v>2016</v>
      </c>
      <c r="C186" s="37" t="str">
        <f>IF(G186&lt;=0,VLOOKUP(A186,Drank!A:D,3,FALSE),VLOOKUP(A186,Wine1!A:D,3,FALSE))</f>
        <v>La Mision</v>
      </c>
      <c r="D186" s="37" t="str">
        <f>IF(G186&lt;=0,VLOOKUP(A186,Drank!A:D,4,FALSE),VLOOKUP(A186,Wine1!A:D,4,FALSE))</f>
        <v>Reserva Especial</v>
      </c>
      <c r="E186" s="8" t="str">
        <f>IF(G186&gt;0,VLOOKUP(A186,Wine1!A:AF,5,FALSE),VLOOKUP(A186,Drank!A:AA,5,FALSE))</f>
        <v>Sauvignon Blanc</v>
      </c>
      <c r="F186" s="8">
        <f>IF(G186&gt;0,VLOOKUP(A186,Wine1!A:AF,32,FALSE),VLOOKUP(Agibility!A186,Drank!A:AA,27,FALSE))</f>
        <v>1</v>
      </c>
      <c r="G186" s="8">
        <f>COUNTIF(Wine1!A:A,Agibility!A186)</f>
        <v>0</v>
      </c>
      <c r="H186" s="37">
        <f>IFERROR(VLOOKUP(A186,Wine1!A:Y,25,FALSE),0)</f>
        <v>0</v>
      </c>
      <c r="I186" s="37">
        <f>COUNTIF(Drank!A:A,Agibility!A186)</f>
        <v>2</v>
      </c>
      <c r="J186" s="37">
        <f>IFERROR(AVERAGEIF(Drank!A:A,Agibility!A186,Drank!P:P),0)</f>
        <v>0</v>
      </c>
      <c r="K186" s="37">
        <f t="shared" si="5"/>
        <v>0</v>
      </c>
      <c r="L186" s="37" t="str">
        <f t="shared" si="6"/>
        <v xml:space="preserve"> </v>
      </c>
    </row>
    <row r="187" spans="1:12" x14ac:dyDescent="0.25">
      <c r="A187" s="37" t="s">
        <v>870</v>
      </c>
      <c r="B187" s="37">
        <f>IF(G187&lt;=0,VLOOKUP(A187,Drank!A:D,2,FALSE),VLOOKUP(A187,Wine1!A:D,2,FALSE))</f>
        <v>2013</v>
      </c>
      <c r="C187" s="37" t="str">
        <f>IF(G187&lt;=0,VLOOKUP(A187,Drank!A:D,3,FALSE),VLOOKUP(A187,Wine1!A:D,3,FALSE))</f>
        <v>Rainoldi</v>
      </c>
      <c r="D187" s="37" t="str">
        <f>IF(G187&lt;=0,VLOOKUP(A187,Drank!A:D,4,FALSE),VLOOKUP(A187,Wine1!A:D,4,FALSE))</f>
        <v>Sfursat di Valtellina Fruttaio Ca' Rizzieri</v>
      </c>
      <c r="E187" s="8" t="str">
        <f>IF(G187&gt;0,VLOOKUP(A187,Wine1!A:AF,5,FALSE),VLOOKUP(A187,Drank!A:AA,5,FALSE))</f>
        <v>Nebbiolo</v>
      </c>
      <c r="F187" s="8">
        <f>IF(G187&gt;0,VLOOKUP(A187,Wine1!A:AF,32,FALSE),VLOOKUP(Agibility!A187,Drank!A:AA,27,FALSE))</f>
        <v>3</v>
      </c>
      <c r="G187" s="8">
        <f>COUNTIF(Wine1!A:A,Agibility!A187)</f>
        <v>0</v>
      </c>
      <c r="H187" s="37">
        <f>IFERROR(VLOOKUP(A187,Wine1!A:Y,25,FALSE),0)</f>
        <v>0</v>
      </c>
      <c r="I187" s="37">
        <f>COUNTIF(Drank!A:A,Agibility!A187)</f>
        <v>1</v>
      </c>
      <c r="J187" s="37">
        <f>IFERROR(AVERAGEIF(Drank!A:A,Agibility!A187,Drank!P:P),0)</f>
        <v>0</v>
      </c>
      <c r="K187" s="37">
        <f t="shared" si="5"/>
        <v>0</v>
      </c>
      <c r="L187" s="37" t="str">
        <f t="shared" si="6"/>
        <v xml:space="preserve"> </v>
      </c>
    </row>
    <row r="188" spans="1:12" x14ac:dyDescent="0.25">
      <c r="A188" s="37" t="s">
        <v>871</v>
      </c>
      <c r="B188" s="37">
        <f>IF(G188&lt;=0,VLOOKUP(A188,Drank!A:D,2,FALSE),VLOOKUP(A188,Wine1!A:D,2,FALSE))</f>
        <v>1977</v>
      </c>
      <c r="C188" s="37" t="str">
        <f>IF(G188&lt;=0,VLOOKUP(A188,Drank!A:D,3,FALSE),VLOOKUP(A188,Wine1!A:D,3,FALSE))</f>
        <v>Miguels</v>
      </c>
      <c r="D188" s="37" t="str">
        <f>IF(G188&lt;=0,VLOOKUP(A188,Drank!A:D,4,FALSE),VLOOKUP(A188,Wine1!A:D,4,FALSE))</f>
        <v>Colheita Porto</v>
      </c>
      <c r="E188" s="8" t="str">
        <f>IF(G188&gt;0,VLOOKUP(A188,Wine1!A:AF,5,FALSE),VLOOKUP(A188,Drank!A:AA,5,FALSE))</f>
        <v>Port</v>
      </c>
      <c r="F188" s="8">
        <f>IF(G188&gt;0,VLOOKUP(A188,Wine1!A:AF,32,FALSE),VLOOKUP(Agibility!A188,Drank!A:AA,27,FALSE))</f>
        <v>4</v>
      </c>
      <c r="G188" s="8">
        <f>COUNTIF(Wine1!A:A,Agibility!A188)</f>
        <v>0</v>
      </c>
      <c r="H188" s="37">
        <f>IFERROR(VLOOKUP(A188,Wine1!A:Y,25,FALSE),0)</f>
        <v>0</v>
      </c>
      <c r="I188" s="37">
        <f>COUNTIF(Drank!A:A,Agibility!A188)</f>
        <v>2</v>
      </c>
      <c r="J188" s="37">
        <f>IFERROR(AVERAGEIF(Drank!A:A,Agibility!A188,Drank!P:P),0)</f>
        <v>0</v>
      </c>
      <c r="K188" s="37">
        <f t="shared" si="5"/>
        <v>0</v>
      </c>
      <c r="L188" s="37" t="str">
        <f t="shared" si="6"/>
        <v xml:space="preserve"> </v>
      </c>
    </row>
    <row r="189" spans="1:12" x14ac:dyDescent="0.25">
      <c r="A189" s="37" t="s">
        <v>872</v>
      </c>
      <c r="B189" s="37">
        <f>IF(G189&lt;=0,VLOOKUP(A189,Drank!A:D,2,FALSE),VLOOKUP(A189,Wine1!A:D,2,FALSE))</f>
        <v>2015</v>
      </c>
      <c r="C189" s="37" t="str">
        <f>IF(G189&lt;=0,VLOOKUP(A189,Drank!A:D,3,FALSE),VLOOKUP(A189,Wine1!A:D,3,FALSE))</f>
        <v>Gabarda</v>
      </c>
      <c r="D189" s="37" t="str">
        <f>IF(G189&lt;=0,VLOOKUP(A189,Drank!A:D,4,FALSE),VLOOKUP(A189,Wine1!A:D,4,FALSE))</f>
        <v>SelecciÃ³n</v>
      </c>
      <c r="E189" s="8" t="str">
        <f>IF(G189&gt;0,VLOOKUP(A189,Wine1!A:AF,5,FALSE),VLOOKUP(A189,Drank!A:AA,5,FALSE))</f>
        <v>Carinena, Grenache</v>
      </c>
      <c r="F189" s="8">
        <f>IF(G189&gt;0,VLOOKUP(A189,Wine1!A:AF,32,FALSE),VLOOKUP(Agibility!A189,Drank!A:AA,27,FALSE))</f>
        <v>2</v>
      </c>
      <c r="G189" s="8">
        <f>COUNTIF(Wine1!A:A,Agibility!A189)</f>
        <v>0</v>
      </c>
      <c r="H189" s="37">
        <f>IFERROR(VLOOKUP(A189,Wine1!A:Y,25,FALSE),0)</f>
        <v>0</v>
      </c>
      <c r="I189" s="37">
        <f>COUNTIF(Drank!A:A,Agibility!A189)</f>
        <v>1</v>
      </c>
      <c r="J189" s="37">
        <f>IFERROR(AVERAGEIF(Drank!A:A,Agibility!A189,Drank!P:P),0)</f>
        <v>2021</v>
      </c>
      <c r="K189" s="37">
        <f t="shared" si="5"/>
        <v>2021</v>
      </c>
      <c r="L189" s="37">
        <f t="shared" si="6"/>
        <v>6</v>
      </c>
    </row>
    <row r="190" spans="1:12" x14ac:dyDescent="0.25">
      <c r="A190" s="37" t="s">
        <v>873</v>
      </c>
      <c r="B190" s="37">
        <f>IF(G190&lt;=0,VLOOKUP(A190,Drank!A:D,2,FALSE),VLOOKUP(A190,Wine1!A:D,2,FALSE))</f>
        <v>2012</v>
      </c>
      <c r="C190" s="37" t="str">
        <f>IF(G190&lt;=0,VLOOKUP(A190,Drank!A:D,3,FALSE),VLOOKUP(A190,Wine1!A:D,3,FALSE))</f>
        <v>Bowler Wine</v>
      </c>
      <c r="D190" s="37" t="str">
        <f>IF(G190&lt;=0,VLOOKUP(A190,Drank!A:D,4,FALSE),VLOOKUP(A190,Wine1!A:D,4,FALSE))</f>
        <v>Johnson Family</v>
      </c>
      <c r="E190" s="8" t="str">
        <f>IF(G190&gt;0,VLOOKUP(A190,Wine1!A:AF,5,FALSE),VLOOKUP(A190,Drank!A:AA,5,FALSE))</f>
        <v>Merlot</v>
      </c>
      <c r="F190" s="8">
        <f>IF(G190&gt;0,VLOOKUP(A190,Wine1!A:AF,32,FALSE),VLOOKUP(Agibility!A190,Drank!A:AA,27,FALSE))</f>
        <v>2</v>
      </c>
      <c r="G190" s="8">
        <f>COUNTIF(Wine1!A:A,Agibility!A190)</f>
        <v>0</v>
      </c>
      <c r="H190" s="37">
        <f>IFERROR(VLOOKUP(A190,Wine1!A:Y,25,FALSE),0)</f>
        <v>0</v>
      </c>
      <c r="I190" s="37">
        <f>COUNTIF(Drank!A:A,Agibility!A190)</f>
        <v>1</v>
      </c>
      <c r="J190" s="37">
        <f>IFERROR(AVERAGEIF(Drank!A:A,Agibility!A190,Drank!P:P),0)</f>
        <v>2020</v>
      </c>
      <c r="K190" s="37">
        <f t="shared" si="5"/>
        <v>2020</v>
      </c>
      <c r="L190" s="37">
        <f t="shared" si="6"/>
        <v>8</v>
      </c>
    </row>
    <row r="191" spans="1:12" x14ac:dyDescent="0.25">
      <c r="A191" s="37" t="s">
        <v>874</v>
      </c>
      <c r="B191" s="37">
        <f>IF(G191&lt;=0,VLOOKUP(A191,Drank!A:D,2,FALSE),VLOOKUP(A191,Wine1!A:D,2,FALSE))</f>
        <v>2016</v>
      </c>
      <c r="C191" s="37" t="str">
        <f>IF(G191&lt;=0,VLOOKUP(A191,Drank!A:D,3,FALSE),VLOOKUP(A191,Wine1!A:D,3,FALSE))</f>
        <v>Prisoner Wine Co</v>
      </c>
      <c r="D191" s="37" t="str">
        <f>IF(G191&lt;=0,VLOOKUP(A191,Drank!A:D,4,FALSE),VLOOKUP(A191,Wine1!A:D,4,FALSE))</f>
        <v>Proprietary Red The Prisoner</v>
      </c>
      <c r="E191" s="8" t="str">
        <f>IF(G191&gt;0,VLOOKUP(A191,Wine1!A:AF,5,FALSE),VLOOKUP(A191,Drank!A:AA,5,FALSE))</f>
        <v>Zinfandel Blend</v>
      </c>
      <c r="F191" s="8">
        <f>IF(G191&gt;0,VLOOKUP(A191,Wine1!A:AF,32,FALSE),VLOOKUP(Agibility!A191,Drank!A:AA,27,FALSE))</f>
        <v>3</v>
      </c>
      <c r="G191" s="8">
        <f>COUNTIF(Wine1!A:A,Agibility!A191)</f>
        <v>0</v>
      </c>
      <c r="H191" s="37">
        <f>IFERROR(VLOOKUP(A191,Wine1!A:Y,25,FALSE),0)</f>
        <v>0</v>
      </c>
      <c r="I191" s="37">
        <f>COUNTIF(Drank!A:A,Agibility!A191)</f>
        <v>1</v>
      </c>
      <c r="J191" s="37">
        <f>IFERROR(AVERAGEIF(Drank!A:A,Agibility!A191,Drank!P:P),0)</f>
        <v>2022</v>
      </c>
      <c r="K191" s="37">
        <f t="shared" si="5"/>
        <v>2022</v>
      </c>
      <c r="L191" s="37">
        <f t="shared" si="6"/>
        <v>6</v>
      </c>
    </row>
    <row r="192" spans="1:12" x14ac:dyDescent="0.25">
      <c r="A192" s="37" t="s">
        <v>875</v>
      </c>
      <c r="B192" s="37">
        <f>IF(G192&lt;=0,VLOOKUP(A192,Drank!A:D,2,FALSE),VLOOKUP(A192,Wine1!A:D,2,FALSE))</f>
        <v>2010</v>
      </c>
      <c r="C192" s="37" t="str">
        <f>IF(G192&lt;=0,VLOOKUP(A192,Drank!A:D,3,FALSE),VLOOKUP(A192,Wine1!A:D,3,FALSE))</f>
        <v>Francis Ford Coppola Winery</v>
      </c>
      <c r="D192" s="37" t="str">
        <f>IF(G192&lt;=0,VLOOKUP(A192,Drank!A:D,4,FALSE),VLOOKUP(A192,Wine1!A:D,4,FALSE))</f>
        <v>Proprietary Red Eleanor</v>
      </c>
      <c r="E192" s="8" t="str">
        <f>IF(G192&gt;0,VLOOKUP(A192,Wine1!A:AF,5,FALSE),VLOOKUP(A192,Drank!A:AA,5,FALSE))</f>
        <v>Syrah Blend</v>
      </c>
      <c r="F192" s="8">
        <f>IF(G192&gt;0,VLOOKUP(A192,Wine1!A:AF,32,FALSE),VLOOKUP(Agibility!A192,Drank!A:AA,27,FALSE))</f>
        <v>3</v>
      </c>
      <c r="G192" s="8">
        <f>COUNTIF(Wine1!A:A,Agibility!A192)</f>
        <v>0</v>
      </c>
      <c r="H192" s="37">
        <f>IFERROR(VLOOKUP(A192,Wine1!A:Y,25,FALSE),0)</f>
        <v>0</v>
      </c>
      <c r="I192" s="37">
        <f>COUNTIF(Drank!A:A,Agibility!A192)</f>
        <v>1</v>
      </c>
      <c r="J192" s="37">
        <f>IFERROR(AVERAGEIF(Drank!A:A,Agibility!A192,Drank!P:P),0)</f>
        <v>2021</v>
      </c>
      <c r="K192" s="37">
        <f t="shared" si="5"/>
        <v>2021</v>
      </c>
      <c r="L192" s="37">
        <f t="shared" si="6"/>
        <v>11</v>
      </c>
    </row>
    <row r="193" spans="1:12" x14ac:dyDescent="0.25">
      <c r="A193" s="37" t="s">
        <v>876</v>
      </c>
      <c r="B193" s="37">
        <f>IF(G193&lt;=0,VLOOKUP(A193,Drank!A:D,2,FALSE),VLOOKUP(A193,Wine1!A:D,2,FALSE))</f>
        <v>2009</v>
      </c>
      <c r="C193" s="37" t="str">
        <f>IF(G193&lt;=0,VLOOKUP(A193,Drank!A:D,3,FALSE),VLOOKUP(A193,Wine1!A:D,3,FALSE))</f>
        <v>Nicolis</v>
      </c>
      <c r="D193" s="37" t="str">
        <f>IF(G193&lt;=0,VLOOKUP(A193,Drank!A:D,4,FALSE),VLOOKUP(A193,Wine1!A:D,4,FALSE))</f>
        <v>Amarone della Valpolicella Classico</v>
      </c>
      <c r="E193" s="8" t="str">
        <f>IF(G193&gt;0,VLOOKUP(A193,Wine1!A:AF,5,FALSE),VLOOKUP(A193,Drank!A:AA,5,FALSE))</f>
        <v>Amarone Classico</v>
      </c>
      <c r="F193" s="8">
        <f>IF(G193&gt;0,VLOOKUP(A193,Wine1!A:AF,32,FALSE),VLOOKUP(Agibility!A193,Drank!A:AA,27,FALSE))</f>
        <v>3</v>
      </c>
      <c r="G193" s="8">
        <f>COUNTIF(Wine1!A:A,Agibility!A193)</f>
        <v>0</v>
      </c>
      <c r="H193" s="37">
        <f>IFERROR(VLOOKUP(A193,Wine1!A:Y,25,FALSE),0)</f>
        <v>0</v>
      </c>
      <c r="I193" s="37">
        <f>COUNTIF(Drank!A:A,Agibility!A193)</f>
        <v>2</v>
      </c>
      <c r="J193" s="37">
        <f>IFERROR(AVERAGEIF(Drank!A:A,Agibility!A193,Drank!P:P),0)</f>
        <v>2020.5</v>
      </c>
      <c r="K193" s="37">
        <f t="shared" si="5"/>
        <v>2020.5</v>
      </c>
      <c r="L193" s="37">
        <f t="shared" si="6"/>
        <v>11.5</v>
      </c>
    </row>
    <row r="194" spans="1:12" x14ac:dyDescent="0.25">
      <c r="A194" s="37" t="s">
        <v>877</v>
      </c>
      <c r="B194" s="37">
        <f>IF(G194&lt;=0,VLOOKUP(A194,Drank!A:D,2,FALSE),VLOOKUP(A194,Wine1!A:D,2,FALSE))</f>
        <v>2008</v>
      </c>
      <c r="C194" s="37" t="str">
        <f>IF(G194&lt;=0,VLOOKUP(A194,Drank!A:D,3,FALSE),VLOOKUP(A194,Wine1!A:D,3,FALSE))</f>
        <v>La Mannella</v>
      </c>
      <c r="D194" s="37" t="str">
        <f>IF(G194&lt;=0,VLOOKUP(A194,Drank!A:D,4,FALSE),VLOOKUP(A194,Wine1!A:D,4,FALSE))</f>
        <v>Brunello di Montalcino</v>
      </c>
      <c r="E194" s="8" t="str">
        <f>IF(G194&gt;0,VLOOKUP(A194,Wine1!A:AF,5,FALSE),VLOOKUP(A194,Drank!A:AA,5,FALSE))</f>
        <v>Brunello</v>
      </c>
      <c r="F194" s="8">
        <f>IF(G194&gt;0,VLOOKUP(A194,Wine1!A:AF,32,FALSE),VLOOKUP(Agibility!A194,Drank!A:AA,27,FALSE))</f>
        <v>4</v>
      </c>
      <c r="G194" s="8">
        <f>COUNTIF(Wine1!A:A,Agibility!A194)</f>
        <v>0</v>
      </c>
      <c r="H194" s="37">
        <f>IFERROR(VLOOKUP(A194,Wine1!A:Y,25,FALSE),0)</f>
        <v>0</v>
      </c>
      <c r="I194" s="37">
        <f>COUNTIF(Drank!A:A,Agibility!A194)</f>
        <v>1</v>
      </c>
      <c r="J194" s="37">
        <f>IFERROR(AVERAGEIF(Drank!A:A,Agibility!A194,Drank!P:P),0)</f>
        <v>2021</v>
      </c>
      <c r="K194" s="37">
        <f t="shared" si="5"/>
        <v>2021</v>
      </c>
      <c r="L194" s="37">
        <f t="shared" si="6"/>
        <v>13</v>
      </c>
    </row>
    <row r="195" spans="1:12" x14ac:dyDescent="0.25">
      <c r="A195" s="37" t="s">
        <v>878</v>
      </c>
      <c r="B195" s="37">
        <f>IF(G195&lt;=0,VLOOKUP(A195,Drank!A:D,2,FALSE),VLOOKUP(A195,Wine1!A:D,2,FALSE))</f>
        <v>2016</v>
      </c>
      <c r="C195" s="37" t="str">
        <f>IF(G195&lt;=0,VLOOKUP(A195,Drank!A:D,3,FALSE),VLOOKUP(A195,Wine1!A:D,3,FALSE))</f>
        <v>Rombauer</v>
      </c>
      <c r="D195" s="37" t="str">
        <f>IF(G195&lt;=0,VLOOKUP(A195,Drank!A:D,4,FALSE),VLOOKUP(A195,Wine1!A:D,4,FALSE))</f>
        <v>Zinfandel</v>
      </c>
      <c r="E195" s="8" t="str">
        <f>IF(G195&gt;0,VLOOKUP(A195,Wine1!A:AF,5,FALSE),VLOOKUP(A195,Drank!A:AA,5,FALSE))</f>
        <v>Zinfandel</v>
      </c>
      <c r="F195" s="8">
        <f>IF(G195&gt;0,VLOOKUP(A195,Wine1!A:AF,32,FALSE),VLOOKUP(Agibility!A195,Drank!A:AA,27,FALSE))</f>
        <v>3</v>
      </c>
      <c r="G195" s="8">
        <f>COUNTIF(Wine1!A:A,Agibility!A195)</f>
        <v>0</v>
      </c>
      <c r="H195" s="37">
        <f>IFERROR(VLOOKUP(A195,Wine1!A:Y,25,FALSE),0)</f>
        <v>0</v>
      </c>
      <c r="I195" s="37">
        <f>COUNTIF(Drank!A:A,Agibility!A195)</f>
        <v>1</v>
      </c>
      <c r="J195" s="37">
        <f>IFERROR(AVERAGEIF(Drank!A:A,Agibility!A195,Drank!P:P),0)</f>
        <v>2027</v>
      </c>
      <c r="K195" s="37">
        <f t="shared" si="5"/>
        <v>2027</v>
      </c>
      <c r="L195" s="37">
        <f t="shared" si="6"/>
        <v>11</v>
      </c>
    </row>
    <row r="196" spans="1:12" x14ac:dyDescent="0.25">
      <c r="A196" s="37" t="s">
        <v>879</v>
      </c>
      <c r="B196" s="37">
        <f>IF(G196&lt;=0,VLOOKUP(A196,Drank!A:D,2,FALSE),VLOOKUP(A196,Wine1!A:D,2,FALSE))</f>
        <v>2017</v>
      </c>
      <c r="C196" s="37" t="str">
        <f>IF(G196&lt;=0,VLOOKUP(A196,Drank!A:D,3,FALSE),VLOOKUP(A196,Wine1!A:D,3,FALSE))</f>
        <v>D'Arenberg</v>
      </c>
      <c r="D196" s="37" t="str">
        <f>IF(G196&lt;=0,VLOOKUP(A196,Drank!A:D,4,FALSE),VLOOKUP(A196,Wine1!A:D,4,FALSE))</f>
        <v>The Hermit Crab Viognier / Marsanne</v>
      </c>
      <c r="E196" s="8" t="str">
        <f>IF(G196&gt;0,VLOOKUP(A196,Wine1!A:AF,5,FALSE),VLOOKUP(A196,Drank!A:AA,5,FALSE))</f>
        <v>Viognier Blend</v>
      </c>
      <c r="F196" s="8">
        <f>IF(G196&gt;0,VLOOKUP(A196,Wine1!A:AF,32,FALSE),VLOOKUP(Agibility!A196,Drank!A:AA,27,FALSE))</f>
        <v>1</v>
      </c>
      <c r="G196" s="8">
        <f>COUNTIF(Wine1!A:A,Agibility!A196)</f>
        <v>0</v>
      </c>
      <c r="H196" s="37">
        <f>IFERROR(VLOOKUP(A196,Wine1!A:Y,25,FALSE),0)</f>
        <v>0</v>
      </c>
      <c r="I196" s="37">
        <f>COUNTIF(Drank!A:A,Agibility!A196)</f>
        <v>1</v>
      </c>
      <c r="J196" s="37">
        <f>IFERROR(AVERAGEIF(Drank!A:A,Agibility!A196,Drank!P:P),0)</f>
        <v>0</v>
      </c>
      <c r="K196" s="37">
        <f t="shared" si="5"/>
        <v>0</v>
      </c>
      <c r="L196" s="37" t="str">
        <f t="shared" si="6"/>
        <v xml:space="preserve"> </v>
      </c>
    </row>
    <row r="197" spans="1:12" x14ac:dyDescent="0.25">
      <c r="A197" s="37" t="s">
        <v>880</v>
      </c>
      <c r="B197" s="37">
        <f>IF(G197&lt;=0,VLOOKUP(A197,Drank!A:D,2,FALSE),VLOOKUP(A197,Wine1!A:D,2,FALSE))</f>
        <v>2015</v>
      </c>
      <c r="C197" s="37" t="str">
        <f>IF(G197&lt;=0,VLOOKUP(A197,Drank!A:D,3,FALSE),VLOOKUP(A197,Wine1!A:D,3,FALSE))</f>
        <v>Castello di Gabbiano</v>
      </c>
      <c r="D197" s="37" t="str">
        <f>IF(G197&lt;=0,VLOOKUP(A197,Drank!A:D,4,FALSE),VLOOKUP(A197,Wine1!A:D,4,FALSE))</f>
        <v>Chianti Classico Riserva</v>
      </c>
      <c r="E197" s="8" t="str">
        <f>IF(G197&gt;0,VLOOKUP(A197,Wine1!A:AF,5,FALSE),VLOOKUP(A197,Drank!A:AA,5,FALSE))</f>
        <v>Chianti Classico Riserva</v>
      </c>
      <c r="F197" s="8">
        <f>IF(G197&gt;0,VLOOKUP(A197,Wine1!A:AF,32,FALSE),VLOOKUP(Agibility!A197,Drank!A:AA,27,FALSE))</f>
        <v>1</v>
      </c>
      <c r="G197" s="8">
        <f>COUNTIF(Wine1!A:A,Agibility!A197)</f>
        <v>0</v>
      </c>
      <c r="H197" s="37">
        <f>IFERROR(VLOOKUP(A197,Wine1!A:Y,25,FALSE),0)</f>
        <v>0</v>
      </c>
      <c r="I197" s="37">
        <f>COUNTIF(Drank!A:A,Agibility!A197)</f>
        <v>1</v>
      </c>
      <c r="J197" s="37">
        <f>IFERROR(AVERAGEIF(Drank!A:A,Agibility!A197,Drank!P:P),0)</f>
        <v>2024</v>
      </c>
      <c r="K197" s="37">
        <f t="shared" si="5"/>
        <v>2024</v>
      </c>
      <c r="L197" s="37">
        <f t="shared" si="6"/>
        <v>9</v>
      </c>
    </row>
    <row r="198" spans="1:12" x14ac:dyDescent="0.25">
      <c r="A198" s="37" t="s">
        <v>881</v>
      </c>
      <c r="B198" s="37">
        <f>IF(G198&lt;=0,VLOOKUP(A198,Drank!A:D,2,FALSE),VLOOKUP(A198,Wine1!A:D,2,FALSE))</f>
        <v>2015</v>
      </c>
      <c r="C198" s="37" t="str">
        <f>IF(G198&lt;=0,VLOOKUP(A198,Drank!A:D,3,FALSE),VLOOKUP(A198,Wine1!A:D,3,FALSE))</f>
        <v>Brancaia</v>
      </c>
      <c r="D198" s="37" t="str">
        <f>IF(G198&lt;=0,VLOOKUP(A198,Drank!A:D,4,FALSE),VLOOKUP(A198,Wine1!A:D,4,FALSE))</f>
        <v>Tre</v>
      </c>
      <c r="E198" s="8" t="str">
        <f>IF(G198&gt;0,VLOOKUP(A198,Wine1!A:AF,5,FALSE),VLOOKUP(A198,Drank!A:AA,5,FALSE))</f>
        <v>80% Sangiovese, 10% Merlot, 10% Cabernet Sauvignon</v>
      </c>
      <c r="F198" s="8">
        <f>IF(G198&gt;0,VLOOKUP(A198,Wine1!A:AF,32,FALSE),VLOOKUP(Agibility!A198,Drank!A:AA,27,FALSE))</f>
        <v>2</v>
      </c>
      <c r="G198" s="8">
        <f>COUNTIF(Wine1!A:A,Agibility!A198)</f>
        <v>0</v>
      </c>
      <c r="H198" s="37">
        <f>IFERROR(VLOOKUP(A198,Wine1!A:Y,25,FALSE),0)</f>
        <v>0</v>
      </c>
      <c r="I198" s="37">
        <f>COUNTIF(Drank!A:A,Agibility!A198)</f>
        <v>1</v>
      </c>
      <c r="J198" s="37">
        <f>IFERROR(AVERAGEIF(Drank!A:A,Agibility!A198,Drank!P:P),0)</f>
        <v>0</v>
      </c>
      <c r="K198" s="37">
        <f t="shared" ref="K198:K221" si="7">IF(J198&gt;0,J198,H198)</f>
        <v>0</v>
      </c>
      <c r="L198" s="37" t="str">
        <f t="shared" ref="L198:L241" si="8">IF(K198&gt;0,K198-B198," ")</f>
        <v xml:space="preserve"> </v>
      </c>
    </row>
    <row r="199" spans="1:12" x14ac:dyDescent="0.25">
      <c r="A199" s="37" t="s">
        <v>882</v>
      </c>
      <c r="B199" s="37">
        <f>IF(G199&lt;=0,VLOOKUP(A199,Drank!A:D,2,FALSE),VLOOKUP(A199,Wine1!A:D,2,FALSE))</f>
        <v>2015</v>
      </c>
      <c r="C199" s="37" t="str">
        <f>IF(G199&lt;=0,VLOOKUP(A199,Drank!A:D,3,FALSE),VLOOKUP(A199,Wine1!A:D,3,FALSE))</f>
        <v>Cantine do Ora</v>
      </c>
      <c r="D199" s="37" t="str">
        <f>IF(G199&lt;=0,VLOOKUP(A199,Drank!A:D,4,FALSE),VLOOKUP(A199,Wine1!A:D,4,FALSE))</f>
        <v>Amicone</v>
      </c>
      <c r="E199" s="8" t="str">
        <f>IF(G199&gt;0,VLOOKUP(A199,Wine1!A:AF,5,FALSE),VLOOKUP(A199,Drank!A:AA,5,FALSE))</f>
        <v>Corvina Blend</v>
      </c>
      <c r="F199" s="8">
        <f>IF(G199&gt;0,VLOOKUP(A199,Wine1!A:AF,32,FALSE),VLOOKUP(Agibility!A199,Drank!A:AA,27,FALSE))</f>
        <v>1</v>
      </c>
      <c r="G199" s="8">
        <f>COUNTIF(Wine1!A:A,Agibility!A199)</f>
        <v>0</v>
      </c>
      <c r="H199" s="37">
        <f>IFERROR(VLOOKUP(A199,Wine1!A:Y,25,FALSE),0)</f>
        <v>0</v>
      </c>
      <c r="I199" s="37">
        <f>COUNTIF(Drank!A:A,Agibility!A199)</f>
        <v>4</v>
      </c>
      <c r="J199" s="37">
        <f>IFERROR(AVERAGEIF(Drank!A:A,Agibility!A199,Drank!P:P),0)</f>
        <v>2020.25</v>
      </c>
      <c r="K199" s="37">
        <f t="shared" si="7"/>
        <v>2020.25</v>
      </c>
      <c r="L199" s="37">
        <f t="shared" si="8"/>
        <v>5.25</v>
      </c>
    </row>
    <row r="200" spans="1:12" x14ac:dyDescent="0.25">
      <c r="A200" s="37" t="s">
        <v>883</v>
      </c>
      <c r="B200" s="37">
        <f>IF(G200&lt;=0,VLOOKUP(A200,Drank!A:D,2,FALSE),VLOOKUP(A200,Wine1!A:D,2,FALSE))</f>
        <v>2009</v>
      </c>
      <c r="C200" s="37" t="str">
        <f>IF(G200&lt;=0,VLOOKUP(A200,Drank!A:D,3,FALSE),VLOOKUP(A200,Wine1!A:D,3,FALSE))</f>
        <v>Sartori</v>
      </c>
      <c r="D200" s="37" t="str">
        <f>IF(G200&lt;=0,VLOOKUP(A200,Drank!A:D,4,FALSE),VLOOKUP(A200,Wine1!A:D,4,FALSE))</f>
        <v>Amarone della Valpolicella</v>
      </c>
      <c r="E200" s="8" t="str">
        <f>IF(G200&gt;0,VLOOKUP(A200,Wine1!A:AF,5,FALSE),VLOOKUP(A200,Drank!A:AA,5,FALSE))</f>
        <v>Amarone</v>
      </c>
      <c r="F200" s="8">
        <f>IF(G200&gt;0,VLOOKUP(A200,Wine1!A:AF,32,FALSE),VLOOKUP(Agibility!A200,Drank!A:AA,27,FALSE))</f>
        <v>3</v>
      </c>
      <c r="G200" s="8">
        <f>COUNTIF(Wine1!A:A,Agibility!A200)</f>
        <v>0</v>
      </c>
      <c r="H200" s="37">
        <f>IFERROR(VLOOKUP(A200,Wine1!A:Y,25,FALSE),0)</f>
        <v>0</v>
      </c>
      <c r="I200" s="37">
        <f>COUNTIF(Drank!A:A,Agibility!A200)</f>
        <v>1</v>
      </c>
      <c r="J200" s="37">
        <f>IFERROR(AVERAGEIF(Drank!A:A,Agibility!A200,Drank!P:P),0)</f>
        <v>2025</v>
      </c>
      <c r="K200" s="37">
        <f t="shared" si="7"/>
        <v>2025</v>
      </c>
      <c r="L200" s="37">
        <f t="shared" si="8"/>
        <v>16</v>
      </c>
    </row>
    <row r="201" spans="1:12" x14ac:dyDescent="0.25">
      <c r="A201" s="37" t="s">
        <v>884</v>
      </c>
      <c r="B201" s="37">
        <f>IF(G201&lt;=0,VLOOKUP(A201,Drank!A:D,2,FALSE),VLOOKUP(A201,Wine1!A:D,2,FALSE))</f>
        <v>2015</v>
      </c>
      <c r="C201" s="37" t="str">
        <f>IF(G201&lt;=0,VLOOKUP(A201,Drank!A:D,3,FALSE),VLOOKUP(A201,Wine1!A:D,3,FALSE))</f>
        <v>Prisoner Wine Co</v>
      </c>
      <c r="D201" s="37" t="str">
        <f>IF(G201&lt;=0,VLOOKUP(A201,Drank!A:D,4,FALSE),VLOOKUP(A201,Wine1!A:D,4,FALSE))</f>
        <v>Proprietary Red The Prisoner</v>
      </c>
      <c r="E201" s="8" t="str">
        <f>IF(G201&gt;0,VLOOKUP(A201,Wine1!A:AF,5,FALSE),VLOOKUP(A201,Drank!A:AA,5,FALSE))</f>
        <v>Zinfandel Blend</v>
      </c>
      <c r="F201" s="8">
        <f>IF(G201&gt;0,VLOOKUP(A201,Wine1!A:AF,32,FALSE),VLOOKUP(Agibility!A201,Drank!A:AA,27,FALSE))</f>
        <v>3</v>
      </c>
      <c r="G201" s="8">
        <f>COUNTIF(Wine1!A:A,Agibility!A201)</f>
        <v>0</v>
      </c>
      <c r="H201" s="37">
        <f>IFERROR(VLOOKUP(A201,Wine1!A:Y,25,FALSE),0)</f>
        <v>0</v>
      </c>
      <c r="I201" s="37">
        <f>COUNTIF(Drank!A:A,Agibility!A201)</f>
        <v>1</v>
      </c>
      <c r="J201" s="37">
        <f>IFERROR(AVERAGEIF(Drank!A:A,Agibility!A201,Drank!P:P),0)</f>
        <v>2023</v>
      </c>
      <c r="K201" s="37">
        <f t="shared" si="7"/>
        <v>2023</v>
      </c>
      <c r="L201" s="37">
        <f t="shared" si="8"/>
        <v>8</v>
      </c>
    </row>
    <row r="202" spans="1:12" x14ac:dyDescent="0.25">
      <c r="A202" s="37" t="s">
        <v>885</v>
      </c>
      <c r="B202" s="37">
        <f>IF(G202&lt;=0,VLOOKUP(A202,Drank!A:D,2,FALSE),VLOOKUP(A202,Wine1!A:D,2,FALSE))</f>
        <v>2015</v>
      </c>
      <c r="C202" s="37" t="str">
        <f>IF(G202&lt;=0,VLOOKUP(A202,Drank!A:D,3,FALSE),VLOOKUP(A202,Wine1!A:D,3,FALSE))</f>
        <v>Villa Medoro</v>
      </c>
      <c r="D202" s="37" t="str">
        <f>IF(G202&lt;=0,VLOOKUP(A202,Drank!A:D,4,FALSE),VLOOKUP(A202,Wine1!A:D,4,FALSE))</f>
        <v>Montepulciano d'Abruzzo Rosso del Duca</v>
      </c>
      <c r="E202" s="8" t="str">
        <f>IF(G202&gt;0,VLOOKUP(A202,Wine1!A:AF,5,FALSE),VLOOKUP(A202,Drank!A:AA,5,FALSE))</f>
        <v>Montepulciano</v>
      </c>
      <c r="F202" s="8">
        <f>IF(G202&gt;0,VLOOKUP(A202,Wine1!A:AF,32,FALSE),VLOOKUP(Agibility!A202,Drank!A:AA,27,FALSE))</f>
        <v>1</v>
      </c>
      <c r="G202" s="8">
        <f>COUNTIF(Wine1!A:A,Agibility!A202)</f>
        <v>0</v>
      </c>
      <c r="H202" s="37">
        <f>IFERROR(VLOOKUP(A202,Wine1!A:Y,25,FALSE),0)</f>
        <v>0</v>
      </c>
      <c r="I202" s="37">
        <f>COUNTIF(Drank!A:A,Agibility!A202)</f>
        <v>1</v>
      </c>
      <c r="J202" s="37">
        <f>IFERROR(AVERAGEIF(Drank!A:A,Agibility!A202,Drank!P:P),0)</f>
        <v>0</v>
      </c>
      <c r="K202" s="37">
        <f t="shared" si="7"/>
        <v>0</v>
      </c>
      <c r="L202" s="37" t="str">
        <f t="shared" si="8"/>
        <v xml:space="preserve"> </v>
      </c>
    </row>
    <row r="203" spans="1:12" x14ac:dyDescent="0.25">
      <c r="A203" s="37" t="s">
        <v>886</v>
      </c>
      <c r="B203" s="37">
        <f>IF(G203&lt;=0,VLOOKUP(A203,Drank!A:D,2,FALSE),VLOOKUP(A203,Wine1!A:D,2,FALSE))</f>
        <v>2017</v>
      </c>
      <c r="C203" s="37" t="str">
        <f>IF(G203&lt;=0,VLOOKUP(A203,Drank!A:D,3,FALSE),VLOOKUP(A203,Wine1!A:D,3,FALSE))</f>
        <v>Prisoner Wine Co</v>
      </c>
      <c r="D203" s="37" t="str">
        <f>IF(G203&lt;=0,VLOOKUP(A203,Drank!A:D,4,FALSE),VLOOKUP(A203,Wine1!A:D,4,FALSE))</f>
        <v>Proprietary Red The Prisoner</v>
      </c>
      <c r="E203" s="8" t="str">
        <f>IF(G203&gt;0,VLOOKUP(A203,Wine1!A:AF,5,FALSE),VLOOKUP(A203,Drank!A:AA,5,FALSE))</f>
        <v>Zinfandel Blend</v>
      </c>
      <c r="F203" s="8">
        <f>IF(G203&gt;0,VLOOKUP(A203,Wine1!A:AF,32,FALSE),VLOOKUP(Agibility!A203,Drank!A:AA,27,FALSE))</f>
        <v>3</v>
      </c>
      <c r="G203" s="8">
        <f>COUNTIF(Wine1!A:A,Agibility!A203)</f>
        <v>0</v>
      </c>
      <c r="H203" s="37">
        <f>IFERROR(VLOOKUP(A203,Wine1!A:Y,25,FALSE),0)</f>
        <v>0</v>
      </c>
      <c r="I203" s="37">
        <f>COUNTIF(Drank!A:A,Agibility!A203)</f>
        <v>1</v>
      </c>
      <c r="J203" s="37">
        <f>IFERROR(AVERAGEIF(Drank!A:A,Agibility!A203,Drank!P:P),0)</f>
        <v>2023</v>
      </c>
      <c r="K203" s="37">
        <f t="shared" si="7"/>
        <v>2023</v>
      </c>
      <c r="L203" s="37">
        <f t="shared" si="8"/>
        <v>6</v>
      </c>
    </row>
    <row r="204" spans="1:12" x14ac:dyDescent="0.25">
      <c r="A204" s="37" t="s">
        <v>887</v>
      </c>
      <c r="B204" s="37">
        <f>IF(G204&lt;=0,VLOOKUP(A204,Drank!A:D,2,FALSE),VLOOKUP(A204,Wine1!A:D,2,FALSE))</f>
        <v>2015</v>
      </c>
      <c r="C204" s="37" t="str">
        <f>IF(G204&lt;=0,VLOOKUP(A204,Drank!A:D,3,FALSE),VLOOKUP(A204,Wine1!A:D,3,FALSE))</f>
        <v>Rocca di Frassinello</v>
      </c>
      <c r="D204" s="37" t="str">
        <f>IF(G204&lt;=0,VLOOKUP(A204,Drank!A:D,4,FALSE),VLOOKUP(A204,Wine1!A:D,4,FALSE))</f>
        <v>Maremma Toscana Le Sughere di Frassinello</v>
      </c>
      <c r="E204" s="8" t="str">
        <f>IF(G204&gt;0,VLOOKUP(A204,Wine1!A:AF,5,FALSE),VLOOKUP(A204,Drank!A:AA,5,FALSE))</f>
        <v>Proprietary Blend</v>
      </c>
      <c r="F204" s="8">
        <f>IF(G204&gt;0,VLOOKUP(A204,Wine1!A:AF,32,FALSE),VLOOKUP(Agibility!A204,Drank!A:AA,27,FALSE))</f>
        <v>2</v>
      </c>
      <c r="G204" s="8">
        <f>COUNTIF(Wine1!A:A,Agibility!A204)</f>
        <v>0</v>
      </c>
      <c r="H204" s="37">
        <f>IFERROR(VLOOKUP(A204,Wine1!A:Y,25,FALSE),0)</f>
        <v>0</v>
      </c>
      <c r="I204" s="37">
        <f>COUNTIF(Drank!A:A,Agibility!A204)</f>
        <v>1</v>
      </c>
      <c r="J204" s="37">
        <f>IFERROR(AVERAGEIF(Drank!A:A,Agibility!A204,Drank!P:P),0)</f>
        <v>2026</v>
      </c>
      <c r="K204" s="37">
        <f t="shared" si="7"/>
        <v>2026</v>
      </c>
      <c r="L204" s="37">
        <f t="shared" si="8"/>
        <v>11</v>
      </c>
    </row>
    <row r="205" spans="1:12" x14ac:dyDescent="0.25">
      <c r="A205" s="37" t="s">
        <v>888</v>
      </c>
      <c r="B205" s="37">
        <f>IF(G205&lt;=0,VLOOKUP(A205,Drank!A:D,2,FALSE),VLOOKUP(A205,Wine1!A:D,2,FALSE))</f>
        <v>2014</v>
      </c>
      <c r="C205" s="37" t="str">
        <f>IF(G205&lt;=0,VLOOKUP(A205,Drank!A:D,3,FALSE),VLOOKUP(A205,Wine1!A:D,3,FALSE))</f>
        <v>Parras</v>
      </c>
      <c r="D205" s="37" t="str">
        <f>IF(G205&lt;=0,VLOOKUP(A205,Drank!A:D,4,FALSE),VLOOKUP(A205,Wine1!A:D,4,FALSE))</f>
        <v>Evidencia Tinto Dao</v>
      </c>
      <c r="E205" s="8" t="str">
        <f>IF(G205&gt;0,VLOOKUP(A205,Wine1!A:AF,5,FALSE),VLOOKUP(A205,Drank!A:AA,5,FALSE))</f>
        <v>Proprietary Blend</v>
      </c>
      <c r="F205" s="8">
        <f>IF(G205&gt;0,VLOOKUP(A205,Wine1!A:AF,32,FALSE),VLOOKUP(Agibility!A205,Drank!A:AA,27,FALSE))</f>
        <v>1</v>
      </c>
      <c r="G205" s="8">
        <f>COUNTIF(Wine1!A:A,Agibility!A205)</f>
        <v>0</v>
      </c>
      <c r="H205" s="37">
        <f>IFERROR(VLOOKUP(A205,Wine1!A:Y,25,FALSE),0)</f>
        <v>0</v>
      </c>
      <c r="I205" s="37">
        <f>COUNTIF(Drank!A:A,Agibility!A205)</f>
        <v>6</v>
      </c>
      <c r="J205" s="37">
        <f>IFERROR(AVERAGEIF(Drank!A:A,Agibility!A205,Drank!P:P),0)</f>
        <v>2020</v>
      </c>
      <c r="K205" s="37">
        <f t="shared" si="7"/>
        <v>2020</v>
      </c>
      <c r="L205" s="37">
        <f t="shared" si="8"/>
        <v>6</v>
      </c>
    </row>
    <row r="206" spans="1:12" x14ac:dyDescent="0.25">
      <c r="A206" s="37" t="s">
        <v>889</v>
      </c>
      <c r="B206" s="37">
        <f>IF(G206&lt;=0,VLOOKUP(A206,Drank!A:D,2,FALSE),VLOOKUP(A206,Wine1!A:D,2,FALSE))</f>
        <v>2009</v>
      </c>
      <c r="C206" s="37" t="str">
        <f>IF(G206&lt;=0,VLOOKUP(A206,Drank!A:D,3,FALSE),VLOOKUP(A206,Wine1!A:D,3,FALSE))</f>
        <v>Taylor Fladgate</v>
      </c>
      <c r="D206" s="37" t="str">
        <f>IF(G206&lt;=0,VLOOKUP(A206,Drank!A:D,4,FALSE),VLOOKUP(A206,Wine1!A:D,4,FALSE))</f>
        <v>Vintage Port</v>
      </c>
      <c r="E206" s="8" t="str">
        <f>IF(G206&gt;0,VLOOKUP(A206,Wine1!A:AF,5,FALSE),VLOOKUP(A206,Drank!A:AA,5,FALSE))</f>
        <v>Port</v>
      </c>
      <c r="F206" s="8">
        <f>IF(G206&gt;0,VLOOKUP(A206,Wine1!A:AF,32,FALSE),VLOOKUP(Agibility!A206,Drank!A:AA,27,FALSE))</f>
        <v>1</v>
      </c>
      <c r="G206" s="8">
        <f>COUNTIF(Wine1!A:A,Agibility!A206)</f>
        <v>0</v>
      </c>
      <c r="H206" s="37">
        <f>IFERROR(VLOOKUP(A206,Wine1!A:Y,25,FALSE),0)</f>
        <v>0</v>
      </c>
      <c r="I206" s="37">
        <f>COUNTIF(Drank!A:A,Agibility!A206)</f>
        <v>1</v>
      </c>
      <c r="J206" s="37">
        <f>IFERROR(AVERAGEIF(Drank!A:A,Agibility!A206,Drank!P:P),0)</f>
        <v>0</v>
      </c>
      <c r="K206" s="37">
        <f t="shared" si="7"/>
        <v>0</v>
      </c>
      <c r="L206" s="37" t="str">
        <f t="shared" si="8"/>
        <v xml:space="preserve"> </v>
      </c>
    </row>
    <row r="207" spans="1:12" x14ac:dyDescent="0.25">
      <c r="A207" s="37" t="s">
        <v>890</v>
      </c>
      <c r="B207" s="37">
        <f>IF(G207&lt;=0,VLOOKUP(A207,Drank!A:D,2,FALSE),VLOOKUP(A207,Wine1!A:D,2,FALSE))</f>
        <v>2013</v>
      </c>
      <c r="C207" s="37" t="str">
        <f>IF(G207&lt;=0,VLOOKUP(A207,Drank!A:D,3,FALSE),VLOOKUP(A207,Wine1!A:D,3,FALSE))</f>
        <v>Fanti</v>
      </c>
      <c r="D207" s="37" t="str">
        <f>IF(G207&lt;=0,VLOOKUP(A207,Drank!A:D,4,FALSE),VLOOKUP(A207,Wine1!A:D,4,FALSE))</f>
        <v>Brunello di Montalcino</v>
      </c>
      <c r="E207" s="8" t="str">
        <f>IF(G207&gt;0,VLOOKUP(A207,Wine1!A:AF,5,FALSE),VLOOKUP(A207,Drank!A:AA,5,FALSE))</f>
        <v>Brunello</v>
      </c>
      <c r="F207" s="8">
        <f>IF(G207&gt;0,VLOOKUP(A207,Wine1!A:AF,32,FALSE),VLOOKUP(Agibility!A207,Drank!A:AA,27,FALSE))</f>
        <v>1</v>
      </c>
      <c r="G207" s="8">
        <f>COUNTIF(Wine1!A:A,Agibility!A207)</f>
        <v>0</v>
      </c>
      <c r="H207" s="37">
        <f>IFERROR(VLOOKUP(A207,Wine1!A:Y,25,FALSE),0)</f>
        <v>0</v>
      </c>
      <c r="I207" s="37">
        <f>COUNTIF(Drank!A:A,Agibility!A207)</f>
        <v>1</v>
      </c>
      <c r="J207" s="37">
        <f>IFERROR(AVERAGEIF(Drank!A:A,Agibility!A207,Drank!P:P),0)</f>
        <v>0</v>
      </c>
      <c r="K207" s="37">
        <f t="shared" si="7"/>
        <v>0</v>
      </c>
      <c r="L207" s="37" t="str">
        <f t="shared" si="8"/>
        <v xml:space="preserve"> </v>
      </c>
    </row>
    <row r="208" spans="1:12" x14ac:dyDescent="0.25">
      <c r="A208" s="37" t="s">
        <v>891</v>
      </c>
      <c r="B208" s="37">
        <f>IF(G208&lt;=0,VLOOKUP(A208,Drank!A:D,2,FALSE),VLOOKUP(A208,Wine1!A:D,2,FALSE))</f>
        <v>2013</v>
      </c>
      <c r="C208" s="37" t="str">
        <f>IF(G208&lt;=0,VLOOKUP(A208,Drank!A:D,3,FALSE),VLOOKUP(A208,Wine1!A:D,3,FALSE))</f>
        <v>Campo Viejo</v>
      </c>
      <c r="D208" s="37" t="str">
        <f>IF(G208&lt;=0,VLOOKUP(A208,Drank!A:D,4,FALSE),VLOOKUP(A208,Wine1!A:D,4,FALSE))</f>
        <v>Reserva</v>
      </c>
      <c r="E208" s="8" t="str">
        <f>IF(G208&gt;0,VLOOKUP(A208,Wine1!A:AF,5,FALSE),VLOOKUP(A208,Drank!A:AA,5,FALSE))</f>
        <v>Tempranillo Blend</v>
      </c>
      <c r="F208" s="8">
        <f>IF(G208&gt;0,VLOOKUP(A208,Wine1!A:AF,32,FALSE),VLOOKUP(Agibility!A208,Drank!A:AA,27,FALSE))</f>
        <v>2</v>
      </c>
      <c r="G208" s="8">
        <f>COUNTIF(Wine1!A:A,Agibility!A208)</f>
        <v>0</v>
      </c>
      <c r="H208" s="37">
        <f>IFERROR(VLOOKUP(A208,Wine1!A:Y,25,FALSE),0)</f>
        <v>0</v>
      </c>
      <c r="I208" s="37">
        <f>COUNTIF(Drank!A:A,Agibility!A208)</f>
        <v>1</v>
      </c>
      <c r="J208" s="37">
        <f>IFERROR(AVERAGEIF(Drank!A:A,Agibility!A208,Drank!P:P),0)</f>
        <v>0</v>
      </c>
      <c r="K208" s="37">
        <f t="shared" si="7"/>
        <v>0</v>
      </c>
      <c r="L208" s="37" t="str">
        <f t="shared" si="8"/>
        <v xml:space="preserve"> </v>
      </c>
    </row>
    <row r="209" spans="1:12" x14ac:dyDescent="0.25">
      <c r="A209" s="37" t="s">
        <v>892</v>
      </c>
      <c r="B209" s="37">
        <f>IF(G209&lt;=0,VLOOKUP(A209,Drank!A:D,2,FALSE),VLOOKUP(A209,Wine1!A:D,2,FALSE))</f>
        <v>2012</v>
      </c>
      <c r="C209" s="37" t="str">
        <f>IF(G209&lt;=0,VLOOKUP(A209,Drank!A:D,3,FALSE),VLOOKUP(A209,Wine1!A:D,3,FALSE))</f>
        <v>Lamole di Lamole</v>
      </c>
      <c r="D209" s="37" t="str">
        <f>IF(G209&lt;=0,VLOOKUP(A209,Drank!A:D,4,FALSE),VLOOKUP(A209,Wine1!A:D,4,FALSE))</f>
        <v>Chianti Classico Gran Selezione Vigneto di Campolungo</v>
      </c>
      <c r="E209" s="8" t="str">
        <f>IF(G209&gt;0,VLOOKUP(A209,Wine1!A:AF,5,FALSE),VLOOKUP(A209,Drank!A:AA,5,FALSE))</f>
        <v>Chianti</v>
      </c>
      <c r="F209" s="8">
        <f>IF(G209&gt;0,VLOOKUP(A209,Wine1!A:AF,32,FALSE),VLOOKUP(Agibility!A209,Drank!A:AA,27,FALSE))</f>
        <v>2</v>
      </c>
      <c r="G209" s="8">
        <f>COUNTIF(Wine1!A:A,Agibility!A209)</f>
        <v>0</v>
      </c>
      <c r="H209" s="37">
        <f>IFERROR(VLOOKUP(A209,Wine1!A:Y,25,FALSE),0)</f>
        <v>0</v>
      </c>
      <c r="I209" s="37">
        <f>COUNTIF(Drank!A:A,Agibility!A209)</f>
        <v>1</v>
      </c>
      <c r="J209" s="37">
        <f>IFERROR(AVERAGEIF(Drank!A:A,Agibility!A209,Drank!P:P),0)</f>
        <v>2021</v>
      </c>
      <c r="K209" s="37">
        <f t="shared" si="7"/>
        <v>2021</v>
      </c>
      <c r="L209" s="37">
        <f t="shared" si="8"/>
        <v>9</v>
      </c>
    </row>
    <row r="210" spans="1:12" x14ac:dyDescent="0.25">
      <c r="A210" s="37" t="s">
        <v>893</v>
      </c>
      <c r="B210" s="37">
        <f>IF(G210&lt;=0,VLOOKUP(A210,Drank!A:D,2,FALSE),VLOOKUP(A210,Wine1!A:D,2,FALSE))</f>
        <v>2014</v>
      </c>
      <c r="C210" s="37" t="str">
        <f>IF(G210&lt;=0,VLOOKUP(A210,Drank!A:D,3,FALSE),VLOOKUP(A210,Wine1!A:D,3,FALSE))</f>
        <v>Prisoner Wine Co</v>
      </c>
      <c r="D210" s="37" t="str">
        <f>IF(G210&lt;=0,VLOOKUP(A210,Drank!A:D,4,FALSE),VLOOKUP(A210,Wine1!A:D,4,FALSE))</f>
        <v>Proprietary Red The Prisoner</v>
      </c>
      <c r="E210" s="8" t="str">
        <f>IF(G210&gt;0,VLOOKUP(A210,Wine1!A:AF,5,FALSE),VLOOKUP(A210,Drank!A:AA,5,FALSE))</f>
        <v>Zinfandel Blend</v>
      </c>
      <c r="F210" s="8">
        <f>IF(G210&gt;0,VLOOKUP(A210,Wine1!A:AF,32,FALSE),VLOOKUP(Agibility!A210,Drank!A:AA,27,FALSE))</f>
        <v>3</v>
      </c>
      <c r="G210" s="8">
        <f>COUNTIF(Wine1!A:A,Agibility!A210)</f>
        <v>0</v>
      </c>
      <c r="H210" s="37">
        <f>IFERROR(VLOOKUP(A210,Wine1!A:Y,25,FALSE),0)</f>
        <v>0</v>
      </c>
      <c r="I210" s="37">
        <f>COUNTIF(Drank!A:A,Agibility!A210)</f>
        <v>1</v>
      </c>
      <c r="J210" s="37">
        <f>IFERROR(AVERAGEIF(Drank!A:A,Agibility!A210,Drank!P:P),0)</f>
        <v>0</v>
      </c>
      <c r="K210" s="37">
        <f t="shared" si="7"/>
        <v>0</v>
      </c>
      <c r="L210" s="37" t="str">
        <f t="shared" si="8"/>
        <v xml:space="preserve"> </v>
      </c>
    </row>
    <row r="211" spans="1:12" x14ac:dyDescent="0.25">
      <c r="A211" s="37" t="s">
        <v>894</v>
      </c>
      <c r="B211" s="37">
        <f>IF(G211&lt;=0,VLOOKUP(A211,Drank!A:D,2,FALSE),VLOOKUP(A211,Wine1!A:D,2,FALSE))</f>
        <v>2016</v>
      </c>
      <c r="C211" s="37" t="str">
        <f>IF(G211&lt;=0,VLOOKUP(A211,Drank!A:D,3,FALSE),VLOOKUP(A211,Wine1!A:D,3,FALSE))</f>
        <v>Enrique Mendoza</v>
      </c>
      <c r="D211" s="37" t="str">
        <f>IF(G211&lt;=0,VLOOKUP(A211,Drank!A:D,4,FALSE),VLOOKUP(A211,Wine1!A:D,4,FALSE))</f>
        <v>La Tremenda</v>
      </c>
      <c r="E211" s="8" t="str">
        <f>IF(G211&gt;0,VLOOKUP(A211,Wine1!A:AF,5,FALSE),VLOOKUP(A211,Drank!A:AA,5,FALSE))</f>
        <v>Mourvèdre</v>
      </c>
      <c r="F211" s="8">
        <f>IF(G211&gt;0,VLOOKUP(A211,Wine1!A:AF,32,FALSE),VLOOKUP(Agibility!A211,Drank!A:AA,27,FALSE))</f>
        <v>1</v>
      </c>
      <c r="G211" s="8">
        <f>COUNTIF(Wine1!A:A,Agibility!A211)</f>
        <v>0</v>
      </c>
      <c r="H211" s="37">
        <f>IFERROR(VLOOKUP(A211,Wine1!A:Y,25,FALSE),0)</f>
        <v>0</v>
      </c>
      <c r="I211" s="37">
        <f>COUNTIF(Drank!A:A,Agibility!A211)</f>
        <v>1</v>
      </c>
      <c r="J211" s="37">
        <f>IFERROR(AVERAGEIF(Drank!A:A,Agibility!A211,Drank!P:P),0)</f>
        <v>2021</v>
      </c>
      <c r="K211" s="37">
        <f t="shared" si="7"/>
        <v>2021</v>
      </c>
      <c r="L211" s="37">
        <f t="shared" si="8"/>
        <v>5</v>
      </c>
    </row>
    <row r="212" spans="1:12" x14ac:dyDescent="0.25">
      <c r="A212" s="37" t="s">
        <v>1214</v>
      </c>
      <c r="B212" s="37">
        <f>IF(G212&lt;=0,VLOOKUP(A212,Drank!A:D,2,FALSE),VLOOKUP(A212,Wine1!A:D,2,FALSE))</f>
        <v>2005</v>
      </c>
      <c r="C212" s="37" t="str">
        <f>IF(G212&lt;=0,VLOOKUP(A212,Drank!A:D,3,FALSE),VLOOKUP(A212,Wine1!A:D,3,FALSE))</f>
        <v>Chateau Guiraud</v>
      </c>
      <c r="D212" s="37" t="str">
        <f>IF(G212&lt;=0,VLOOKUP(A212,Drank!A:D,4,FALSE),VLOOKUP(A212,Wine1!A:D,4,FALSE))</f>
        <v>Guiraud</v>
      </c>
      <c r="E212" s="8" t="str">
        <f>IF(G212&gt;0,VLOOKUP(A212,Wine1!A:AF,5,FALSE),VLOOKUP(A212,Drank!A:AA,5,FALSE))</f>
        <v>Sauternes</v>
      </c>
      <c r="F212" s="8">
        <f>IF(G212&gt;0,VLOOKUP(A212,Wine1!A:AF,32,FALSE),VLOOKUP(Agibility!A212,Drank!A:AA,27,FALSE))</f>
        <v>4</v>
      </c>
      <c r="G212" s="8">
        <f>COUNTIF(Wine1!A:A,Agibility!A212)</f>
        <v>0</v>
      </c>
      <c r="H212" s="37">
        <f>IFERROR(VLOOKUP(A212,Wine1!A:Y,25,FALSE),0)</f>
        <v>0</v>
      </c>
      <c r="I212" s="37">
        <f>COUNTIF(Drank!A:A,Agibility!A212)</f>
        <v>1</v>
      </c>
      <c r="J212" s="37">
        <f>IFERROR(AVERAGEIF(Drank!A:A,Agibility!A212,Drank!P:P),0)</f>
        <v>2035</v>
      </c>
      <c r="K212" s="37">
        <f t="shared" si="7"/>
        <v>2035</v>
      </c>
      <c r="L212" s="37">
        <f t="shared" si="8"/>
        <v>30</v>
      </c>
    </row>
    <row r="213" spans="1:12" x14ac:dyDescent="0.25">
      <c r="A213" s="37" t="s">
        <v>895</v>
      </c>
      <c r="B213" s="37">
        <f>IF(G213&lt;=0,VLOOKUP(A213,Drank!A:D,2,FALSE),VLOOKUP(A213,Wine1!A:D,2,FALSE))</f>
        <v>2009</v>
      </c>
      <c r="C213" s="37" t="str">
        <f>IF(G213&lt;=0,VLOOKUP(A213,Drank!A:D,3,FALSE),VLOOKUP(A213,Wine1!A:D,3,FALSE))</f>
        <v>Luigi Righetti</v>
      </c>
      <c r="D213" s="37" t="str">
        <f>IF(G213&lt;=0,VLOOKUP(A213,Drank!A:D,4,FALSE),VLOOKUP(A213,Wine1!A:D,4,FALSE))</f>
        <v>Amarone Della Valpolicella Capitel de Roari</v>
      </c>
      <c r="E213" s="8" t="str">
        <f>IF(G213&gt;0,VLOOKUP(A213,Wine1!A:AF,5,FALSE),VLOOKUP(A213,Drank!A:AA,5,FALSE))</f>
        <v>Amarone</v>
      </c>
      <c r="F213" s="8">
        <f>IF(G213&gt;0,VLOOKUP(A213,Wine1!A:AF,32,FALSE),VLOOKUP(Agibility!A213,Drank!A:AA,27,FALSE))</f>
        <v>3</v>
      </c>
      <c r="G213" s="8">
        <f>COUNTIF(Wine1!A:A,Agibility!A213)</f>
        <v>0</v>
      </c>
      <c r="H213" s="37">
        <f>IFERROR(VLOOKUP(A213,Wine1!A:Y,25,FALSE),0)</f>
        <v>0</v>
      </c>
      <c r="I213" s="37">
        <f>COUNTIF(Drank!A:A,Agibility!A213)</f>
        <v>1</v>
      </c>
      <c r="J213" s="37">
        <f>IFERROR(AVERAGEIF(Drank!A:A,Agibility!A213,Drank!P:P),0)</f>
        <v>2025</v>
      </c>
      <c r="K213" s="37">
        <f t="shared" si="7"/>
        <v>2025</v>
      </c>
      <c r="L213" s="37">
        <f t="shared" si="8"/>
        <v>16</v>
      </c>
    </row>
    <row r="214" spans="1:12" x14ac:dyDescent="0.25">
      <c r="A214" s="37" t="s">
        <v>896</v>
      </c>
      <c r="B214" s="37">
        <f>IF(G214&lt;=0,VLOOKUP(A214,Drank!A:D,2,FALSE),VLOOKUP(A214,Wine1!A:D,2,FALSE))</f>
        <v>2013</v>
      </c>
      <c r="C214" s="37" t="str">
        <f>IF(G214&lt;=0,VLOOKUP(A214,Drank!A:D,3,FALSE),VLOOKUP(A214,Wine1!A:D,3,FALSE))</f>
        <v>Enrico Serafino</v>
      </c>
      <c r="D214" s="37" t="str">
        <f>IF(G214&lt;=0,VLOOKUP(A214,Drank!A:D,4,FALSE),VLOOKUP(A214,Wine1!A:D,4,FALSE))</f>
        <v>Barolo</v>
      </c>
      <c r="E214" s="8" t="str">
        <f>IF(G214&gt;0,VLOOKUP(A214,Wine1!A:AF,5,FALSE),VLOOKUP(A214,Drank!A:AA,5,FALSE))</f>
        <v>Barolo</v>
      </c>
      <c r="F214" s="8">
        <f>IF(G214&gt;0,VLOOKUP(A214,Wine1!A:AF,32,FALSE),VLOOKUP(Agibility!A214,Drank!A:AA,27,FALSE))</f>
        <v>3</v>
      </c>
      <c r="G214" s="8">
        <f>COUNTIF(Wine1!A:A,Agibility!A214)</f>
        <v>0</v>
      </c>
      <c r="H214" s="37">
        <f>IFERROR(VLOOKUP(A214,Wine1!A:Y,25,FALSE),0)</f>
        <v>0</v>
      </c>
      <c r="I214" s="37">
        <f>COUNTIF(Drank!A:A,Agibility!A214)</f>
        <v>1</v>
      </c>
      <c r="J214" s="37">
        <f>IFERROR(AVERAGEIF(Drank!A:A,Agibility!A214,Drank!P:P),0)</f>
        <v>2035</v>
      </c>
      <c r="K214" s="37">
        <f t="shared" si="7"/>
        <v>2035</v>
      </c>
      <c r="L214" s="37">
        <f t="shared" si="8"/>
        <v>22</v>
      </c>
    </row>
    <row r="215" spans="1:12" x14ac:dyDescent="0.25">
      <c r="A215" s="37" t="s">
        <v>897</v>
      </c>
      <c r="B215" s="37">
        <f>IF(G215&lt;=0,VLOOKUP(A215,Drank!A:D,2,FALSE),VLOOKUP(A215,Wine1!A:D,2,FALSE))</f>
        <v>2017</v>
      </c>
      <c r="C215" s="37" t="str">
        <f>IF(G215&lt;=0,VLOOKUP(A215,Drank!A:D,3,FALSE),VLOOKUP(A215,Wine1!A:D,3,FALSE))</f>
        <v>Trapiche</v>
      </c>
      <c r="D215" s="37" t="str">
        <f>IF(G215&lt;=0,VLOOKUP(A215,Drank!A:D,4,FALSE),VLOOKUP(A215,Wine1!A:D,4,FALSE))</f>
        <v>Broquel Malbec</v>
      </c>
      <c r="E215" s="8" t="str">
        <f>IF(G215&gt;0,VLOOKUP(A215,Wine1!A:AF,5,FALSE),VLOOKUP(A215,Drank!A:AA,5,FALSE))</f>
        <v>Malbec</v>
      </c>
      <c r="F215" s="8">
        <f>IF(G215&gt;0,VLOOKUP(A215,Wine1!A:AF,32,FALSE),VLOOKUP(Agibility!A215,Drank!A:AA,27,FALSE))</f>
        <v>1</v>
      </c>
      <c r="G215" s="8">
        <f>COUNTIF(Wine1!A:A,Agibility!A215)</f>
        <v>0</v>
      </c>
      <c r="H215" s="37">
        <f>IFERROR(VLOOKUP(A215,Wine1!A:Y,25,FALSE),0)</f>
        <v>0</v>
      </c>
      <c r="I215" s="37">
        <f>COUNTIF(Drank!A:A,Agibility!A215)</f>
        <v>1</v>
      </c>
      <c r="J215" s="37">
        <f>IFERROR(AVERAGEIF(Drank!A:A,Agibility!A215,Drank!P:P),0)</f>
        <v>2020</v>
      </c>
      <c r="K215" s="37">
        <f t="shared" si="7"/>
        <v>2020</v>
      </c>
      <c r="L215" s="37">
        <f t="shared" si="8"/>
        <v>3</v>
      </c>
    </row>
    <row r="216" spans="1:12" x14ac:dyDescent="0.25">
      <c r="A216" s="37" t="s">
        <v>899</v>
      </c>
      <c r="B216" s="37">
        <f>IF(G216&lt;=0,VLOOKUP(A216,Drank!A:D,2,FALSE),VLOOKUP(A216,Wine1!A:D,2,FALSE))</f>
        <v>2015</v>
      </c>
      <c r="C216" s="37" t="str">
        <f>IF(G216&lt;=0,VLOOKUP(A216,Drank!A:D,3,FALSE),VLOOKUP(A216,Wine1!A:D,3,FALSE))</f>
        <v>Newton</v>
      </c>
      <c r="D216" s="37" t="str">
        <f>IF(G216&lt;=0,VLOOKUP(A216,Drank!A:D,4,FALSE),VLOOKUP(A216,Wine1!A:D,4,FALSE))</f>
        <v>Chardonnay Unfiltered</v>
      </c>
      <c r="E216" s="8" t="str">
        <f>IF(G216&gt;0,VLOOKUP(A216,Wine1!A:AF,5,FALSE),VLOOKUP(A216,Drank!A:AA,5,FALSE))</f>
        <v>Chardonay</v>
      </c>
      <c r="F216" s="8">
        <f>IF(G216&gt;0,VLOOKUP(A216,Wine1!A:AF,32,FALSE),VLOOKUP(Agibility!A216,Drank!A:AA,27,FALSE))</f>
        <v>3</v>
      </c>
      <c r="G216" s="8">
        <f>COUNTIF(Wine1!A:A,Agibility!A216)</f>
        <v>0</v>
      </c>
      <c r="H216" s="37">
        <f>IFERROR(VLOOKUP(A216,Wine1!A:Y,25,FALSE),0)</f>
        <v>0</v>
      </c>
      <c r="I216" s="37">
        <f>COUNTIF(Drank!A:A,Agibility!A216)</f>
        <v>1</v>
      </c>
      <c r="J216" s="37">
        <f>IFERROR(AVERAGEIF(Drank!A:A,Agibility!A216,Drank!P:P),0)</f>
        <v>0</v>
      </c>
      <c r="K216" s="37">
        <f t="shared" si="7"/>
        <v>0</v>
      </c>
      <c r="L216" s="37" t="str">
        <f t="shared" si="8"/>
        <v xml:space="preserve"> </v>
      </c>
    </row>
    <row r="217" spans="1:12" x14ac:dyDescent="0.25">
      <c r="A217" s="37" t="s">
        <v>900</v>
      </c>
      <c r="B217" s="37">
        <f>IF(G217&lt;=0,VLOOKUP(A217,Drank!A:D,2,FALSE),VLOOKUP(A217,Wine1!A:D,2,FALSE))</f>
        <v>2014</v>
      </c>
      <c r="C217" s="37" t="str">
        <f>IF(G217&lt;=0,VLOOKUP(A217,Drank!A:D,3,FALSE),VLOOKUP(A217,Wine1!A:D,3,FALSE))</f>
        <v>Sostener</v>
      </c>
      <c r="D217" s="37" t="str">
        <f>IF(G217&lt;=0,VLOOKUP(A217,Drank!A:D,4,FALSE),VLOOKUP(A217,Wine1!A:D,4,FALSE))</f>
        <v>Sostener</v>
      </c>
      <c r="E217" s="8" t="str">
        <f>IF(G217&gt;0,VLOOKUP(A217,Wine1!A:AF,5,FALSE),VLOOKUP(A217,Drank!A:AA,5,FALSE))</f>
        <v>Pinot Noir</v>
      </c>
      <c r="F217" s="8">
        <f>IF(G217&gt;0,VLOOKUP(A217,Wine1!A:AF,32,FALSE),VLOOKUP(Agibility!A217,Drank!A:AA,27,FALSE))</f>
        <v>1</v>
      </c>
      <c r="G217" s="8">
        <f>COUNTIF(Wine1!A:A,Agibility!A217)</f>
        <v>0</v>
      </c>
      <c r="H217" s="37">
        <f>IFERROR(VLOOKUP(A217,Wine1!A:Y,25,FALSE),0)</f>
        <v>0</v>
      </c>
      <c r="I217" s="37">
        <f>COUNTIF(Drank!A:A,Agibility!A217)</f>
        <v>1</v>
      </c>
      <c r="J217" s="37">
        <f>IFERROR(AVERAGEIF(Drank!A:A,Agibility!A217,Drank!P:P),0)</f>
        <v>0</v>
      </c>
      <c r="K217" s="37">
        <f t="shared" si="7"/>
        <v>0</v>
      </c>
      <c r="L217" s="37" t="str">
        <f t="shared" si="8"/>
        <v xml:space="preserve"> </v>
      </c>
    </row>
    <row r="218" spans="1:12" x14ac:dyDescent="0.25">
      <c r="A218" s="37" t="s">
        <v>901</v>
      </c>
      <c r="B218" s="37">
        <f>IF(G218&lt;=0,VLOOKUP(A218,Drank!A:D,2,FALSE),VLOOKUP(A218,Wine1!A:D,2,FALSE))</f>
        <v>2017</v>
      </c>
      <c r="C218" s="37" t="str">
        <f>IF(G218&lt;=0,VLOOKUP(A218,Drank!A:D,3,FALSE),VLOOKUP(A218,Wine1!A:D,3,FALSE))</f>
        <v>M. Chapoutier</v>
      </c>
      <c r="D218" s="37" t="str">
        <f>IF(G218&lt;=0,VLOOKUP(A218,Drank!A:D,4,FALSE),VLOOKUP(A218,Wine1!A:D,4,FALSE))</f>
        <v>Cotes du Rhone Belleruche</v>
      </c>
      <c r="E218" s="8" t="str">
        <f>IF(G218&gt;0,VLOOKUP(A218,Wine1!A:AF,5,FALSE),VLOOKUP(A218,Drank!A:AA,5,FALSE))</f>
        <v>Proprietary Blend</v>
      </c>
      <c r="F218" s="8">
        <f>IF(G218&gt;0,VLOOKUP(A218,Wine1!A:AF,32,FALSE),VLOOKUP(Agibility!A218,Drank!A:AA,27,FALSE))</f>
        <v>1</v>
      </c>
      <c r="G218" s="8">
        <f>COUNTIF(Wine1!A:A,Agibility!A218)</f>
        <v>0</v>
      </c>
      <c r="H218" s="37">
        <f>IFERROR(VLOOKUP(A218,Wine1!A:Y,25,FALSE),0)</f>
        <v>0</v>
      </c>
      <c r="I218" s="37">
        <f>COUNTIF(Drank!A:A,Agibility!A218)</f>
        <v>1</v>
      </c>
      <c r="J218" s="37">
        <f>IFERROR(AVERAGEIF(Drank!A:A,Agibility!A218,Drank!P:P),0)</f>
        <v>0</v>
      </c>
      <c r="K218" s="37">
        <f t="shared" si="7"/>
        <v>0</v>
      </c>
      <c r="L218" s="37" t="str">
        <f t="shared" si="8"/>
        <v xml:space="preserve"> </v>
      </c>
    </row>
    <row r="219" spans="1:12" x14ac:dyDescent="0.25">
      <c r="A219" s="37" t="s">
        <v>898</v>
      </c>
      <c r="B219" s="37">
        <f>IF(G219&lt;=0,VLOOKUP(A219,Drank!A:D,2,FALSE),VLOOKUP(A219,Wine1!A:D,2,FALSE))</f>
        <v>2013</v>
      </c>
      <c r="C219" s="37" t="str">
        <f>IF(G219&lt;=0,VLOOKUP(A219,Drank!A:D,3,FALSE),VLOOKUP(A219,Wine1!A:D,3,FALSE))</f>
        <v>Prisoner Wine Co</v>
      </c>
      <c r="D219" s="37" t="str">
        <f>IF(G219&lt;=0,VLOOKUP(A219,Drank!A:D,4,FALSE),VLOOKUP(A219,Wine1!A:D,4,FALSE))</f>
        <v>Proprietary Red The Prisoner</v>
      </c>
      <c r="E219" s="8" t="str">
        <f>IF(G219&gt;0,VLOOKUP(A219,Wine1!A:AF,5,FALSE),VLOOKUP(A219,Drank!A:AA,5,FALSE))</f>
        <v>Zinfandel Blend</v>
      </c>
      <c r="F219" s="8">
        <f>IF(G219&gt;0,VLOOKUP(A219,Wine1!A:AF,32,FALSE),VLOOKUP(Agibility!A219,Drank!A:AA,27,FALSE))</f>
        <v>3</v>
      </c>
      <c r="G219" s="8">
        <f>COUNTIF(Wine1!A:A,Agibility!A219)</f>
        <v>0</v>
      </c>
      <c r="H219" s="37">
        <f>IFERROR(VLOOKUP(A219,Wine1!A:Y,25,FALSE),0)</f>
        <v>0</v>
      </c>
      <c r="I219" s="37">
        <f>COUNTIF(Drank!A:A,Agibility!A219)</f>
        <v>1</v>
      </c>
      <c r="J219" s="37">
        <f>IFERROR(AVERAGEIF(Drank!A:A,Agibility!A219,Drank!P:P),0)</f>
        <v>2021</v>
      </c>
      <c r="K219" s="37">
        <f t="shared" si="7"/>
        <v>2021</v>
      </c>
      <c r="L219" s="37">
        <f t="shared" si="8"/>
        <v>8</v>
      </c>
    </row>
    <row r="220" spans="1:12" x14ac:dyDescent="0.25">
      <c r="A220" s="37" t="s">
        <v>902</v>
      </c>
      <c r="B220" s="37">
        <f>IF(G220&lt;=0,VLOOKUP(A220,Drank!A:D,2,FALSE),VLOOKUP(A220,Wine1!A:D,2,FALSE))</f>
        <v>2009</v>
      </c>
      <c r="C220" s="37" t="str">
        <f>IF(G220&lt;=0,VLOOKUP(A220,Drank!A:D,3,FALSE),VLOOKUP(A220,Wine1!A:D,3,FALSE))</f>
        <v>El Bombero</v>
      </c>
      <c r="D220" s="37" t="str">
        <f>IF(G220&lt;=0,VLOOKUP(A220,Drank!A:D,4,FALSE),VLOOKUP(A220,Wine1!A:D,4,FALSE))</f>
        <v>Gran Reserva</v>
      </c>
      <c r="E220" s="8" t="str">
        <f>IF(G220&gt;0,VLOOKUP(A220,Wine1!A:AF,5,FALSE),VLOOKUP(A220,Drank!A:AA,5,FALSE))</f>
        <v>Grenache</v>
      </c>
      <c r="F220" s="8">
        <f>IF(G220&gt;0,VLOOKUP(A220,Wine1!A:AF,32,FALSE),VLOOKUP(Agibility!A220,Drank!A:AA,27,FALSE))</f>
        <v>2</v>
      </c>
      <c r="G220" s="8">
        <f>COUNTIF(Wine1!A:A,Agibility!A220)</f>
        <v>0</v>
      </c>
      <c r="H220" s="37">
        <f>IFERROR(VLOOKUP(A220,Wine1!A:Y,25,FALSE),0)</f>
        <v>0</v>
      </c>
      <c r="I220" s="37">
        <f>COUNTIF(Drank!A:A,Agibility!A220)</f>
        <v>1</v>
      </c>
      <c r="J220" s="37">
        <f>IFERROR(AVERAGEIF(Drank!A:A,Agibility!A220,Drank!P:P),0)</f>
        <v>2019</v>
      </c>
      <c r="K220" s="37">
        <f t="shared" si="7"/>
        <v>2019</v>
      </c>
      <c r="L220" s="37">
        <f t="shared" si="8"/>
        <v>10</v>
      </c>
    </row>
    <row r="221" spans="1:12" x14ac:dyDescent="0.25">
      <c r="A221" s="37" t="s">
        <v>903</v>
      </c>
      <c r="B221" s="37">
        <f>IF(G221&lt;=0,VLOOKUP(A221,Drank!A:D,2,FALSE),VLOOKUP(A221,Wine1!A:D,2,FALSE))</f>
        <v>2016</v>
      </c>
      <c r="C221" s="37" t="str">
        <f>IF(G221&lt;=0,VLOOKUP(A221,Drank!A:D,3,FALSE),VLOOKUP(A221,Wine1!A:D,3,FALSE))</f>
        <v>Intrinsic</v>
      </c>
      <c r="D221" s="37" t="str">
        <f>IF(G221&lt;=0,VLOOKUP(A221,Drank!A:D,4,FALSE),VLOOKUP(A221,Wine1!A:D,4,FALSE))</f>
        <v>Cabernet Sauvignon</v>
      </c>
      <c r="E221" s="8" t="str">
        <f>IF(G221&gt;0,VLOOKUP(A221,Wine1!A:AF,5,FALSE),VLOOKUP(A221,Drank!A:AA,5,FALSE))</f>
        <v>Cabernet Sauvignon</v>
      </c>
      <c r="F221" s="8">
        <f>IF(G221&gt;0,VLOOKUP(A221,Wine1!A:AF,32,FALSE),VLOOKUP(Agibility!A221,Drank!A:AA,27,FALSE))</f>
        <v>2</v>
      </c>
      <c r="G221" s="8">
        <f>COUNTIF(Wine1!A:A,Agibility!A221)</f>
        <v>0</v>
      </c>
      <c r="H221" s="37">
        <f>IFERROR(VLOOKUP(A221,Wine1!A:Y,25,FALSE),0)</f>
        <v>0</v>
      </c>
      <c r="I221" s="37">
        <f>COUNTIF(Drank!A:A,Agibility!A221)</f>
        <v>1</v>
      </c>
      <c r="J221" s="37">
        <f>IFERROR(AVERAGEIF(Drank!A:A,Agibility!A221,Drank!P:P),0)</f>
        <v>0</v>
      </c>
      <c r="K221" s="37">
        <f t="shared" si="7"/>
        <v>0</v>
      </c>
      <c r="L221" s="37" t="str">
        <f t="shared" si="8"/>
        <v xml:space="preserve"> </v>
      </c>
    </row>
    <row r="222" spans="1:12" x14ac:dyDescent="0.25">
      <c r="A222" t="s">
        <v>904</v>
      </c>
      <c r="B222" s="37">
        <f>IF(G222&lt;=0,VLOOKUP(A222,Drank!A:D,2,FALSE),VLOOKUP(A222,Wine1!A:D,2,FALSE))</f>
        <v>2015</v>
      </c>
      <c r="C222" s="37" t="str">
        <f>IF(G222&lt;=0,VLOOKUP(A222,Drank!A:D,3,FALSE),VLOOKUP(A222,Wine1!A:D,3,FALSE))</f>
        <v>Michele Chiarlo</v>
      </c>
      <c r="D222" s="37" t="str">
        <f>IF(G222&lt;=0,VLOOKUP(A222,Drank!A:D,4,FALSE),VLOOKUP(A222,Wine1!A:D,4,FALSE))</f>
        <v>Barbera d'Asti le Orme</v>
      </c>
      <c r="E222" s="8" t="str">
        <f>IF(G222&gt;0,VLOOKUP(A222,Wine1!A:AF,5,FALSE),VLOOKUP(A222,Drank!A:AA,5,FALSE))</f>
        <v>Barbera</v>
      </c>
      <c r="F222" s="8">
        <f>IF(G222&gt;0,VLOOKUP(A222,Wine1!A:AF,32,FALSE),VLOOKUP(Agibility!A222,Drank!A:AA,27,FALSE))</f>
        <v>1</v>
      </c>
      <c r="G222" s="8">
        <f>COUNTIF(Wine1!A:A,Agibility!A222)</f>
        <v>0</v>
      </c>
      <c r="H222" s="37">
        <f>IFERROR(VLOOKUP(A222,Wine1!A:Y,25,FALSE),0)</f>
        <v>0</v>
      </c>
      <c r="I222" s="37">
        <f>COUNTIF(Drank!A:A,Agibility!A222)</f>
        <v>1</v>
      </c>
      <c r="J222" s="37">
        <f>IFERROR(AVERAGEIF(Drank!A:A,Agibility!A222,Drank!P:P),0)</f>
        <v>0</v>
      </c>
      <c r="K222" s="37">
        <f t="shared" ref="K222:K241" si="9">IF(J222&gt;0,J222,H222)</f>
        <v>0</v>
      </c>
      <c r="L222" s="37" t="str">
        <f t="shared" si="8"/>
        <v xml:space="preserve"> </v>
      </c>
    </row>
    <row r="223" spans="1:12" x14ac:dyDescent="0.25">
      <c r="A223" t="s">
        <v>905</v>
      </c>
      <c r="B223" s="37">
        <f>IF(G223&lt;=0,VLOOKUP(A223,Drank!A:D,2,FALSE),VLOOKUP(A223,Wine1!A:D,2,FALSE))</f>
        <v>2014</v>
      </c>
      <c r="C223" s="37" t="str">
        <f>IF(G223&lt;=0,VLOOKUP(A223,Drank!A:D,3,FALSE),VLOOKUP(A223,Wine1!A:D,3,FALSE))</f>
        <v>Domaine Hubert &amp; Olivier Lamy</v>
      </c>
      <c r="D223" s="37" t="str">
        <f>IF(G223&lt;=0,VLOOKUP(A223,Drank!A:D,4,FALSE),VLOOKUP(A223,Wine1!A:D,4,FALSE))</f>
        <v>Bourgogne les Chataigners</v>
      </c>
      <c r="E223" s="8" t="str">
        <f>IF(G223&gt;0,VLOOKUP(A223,Wine1!A:AF,5,FALSE),VLOOKUP(A223,Drank!A:AA,5,FALSE))</f>
        <v>Chardonay</v>
      </c>
      <c r="F223" s="8">
        <f>IF(G223&gt;0,VLOOKUP(A223,Wine1!A:AF,32,FALSE),VLOOKUP(Agibility!A223,Drank!A:AA,27,FALSE))</f>
        <v>2</v>
      </c>
      <c r="G223" s="8">
        <f>COUNTIF(Wine1!A:A,Agibility!A223)</f>
        <v>0</v>
      </c>
      <c r="H223" s="37">
        <f>IFERROR(VLOOKUP(A223,Wine1!A:Y,25,FALSE),0)</f>
        <v>0</v>
      </c>
      <c r="I223" s="37">
        <f>COUNTIF(Drank!A:A,Agibility!A223)</f>
        <v>1</v>
      </c>
      <c r="J223" s="37">
        <f>IFERROR(AVERAGEIF(Drank!A:A,Agibility!A223,Drank!P:P),0)</f>
        <v>0</v>
      </c>
      <c r="K223" s="37">
        <f t="shared" si="9"/>
        <v>0</v>
      </c>
      <c r="L223" s="37" t="str">
        <f t="shared" si="8"/>
        <v xml:space="preserve"> </v>
      </c>
    </row>
    <row r="224" spans="1:12" x14ac:dyDescent="0.25">
      <c r="A224" t="s">
        <v>906</v>
      </c>
      <c r="B224" s="37">
        <f>IF(G224&lt;=0,VLOOKUP(A224,Drank!A:D,2,FALSE),VLOOKUP(A224,Wine1!A:D,2,FALSE))</f>
        <v>2015</v>
      </c>
      <c r="C224" s="37" t="str">
        <f>IF(G224&lt;=0,VLOOKUP(A224,Drank!A:D,3,FALSE),VLOOKUP(A224,Wine1!A:D,3,FALSE))</f>
        <v>Beringer</v>
      </c>
      <c r="D224" s="37" t="str">
        <f>IF(G224&lt;=0,VLOOKUP(A224,Drank!A:D,4,FALSE),VLOOKUP(A224,Wine1!A:D,4,FALSE))</f>
        <v>Cabernet Sauvignon Knights Valley</v>
      </c>
      <c r="E224" s="8" t="str">
        <f>IF(G224&gt;0,VLOOKUP(A224,Wine1!A:AF,5,FALSE),VLOOKUP(A224,Drank!A:AA,5,FALSE))</f>
        <v>Cabernet Sauvignon</v>
      </c>
      <c r="F224" s="8">
        <f>IF(G224&gt;0,VLOOKUP(A224,Wine1!A:AF,32,FALSE),VLOOKUP(Agibility!A224,Drank!A:AA,27,FALSE))</f>
        <v>2</v>
      </c>
      <c r="G224" s="8">
        <f>COUNTIF(Wine1!A:A,Agibility!A224)</f>
        <v>0</v>
      </c>
      <c r="H224" s="37">
        <f>IFERROR(VLOOKUP(A224,Wine1!A:Y,25,FALSE),0)</f>
        <v>0</v>
      </c>
      <c r="I224" s="37">
        <f>COUNTIF(Drank!A:A,Agibility!A224)</f>
        <v>1</v>
      </c>
      <c r="J224" s="37">
        <f>IFERROR(AVERAGEIF(Drank!A:A,Agibility!A224,Drank!P:P),0)</f>
        <v>0</v>
      </c>
      <c r="K224" s="37">
        <f t="shared" si="9"/>
        <v>0</v>
      </c>
      <c r="L224" s="37" t="str">
        <f t="shared" si="8"/>
        <v xml:space="preserve"> </v>
      </c>
    </row>
    <row r="225" spans="1:12" x14ac:dyDescent="0.25">
      <c r="A225" s="37" t="s">
        <v>907</v>
      </c>
      <c r="B225" s="37">
        <f>IF(G225&lt;=0,VLOOKUP(A225,Drank!A:D,2,FALSE),VLOOKUP(A225,Wine1!A:D,2,FALSE))</f>
        <v>2014</v>
      </c>
      <c r="C225" s="37" t="str">
        <f>IF(G225&lt;=0,VLOOKUP(A225,Drank!A:D,3,FALSE),VLOOKUP(A225,Wine1!A:D,3,FALSE))</f>
        <v>Ovadia Bartenura</v>
      </c>
      <c r="D225" s="37" t="str">
        <f>IF(G225&lt;=0,VLOOKUP(A225,Drank!A:D,4,FALSE),VLOOKUP(A225,Wine1!A:D,4,FALSE))</f>
        <v>Ovadia Chianti</v>
      </c>
      <c r="E225" s="8" t="str">
        <f>IF(G225&gt;0,VLOOKUP(A225,Wine1!A:AF,5,FALSE),VLOOKUP(A225,Drank!A:AA,5,FALSE))</f>
        <v>Chianti</v>
      </c>
      <c r="F225" s="8">
        <f>IF(G225&gt;0,VLOOKUP(A225,Wine1!A:AF,32,FALSE),VLOOKUP(Agibility!A225,Drank!A:AA,27,FALSE))</f>
        <v>1</v>
      </c>
      <c r="G225" s="8">
        <f>COUNTIF(Wine1!A:A,Agibility!A225)</f>
        <v>0</v>
      </c>
      <c r="H225" s="37">
        <f>IFERROR(VLOOKUP(A225,Wine1!A:Y,25,FALSE),0)</f>
        <v>0</v>
      </c>
      <c r="I225" s="37">
        <f>COUNTIF(Drank!A:A,Agibility!A225)</f>
        <v>1</v>
      </c>
      <c r="J225" s="37">
        <f>IFERROR(AVERAGEIF(Drank!A:A,Agibility!A225,Drank!P:P),0)</f>
        <v>0</v>
      </c>
      <c r="K225" s="37">
        <f t="shared" si="9"/>
        <v>0</v>
      </c>
      <c r="L225" s="37" t="str">
        <f t="shared" si="8"/>
        <v xml:space="preserve"> </v>
      </c>
    </row>
    <row r="226" spans="1:12" x14ac:dyDescent="0.25">
      <c r="A226" t="s">
        <v>908</v>
      </c>
      <c r="B226" s="37">
        <f>IF(G226&lt;=0,VLOOKUP(A226,Drank!A:D,2,FALSE),VLOOKUP(A226,Wine1!A:D,2,FALSE))</f>
        <v>2015</v>
      </c>
      <c r="C226" s="37" t="str">
        <f>IF(G226&lt;=0,VLOOKUP(A226,Drank!A:D,3,FALSE),VLOOKUP(A226,Wine1!A:D,3,FALSE))</f>
        <v>Plungerhead</v>
      </c>
      <c r="D226" s="37" t="str">
        <f>IF(G226&lt;=0,VLOOKUP(A226,Drank!A:D,4,FALSE),VLOOKUP(A226,Wine1!A:D,4,FALSE))</f>
        <v>Zinfandel Old Vines Lodi</v>
      </c>
      <c r="E226" s="8" t="str">
        <f>IF(G226&gt;0,VLOOKUP(A226,Wine1!A:AF,5,FALSE),VLOOKUP(A226,Drank!A:AA,5,FALSE))</f>
        <v>Zinfandel</v>
      </c>
      <c r="F226" s="8">
        <f>IF(G226&gt;0,VLOOKUP(A226,Wine1!A:AF,32,FALSE),VLOOKUP(Agibility!A226,Drank!A:AA,27,FALSE))</f>
        <v>1</v>
      </c>
      <c r="G226" s="8">
        <f>COUNTIF(Wine1!A:A,Agibility!A226)</f>
        <v>0</v>
      </c>
      <c r="H226" s="37">
        <f>IFERROR(VLOOKUP(A226,Wine1!A:Y,25,FALSE),0)</f>
        <v>0</v>
      </c>
      <c r="I226" s="37">
        <f>COUNTIF(Drank!A:A,Agibility!A226)</f>
        <v>1</v>
      </c>
      <c r="J226" s="37">
        <f>IFERROR(AVERAGEIF(Drank!A:A,Agibility!A226,Drank!P:P),0)</f>
        <v>0</v>
      </c>
      <c r="K226" s="37">
        <f t="shared" si="9"/>
        <v>0</v>
      </c>
      <c r="L226" s="37" t="str">
        <f t="shared" si="8"/>
        <v xml:space="preserve"> </v>
      </c>
    </row>
    <row r="227" spans="1:12" x14ac:dyDescent="0.25">
      <c r="A227" t="s">
        <v>909</v>
      </c>
      <c r="B227" s="37">
        <f>IF(G227&lt;=0,VLOOKUP(A227,Drank!A:D,2,FALSE),VLOOKUP(A227,Wine1!A:D,2,FALSE))</f>
        <v>2013</v>
      </c>
      <c r="C227" s="37" t="str">
        <f>IF(G227&lt;=0,VLOOKUP(A227,Drank!A:D,3,FALSE),VLOOKUP(A227,Wine1!A:D,3,FALSE))</f>
        <v>Tre Monti</v>
      </c>
      <c r="D227" s="37" t="str">
        <f>IF(G227&lt;=0,VLOOKUP(A227,Drank!A:D,4,FALSE),VLOOKUP(A227,Wine1!A:D,4,FALSE))</f>
        <v>Romagna Sangiovese Riserva Oriolo Thea</v>
      </c>
      <c r="E227" s="8" t="str">
        <f>IF(G227&gt;0,VLOOKUP(A227,Wine1!A:AF,5,FALSE),VLOOKUP(A227,Drank!A:AA,5,FALSE))</f>
        <v>Sangiovese</v>
      </c>
      <c r="F227" s="8">
        <f>IF(G227&gt;0,VLOOKUP(A227,Wine1!A:AF,32,FALSE),VLOOKUP(Agibility!A227,Drank!A:AA,27,FALSE))</f>
        <v>3</v>
      </c>
      <c r="G227" s="8">
        <f>COUNTIF(Wine1!A:A,Agibility!A227)</f>
        <v>0</v>
      </c>
      <c r="H227" s="37">
        <f>IFERROR(VLOOKUP(A227,Wine1!A:Y,25,FALSE),0)</f>
        <v>0</v>
      </c>
      <c r="I227" s="37">
        <f>COUNTIF(Drank!A:A,Agibility!A227)</f>
        <v>1</v>
      </c>
      <c r="J227" s="37">
        <f>IFERROR(AVERAGEIF(Drank!A:A,Agibility!A227,Drank!P:P),0)</f>
        <v>2020</v>
      </c>
      <c r="K227" s="37">
        <f t="shared" si="9"/>
        <v>2020</v>
      </c>
      <c r="L227" s="37">
        <f t="shared" si="8"/>
        <v>7</v>
      </c>
    </row>
    <row r="228" spans="1:12" x14ac:dyDescent="0.25">
      <c r="A228" t="s">
        <v>910</v>
      </c>
      <c r="B228" s="37">
        <f>IF(G228&lt;=0,VLOOKUP(A228,Drank!A:D,2,FALSE),VLOOKUP(A228,Wine1!A:D,2,FALSE))</f>
        <v>2015</v>
      </c>
      <c r="C228" s="37" t="str">
        <f>IF(G228&lt;=0,VLOOKUP(A228,Drank!A:D,3,FALSE),VLOOKUP(A228,Wine1!A:D,3,FALSE))</f>
        <v>Tre Monti</v>
      </c>
      <c r="D228" s="37" t="str">
        <f>IF(G228&lt;=0,VLOOKUP(A228,Drank!A:D,4,FALSE),VLOOKUP(A228,Wine1!A:D,4,FALSE))</f>
        <v>Romagna Sangiovese Riserva Oriolo Petrignone</v>
      </c>
      <c r="E228" s="8" t="str">
        <f>IF(G228&gt;0,VLOOKUP(A228,Wine1!A:AF,5,FALSE),VLOOKUP(A228,Drank!A:AA,5,FALSE))</f>
        <v>Sangiovese</v>
      </c>
      <c r="F228" s="8">
        <f>IF(G228&gt;0,VLOOKUP(A228,Wine1!A:AF,32,FALSE),VLOOKUP(Agibility!A228,Drank!A:AA,27,FALSE))</f>
        <v>2</v>
      </c>
      <c r="G228" s="8">
        <f>COUNTIF(Wine1!A:A,Agibility!A228)</f>
        <v>0</v>
      </c>
      <c r="H228" s="37">
        <f>IFERROR(VLOOKUP(A228,Wine1!A:Y,25,FALSE),0)</f>
        <v>0</v>
      </c>
      <c r="I228" s="37">
        <f>COUNTIF(Drank!A:A,Agibility!A228)</f>
        <v>1</v>
      </c>
      <c r="J228" s="37">
        <f>IFERROR(AVERAGEIF(Drank!A:A,Agibility!A228,Drank!P:P),0)</f>
        <v>2023</v>
      </c>
      <c r="K228" s="37">
        <f t="shared" si="9"/>
        <v>2023</v>
      </c>
      <c r="L228" s="37">
        <f t="shared" si="8"/>
        <v>8</v>
      </c>
    </row>
    <row r="229" spans="1:12" x14ac:dyDescent="0.25">
      <c r="A229" t="s">
        <v>911</v>
      </c>
      <c r="B229" s="37">
        <f>IF(G229&lt;=0,VLOOKUP(A229,Drank!A:D,2,FALSE),VLOOKUP(A229,Wine1!A:D,2,FALSE))</f>
        <v>2015</v>
      </c>
      <c r="C229" s="37" t="str">
        <f>IF(G229&lt;=0,VLOOKUP(A229,Drank!A:D,3,FALSE),VLOOKUP(A229,Wine1!A:D,3,FALSE))</f>
        <v>Barone di Villagrande</v>
      </c>
      <c r="D229" s="37" t="str">
        <f>IF(G229&lt;=0,VLOOKUP(A229,Drank!A:D,4,FALSE),VLOOKUP(A229,Wine1!A:D,4,FALSE))</f>
        <v>Etna Rosso</v>
      </c>
      <c r="E229" s="8" t="str">
        <f>IF(G229&gt;0,VLOOKUP(A229,Wine1!A:AF,5,FALSE),VLOOKUP(A229,Drank!A:AA,5,FALSE))</f>
        <v>Etna Rosso</v>
      </c>
      <c r="F229" s="8">
        <f>IF(G229&gt;0,VLOOKUP(A229,Wine1!A:AF,32,FALSE),VLOOKUP(Agibility!A229,Drank!A:AA,27,FALSE))</f>
        <v>1</v>
      </c>
      <c r="G229" s="8">
        <f>COUNTIF(Wine1!A:A,Agibility!A229)</f>
        <v>0</v>
      </c>
      <c r="H229" s="37">
        <f>IFERROR(VLOOKUP(A229,Wine1!A:Y,25,FALSE),0)</f>
        <v>0</v>
      </c>
      <c r="I229" s="37">
        <f>COUNTIF(Drank!A:A,Agibility!A229)</f>
        <v>1</v>
      </c>
      <c r="J229" s="37">
        <f>IFERROR(AVERAGEIF(Drank!A:A,Agibility!A229,Drank!P:P),0)</f>
        <v>2021</v>
      </c>
      <c r="K229" s="37">
        <f t="shared" si="9"/>
        <v>2021</v>
      </c>
      <c r="L229" s="37">
        <f t="shared" si="8"/>
        <v>6</v>
      </c>
    </row>
    <row r="230" spans="1:12" x14ac:dyDescent="0.25">
      <c r="A230" t="s">
        <v>912</v>
      </c>
      <c r="B230" s="37">
        <f>IF(G230&lt;=0,VLOOKUP(A230,Drank!A:D,2,FALSE),VLOOKUP(A230,Wine1!A:D,2,FALSE))</f>
        <v>2015</v>
      </c>
      <c r="C230" s="37" t="str">
        <f>IF(G230&lt;=0,VLOOKUP(A230,Drank!A:D,3,FALSE),VLOOKUP(A230,Wine1!A:D,3,FALSE))</f>
        <v>Quinta da Muradella</v>
      </c>
      <c r="D230" s="37" t="str">
        <f>IF(G230&lt;=0,VLOOKUP(A230,Drank!A:D,4,FALSE),VLOOKUP(A230,Wine1!A:D,4,FALSE))</f>
        <v>Alanda</v>
      </c>
      <c r="E230" s="8" t="str">
        <f>IF(G230&gt;0,VLOOKUP(A230,Wine1!A:AF,5,FALSE),VLOOKUP(A230,Drank!A:AA,5,FALSE))</f>
        <v>Mencia</v>
      </c>
      <c r="F230" s="8">
        <f>IF(G230&gt;0,VLOOKUP(A230,Wine1!A:AF,32,FALSE),VLOOKUP(Agibility!A230,Drank!A:AA,27,FALSE))</f>
        <v>3</v>
      </c>
      <c r="G230" s="8">
        <f>COUNTIF(Wine1!A:A,Agibility!A230)</f>
        <v>0</v>
      </c>
      <c r="H230" s="37">
        <f>IFERROR(VLOOKUP(A230,Wine1!A:Y,25,FALSE),0)</f>
        <v>0</v>
      </c>
      <c r="I230" s="37">
        <f>COUNTIF(Drank!A:A,Agibility!A230)</f>
        <v>1</v>
      </c>
      <c r="J230" s="37">
        <f>IFERROR(AVERAGEIF(Drank!A:A,Agibility!A230,Drank!P:P),0)</f>
        <v>0</v>
      </c>
      <c r="K230" s="37">
        <f t="shared" si="9"/>
        <v>0</v>
      </c>
      <c r="L230" s="37" t="str">
        <f t="shared" si="8"/>
        <v xml:space="preserve"> </v>
      </c>
    </row>
    <row r="231" spans="1:12" x14ac:dyDescent="0.25">
      <c r="A231" t="s">
        <v>913</v>
      </c>
      <c r="B231" s="37">
        <f>IF(G231&lt;=0,VLOOKUP(A231,Drank!A:D,2,FALSE),VLOOKUP(A231,Wine1!A:D,2,FALSE))</f>
        <v>2011</v>
      </c>
      <c r="C231" s="37" t="str">
        <f>IF(G231&lt;=0,VLOOKUP(A231,Drank!A:D,3,FALSE),VLOOKUP(A231,Wine1!A:D,3,FALSE))</f>
        <v>Corte Giara</v>
      </c>
      <c r="D231" s="37" t="str">
        <f>IF(G231&lt;=0,VLOOKUP(A231,Drank!A:D,4,FALSE),VLOOKUP(A231,Wine1!A:D,4,FALSE))</f>
        <v>Amarone della Valpolicella</v>
      </c>
      <c r="E231" s="8" t="str">
        <f>IF(G231&gt;0,VLOOKUP(A231,Wine1!A:AF,5,FALSE),VLOOKUP(A231,Drank!A:AA,5,FALSE))</f>
        <v>Amarone</v>
      </c>
      <c r="F231" s="8">
        <f>IF(G231&gt;0,VLOOKUP(A231,Wine1!A:AF,32,FALSE),VLOOKUP(Agibility!A231,Drank!A:AA,27,FALSE))</f>
        <v>3</v>
      </c>
      <c r="G231" s="8">
        <f>COUNTIF(Wine1!A:A,Agibility!A231)</f>
        <v>0</v>
      </c>
      <c r="H231" s="37">
        <f>IFERROR(VLOOKUP(A231,Wine1!A:Y,25,FALSE),0)</f>
        <v>0</v>
      </c>
      <c r="I231" s="37">
        <f>COUNTIF(Drank!A:A,Agibility!A231)</f>
        <v>1</v>
      </c>
      <c r="J231" s="37">
        <f>IFERROR(AVERAGEIF(Drank!A:A,Agibility!A231,Drank!P:P),0)</f>
        <v>0</v>
      </c>
      <c r="K231" s="37">
        <f t="shared" si="9"/>
        <v>0</v>
      </c>
      <c r="L231" s="37" t="str">
        <f t="shared" si="8"/>
        <v xml:space="preserve"> </v>
      </c>
    </row>
    <row r="232" spans="1:12" x14ac:dyDescent="0.25">
      <c r="A232" t="s">
        <v>914</v>
      </c>
      <c r="B232" s="37">
        <f>IF(G232&lt;=0,VLOOKUP(A232,Drank!A:D,2,FALSE),VLOOKUP(A232,Wine1!A:D,2,FALSE))</f>
        <v>2012</v>
      </c>
      <c r="C232" s="37" t="str">
        <f>IF(G232&lt;=0,VLOOKUP(A232,Drank!A:D,3,FALSE),VLOOKUP(A232,Wine1!A:D,3,FALSE))</f>
        <v>Francis Ford Coppola Winery</v>
      </c>
      <c r="D232" s="37" t="str">
        <f>IF(G232&lt;=0,VLOOKUP(A232,Drank!A:D,4,FALSE),VLOOKUP(A232,Wine1!A:D,4,FALSE))</f>
        <v>Proprietary Red Eleanor</v>
      </c>
      <c r="E232" s="8" t="str">
        <f>IF(G232&gt;0,VLOOKUP(A232,Wine1!A:AF,5,FALSE),VLOOKUP(A232,Drank!A:AA,5,FALSE))</f>
        <v>Syrah Blend</v>
      </c>
      <c r="F232" s="8">
        <f>IF(G232&gt;0,VLOOKUP(A232,Wine1!A:AF,32,FALSE),VLOOKUP(Agibility!A232,Drank!A:AA,27,FALSE))</f>
        <v>3</v>
      </c>
      <c r="G232" s="8">
        <f>COUNTIF(Wine1!A:A,Agibility!A232)</f>
        <v>0</v>
      </c>
      <c r="H232" s="37">
        <f>IFERROR(VLOOKUP(A232,Wine1!A:Y,25,FALSE),0)</f>
        <v>0</v>
      </c>
      <c r="I232" s="37">
        <f>COUNTIF(Drank!A:A,Agibility!A232)</f>
        <v>1</v>
      </c>
      <c r="J232" s="37">
        <f>IFERROR(AVERAGEIF(Drank!A:A,Agibility!A232,Drank!P:P),0)</f>
        <v>2022</v>
      </c>
      <c r="K232" s="37">
        <f t="shared" si="9"/>
        <v>2022</v>
      </c>
      <c r="L232" s="37">
        <f t="shared" si="8"/>
        <v>10</v>
      </c>
    </row>
    <row r="233" spans="1:12" x14ac:dyDescent="0.25">
      <c r="A233" t="s">
        <v>915</v>
      </c>
      <c r="B233" s="37">
        <f>IF(G233&lt;=0,VLOOKUP(A233,Drank!A:D,2,FALSE),VLOOKUP(A233,Wine1!A:D,2,FALSE))</f>
        <v>2014</v>
      </c>
      <c r="C233" s="37" t="str">
        <f>IF(G233&lt;=0,VLOOKUP(A233,Drank!A:D,3,FALSE),VLOOKUP(A233,Wine1!A:D,3,FALSE))</f>
        <v>Tenuta di Nozzole</v>
      </c>
      <c r="D233" s="37" t="str">
        <f>IF(G233&lt;=0,VLOOKUP(A233,Drank!A:D,4,FALSE),VLOOKUP(A233,Wine1!A:D,4,FALSE))</f>
        <v>Chianti Classico Riserva Nozzole</v>
      </c>
      <c r="E233" s="8" t="str">
        <f>IF(G233&gt;0,VLOOKUP(A233,Wine1!A:AF,5,FALSE),VLOOKUP(A233,Drank!A:AA,5,FALSE))</f>
        <v>Chianti Classico Riserva</v>
      </c>
      <c r="F233" s="8">
        <f>IF(G233&gt;0,VLOOKUP(A233,Wine1!A:AF,32,FALSE),VLOOKUP(Agibility!A233,Drank!A:AA,27,FALSE))</f>
        <v>2</v>
      </c>
      <c r="G233" s="8">
        <f>COUNTIF(Wine1!A:A,Agibility!A233)</f>
        <v>0</v>
      </c>
      <c r="H233" s="37">
        <f>IFERROR(VLOOKUP(A233,Wine1!A:Y,25,FALSE),0)</f>
        <v>0</v>
      </c>
      <c r="I233" s="37">
        <f>COUNTIF(Drank!A:A,Agibility!A233)</f>
        <v>3</v>
      </c>
      <c r="J233" s="37">
        <f>IFERROR(AVERAGEIF(Drank!A:A,Agibility!A233,Drank!P:P),0)</f>
        <v>2021</v>
      </c>
      <c r="K233" s="37">
        <f t="shared" si="9"/>
        <v>2021</v>
      </c>
      <c r="L233" s="37">
        <f t="shared" si="8"/>
        <v>7</v>
      </c>
    </row>
    <row r="234" spans="1:12" x14ac:dyDescent="0.25">
      <c r="A234" t="s">
        <v>916</v>
      </c>
      <c r="B234" s="37">
        <f>IF(G234&lt;=0,VLOOKUP(A234,Drank!A:D,2,FALSE),VLOOKUP(A234,Wine1!A:D,2,FALSE))</f>
        <v>2006</v>
      </c>
      <c r="C234" s="37" t="str">
        <f>IF(G234&lt;=0,VLOOKUP(A234,Drank!A:D,3,FALSE),VLOOKUP(A234,Wine1!A:D,3,FALSE))</f>
        <v>Abadia Mantrus</v>
      </c>
      <c r="D234" s="37" t="str">
        <f>IF(G234&lt;=0,VLOOKUP(A234,Drank!A:D,4,FALSE),VLOOKUP(A234,Wine1!A:D,4,FALSE))</f>
        <v>Gran Reserva</v>
      </c>
      <c r="E234" s="8" t="str">
        <f>IF(G234&gt;0,VLOOKUP(A234,Wine1!A:AF,5,FALSE),VLOOKUP(A234,Drank!A:AA,5,FALSE))</f>
        <v>Proprietary Blend</v>
      </c>
      <c r="F234" s="8">
        <f>IF(G234&gt;0,VLOOKUP(A234,Wine1!A:AF,32,FALSE),VLOOKUP(Agibility!A234,Drank!A:AA,27,FALSE))</f>
        <v>1</v>
      </c>
      <c r="G234" s="8">
        <f>COUNTIF(Wine1!A:A,Agibility!A234)</f>
        <v>0</v>
      </c>
      <c r="H234" s="37">
        <f>IFERROR(VLOOKUP(A234,Wine1!A:Y,25,FALSE),0)</f>
        <v>0</v>
      </c>
      <c r="I234" s="37">
        <f>COUNTIF(Drank!A:A,Agibility!A234)</f>
        <v>1</v>
      </c>
      <c r="J234" s="37">
        <f>IFERROR(AVERAGEIF(Drank!A:A,Agibility!A234,Drank!P:P),0)</f>
        <v>2018</v>
      </c>
      <c r="K234" s="37">
        <f t="shared" si="9"/>
        <v>2018</v>
      </c>
      <c r="L234" s="37">
        <f t="shared" si="8"/>
        <v>12</v>
      </c>
    </row>
    <row r="235" spans="1:12" x14ac:dyDescent="0.25">
      <c r="A235" t="s">
        <v>917</v>
      </c>
      <c r="B235" s="37">
        <f>IF(G235&lt;=0,VLOOKUP(A235,Drank!A:D,2,FALSE),VLOOKUP(A235,Wine1!A:D,2,FALSE))</f>
        <v>2016</v>
      </c>
      <c r="C235" s="37" t="str">
        <f>IF(G235&lt;=0,VLOOKUP(A235,Drank!A:D,3,FALSE),VLOOKUP(A235,Wine1!A:D,3,FALSE))</f>
        <v>Rodano</v>
      </c>
      <c r="D235" s="37" t="str">
        <f>IF(G235&lt;=0,VLOOKUP(A235,Drank!A:D,4,FALSE),VLOOKUP(A235,Wine1!A:D,4,FALSE))</f>
        <v>Poggialupi</v>
      </c>
      <c r="E235" s="8" t="str">
        <f>IF(G235&gt;0,VLOOKUP(A235,Wine1!A:AF,5,FALSE),VLOOKUP(A235,Drank!A:AA,5,FALSE))</f>
        <v>Sangiovese</v>
      </c>
      <c r="F235" s="8">
        <f>IF(G235&gt;0,VLOOKUP(A235,Wine1!A:AF,32,FALSE),VLOOKUP(Agibility!A235,Drank!A:AA,27,FALSE))</f>
        <v>1</v>
      </c>
      <c r="G235" s="8">
        <f>COUNTIF(Wine1!A:A,Agibility!A235)</f>
        <v>0</v>
      </c>
      <c r="H235" s="37">
        <f>IFERROR(VLOOKUP(A235,Wine1!A:Y,25,FALSE),0)</f>
        <v>0</v>
      </c>
      <c r="I235" s="37">
        <f>COUNTIF(Drank!A:A,Agibility!A235)</f>
        <v>1</v>
      </c>
      <c r="J235" s="37">
        <f>IFERROR(AVERAGEIF(Drank!A:A,Agibility!A235,Drank!P:P),0)</f>
        <v>2023</v>
      </c>
      <c r="K235" s="37">
        <f t="shared" si="9"/>
        <v>2023</v>
      </c>
      <c r="L235" s="37">
        <f t="shared" si="8"/>
        <v>7</v>
      </c>
    </row>
    <row r="236" spans="1:12" x14ac:dyDescent="0.25">
      <c r="A236" t="s">
        <v>922</v>
      </c>
      <c r="B236" s="37">
        <f>IF(G236&lt;=0,VLOOKUP(A236,Drank!A:D,2,FALSE),VLOOKUP(A236,Wine1!A:D,2,FALSE))</f>
        <v>2013</v>
      </c>
      <c r="C236" s="37" t="str">
        <f>IF(G236&lt;=0,VLOOKUP(A236,Drank!A:D,3,FALSE),VLOOKUP(A236,Wine1!A:D,3,FALSE))</f>
        <v>Stag's Leap Wine Cellars</v>
      </c>
      <c r="D236" s="37" t="str">
        <f>IF(G236&lt;=0,VLOOKUP(A236,Drank!A:D,4,FALSE),VLOOKUP(A236,Wine1!A:D,4,FALSE))</f>
        <v>Cabernet Sauvignon Artemis</v>
      </c>
      <c r="E236" s="8" t="str">
        <f>IF(G236&gt;0,VLOOKUP(A236,Wine1!A:AF,5,FALSE),VLOOKUP(A236,Drank!A:AA,5,FALSE))</f>
        <v>Cabernet Sauvignon</v>
      </c>
      <c r="F236" s="8">
        <f>IF(G236&gt;0,VLOOKUP(A236,Wine1!A:AF,32,FALSE),VLOOKUP(Agibility!A236,Drank!A:AA,27,FALSE))</f>
        <v>4</v>
      </c>
      <c r="G236" s="8">
        <f>COUNTIF(Wine1!A:A,Agibility!A236)</f>
        <v>0</v>
      </c>
      <c r="H236" s="37">
        <f>IFERROR(VLOOKUP(A236,Wine1!A:Y,25,FALSE),0)</f>
        <v>0</v>
      </c>
      <c r="I236" s="37">
        <f>COUNTIF(Drank!A:A,Agibility!A236)</f>
        <v>1</v>
      </c>
      <c r="J236" s="37">
        <f>IFERROR(AVERAGEIF(Drank!A:A,Agibility!A236,Drank!P:P),0)</f>
        <v>2025</v>
      </c>
      <c r="K236" s="37">
        <f t="shared" si="9"/>
        <v>2025</v>
      </c>
      <c r="L236" s="37">
        <f t="shared" si="8"/>
        <v>12</v>
      </c>
    </row>
    <row r="237" spans="1:12" x14ac:dyDescent="0.25">
      <c r="A237" t="s">
        <v>921</v>
      </c>
      <c r="B237" s="37">
        <f>IF(G237&lt;=0,VLOOKUP(A237,Drank!A:D,2,FALSE),VLOOKUP(A237,Wine1!A:D,2,FALSE))</f>
        <v>2013</v>
      </c>
      <c r="C237" s="37" t="str">
        <f>IF(G237&lt;=0,VLOOKUP(A237,Drank!A:D,3,FALSE),VLOOKUP(A237,Wine1!A:D,3,FALSE))</f>
        <v>Bovio</v>
      </c>
      <c r="D237" s="37" t="str">
        <f>IF(G237&lt;=0,VLOOKUP(A237,Drank!A:D,4,FALSE),VLOOKUP(A237,Wine1!A:D,4,FALSE))</f>
        <v>Barolo Arborina</v>
      </c>
      <c r="E237" s="8" t="str">
        <f>IF(G237&gt;0,VLOOKUP(A237,Wine1!A:AF,5,FALSE),VLOOKUP(A237,Drank!A:AA,5,FALSE))</f>
        <v>Barolo</v>
      </c>
      <c r="F237" s="8">
        <f>IF(G237&gt;0,VLOOKUP(A237,Wine1!A:AF,32,FALSE),VLOOKUP(Agibility!A237,Drank!A:AA,27,FALSE))</f>
        <v>3</v>
      </c>
      <c r="G237" s="8">
        <f>COUNTIF(Wine1!A:A,Agibility!A237)</f>
        <v>0</v>
      </c>
      <c r="H237" s="37">
        <f>IFERROR(VLOOKUP(A237,Wine1!A:Y,25,FALSE),0)</f>
        <v>0</v>
      </c>
      <c r="I237" s="37">
        <f>COUNTIF(Drank!A:A,Agibility!A237)</f>
        <v>1</v>
      </c>
      <c r="J237" s="37">
        <f>IFERROR(AVERAGEIF(Drank!A:A,Agibility!A237,Drank!P:P),0)</f>
        <v>2029</v>
      </c>
      <c r="K237" s="37">
        <f t="shared" si="9"/>
        <v>2029</v>
      </c>
      <c r="L237" s="37">
        <f t="shared" si="8"/>
        <v>16</v>
      </c>
    </row>
    <row r="238" spans="1:12" x14ac:dyDescent="0.25">
      <c r="A238" t="s">
        <v>920</v>
      </c>
      <c r="B238" s="37">
        <f>IF(G238&lt;=0,VLOOKUP(A238,Drank!A:D,2,FALSE),VLOOKUP(A238,Wine1!A:D,2,FALSE))</f>
        <v>2010</v>
      </c>
      <c r="C238" s="37" t="str">
        <f>IF(G238&lt;=0,VLOOKUP(A238,Drank!A:D,3,FALSE),VLOOKUP(A238,Wine1!A:D,3,FALSE))</f>
        <v>Dominio de Atauta</v>
      </c>
      <c r="D238" s="37" t="str">
        <f>IF(G238&lt;=0,VLOOKUP(A238,Drank!A:D,4,FALSE),VLOOKUP(A238,Wine1!A:D,4,FALSE))</f>
        <v>Atauta</v>
      </c>
      <c r="E238" s="8" t="str">
        <f>IF(G238&gt;0,VLOOKUP(A238,Wine1!A:AF,5,FALSE),VLOOKUP(A238,Drank!A:AA,5,FALSE))</f>
        <v>Proprietary Blend</v>
      </c>
      <c r="F238" s="8">
        <f>IF(G238&gt;0,VLOOKUP(A238,Wine1!A:AF,32,FALSE),VLOOKUP(Agibility!A238,Drank!A:AA,27,FALSE))</f>
        <v>3</v>
      </c>
      <c r="G238" s="8">
        <f>COUNTIF(Wine1!A:A,Agibility!A238)</f>
        <v>0</v>
      </c>
      <c r="H238" s="37">
        <f>IFERROR(VLOOKUP(A238,Wine1!A:Y,25,FALSE),0)</f>
        <v>0</v>
      </c>
      <c r="I238" s="37">
        <f>COUNTIF(Drank!A:A,Agibility!A238)</f>
        <v>1</v>
      </c>
      <c r="J238" s="37">
        <f>IFERROR(AVERAGEIF(Drank!A:A,Agibility!A238,Drank!P:P),0)</f>
        <v>0</v>
      </c>
      <c r="K238" s="37">
        <f t="shared" si="9"/>
        <v>0</v>
      </c>
      <c r="L238" s="37" t="str">
        <f t="shared" si="8"/>
        <v xml:space="preserve"> </v>
      </c>
    </row>
    <row r="239" spans="1:12" x14ac:dyDescent="0.25">
      <c r="A239" t="s">
        <v>919</v>
      </c>
      <c r="B239" s="37">
        <f>IF(G239&lt;=0,VLOOKUP(A239,Drank!A:D,2,FALSE),VLOOKUP(A239,Wine1!A:D,2,FALSE))</f>
        <v>2017</v>
      </c>
      <c r="C239" s="37" t="str">
        <f>IF(G239&lt;=0,VLOOKUP(A239,Drank!A:D,3,FALSE),VLOOKUP(A239,Wine1!A:D,3,FALSE))</f>
        <v>Elio Altare</v>
      </c>
      <c r="D239" s="37" t="str">
        <f>IF(G239&lt;=0,VLOOKUP(A239,Drank!A:D,4,FALSE),VLOOKUP(A239,Wine1!A:D,4,FALSE))</f>
        <v>Dolcetto d'Alba</v>
      </c>
      <c r="E239" s="8" t="str">
        <f>IF(G239&gt;0,VLOOKUP(A239,Wine1!A:AF,5,FALSE),VLOOKUP(A239,Drank!A:AA,5,FALSE))</f>
        <v>Dolcetto</v>
      </c>
      <c r="F239" s="8">
        <f>IF(G239&gt;0,VLOOKUP(A239,Wine1!A:AF,32,FALSE),VLOOKUP(Agibility!A239,Drank!A:AA,27,FALSE))</f>
        <v>2</v>
      </c>
      <c r="G239" s="8">
        <f>COUNTIF(Wine1!A:A,Agibility!A239)</f>
        <v>0</v>
      </c>
      <c r="H239" s="37">
        <f>IFERROR(VLOOKUP(A239,Wine1!A:Y,25,FALSE),0)</f>
        <v>0</v>
      </c>
      <c r="I239" s="37">
        <f>COUNTIF(Drank!A:A,Agibility!A239)</f>
        <v>1</v>
      </c>
      <c r="J239" s="37">
        <f>IFERROR(AVERAGEIF(Drank!A:A,Agibility!A239,Drank!P:P),0)</f>
        <v>0</v>
      </c>
      <c r="K239" s="37">
        <f t="shared" si="9"/>
        <v>0</v>
      </c>
      <c r="L239" s="37" t="str">
        <f t="shared" si="8"/>
        <v xml:space="preserve"> </v>
      </c>
    </row>
    <row r="240" spans="1:12" x14ac:dyDescent="0.25">
      <c r="A240" t="s">
        <v>918</v>
      </c>
      <c r="B240" s="37" t="str">
        <f>IF(G240&lt;=0,VLOOKUP(A240,Drank!A:D,2,FALSE),VLOOKUP(A240,Wine1!A:D,2,FALSE))</f>
        <v>NV</v>
      </c>
      <c r="C240" s="37" t="str">
        <f>IF(G240&lt;=0,VLOOKUP(A240,Drank!A:D,3,FALSE),VLOOKUP(A240,Wine1!A:D,3,FALSE))</f>
        <v>Fonseca</v>
      </c>
      <c r="D240" s="37" t="str">
        <f>IF(G240&lt;=0,VLOOKUP(A240,Drank!A:D,4,FALSE),VLOOKUP(A240,Wine1!A:D,4,FALSE))</f>
        <v>Fonseca 10 Year Old Tawny</v>
      </c>
      <c r="E240" s="8" t="str">
        <f>IF(G240&gt;0,VLOOKUP(A240,Wine1!A:AF,5,FALSE),VLOOKUP(A240,Drank!A:AA,5,FALSE))</f>
        <v>Port</v>
      </c>
      <c r="F240" s="8">
        <f>IF(G240&gt;0,VLOOKUP(A240,Wine1!A:AF,32,FALSE),VLOOKUP(Agibility!A240,Drank!A:AA,27,FALSE))</f>
        <v>3</v>
      </c>
      <c r="G240" s="8">
        <f>COUNTIF(Wine1!A:A,Agibility!A240)</f>
        <v>0</v>
      </c>
      <c r="H240" s="37">
        <f>IFERROR(VLOOKUP(A240,Wine1!A:Y,25,FALSE),0)</f>
        <v>0</v>
      </c>
      <c r="I240" s="37">
        <f>COUNTIF(Drank!A:A,Agibility!A240)</f>
        <v>1</v>
      </c>
      <c r="J240" s="37">
        <f>IFERROR(AVERAGEIF(Drank!A:A,Agibility!A240,Drank!P:P),0)</f>
        <v>0</v>
      </c>
      <c r="K240" s="37">
        <f t="shared" si="9"/>
        <v>0</v>
      </c>
      <c r="L240" s="37" t="str">
        <f t="shared" si="8"/>
        <v xml:space="preserve"> </v>
      </c>
    </row>
    <row r="241" spans="1:12" x14ac:dyDescent="0.25">
      <c r="A241" t="s">
        <v>923</v>
      </c>
      <c r="B241" s="37">
        <f>IF(G241&lt;=0,VLOOKUP(A241,Drank!A:D,2,FALSE),VLOOKUP(A241,Wine1!A:D,2,FALSE))</f>
        <v>1995</v>
      </c>
      <c r="C241" s="37" t="str">
        <f>IF(G241&lt;=0,VLOOKUP(A241,Drank!A:D,3,FALSE),VLOOKUP(A241,Wine1!A:D,3,FALSE))</f>
        <v>Ravenswood</v>
      </c>
      <c r="D241" s="37" t="str">
        <f>IF(G241&lt;=0,VLOOKUP(A241,Drank!A:D,4,FALSE),VLOOKUP(A241,Wine1!A:D,4,FALSE))</f>
        <v>Zinfandel Wood Road Belloni Vineyard</v>
      </c>
      <c r="E241" s="8" t="str">
        <f>IF(G241&gt;0,VLOOKUP(A241,Wine1!A:AF,5,FALSE),VLOOKUP(A241,Drank!A:AA,5,FALSE))</f>
        <v>Zinfandel</v>
      </c>
      <c r="F241" s="8">
        <f>IF(G241&gt;0,VLOOKUP(A241,Wine1!A:AF,32,FALSE),VLOOKUP(Agibility!A241,Drank!A:AA,27,FALSE))</f>
        <v>3</v>
      </c>
      <c r="G241" s="8">
        <f>COUNTIF(Wine1!A:A,Agibility!A241)</f>
        <v>0</v>
      </c>
      <c r="H241" s="37">
        <f>IFERROR(VLOOKUP(A241,Wine1!A:Y,25,FALSE),0)</f>
        <v>0</v>
      </c>
      <c r="I241" s="37">
        <f>COUNTIF(Drank!A:A,Agibility!A241)</f>
        <v>1</v>
      </c>
      <c r="J241" s="37">
        <f>IFERROR(AVERAGEIF(Drank!A:A,Agibility!A241,Drank!P:P),0)</f>
        <v>2012</v>
      </c>
      <c r="K241" s="37">
        <f t="shared" si="9"/>
        <v>2012</v>
      </c>
      <c r="L241" s="37">
        <f t="shared" si="8"/>
        <v>17</v>
      </c>
    </row>
    <row r="242" spans="1:12" x14ac:dyDescent="0.25">
      <c r="A242" t="s">
        <v>1156</v>
      </c>
      <c r="B242" s="37">
        <f>IF(G242&lt;=0,VLOOKUP(A242,Drank!A:D,2,FALSE),VLOOKUP(A242,Wine1!A:D,2,FALSE))</f>
        <v>2005</v>
      </c>
      <c r="C242" s="37" t="str">
        <f>IF(G242&lt;=0,VLOOKUP(A242,Drank!A:D,3,FALSE),VLOOKUP(A242,Wine1!A:D,3,FALSE))</f>
        <v>Pierre Usseglio</v>
      </c>
      <c r="D242" s="37" t="str">
        <f>IF(G242&lt;=0,VLOOKUP(A242,Drank!A:D,4,FALSE),VLOOKUP(A242,Wine1!A:D,4,FALSE))</f>
        <v>Chateauneuf du Pape</v>
      </c>
      <c r="E242" s="8" t="str">
        <f>IF(G242&gt;0,VLOOKUP(A242,Wine1!A:AF,5,FALSE),VLOOKUP(A242,Drank!A:AA,5,FALSE))</f>
        <v>80% Grenache, 10% Syrah, 5% Cinsault, 5% Mourvèdre</v>
      </c>
      <c r="F242" s="8">
        <f>IF(G242&gt;0,VLOOKUP(A242,Wine1!A:AF,32,FALSE),VLOOKUP(Agibility!A242,Drank!A:AA,27,FALSE))</f>
        <v>3</v>
      </c>
      <c r="G242" s="8">
        <f>COUNTIF(Wine1!A:A,Agibility!A242)</f>
        <v>3</v>
      </c>
      <c r="H242" s="37">
        <f>IFERROR(VLOOKUP(A242,Wine1!A:Y,25,FALSE),0)</f>
        <v>2024</v>
      </c>
      <c r="I242" s="37">
        <f>COUNTIF(Drank!A:A,Agibility!A242)</f>
        <v>1</v>
      </c>
      <c r="J242" s="37">
        <f>IFERROR(AVERAGEIF(Drank!A:A,Agibility!A242,Drank!P:P),0)</f>
        <v>2024</v>
      </c>
      <c r="K242" s="37">
        <f t="shared" ref="K242:K253" si="10">IF(J242&gt;0,J242,H242)</f>
        <v>2024</v>
      </c>
      <c r="L242" s="37">
        <f t="shared" ref="L242:L253" si="11">IF(K242&gt;0,K242-B242," ")</f>
        <v>19</v>
      </c>
    </row>
    <row r="243" spans="1:12" x14ac:dyDescent="0.25">
      <c r="A243" t="s">
        <v>1157</v>
      </c>
      <c r="B243" s="37">
        <f>IF(G243&lt;=0,VLOOKUP(A243,Drank!A:D,2,FALSE),VLOOKUP(A243,Wine1!A:D,2,FALSE))</f>
        <v>2004</v>
      </c>
      <c r="C243" s="37" t="str">
        <f>IF(G243&lt;=0,VLOOKUP(A243,Drank!A:D,3,FALSE),VLOOKUP(A243,Wine1!A:D,3,FALSE))</f>
        <v>Ciacci Piccolomini d Aragona</v>
      </c>
      <c r="D243" s="37" t="str">
        <f>IF(G243&lt;=0,VLOOKUP(A243,Drank!A:D,4,FALSE),VLOOKUP(A243,Wine1!A:D,4,FALSE))</f>
        <v>Brunello di Montalcino</v>
      </c>
      <c r="E243" s="8" t="str">
        <f>IF(G243&gt;0,VLOOKUP(A243,Wine1!A:AF,5,FALSE),VLOOKUP(A243,Drank!A:AA,5,FALSE))</f>
        <v>100% Sangiovese</v>
      </c>
      <c r="F243" s="8">
        <f>IF(G243&gt;0,VLOOKUP(A243,Wine1!A:AF,32,FALSE),VLOOKUP(Agibility!A243,Drank!A:AA,27,FALSE))</f>
        <v>3</v>
      </c>
      <c r="G243" s="8">
        <f>COUNTIF(Wine1!A:A,Agibility!A243)</f>
        <v>1</v>
      </c>
      <c r="H243" s="37">
        <f>IFERROR(VLOOKUP(A243,Wine1!A:Y,25,FALSE),0)</f>
        <v>2023</v>
      </c>
      <c r="I243" s="37">
        <f>COUNTIF(Drank!A:A,Agibility!A243)</f>
        <v>1</v>
      </c>
      <c r="J243" s="37">
        <f>IFERROR(AVERAGEIF(Drank!A:A,Agibility!A243,Drank!P:P),0)</f>
        <v>2023</v>
      </c>
      <c r="K243" s="37">
        <f t="shared" si="10"/>
        <v>2023</v>
      </c>
      <c r="L243" s="37">
        <f t="shared" si="11"/>
        <v>19</v>
      </c>
    </row>
    <row r="244" spans="1:12" x14ac:dyDescent="0.25">
      <c r="A244" t="s">
        <v>1158</v>
      </c>
      <c r="B244" s="37">
        <f>IF(G244&lt;=0,VLOOKUP(A244,Drank!A:D,2,FALSE),VLOOKUP(A244,Wine1!A:D,2,FALSE))</f>
        <v>2004</v>
      </c>
      <c r="C244" s="37" t="str">
        <f>IF(G244&lt;=0,VLOOKUP(A244,Drank!A:D,3,FALSE),VLOOKUP(A244,Wine1!A:D,3,FALSE))</f>
        <v>Talenti</v>
      </c>
      <c r="D244" s="37" t="str">
        <f>IF(G244&lt;=0,VLOOKUP(A244,Drank!A:D,4,FALSE),VLOOKUP(A244,Wine1!A:D,4,FALSE))</f>
        <v>Brunello di Montalcino Pian di Conte</v>
      </c>
      <c r="E244" s="8" t="str">
        <f>IF(G244&gt;0,VLOOKUP(A244,Wine1!A:AF,5,FALSE),VLOOKUP(A244,Drank!A:AA,5,FALSE))</f>
        <v>Sangiovese</v>
      </c>
      <c r="F244" s="8">
        <f>IF(G244&gt;0,VLOOKUP(A244,Wine1!A:AF,32,FALSE),VLOOKUP(Agibility!A244,Drank!A:AA,27,FALSE))</f>
        <v>4</v>
      </c>
      <c r="G244" s="8">
        <f>COUNTIF(Wine1!A:A,Agibility!A244)</f>
        <v>1</v>
      </c>
      <c r="H244" s="37">
        <f>IFERROR(VLOOKUP(A244,Wine1!A:Y,25,FALSE),0)</f>
        <v>2025</v>
      </c>
      <c r="I244" s="37">
        <f>COUNTIF(Drank!A:A,Agibility!A244)</f>
        <v>1</v>
      </c>
      <c r="J244" s="37">
        <f>IFERROR(AVERAGEIF(Drank!A:A,Agibility!A244,Drank!P:P),0)</f>
        <v>2025</v>
      </c>
      <c r="K244" s="37">
        <f t="shared" si="10"/>
        <v>2025</v>
      </c>
      <c r="L244" s="37">
        <f t="shared" si="11"/>
        <v>21</v>
      </c>
    </row>
    <row r="245" spans="1:12" x14ac:dyDescent="0.25">
      <c r="A245" t="s">
        <v>1159</v>
      </c>
      <c r="B245" s="37">
        <f>IF(G245&lt;=0,VLOOKUP(A245,Drank!A:D,2,FALSE),VLOOKUP(A245,Wine1!A:D,2,FALSE))</f>
        <v>2005</v>
      </c>
      <c r="C245" s="37" t="str">
        <f>IF(G245&lt;=0,VLOOKUP(A245,Drank!A:D,3,FALSE),VLOOKUP(A245,Wine1!A:D,3,FALSE))</f>
        <v>Montevetrano</v>
      </c>
      <c r="D245" s="37" t="str">
        <f>IF(G245&lt;=0,VLOOKUP(A245,Drank!A:D,4,FALSE),VLOOKUP(A245,Wine1!A:D,4,FALSE))</f>
        <v>Montevetrano</v>
      </c>
      <c r="E245" s="8" t="str">
        <f>IF(G245&gt;0,VLOOKUP(A245,Wine1!A:AF,5,FALSE),VLOOKUP(A245,Drank!A:AA,5,FALSE))</f>
        <v>Cabernet Sauvignon, Merlot, Aglianico</v>
      </c>
      <c r="F245" s="8">
        <f>IF(G245&gt;0,VLOOKUP(A245,Wine1!A:AF,32,FALSE),VLOOKUP(Agibility!A245,Drank!A:AA,27,FALSE))</f>
        <v>3</v>
      </c>
      <c r="G245" s="8">
        <f>COUNTIF(Wine1!A:A,Agibility!A245)</f>
        <v>2</v>
      </c>
      <c r="H245" s="37">
        <f>IFERROR(VLOOKUP(A245,Wine1!A:Y,25,FALSE),0)</f>
        <v>2027</v>
      </c>
      <c r="I245" s="37">
        <f>COUNTIF(Drank!A:A,Agibility!A245)</f>
        <v>0</v>
      </c>
      <c r="J245" s="37">
        <f>IFERROR(AVERAGEIF(Drank!A:A,Agibility!A245,Drank!P:P),0)</f>
        <v>0</v>
      </c>
      <c r="K245" s="37">
        <f t="shared" si="10"/>
        <v>2027</v>
      </c>
      <c r="L245" s="37">
        <f t="shared" si="11"/>
        <v>22</v>
      </c>
    </row>
    <row r="246" spans="1:12" x14ac:dyDescent="0.25">
      <c r="A246" t="s">
        <v>1161</v>
      </c>
      <c r="B246" s="37">
        <f>IF(G246&lt;=0,VLOOKUP(A246,Drank!A:D,2,FALSE),VLOOKUP(A246,Wine1!A:D,2,FALSE))</f>
        <v>2004</v>
      </c>
      <c r="C246" s="37" t="str">
        <f>IF(G246&lt;=0,VLOOKUP(A246,Drank!A:D,3,FALSE),VLOOKUP(A246,Wine1!A:D,3,FALSE))</f>
        <v>Il Poggione</v>
      </c>
      <c r="D246" s="37" t="str">
        <f>IF(G246&lt;=0,VLOOKUP(A246,Drank!A:D,4,FALSE),VLOOKUP(A246,Wine1!A:D,4,FALSE))</f>
        <v>Brunello di Montalcino</v>
      </c>
      <c r="E246" s="8" t="str">
        <f>IF(G246&gt;0,VLOOKUP(A246,Wine1!A:AF,5,FALSE),VLOOKUP(A246,Drank!A:AA,5,FALSE))</f>
        <v>Sangiovese</v>
      </c>
      <c r="F246" s="8">
        <f>IF(G246&gt;0,VLOOKUP(A246,Wine1!A:AF,32,FALSE),VLOOKUP(Agibility!A246,Drank!A:AA,27,FALSE))</f>
        <v>4</v>
      </c>
      <c r="G246" s="8">
        <f>COUNTIF(Wine1!A:A,Agibility!A246)</f>
        <v>1</v>
      </c>
      <c r="H246" s="37">
        <f>IFERROR(VLOOKUP(A246,Wine1!A:Y,25,FALSE),0)</f>
        <v>2030</v>
      </c>
      <c r="I246" s="37">
        <f>COUNTIF(Drank!A:A,Agibility!A246)</f>
        <v>0</v>
      </c>
      <c r="J246" s="37">
        <f>IFERROR(AVERAGEIF(Drank!A:A,Agibility!A246,Drank!P:P),0)</f>
        <v>0</v>
      </c>
      <c r="K246" s="37">
        <f t="shared" si="10"/>
        <v>2030</v>
      </c>
      <c r="L246" s="37">
        <f t="shared" si="11"/>
        <v>26</v>
      </c>
    </row>
    <row r="247" spans="1:12" x14ac:dyDescent="0.25">
      <c r="A247" t="s">
        <v>1162</v>
      </c>
      <c r="B247" s="37">
        <f>IF(G247&lt;=0,VLOOKUP(A247,Drank!A:D,2,FALSE),VLOOKUP(A247,Wine1!A:D,2,FALSE))</f>
        <v>2014</v>
      </c>
      <c r="C247" s="37" t="str">
        <f>IF(G247&lt;=0,VLOOKUP(A247,Drank!A:D,3,FALSE),VLOOKUP(A247,Wine1!A:D,3,FALSE))</f>
        <v>Produttori del Barbaresco</v>
      </c>
      <c r="D247" s="37" t="str">
        <f>IF(G247&lt;=0,VLOOKUP(A247,Drank!A:D,4,FALSE),VLOOKUP(A247,Wine1!A:D,4,FALSE))</f>
        <v>Barbaresco Riserva Pora</v>
      </c>
      <c r="E247" s="8" t="str">
        <f>IF(G247&gt;0,VLOOKUP(A247,Wine1!A:AF,5,FALSE),VLOOKUP(A247,Drank!A:AA,5,FALSE))</f>
        <v>100% Nebbiolo</v>
      </c>
      <c r="F247" s="8">
        <f>IF(G247&gt;0,VLOOKUP(A247,Wine1!A:AF,32,FALSE),VLOOKUP(Agibility!A247,Drank!A:AA,27,FALSE))</f>
        <v>3</v>
      </c>
      <c r="G247" s="8">
        <f>COUNTIF(Wine1!A:A,Agibility!A247)</f>
        <v>1</v>
      </c>
      <c r="H247" s="37">
        <f>IFERROR(VLOOKUP(A247,Wine1!A:Y,25,FALSE),0)</f>
        <v>2035</v>
      </c>
      <c r="I247" s="37">
        <f>COUNTIF(Drank!A:A,Agibility!A247)</f>
        <v>0</v>
      </c>
      <c r="J247" s="37">
        <f>IFERROR(AVERAGEIF(Drank!A:A,Agibility!A247,Drank!P:P),0)</f>
        <v>0</v>
      </c>
      <c r="K247" s="37">
        <f t="shared" si="10"/>
        <v>2035</v>
      </c>
      <c r="L247" s="37">
        <f t="shared" si="11"/>
        <v>21</v>
      </c>
    </row>
    <row r="248" spans="1:12" x14ac:dyDescent="0.25">
      <c r="A248" t="s">
        <v>1163</v>
      </c>
      <c r="B248" s="37" t="str">
        <f>IF(G248&lt;=0,VLOOKUP(A248,Drank!A:D,2,FALSE),VLOOKUP(A248,Wine1!A:D,2,FALSE))</f>
        <v>NV</v>
      </c>
      <c r="C248" s="37" t="str">
        <f>IF(G248&lt;=0,VLOOKUP(A248,Drank!A:D,3,FALSE),VLOOKUP(A248,Wine1!A:D,3,FALSE))</f>
        <v>Taylor Fladgate</v>
      </c>
      <c r="D248" s="37" t="str">
        <f>IF(G248&lt;=0,VLOOKUP(A248,Drank!A:D,4,FALSE),VLOOKUP(A248,Wine1!A:D,4,FALSE))</f>
        <v>40 Year Old Tawny Port</v>
      </c>
      <c r="E248" s="8" t="str">
        <f>IF(G248&gt;0,VLOOKUP(A248,Wine1!A:AF,5,FALSE),VLOOKUP(A248,Drank!A:AA,5,FALSE))</f>
        <v>Port</v>
      </c>
      <c r="F248" s="8">
        <f>IF(G248&gt;0,VLOOKUP(A248,Wine1!A:AF,32,FALSE),VLOOKUP(Agibility!A248,Drank!A:AA,27,FALSE))</f>
        <v>4</v>
      </c>
      <c r="G248" s="8">
        <f>COUNTIF(Wine1!A:A,Agibility!A248)</f>
        <v>2</v>
      </c>
      <c r="H248" s="37">
        <f>IFERROR(VLOOKUP(A248,Wine1!A:Y,25,FALSE),0)</f>
        <v>2055</v>
      </c>
      <c r="I248" s="37">
        <f>COUNTIF(Drank!A:A,Agibility!A248)</f>
        <v>0</v>
      </c>
      <c r="J248" s="37">
        <f>IFERROR(AVERAGEIF(Drank!A:A,Agibility!A248,Drank!P:P),0)</f>
        <v>0</v>
      </c>
      <c r="K248" s="37">
        <f t="shared" si="10"/>
        <v>2055</v>
      </c>
      <c r="L248" s="37"/>
    </row>
    <row r="249" spans="1:12" x14ac:dyDescent="0.25">
      <c r="A249" t="s">
        <v>1164</v>
      </c>
      <c r="B249" s="37">
        <f>IF(G249&lt;=0,VLOOKUP(A249,Drank!A:D,2,FALSE),VLOOKUP(A249,Wine1!A:D,2,FALSE))</f>
        <v>2014</v>
      </c>
      <c r="C249" s="37" t="str">
        <f>IF(G249&lt;=0,VLOOKUP(A249,Drank!A:D,3,FALSE),VLOOKUP(A249,Wine1!A:D,3,FALSE))</f>
        <v>Produttori del Barbaresco</v>
      </c>
      <c r="D249" s="37" t="str">
        <f>IF(G249&lt;=0,VLOOKUP(A249,Drank!A:D,4,FALSE),VLOOKUP(A249,Wine1!A:D,4,FALSE))</f>
        <v>Barbaresco Riserva Asili</v>
      </c>
      <c r="E249" s="8" t="str">
        <f>IF(G249&gt;0,VLOOKUP(A249,Wine1!A:AF,5,FALSE),VLOOKUP(A249,Drank!A:AA,5,FALSE))</f>
        <v>100% Nebbiolo</v>
      </c>
      <c r="F249" s="8">
        <f>IF(G249&gt;0,VLOOKUP(A249,Wine1!A:AF,32,FALSE),VLOOKUP(Agibility!A249,Drank!A:AA,27,FALSE))</f>
        <v>3</v>
      </c>
      <c r="G249" s="8">
        <f>COUNTIF(Wine1!A:A,Agibility!A249)</f>
        <v>2</v>
      </c>
      <c r="H249" s="37">
        <f>IFERROR(VLOOKUP(A249,Wine1!A:Y,25,FALSE),0)</f>
        <v>2045</v>
      </c>
      <c r="I249" s="37">
        <f>COUNTIF(Drank!A:A,Agibility!A249)</f>
        <v>0</v>
      </c>
      <c r="J249" s="37">
        <f>IFERROR(AVERAGEIF(Drank!A:A,Agibility!A249,Drank!P:P),0)</f>
        <v>0</v>
      </c>
      <c r="K249" s="37">
        <f t="shared" si="10"/>
        <v>2045</v>
      </c>
      <c r="L249" s="37">
        <f t="shared" si="11"/>
        <v>31</v>
      </c>
    </row>
    <row r="250" spans="1:12" x14ac:dyDescent="0.25">
      <c r="A250" t="s">
        <v>1165</v>
      </c>
      <c r="B250" s="37">
        <f>IF(G250&lt;=0,VLOOKUP(A250,Drank!A:D,2,FALSE),VLOOKUP(A250,Wine1!A:D,2,FALSE))</f>
        <v>2014</v>
      </c>
      <c r="C250" s="37" t="str">
        <f>IF(G250&lt;=0,VLOOKUP(A250,Drank!A:D,3,FALSE),VLOOKUP(A250,Wine1!A:D,3,FALSE))</f>
        <v>Produttori del Barbaresco</v>
      </c>
      <c r="D250" s="37" t="str">
        <f>IF(G250&lt;=0,VLOOKUP(A250,Drank!A:D,4,FALSE),VLOOKUP(A250,Wine1!A:D,4,FALSE))</f>
        <v>Barbaresco Riserva Ovello</v>
      </c>
      <c r="E250" s="8" t="str">
        <f>IF(G250&gt;0,VLOOKUP(A250,Wine1!A:AF,5,FALSE),VLOOKUP(A250,Drank!A:AA,5,FALSE))</f>
        <v>100% Nebbiolo</v>
      </c>
      <c r="F250" s="8">
        <f>IF(G250&gt;0,VLOOKUP(A250,Wine1!A:AF,32,FALSE),VLOOKUP(Agibility!A250,Drank!A:AA,27,FALSE))</f>
        <v>3</v>
      </c>
      <c r="G250" s="8">
        <f>COUNTIF(Wine1!A:A,Agibility!A250)</f>
        <v>1</v>
      </c>
      <c r="H250" s="37">
        <f>IFERROR(VLOOKUP(A250,Wine1!A:Y,25,FALSE),0)</f>
        <v>2045</v>
      </c>
      <c r="I250" s="37">
        <f>COUNTIF(Drank!A:A,Agibility!A250)</f>
        <v>0</v>
      </c>
      <c r="J250" s="37">
        <f>IFERROR(AVERAGEIF(Drank!A:A,Agibility!A250,Drank!P:P),0)</f>
        <v>0</v>
      </c>
      <c r="K250" s="37">
        <f t="shared" si="10"/>
        <v>2045</v>
      </c>
      <c r="L250" s="37">
        <f t="shared" si="11"/>
        <v>31</v>
      </c>
    </row>
    <row r="251" spans="1:12" x14ac:dyDescent="0.25">
      <c r="A251" t="s">
        <v>1281</v>
      </c>
      <c r="B251" s="37">
        <f>IF(G251&lt;=0,VLOOKUP(A251,Drank!A:D,2,FALSE),VLOOKUP(A251,Wine1!A:D,2,FALSE))</f>
        <v>2016</v>
      </c>
      <c r="C251" s="37" t="str">
        <f>IF(G251&lt;=0,VLOOKUP(A251,Drank!A:D,3,FALSE),VLOOKUP(A251,Wine1!A:D,3,FALSE))</f>
        <v>García Figuero</v>
      </c>
      <c r="D251" s="37" t="str">
        <f>IF(G251&lt;=0,VLOOKUP(A251,Drank!A:D,4,FALSE),VLOOKUP(A251,Wine1!A:D,4,FALSE))</f>
        <v>Tinto Figuero 12 Tempranillo</v>
      </c>
      <c r="E251" s="8" t="str">
        <f>IF(G251&gt;0,VLOOKUP(A251,Wine1!A:AF,5,FALSE),VLOOKUP(A251,Drank!A:AA,5,FALSE))</f>
        <v>100% Tempranillo</v>
      </c>
      <c r="F251" s="8">
        <f>IF(G251&gt;0,VLOOKUP(A251,Wine1!A:AF,32,FALSE),VLOOKUP(Agibility!A251,Drank!A:AA,27,FALSE))</f>
        <v>2</v>
      </c>
      <c r="G251" s="8">
        <f>COUNTIF(Wine1!A:A,Agibility!A251)</f>
        <v>2</v>
      </c>
      <c r="H251" s="37">
        <f>IFERROR(VLOOKUP(A251,Wine1!A:Y,25,FALSE),0)</f>
        <v>2024</v>
      </c>
      <c r="I251" s="37">
        <f>COUNTIF(Drank!A:A,Agibility!A251)</f>
        <v>2</v>
      </c>
      <c r="J251" s="37">
        <f>IFERROR(AVERAGEIF(Drank!A:A,Agibility!A251,Drank!P:P),0)</f>
        <v>2023.5</v>
      </c>
      <c r="K251" s="37">
        <f t="shared" si="10"/>
        <v>2023.5</v>
      </c>
      <c r="L251" s="37">
        <f>IF(B251="NV",40,IF(K251&gt;0,K251-B251," "))</f>
        <v>7.5</v>
      </c>
    </row>
    <row r="252" spans="1:12" x14ac:dyDescent="0.25">
      <c r="A252" t="s">
        <v>1282</v>
      </c>
      <c r="B252" s="37">
        <f>IF(G252&lt;=0,VLOOKUP(A252,Drank!A:D,2,FALSE),VLOOKUP(A252,Wine1!A:D,2,FALSE))</f>
        <v>2016</v>
      </c>
      <c r="C252" s="37" t="str">
        <f>IF(G252&lt;=0,VLOOKUP(A252,Drank!A:D,3,FALSE),VLOOKUP(A252,Wine1!A:D,3,FALSE))</f>
        <v>Norton</v>
      </c>
      <c r="D252" s="37" t="str">
        <f>IF(G252&lt;=0,VLOOKUP(A252,Drank!A:D,4,FALSE),VLOOKUP(A252,Wine1!A:D,4,FALSE))</f>
        <v>Privada Family Blend</v>
      </c>
      <c r="E252" s="8" t="str">
        <f>IF(G252&gt;0,VLOOKUP(A252,Wine1!A:AF,5,FALSE),VLOOKUP(A252,Drank!A:AA,5,FALSE))</f>
        <v>40% Malbec, 30% Cabernet Sauvignon, 30% Merlot</v>
      </c>
      <c r="F252" s="8">
        <f>IF(G252&gt;0,VLOOKUP(A252,Wine1!A:AF,32,FALSE),VLOOKUP(Agibility!A252,Drank!A:AA,27,FALSE))</f>
        <v>1</v>
      </c>
      <c r="G252" s="8">
        <f>COUNTIF(Wine1!A:A,Agibility!A252)</f>
        <v>2</v>
      </c>
      <c r="H252" s="37">
        <f>IFERROR(VLOOKUP(A252,Wine1!A:Y,25,FALSE),0)</f>
        <v>2025</v>
      </c>
      <c r="I252" s="37">
        <f>COUNTIF(Drank!A:A,Agibility!A252)</f>
        <v>1</v>
      </c>
      <c r="J252" s="37">
        <f>IFERROR(AVERAGEIF(Drank!A:A,Agibility!A252,Drank!P:P),0)</f>
        <v>2025</v>
      </c>
      <c r="K252" s="37">
        <f t="shared" si="10"/>
        <v>2025</v>
      </c>
      <c r="L252" s="37">
        <f t="shared" si="11"/>
        <v>9</v>
      </c>
    </row>
    <row r="253" spans="1:12" x14ac:dyDescent="0.25">
      <c r="A253" t="s">
        <v>1283</v>
      </c>
      <c r="B253" s="37">
        <f>IF(G253&lt;=0,VLOOKUP(A253,Drank!A:D,2,FALSE),VLOOKUP(A253,Wine1!A:D,2,FALSE))</f>
        <v>2016</v>
      </c>
      <c r="C253" s="37" t="str">
        <f>IF(G253&lt;=0,VLOOKUP(A253,Drank!A:D,3,FALSE),VLOOKUP(A253,Wine1!A:D,3,FALSE))</f>
        <v>Brotte</v>
      </c>
      <c r="D253" s="37" t="str">
        <f>IF(G253&lt;=0,VLOOKUP(A253,Drank!A:D,4,FALSE),VLOOKUP(A253,Wine1!A:D,4,FALSE))</f>
        <v>Gigondas la Marasque</v>
      </c>
      <c r="E253" s="8" t="str">
        <f>IF(G253&gt;0,VLOOKUP(A253,Wine1!A:AF,5,FALSE),VLOOKUP(A253,Drank!A:AA,5,FALSE))</f>
        <v>70% Grenache, 30% Syrah</v>
      </c>
      <c r="F253" s="8">
        <f>IF(G253&gt;0,VLOOKUP(A253,Wine1!A:AF,32,FALSE),VLOOKUP(Agibility!A253,Drank!A:AA,27,FALSE))</f>
        <v>2</v>
      </c>
      <c r="G253" s="8">
        <f>COUNTIF(Wine1!A:A,Agibility!A253)</f>
        <v>4</v>
      </c>
      <c r="H253" s="37">
        <f>IFERROR(VLOOKUP(A253,Wine1!A:Y,25,FALSE),0)</f>
        <v>2024</v>
      </c>
      <c r="I253" s="37">
        <f>COUNTIF(Drank!A:A,Agibility!A253)</f>
        <v>1</v>
      </c>
      <c r="J253" s="37">
        <f>IFERROR(AVERAGEIF(Drank!A:A,Agibility!A253,Drank!P:P),0)</f>
        <v>2024</v>
      </c>
      <c r="K253" s="37">
        <f t="shared" si="10"/>
        <v>2024</v>
      </c>
      <c r="L253" s="37">
        <f t="shared" si="11"/>
        <v>8</v>
      </c>
    </row>
    <row r="254" spans="1:12" x14ac:dyDescent="0.25">
      <c r="A254" t="s">
        <v>1284</v>
      </c>
      <c r="B254" s="37">
        <f>IF(G254&lt;=0,VLOOKUP(A254,Drank!A:D,2,FALSE),VLOOKUP(A254,Wine1!A:D,2,FALSE))</f>
        <v>2016</v>
      </c>
      <c r="C254" s="37" t="str">
        <f>IF(G254&lt;=0,VLOOKUP(A254,Drank!A:D,3,FALSE),VLOOKUP(A254,Wine1!A:D,3,FALSE))</f>
        <v>Vietti</v>
      </c>
      <c r="D254" s="37" t="str">
        <f>IF(G254&lt;=0,VLOOKUP(A254,Drank!A:D,4,FALSE),VLOOKUP(A254,Wine1!A:D,4,FALSE))</f>
        <v>Langhe Nebbiolo Perbacco</v>
      </c>
      <c r="E254" s="8" t="str">
        <f>IF(G254&gt;0,VLOOKUP(A254,Wine1!A:AF,5,FALSE),VLOOKUP(A254,Drank!A:AA,5,FALSE))</f>
        <v>100% Nebbiolo</v>
      </c>
      <c r="F254" s="8">
        <f>IF(G254&gt;0,VLOOKUP(A254,Wine1!A:AF,32,FALSE),VLOOKUP(Agibility!A254,Drank!A:AA,27,FALSE))</f>
        <v>2</v>
      </c>
      <c r="G254" s="8">
        <f>COUNTIF(Wine1!A:A,Agibility!A254)</f>
        <v>1</v>
      </c>
      <c r="H254" s="37">
        <f>IFERROR(VLOOKUP(A254,Wine1!A:Y,25,FALSE),0)</f>
        <v>2028</v>
      </c>
      <c r="I254" s="37">
        <f>COUNTIF(Drank!A:A,Agibility!A254)</f>
        <v>1</v>
      </c>
      <c r="J254" s="37">
        <f>IFERROR(AVERAGEIF(Drank!A:A,Agibility!A254,Drank!P:P),0)</f>
        <v>2028</v>
      </c>
      <c r="K254" s="37">
        <f t="shared" ref="K254:K266" si="12">IF(J254&gt;0,J254,H254)</f>
        <v>2028</v>
      </c>
      <c r="L254" s="37">
        <f t="shared" ref="L254:L266" si="13">IF(K254&gt;0,K254-B254," ")</f>
        <v>12</v>
      </c>
    </row>
    <row r="255" spans="1:12" x14ac:dyDescent="0.25">
      <c r="A255" t="s">
        <v>1285</v>
      </c>
      <c r="B255" s="37">
        <f>IF(G255&lt;=0,VLOOKUP(A255,Drank!A:D,2,FALSE),VLOOKUP(A255,Wine1!A:D,2,FALSE))</f>
        <v>2017</v>
      </c>
      <c r="C255" s="37" t="str">
        <f>IF(G255&lt;=0,VLOOKUP(A255,Drank!A:D,3,FALSE),VLOOKUP(A255,Wine1!A:D,3,FALSE))</f>
        <v>Altos Las Hormigas</v>
      </c>
      <c r="D255" s="37" t="str">
        <f>IF(G255&lt;=0,VLOOKUP(A255,Drank!A:D,4,FALSE),VLOOKUP(A255,Wine1!A:D,4,FALSE))</f>
        <v>Malbec Appellation Altamira</v>
      </c>
      <c r="E255" s="8" t="str">
        <f>IF(G255&gt;0,VLOOKUP(A255,Wine1!A:AF,5,FALSE),VLOOKUP(A255,Drank!A:AA,5,FALSE))</f>
        <v>Malbec</v>
      </c>
      <c r="F255" s="8">
        <f>IF(G255&gt;0,VLOOKUP(A255,Wine1!A:AF,32,FALSE),VLOOKUP(Agibility!A255,Drank!A:AA,27,FALSE))</f>
        <v>3</v>
      </c>
      <c r="G255" s="8">
        <f>COUNTIF(Wine1!A:A,Agibility!A255)</f>
        <v>0</v>
      </c>
      <c r="H255" s="37">
        <f>IFERROR(VLOOKUP(A255,Wine1!A:Y,25,FALSE),0)</f>
        <v>0</v>
      </c>
      <c r="I255" s="37">
        <f>COUNTIF(Drank!A:A,Agibility!A255)</f>
        <v>1</v>
      </c>
      <c r="J255" s="37">
        <f>IFERROR(AVERAGEIF(Drank!A:A,Agibility!A255,Drank!P:P),0)</f>
        <v>2025</v>
      </c>
      <c r="K255" s="37">
        <f t="shared" si="12"/>
        <v>2025</v>
      </c>
      <c r="L255" s="37">
        <f t="shared" si="13"/>
        <v>8</v>
      </c>
    </row>
    <row r="256" spans="1:12" x14ac:dyDescent="0.25">
      <c r="A256" t="s">
        <v>1286</v>
      </c>
      <c r="B256" s="37">
        <f>IF(G256&lt;=0,VLOOKUP(A256,Drank!A:D,2,FALSE),VLOOKUP(A256,Wine1!A:D,2,FALSE))</f>
        <v>2016</v>
      </c>
      <c r="C256" s="37" t="str">
        <f>IF(G256&lt;=0,VLOOKUP(A256,Drank!A:D,3,FALSE),VLOOKUP(A256,Wine1!A:D,3,FALSE))</f>
        <v>Domaine du Grand Tinel</v>
      </c>
      <c r="D256" s="37" t="str">
        <f>IF(G256&lt;=0,VLOOKUP(A256,Drank!A:D,4,FALSE),VLOOKUP(A256,Wine1!A:D,4,FALSE))</f>
        <v>Chateauneuf du Pape Cuvee Alexis Establet</v>
      </c>
      <c r="E256" s="8" t="str">
        <f>IF(G256&gt;0,VLOOKUP(A256,Wine1!A:AF,5,FALSE),VLOOKUP(A256,Drank!A:AA,5,FALSE))</f>
        <v>100% Grenache</v>
      </c>
      <c r="F256" s="8">
        <f>IF(G256&gt;0,VLOOKUP(A256,Wine1!A:AF,32,FALSE),VLOOKUP(Agibility!A256,Drank!A:AA,27,FALSE))</f>
        <v>3</v>
      </c>
      <c r="G256" s="8">
        <f>COUNTIF(Wine1!A:A,Agibility!A256)</f>
        <v>4</v>
      </c>
      <c r="H256" s="37">
        <f>IFERROR(VLOOKUP(A256,Wine1!A:Y,25,FALSE),0)</f>
        <v>2030</v>
      </c>
      <c r="I256" s="37">
        <f>COUNTIF(Drank!A:A,Agibility!A256)</f>
        <v>0</v>
      </c>
      <c r="J256" s="37">
        <f>IFERROR(AVERAGEIF(Drank!A:A,Agibility!A256,Drank!P:P),0)</f>
        <v>0</v>
      </c>
      <c r="K256" s="37">
        <f t="shared" si="12"/>
        <v>2030</v>
      </c>
      <c r="L256" s="37">
        <f t="shared" si="13"/>
        <v>14</v>
      </c>
    </row>
    <row r="257" spans="1:12" x14ac:dyDescent="0.25">
      <c r="A257" t="s">
        <v>1287</v>
      </c>
      <c r="B257" s="37">
        <f>IF(G257&lt;=0,VLOOKUP(A257,Drank!A:D,2,FALSE),VLOOKUP(A257,Wine1!A:D,2,FALSE))</f>
        <v>2016</v>
      </c>
      <c r="C257" s="37" t="str">
        <f>IF(G257&lt;=0,VLOOKUP(A257,Drank!A:D,3,FALSE),VLOOKUP(A257,Wine1!A:D,3,FALSE))</f>
        <v>Casanova di Neri</v>
      </c>
      <c r="D257" s="37" t="str">
        <f>IF(G257&lt;=0,VLOOKUP(A257,Drank!A:D,4,FALSE),VLOOKUP(A257,Wine1!A:D,4,FALSE))</f>
        <v>Pietradonice</v>
      </c>
      <c r="E257" s="8" t="str">
        <f>IF(G257&gt;0,VLOOKUP(A257,Wine1!A:AF,5,FALSE),VLOOKUP(A257,Drank!A:AA,5,FALSE))</f>
        <v>Cabernet Sauvignon</v>
      </c>
      <c r="F257" s="8">
        <f>IF(G257&gt;0,VLOOKUP(A257,Wine1!A:AF,32,FALSE),VLOOKUP(Agibility!A257,Drank!A:AA,27,FALSE))</f>
        <v>4</v>
      </c>
      <c r="G257" s="8">
        <f>COUNTIF(Wine1!A:A,Agibility!A257)</f>
        <v>2</v>
      </c>
      <c r="H257" s="37">
        <f>IFERROR(VLOOKUP(A257,Wine1!A:Y,25,FALSE),0)</f>
        <v>2030</v>
      </c>
      <c r="I257" s="37">
        <f>COUNTIF(Drank!A:A,Agibility!A257)</f>
        <v>0</v>
      </c>
      <c r="J257" s="37">
        <f>IFERROR(AVERAGEIF(Drank!A:A,Agibility!A257,Drank!P:P),0)</f>
        <v>0</v>
      </c>
      <c r="K257" s="37">
        <f t="shared" si="12"/>
        <v>2030</v>
      </c>
      <c r="L257" s="37">
        <f t="shared" si="13"/>
        <v>14</v>
      </c>
    </row>
    <row r="258" spans="1:12" x14ac:dyDescent="0.25">
      <c r="A258" t="s">
        <v>1288</v>
      </c>
      <c r="B258" s="37">
        <f>IF(G258&lt;=0,VLOOKUP(A258,Drank!A:D,2,FALSE),VLOOKUP(A258,Wine1!A:D,2,FALSE))</f>
        <v>2017</v>
      </c>
      <c r="C258" s="37" t="str">
        <f>IF(G258&lt;=0,VLOOKUP(A258,Drank!A:D,3,FALSE),VLOOKUP(A258,Wine1!A:D,3,FALSE))</f>
        <v>Altos Las Hormigas</v>
      </c>
      <c r="D258" s="37" t="str">
        <f>IF(G258&lt;=0,VLOOKUP(A258,Drank!A:D,4,FALSE),VLOOKUP(A258,Wine1!A:D,4,FALSE))</f>
        <v>Malbec Appellation Gualtallary</v>
      </c>
      <c r="E258" s="8" t="str">
        <f>IF(G258&gt;0,VLOOKUP(A258,Wine1!A:AF,5,FALSE),VLOOKUP(A258,Drank!A:AA,5,FALSE))</f>
        <v>100% Malbec</v>
      </c>
      <c r="F258" s="8">
        <f>IF(G258&gt;0,VLOOKUP(A258,Wine1!A:AF,32,FALSE),VLOOKUP(Agibility!A258,Drank!A:AA,27,FALSE))</f>
        <v>3</v>
      </c>
      <c r="G258" s="8">
        <f>COUNTIF(Wine1!A:A,Agibility!A258)</f>
        <v>38</v>
      </c>
      <c r="H258" s="37">
        <f>IFERROR(VLOOKUP(A258,Wine1!A:Y,25,FALSE),0)</f>
        <v>2030</v>
      </c>
      <c r="I258" s="37">
        <f>COUNTIF(Drank!A:A,Agibility!A258)</f>
        <v>1</v>
      </c>
      <c r="J258" s="37">
        <f>IFERROR(AVERAGEIF(Drank!A:A,Agibility!A258,Drank!P:P),0)</f>
        <v>2030</v>
      </c>
      <c r="K258" s="37">
        <f t="shared" si="12"/>
        <v>2030</v>
      </c>
      <c r="L258" s="37">
        <f t="shared" si="13"/>
        <v>13</v>
      </c>
    </row>
    <row r="259" spans="1:12" x14ac:dyDescent="0.25">
      <c r="A259" t="s">
        <v>1289</v>
      </c>
      <c r="B259" s="37">
        <f>IF(G259&lt;=0,VLOOKUP(A259,Drank!A:D,2,FALSE),VLOOKUP(A259,Wine1!A:D,2,FALSE))</f>
        <v>2012</v>
      </c>
      <c r="C259" s="37" t="str">
        <f>IF(G259&lt;=0,VLOOKUP(A259,Drank!A:D,3,FALSE),VLOOKUP(A259,Wine1!A:D,3,FALSE))</f>
        <v>Poggio Antico</v>
      </c>
      <c r="D259" s="37" t="str">
        <f>IF(G259&lt;=0,VLOOKUP(A259,Drank!A:D,4,FALSE),VLOOKUP(A259,Wine1!A:D,4,FALSE))</f>
        <v>Brunello di Montalcino Altero</v>
      </c>
      <c r="E259" s="8" t="str">
        <f>IF(G259&gt;0,VLOOKUP(A259,Wine1!A:AF,5,FALSE),VLOOKUP(A259,Drank!A:AA,5,FALSE))</f>
        <v>Sangiovese</v>
      </c>
      <c r="F259" s="8">
        <f>IF(G259&gt;0,VLOOKUP(A259,Wine1!A:AF,32,FALSE),VLOOKUP(Agibility!A259,Drank!A:AA,27,FALSE))</f>
        <v>3</v>
      </c>
      <c r="G259" s="8">
        <f>COUNTIF(Wine1!A:A,Agibility!A259)</f>
        <v>3</v>
      </c>
      <c r="H259" s="37">
        <f>IFERROR(VLOOKUP(A259,Wine1!A:Y,25,FALSE),0)</f>
        <v>2030</v>
      </c>
      <c r="I259" s="37">
        <f>COUNTIF(Drank!A:A,Agibility!A259)</f>
        <v>0</v>
      </c>
      <c r="J259" s="37">
        <f>IFERROR(AVERAGEIF(Drank!A:A,Agibility!A259,Drank!P:P),0)</f>
        <v>0</v>
      </c>
      <c r="K259" s="37">
        <f t="shared" si="12"/>
        <v>2030</v>
      </c>
      <c r="L259" s="37">
        <f t="shared" si="13"/>
        <v>18</v>
      </c>
    </row>
    <row r="260" spans="1:12" x14ac:dyDescent="0.25">
      <c r="A260" t="s">
        <v>1290</v>
      </c>
      <c r="B260" s="37">
        <f>IF(G260&lt;=0,VLOOKUP(A260,Drank!A:D,2,FALSE),VLOOKUP(A260,Wine1!A:D,2,FALSE))</f>
        <v>2015</v>
      </c>
      <c r="C260" s="37" t="str">
        <f>IF(G260&lt;=0,VLOOKUP(A260,Drank!A:D,3,FALSE),VLOOKUP(A260,Wine1!A:D,3,FALSE))</f>
        <v>Tenuta Sant'antonio</v>
      </c>
      <c r="D260" s="37" t="str">
        <f>IF(G260&lt;=0,VLOOKUP(A260,Drank!A:D,4,FALSE),VLOOKUP(A260,Wine1!A:D,4,FALSE))</f>
        <v>Amarone della Valpolicella Selezione Antonio Castagnedi</v>
      </c>
      <c r="E260" s="8" t="str">
        <f>IF(G260&gt;0,VLOOKUP(A260,Wine1!A:AF,5,FALSE),VLOOKUP(A260,Drank!A:AA,5,FALSE))</f>
        <v>70% Corvina &amp; Corvinone, 20% Rondinella, 5% Croatina, 5% Oseleta</v>
      </c>
      <c r="F260" s="8">
        <f>IF(G260&gt;0,VLOOKUP(A260,Wine1!A:AF,32,FALSE),VLOOKUP(Agibility!A260,Drank!A:AA,27,FALSE))</f>
        <v>3</v>
      </c>
      <c r="G260" s="8">
        <f>COUNTIF(Wine1!A:A,Agibility!A260)</f>
        <v>4</v>
      </c>
      <c r="H260" s="37">
        <f>IFERROR(VLOOKUP(A260,Wine1!A:Y,25,FALSE),0)</f>
        <v>2030</v>
      </c>
      <c r="I260" s="37">
        <f>COUNTIF(Drank!A:A,Agibility!A260)</f>
        <v>0</v>
      </c>
      <c r="J260" s="37">
        <f>IFERROR(AVERAGEIF(Drank!A:A,Agibility!A260,Drank!P:P),0)</f>
        <v>0</v>
      </c>
      <c r="K260" s="37">
        <f t="shared" si="12"/>
        <v>2030</v>
      </c>
      <c r="L260" s="37">
        <f t="shared" si="13"/>
        <v>15</v>
      </c>
    </row>
    <row r="261" spans="1:12" x14ac:dyDescent="0.25">
      <c r="A261" t="s">
        <v>1291</v>
      </c>
      <c r="B261" s="37">
        <f>IF(G261&lt;=0,VLOOKUP(A261,Drank!A:D,2,FALSE),VLOOKUP(A261,Wine1!A:D,2,FALSE))</f>
        <v>2015</v>
      </c>
      <c r="C261" s="37" t="str">
        <f>IF(G261&lt;=0,VLOOKUP(A261,Drank!A:D,3,FALSE),VLOOKUP(A261,Wine1!A:D,3,FALSE))</f>
        <v>Oddero</v>
      </c>
      <c r="D261" s="37" t="str">
        <f>IF(G261&lt;=0,VLOOKUP(A261,Drank!A:D,4,FALSE),VLOOKUP(A261,Wine1!A:D,4,FALSE))</f>
        <v>Barolo</v>
      </c>
      <c r="E261" s="8" t="str">
        <f>IF(G261&gt;0,VLOOKUP(A261,Wine1!A:AF,5,FALSE),VLOOKUP(A261,Drank!A:AA,5,FALSE))</f>
        <v>100% Nebbiolo</v>
      </c>
      <c r="F261" s="8">
        <f>IF(G261&gt;0,VLOOKUP(A261,Wine1!A:AF,32,FALSE),VLOOKUP(Agibility!A261,Drank!A:AA,27,FALSE))</f>
        <v>3</v>
      </c>
      <c r="G261" s="8">
        <f>COUNTIF(Wine1!A:A,Agibility!A261)</f>
        <v>22</v>
      </c>
      <c r="H261" s="37">
        <f>IFERROR(VLOOKUP(A261,Wine1!A:Y,25,FALSE),0)</f>
        <v>2035</v>
      </c>
      <c r="I261" s="37">
        <f>COUNTIF(Drank!A:A,Agibility!A261)</f>
        <v>2</v>
      </c>
      <c r="J261" s="37">
        <f>IFERROR(AVERAGEIF(Drank!A:A,Agibility!A261,Drank!P:P),0)</f>
        <v>2035</v>
      </c>
      <c r="K261" s="37">
        <f t="shared" si="12"/>
        <v>2035</v>
      </c>
      <c r="L261" s="37">
        <f t="shared" si="13"/>
        <v>20</v>
      </c>
    </row>
    <row r="262" spans="1:12" x14ac:dyDescent="0.25">
      <c r="A262" t="s">
        <v>1292</v>
      </c>
      <c r="B262" s="37">
        <f>IF(G262&lt;=0,VLOOKUP(A262,Drank!A:D,2,FALSE),VLOOKUP(A262,Wine1!A:D,2,FALSE))</f>
        <v>2016</v>
      </c>
      <c r="C262" s="37" t="str">
        <f>IF(G262&lt;=0,VLOOKUP(A262,Drank!A:D,3,FALSE),VLOOKUP(A262,Wine1!A:D,3,FALSE))</f>
        <v>Diez-Caballero</v>
      </c>
      <c r="D262" s="37" t="str">
        <f>IF(G262&lt;=0,VLOOKUP(A262,Drank!A:D,4,FALSE),VLOOKUP(A262,Wine1!A:D,4,FALSE))</f>
        <v>Vendimia Seleccionada</v>
      </c>
      <c r="E262" s="8" t="str">
        <f>IF(G262&gt;0,VLOOKUP(A262,Wine1!A:AF,5,FALSE),VLOOKUP(A262,Drank!A:AA,5,FALSE))</f>
        <v>100% Tempranillo</v>
      </c>
      <c r="F262" s="8">
        <f>IF(G262&gt;0,VLOOKUP(A262,Wine1!A:AF,32,FALSE),VLOOKUP(Agibility!A262,Drank!A:AA,27,FALSE))</f>
        <v>2</v>
      </c>
      <c r="G262" s="8">
        <f>COUNTIF(Wine1!A:A,Agibility!A262)</f>
        <v>7</v>
      </c>
      <c r="H262" s="37">
        <f>IFERROR(VLOOKUP(A262,Wine1!A:Y,25,FALSE),0)</f>
        <v>2025</v>
      </c>
      <c r="I262" s="37">
        <f>COUNTIF(Drank!A:A,Agibility!A262)</f>
        <v>1</v>
      </c>
      <c r="J262" s="37">
        <f>IFERROR(AVERAGEIF(Drank!A:A,Agibility!A262,Drank!P:P),0)</f>
        <v>2025</v>
      </c>
      <c r="K262" s="37">
        <f t="shared" si="12"/>
        <v>2025</v>
      </c>
      <c r="L262" s="37">
        <f t="shared" si="13"/>
        <v>9</v>
      </c>
    </row>
    <row r="263" spans="1:12" x14ac:dyDescent="0.25">
      <c r="A263" t="s">
        <v>1245</v>
      </c>
      <c r="B263" s="37">
        <f>IF(G263&lt;=0,VLOOKUP(A263,Drank!A:D,2,FALSE),VLOOKUP(A263,Wine1!A:D,2,FALSE))</f>
        <v>2011</v>
      </c>
      <c r="C263" s="37" t="str">
        <f>IF(G263&lt;=0,VLOOKUP(A263,Drank!A:D,3,FALSE),VLOOKUP(A263,Wine1!A:D,3,FALSE))</f>
        <v>Mazzei</v>
      </c>
      <c r="D263" s="37" t="str">
        <f>IF(G263&lt;=0,VLOOKUP(A263,Drank!A:D,4,FALSE),VLOOKUP(A263,Wine1!A:D,4,FALSE))</f>
        <v>Tenuta Belguardo</v>
      </c>
      <c r="E263" s="8" t="str">
        <f>IF(G263&gt;0,VLOOKUP(A263,Wine1!A:AF,5,FALSE),VLOOKUP(A263,Drank!A:AA,5,FALSE))</f>
        <v>90% Cabernet Sauvignon, 10% Cabernet Franc</v>
      </c>
      <c r="F263" s="8">
        <f>IF(G263&gt;0,VLOOKUP(A263,Wine1!A:AF,32,FALSE),VLOOKUP(Agibility!A263,Drank!A:AA,27,FALSE))</f>
        <v>3</v>
      </c>
      <c r="G263" s="8">
        <f>COUNTIF(Wine1!A:A,Agibility!A263)</f>
        <v>3</v>
      </c>
      <c r="H263" s="37">
        <f>IFERROR(VLOOKUP(A263,Wine1!A:Y,25,FALSE),0)</f>
        <v>2026</v>
      </c>
      <c r="I263" s="37">
        <f>COUNTIF(Drank!A:A,Agibility!A263)</f>
        <v>1</v>
      </c>
      <c r="J263" s="37">
        <f>IFERROR(AVERAGEIF(Drank!A:A,Agibility!A263,Drank!P:P),0)</f>
        <v>2026</v>
      </c>
      <c r="K263" s="37">
        <f t="shared" si="12"/>
        <v>2026</v>
      </c>
      <c r="L263" s="37">
        <f t="shared" si="13"/>
        <v>15</v>
      </c>
    </row>
    <row r="264" spans="1:12" x14ac:dyDescent="0.25">
      <c r="A264" t="s">
        <v>1293</v>
      </c>
      <c r="B264" s="37">
        <f>IF(G264&lt;=0,VLOOKUP(A264,Drank!A:D,2,FALSE),VLOOKUP(A264,Wine1!A:D,2,FALSE))</f>
        <v>2016</v>
      </c>
      <c r="C264" s="37" t="str">
        <f>IF(G264&lt;=0,VLOOKUP(A264,Drank!A:D,3,FALSE),VLOOKUP(A264,Wine1!A:D,3,FALSE))</f>
        <v>Tenuta San Guido</v>
      </c>
      <c r="D264" s="37" t="str">
        <f>IF(G264&lt;=0,VLOOKUP(A264,Drank!A:D,4,FALSE),VLOOKUP(A264,Wine1!A:D,4,FALSE))</f>
        <v>Guidalberto</v>
      </c>
      <c r="E264" s="8" t="str">
        <f>IF(G264&gt;0,VLOOKUP(A264,Wine1!A:AF,5,FALSE),VLOOKUP(A264,Drank!A:AA,5,FALSE))</f>
        <v>60% Cabernet Sauvignon, 40% Merlot</v>
      </c>
      <c r="F264" s="8">
        <f>IF(G264&gt;0,VLOOKUP(A264,Wine1!A:AF,32,FALSE),VLOOKUP(Agibility!A264,Drank!A:AA,27,FALSE))</f>
        <v>3</v>
      </c>
      <c r="G264" s="8">
        <f>COUNTIF(Wine1!A:A,Agibility!A264)</f>
        <v>6</v>
      </c>
      <c r="H264" s="37">
        <f>IFERROR(VLOOKUP(A264,Wine1!A:Y,25,FALSE),0)</f>
        <v>2030</v>
      </c>
      <c r="I264" s="37">
        <f>COUNTIF(Drank!A:A,Agibility!A264)</f>
        <v>1</v>
      </c>
      <c r="J264" s="37">
        <f>IFERROR(AVERAGEIF(Drank!A:A,Agibility!A264,Drank!P:P),0)</f>
        <v>2030</v>
      </c>
      <c r="K264" s="37">
        <f t="shared" si="12"/>
        <v>2030</v>
      </c>
      <c r="L264" s="37">
        <f t="shared" si="13"/>
        <v>14</v>
      </c>
    </row>
    <row r="265" spans="1:12" x14ac:dyDescent="0.25">
      <c r="A265" t="s">
        <v>1244</v>
      </c>
      <c r="B265" s="37">
        <f>IF(G265&lt;=0,VLOOKUP(A265,Drank!A:D,2,FALSE),VLOOKUP(A265,Wine1!A:D,2,FALSE))</f>
        <v>2016</v>
      </c>
      <c r="C265" s="37" t="str">
        <f>IF(G265&lt;=0,VLOOKUP(A265,Drank!A:D,3,FALSE),VLOOKUP(A265,Wine1!A:D,3,FALSE))</f>
        <v>Aalto</v>
      </c>
      <c r="D265" s="37" t="str">
        <f>IF(G265&lt;=0,VLOOKUP(A265,Drank!A:D,4,FALSE),VLOOKUP(A265,Wine1!A:D,4,FALSE))</f>
        <v>Aalto</v>
      </c>
      <c r="E265" s="8" t="str">
        <f>IF(G265&gt;0,VLOOKUP(A265,Wine1!A:AF,5,FALSE),VLOOKUP(A265,Drank!A:AA,5,FALSE))</f>
        <v>100% Tempranillo</v>
      </c>
      <c r="F265" s="8">
        <f>IF(G265&gt;0,VLOOKUP(A265,Wine1!A:AF,32,FALSE),VLOOKUP(Agibility!A265,Drank!A:AA,27,FALSE))</f>
        <v>3</v>
      </c>
      <c r="G265" s="8">
        <f>COUNTIF(Wine1!A:A,Agibility!A265)</f>
        <v>7</v>
      </c>
      <c r="H265" s="37">
        <f>IFERROR(VLOOKUP(A265,Wine1!A:Y,25,FALSE),0)</f>
        <v>2029</v>
      </c>
      <c r="I265" s="37">
        <f>COUNTIF(Drank!A:A,Agibility!A265)</f>
        <v>1</v>
      </c>
      <c r="J265" s="37">
        <f>IFERROR(AVERAGEIF(Drank!A:A,Agibility!A265,Drank!P:P),0)</f>
        <v>2029</v>
      </c>
      <c r="K265" s="37">
        <f t="shared" si="12"/>
        <v>2029</v>
      </c>
      <c r="L265" s="37">
        <f t="shared" si="13"/>
        <v>13</v>
      </c>
    </row>
    <row r="266" spans="1:12" x14ac:dyDescent="0.25">
      <c r="A266" t="s">
        <v>1294</v>
      </c>
      <c r="B266" s="37">
        <f>IF(G266&lt;=0,VLOOKUP(A266,Drank!A:D,2,FALSE),VLOOKUP(A266,Wine1!A:D,2,FALSE))</f>
        <v>2015</v>
      </c>
      <c r="C266" s="37" t="str">
        <f>IF(G266&lt;=0,VLOOKUP(A266,Drank!A:D,3,FALSE),VLOOKUP(A266,Wine1!A:D,3,FALSE))</f>
        <v>Resalte de Peñafiel</v>
      </c>
      <c r="D266" s="37" t="str">
        <f>IF(G266&lt;=0,VLOOKUP(A266,Drank!A:D,4,FALSE),VLOOKUP(A266,Wine1!A:D,4,FALSE))</f>
        <v>Origen de Resalte</v>
      </c>
      <c r="E266" s="8" t="str">
        <f>IF(G266&gt;0,VLOOKUP(A266,Wine1!A:AF,5,FALSE),VLOOKUP(A266,Drank!A:AA,5,FALSE))</f>
        <v>100% Tempranillo</v>
      </c>
      <c r="F266" s="8">
        <f>IF(G266&gt;0,VLOOKUP(A266,Wine1!A:AF,32,FALSE),VLOOKUP(Agibility!A266,Drank!A:AA,27,FALSE))</f>
        <v>2</v>
      </c>
      <c r="G266" s="8">
        <f>COUNTIF(Wine1!A:A,Agibility!A266)</f>
        <v>2</v>
      </c>
      <c r="H266" s="37">
        <f>IFERROR(VLOOKUP(A266,Wine1!A:Y,25,FALSE),0)</f>
        <v>2023</v>
      </c>
      <c r="I266" s="37">
        <f>COUNTIF(Drank!A:A,Agibility!A266)</f>
        <v>2</v>
      </c>
      <c r="J266" s="37">
        <f>IFERROR(AVERAGEIF(Drank!A:A,Agibility!A266,Drank!P:P),0)</f>
        <v>2023</v>
      </c>
      <c r="K266" s="37">
        <f t="shared" si="12"/>
        <v>2023</v>
      </c>
      <c r="L266" s="37">
        <f t="shared" si="13"/>
        <v>8</v>
      </c>
    </row>
    <row r="267" spans="1:12" x14ac:dyDescent="0.25">
      <c r="B267"/>
      <c r="C267"/>
      <c r="D267"/>
    </row>
    <row r="268" spans="1:12" x14ac:dyDescent="0.25">
      <c r="B268"/>
      <c r="C268"/>
      <c r="D268"/>
    </row>
    <row r="269" spans="1:12" x14ac:dyDescent="0.25">
      <c r="B269"/>
      <c r="C269"/>
      <c r="D269"/>
    </row>
    <row r="270" spans="1:12" x14ac:dyDescent="0.25">
      <c r="B270"/>
      <c r="C270"/>
      <c r="D270"/>
    </row>
    <row r="271" spans="1:12" x14ac:dyDescent="0.25">
      <c r="B271"/>
      <c r="C271"/>
      <c r="D271"/>
    </row>
    <row r="272" spans="1:12" x14ac:dyDescent="0.25">
      <c r="B272"/>
      <c r="C272"/>
      <c r="D272"/>
    </row>
    <row r="273" spans="2:4" x14ac:dyDescent="0.25">
      <c r="B273"/>
      <c r="C273"/>
      <c r="D273"/>
    </row>
    <row r="274" spans="2:4" x14ac:dyDescent="0.25">
      <c r="B274"/>
      <c r="C274"/>
      <c r="D274"/>
    </row>
    <row r="275" spans="2:4" x14ac:dyDescent="0.25">
      <c r="B275"/>
      <c r="C275"/>
      <c r="D275"/>
    </row>
    <row r="276" spans="2:4" x14ac:dyDescent="0.25">
      <c r="B276"/>
      <c r="C276"/>
      <c r="D276"/>
    </row>
    <row r="277" spans="2:4" x14ac:dyDescent="0.25">
      <c r="B277"/>
      <c r="C277"/>
      <c r="D277"/>
    </row>
    <row r="278" spans="2:4" x14ac:dyDescent="0.25">
      <c r="B278"/>
      <c r="C278"/>
      <c r="D278"/>
    </row>
    <row r="279" spans="2:4" x14ac:dyDescent="0.25">
      <c r="B279"/>
      <c r="C279"/>
      <c r="D279"/>
    </row>
    <row r="280" spans="2:4" x14ac:dyDescent="0.25">
      <c r="B280"/>
      <c r="C280"/>
      <c r="D280"/>
    </row>
    <row r="281" spans="2:4" x14ac:dyDescent="0.25">
      <c r="B281"/>
      <c r="C281"/>
      <c r="D281"/>
    </row>
    <row r="282" spans="2:4" x14ac:dyDescent="0.25">
      <c r="B282"/>
      <c r="C282"/>
      <c r="D282"/>
    </row>
    <row r="283" spans="2:4" x14ac:dyDescent="0.25">
      <c r="B283"/>
      <c r="C283"/>
      <c r="D283"/>
    </row>
    <row r="284" spans="2:4" x14ac:dyDescent="0.25">
      <c r="B284"/>
      <c r="C284"/>
      <c r="D284"/>
    </row>
    <row r="285" spans="2:4" x14ac:dyDescent="0.25">
      <c r="B285"/>
      <c r="C285"/>
      <c r="D285"/>
    </row>
    <row r="286" spans="2:4" x14ac:dyDescent="0.25">
      <c r="B286"/>
      <c r="C286"/>
      <c r="D286"/>
    </row>
    <row r="287" spans="2:4" x14ac:dyDescent="0.25">
      <c r="B287"/>
      <c r="C287"/>
      <c r="D287"/>
    </row>
    <row r="288" spans="2:4" x14ac:dyDescent="0.25">
      <c r="B288"/>
      <c r="C288"/>
      <c r="D288"/>
    </row>
    <row r="289" spans="2:4" x14ac:dyDescent="0.25">
      <c r="B289"/>
      <c r="C289"/>
      <c r="D289"/>
    </row>
    <row r="290" spans="2:4" x14ac:dyDescent="0.25">
      <c r="B290"/>
      <c r="C290"/>
      <c r="D290"/>
    </row>
    <row r="291" spans="2:4" x14ac:dyDescent="0.25">
      <c r="B291"/>
      <c r="C291"/>
      <c r="D291"/>
    </row>
    <row r="292" spans="2:4" x14ac:dyDescent="0.25">
      <c r="B292"/>
      <c r="C292"/>
      <c r="D292"/>
    </row>
    <row r="293" spans="2:4" x14ac:dyDescent="0.25">
      <c r="B293"/>
      <c r="C293"/>
      <c r="D293"/>
    </row>
    <row r="294" spans="2:4" x14ac:dyDescent="0.25">
      <c r="B294"/>
      <c r="C294"/>
      <c r="D294"/>
    </row>
    <row r="295" spans="2:4" x14ac:dyDescent="0.25">
      <c r="B295"/>
      <c r="C295"/>
      <c r="D295"/>
    </row>
    <row r="296" spans="2:4" x14ac:dyDescent="0.25">
      <c r="B296"/>
      <c r="C296"/>
      <c r="D296"/>
    </row>
    <row r="297" spans="2:4" x14ac:dyDescent="0.25">
      <c r="B297"/>
      <c r="C297"/>
      <c r="D297"/>
    </row>
    <row r="298" spans="2:4" x14ac:dyDescent="0.25">
      <c r="B298"/>
      <c r="C298"/>
      <c r="D298"/>
    </row>
    <row r="299" spans="2:4" x14ac:dyDescent="0.25">
      <c r="B299"/>
      <c r="C299"/>
      <c r="D299"/>
    </row>
    <row r="300" spans="2:4" x14ac:dyDescent="0.25">
      <c r="B300"/>
      <c r="C300"/>
      <c r="D300"/>
    </row>
    <row r="301" spans="2:4" x14ac:dyDescent="0.25">
      <c r="B301"/>
      <c r="C301"/>
      <c r="D301"/>
    </row>
    <row r="302" spans="2:4" x14ac:dyDescent="0.25">
      <c r="B302"/>
      <c r="C302"/>
      <c r="D302"/>
    </row>
    <row r="303" spans="2:4" x14ac:dyDescent="0.25">
      <c r="B303"/>
      <c r="C303"/>
      <c r="D303"/>
    </row>
    <row r="304" spans="2:4" x14ac:dyDescent="0.25">
      <c r="B304"/>
      <c r="C304"/>
      <c r="D304"/>
    </row>
    <row r="305" spans="2:4" x14ac:dyDescent="0.25">
      <c r="B305"/>
      <c r="C305"/>
      <c r="D305"/>
    </row>
    <row r="306" spans="2:4" x14ac:dyDescent="0.25">
      <c r="B306"/>
      <c r="C306"/>
      <c r="D306"/>
    </row>
    <row r="307" spans="2:4" x14ac:dyDescent="0.25">
      <c r="B307"/>
      <c r="C307"/>
      <c r="D307"/>
    </row>
    <row r="308" spans="2:4" x14ac:dyDescent="0.25">
      <c r="B308"/>
      <c r="C308"/>
      <c r="D308"/>
    </row>
    <row r="309" spans="2:4" x14ac:dyDescent="0.25">
      <c r="B309"/>
      <c r="C309"/>
      <c r="D309"/>
    </row>
    <row r="310" spans="2:4" x14ac:dyDescent="0.25">
      <c r="B310"/>
      <c r="C310"/>
      <c r="D310"/>
    </row>
    <row r="311" spans="2:4" x14ac:dyDescent="0.25">
      <c r="B311"/>
      <c r="C311"/>
      <c r="D311"/>
    </row>
    <row r="312" spans="2:4" x14ac:dyDescent="0.25">
      <c r="B312"/>
      <c r="C312"/>
      <c r="D312"/>
    </row>
    <row r="313" spans="2:4" x14ac:dyDescent="0.25">
      <c r="B313"/>
      <c r="C313"/>
      <c r="D313"/>
    </row>
    <row r="314" spans="2:4" x14ac:dyDescent="0.25">
      <c r="B314"/>
      <c r="C314"/>
      <c r="D314"/>
    </row>
    <row r="315" spans="2:4" x14ac:dyDescent="0.25">
      <c r="B315"/>
      <c r="C315"/>
      <c r="D315"/>
    </row>
    <row r="316" spans="2:4" x14ac:dyDescent="0.25">
      <c r="B316"/>
      <c r="C316"/>
      <c r="D316"/>
    </row>
    <row r="317" spans="2:4" x14ac:dyDescent="0.25">
      <c r="B317"/>
      <c r="C317"/>
      <c r="D317"/>
    </row>
    <row r="318" spans="2:4" x14ac:dyDescent="0.25">
      <c r="B318"/>
      <c r="C318"/>
      <c r="D318"/>
    </row>
    <row r="319" spans="2:4" x14ac:dyDescent="0.25">
      <c r="B319"/>
      <c r="C319"/>
      <c r="D319"/>
    </row>
    <row r="320" spans="2:4" x14ac:dyDescent="0.25">
      <c r="B320"/>
      <c r="C320"/>
      <c r="D320"/>
    </row>
    <row r="321" spans="2:4" x14ac:dyDescent="0.25">
      <c r="B321"/>
      <c r="C321"/>
      <c r="D321"/>
    </row>
    <row r="322" spans="2:4" x14ac:dyDescent="0.25">
      <c r="B322"/>
      <c r="C322"/>
      <c r="D322"/>
    </row>
    <row r="323" spans="2:4" x14ac:dyDescent="0.25">
      <c r="B323"/>
      <c r="C323"/>
      <c r="D323"/>
    </row>
    <row r="324" spans="2:4" x14ac:dyDescent="0.25">
      <c r="B324"/>
      <c r="C324"/>
      <c r="D324"/>
    </row>
    <row r="325" spans="2:4" x14ac:dyDescent="0.25">
      <c r="B325"/>
      <c r="C325"/>
      <c r="D325"/>
    </row>
    <row r="326" spans="2:4" x14ac:dyDescent="0.25">
      <c r="B326"/>
      <c r="C326"/>
      <c r="D326"/>
    </row>
    <row r="327" spans="2:4" x14ac:dyDescent="0.25">
      <c r="B327"/>
      <c r="C327"/>
      <c r="D327"/>
    </row>
    <row r="328" spans="2:4" x14ac:dyDescent="0.25">
      <c r="B328"/>
      <c r="C328"/>
      <c r="D328"/>
    </row>
    <row r="329" spans="2:4" x14ac:dyDescent="0.25">
      <c r="B329"/>
      <c r="C329"/>
      <c r="D329"/>
    </row>
    <row r="330" spans="2:4" x14ac:dyDescent="0.25">
      <c r="B330"/>
      <c r="C330"/>
      <c r="D330"/>
    </row>
    <row r="331" spans="2:4" x14ac:dyDescent="0.25">
      <c r="B331"/>
      <c r="C331"/>
      <c r="D331"/>
    </row>
    <row r="332" spans="2:4" x14ac:dyDescent="0.25">
      <c r="B332"/>
      <c r="C332"/>
      <c r="D332"/>
    </row>
    <row r="333" spans="2:4" x14ac:dyDescent="0.25">
      <c r="B333"/>
      <c r="C333"/>
      <c r="D333"/>
    </row>
    <row r="334" spans="2:4" x14ac:dyDescent="0.25">
      <c r="B334"/>
      <c r="C334"/>
      <c r="D334"/>
    </row>
    <row r="335" spans="2:4" x14ac:dyDescent="0.25">
      <c r="B335"/>
      <c r="C335"/>
      <c r="D335"/>
    </row>
    <row r="336" spans="2:4" x14ac:dyDescent="0.25">
      <c r="B336"/>
      <c r="C336"/>
      <c r="D336"/>
    </row>
    <row r="337" spans="2:4" x14ac:dyDescent="0.25">
      <c r="B337"/>
      <c r="C337"/>
      <c r="D337"/>
    </row>
    <row r="338" spans="2:4" x14ac:dyDescent="0.25">
      <c r="B338"/>
      <c r="C338"/>
      <c r="D338"/>
    </row>
    <row r="339" spans="2:4" x14ac:dyDescent="0.25">
      <c r="B339"/>
      <c r="C339"/>
      <c r="D339"/>
    </row>
    <row r="340" spans="2:4" x14ac:dyDescent="0.25">
      <c r="B340"/>
      <c r="C340"/>
      <c r="D340"/>
    </row>
    <row r="341" spans="2:4" x14ac:dyDescent="0.25">
      <c r="B341"/>
      <c r="C341"/>
      <c r="D341"/>
    </row>
    <row r="342" spans="2:4" x14ac:dyDescent="0.25">
      <c r="B342"/>
      <c r="C342"/>
      <c r="D342"/>
    </row>
    <row r="343" spans="2:4" x14ac:dyDescent="0.25">
      <c r="B343"/>
      <c r="C343"/>
      <c r="D343"/>
    </row>
    <row r="344" spans="2:4" x14ac:dyDescent="0.25">
      <c r="B344"/>
      <c r="C344"/>
      <c r="D344"/>
    </row>
    <row r="345" spans="2:4" x14ac:dyDescent="0.25">
      <c r="B345"/>
      <c r="C345"/>
      <c r="D345"/>
    </row>
    <row r="346" spans="2:4" x14ac:dyDescent="0.25">
      <c r="B346"/>
      <c r="C346"/>
      <c r="D346"/>
    </row>
    <row r="347" spans="2:4" x14ac:dyDescent="0.25">
      <c r="B347"/>
      <c r="C347"/>
      <c r="D347"/>
    </row>
    <row r="348" spans="2:4" x14ac:dyDescent="0.25">
      <c r="B348"/>
      <c r="C348"/>
      <c r="D348"/>
    </row>
    <row r="349" spans="2:4" x14ac:dyDescent="0.25">
      <c r="B349"/>
      <c r="C349"/>
      <c r="D349"/>
    </row>
    <row r="350" spans="2:4" x14ac:dyDescent="0.25">
      <c r="B350"/>
      <c r="C350"/>
      <c r="D350"/>
    </row>
    <row r="351" spans="2:4" x14ac:dyDescent="0.25">
      <c r="B351"/>
      <c r="C351"/>
      <c r="D351"/>
    </row>
    <row r="352" spans="2:4" x14ac:dyDescent="0.25">
      <c r="B352"/>
      <c r="C352"/>
      <c r="D352"/>
    </row>
    <row r="353" spans="2:4" x14ac:dyDescent="0.25">
      <c r="B353"/>
      <c r="C353"/>
      <c r="D353"/>
    </row>
    <row r="354" spans="2:4" x14ac:dyDescent="0.25">
      <c r="B354"/>
      <c r="C354"/>
      <c r="D354"/>
    </row>
    <row r="355" spans="2:4" x14ac:dyDescent="0.25">
      <c r="B355"/>
      <c r="C355"/>
      <c r="D355"/>
    </row>
    <row r="356" spans="2:4" x14ac:dyDescent="0.25">
      <c r="B356"/>
      <c r="C356"/>
      <c r="D356"/>
    </row>
    <row r="357" spans="2:4" x14ac:dyDescent="0.25">
      <c r="B357"/>
      <c r="C357"/>
      <c r="D357"/>
    </row>
    <row r="358" spans="2:4" x14ac:dyDescent="0.25">
      <c r="B358"/>
      <c r="C358"/>
      <c r="D358"/>
    </row>
    <row r="359" spans="2:4" x14ac:dyDescent="0.25">
      <c r="B359"/>
      <c r="C359"/>
      <c r="D359"/>
    </row>
    <row r="360" spans="2:4" x14ac:dyDescent="0.25">
      <c r="B360"/>
      <c r="C360"/>
      <c r="D360"/>
    </row>
    <row r="361" spans="2:4" x14ac:dyDescent="0.25">
      <c r="B361"/>
      <c r="C361"/>
      <c r="D361"/>
    </row>
    <row r="362" spans="2:4" x14ac:dyDescent="0.25">
      <c r="B362"/>
      <c r="C362"/>
      <c r="D362"/>
    </row>
    <row r="363" spans="2:4" x14ac:dyDescent="0.25">
      <c r="B363"/>
      <c r="C363"/>
      <c r="D363"/>
    </row>
    <row r="364" spans="2:4" x14ac:dyDescent="0.25">
      <c r="B364"/>
      <c r="C364"/>
      <c r="D364"/>
    </row>
    <row r="365" spans="2:4" x14ac:dyDescent="0.25">
      <c r="B365"/>
      <c r="C365"/>
      <c r="D365"/>
    </row>
    <row r="366" spans="2:4" x14ac:dyDescent="0.25">
      <c r="B366"/>
      <c r="C366"/>
      <c r="D366"/>
    </row>
    <row r="367" spans="2:4" x14ac:dyDescent="0.25">
      <c r="B367"/>
      <c r="C367"/>
      <c r="D367"/>
    </row>
    <row r="368" spans="2:4" x14ac:dyDescent="0.25">
      <c r="B368"/>
      <c r="C368"/>
      <c r="D368"/>
    </row>
    <row r="369" spans="2:4" x14ac:dyDescent="0.25">
      <c r="B369"/>
      <c r="C369"/>
      <c r="D369"/>
    </row>
    <row r="370" spans="2:4" x14ac:dyDescent="0.25">
      <c r="B370"/>
      <c r="C370"/>
      <c r="D370"/>
    </row>
    <row r="371" spans="2:4" x14ac:dyDescent="0.25">
      <c r="B371"/>
      <c r="C371"/>
      <c r="D371"/>
    </row>
    <row r="372" spans="2:4" x14ac:dyDescent="0.25">
      <c r="B372"/>
      <c r="C372"/>
      <c r="D372"/>
    </row>
    <row r="373" spans="2:4" x14ac:dyDescent="0.25">
      <c r="B373"/>
      <c r="C373"/>
      <c r="D373"/>
    </row>
    <row r="374" spans="2:4" x14ac:dyDescent="0.25">
      <c r="B374"/>
      <c r="C374"/>
      <c r="D374"/>
    </row>
    <row r="375" spans="2:4" x14ac:dyDescent="0.25">
      <c r="B375"/>
      <c r="C375"/>
      <c r="D375"/>
    </row>
    <row r="376" spans="2:4" x14ac:dyDescent="0.25">
      <c r="B376"/>
      <c r="C376"/>
      <c r="D376"/>
    </row>
    <row r="377" spans="2:4" x14ac:dyDescent="0.25">
      <c r="B377"/>
      <c r="C377"/>
      <c r="D377"/>
    </row>
    <row r="378" spans="2:4" x14ac:dyDescent="0.25">
      <c r="B378"/>
      <c r="C378"/>
      <c r="D378"/>
    </row>
    <row r="379" spans="2:4" x14ac:dyDescent="0.25">
      <c r="B379"/>
      <c r="C379"/>
      <c r="D379"/>
    </row>
    <row r="380" spans="2:4" x14ac:dyDescent="0.25">
      <c r="B380"/>
      <c r="C380"/>
      <c r="D380"/>
    </row>
    <row r="381" spans="2:4" x14ac:dyDescent="0.25">
      <c r="B381"/>
      <c r="C381"/>
      <c r="D381"/>
    </row>
    <row r="382" spans="2:4" x14ac:dyDescent="0.25">
      <c r="B382"/>
      <c r="C382"/>
      <c r="D382"/>
    </row>
    <row r="383" spans="2:4" x14ac:dyDescent="0.25">
      <c r="B383"/>
      <c r="C383"/>
      <c r="D383"/>
    </row>
    <row r="384" spans="2:4" x14ac:dyDescent="0.25">
      <c r="B384"/>
      <c r="C384"/>
      <c r="D384"/>
    </row>
    <row r="385" spans="2:4" x14ac:dyDescent="0.25">
      <c r="B385"/>
      <c r="C385"/>
      <c r="D385"/>
    </row>
    <row r="386" spans="2:4" x14ac:dyDescent="0.25">
      <c r="B386"/>
      <c r="C386"/>
      <c r="D386"/>
    </row>
    <row r="387" spans="2:4" x14ac:dyDescent="0.25">
      <c r="B387"/>
      <c r="C387"/>
      <c r="D387"/>
    </row>
    <row r="388" spans="2:4" x14ac:dyDescent="0.25">
      <c r="B388"/>
      <c r="C388"/>
      <c r="D388"/>
    </row>
    <row r="389" spans="2:4" x14ac:dyDescent="0.25">
      <c r="B389"/>
      <c r="C389"/>
      <c r="D389"/>
    </row>
    <row r="390" spans="2:4" x14ac:dyDescent="0.25">
      <c r="B390"/>
      <c r="C390"/>
      <c r="D390"/>
    </row>
    <row r="391" spans="2:4" x14ac:dyDescent="0.25">
      <c r="B391"/>
      <c r="C391"/>
      <c r="D391"/>
    </row>
    <row r="392" spans="2:4" x14ac:dyDescent="0.25">
      <c r="B392"/>
      <c r="C392"/>
      <c r="D392"/>
    </row>
    <row r="393" spans="2:4" x14ac:dyDescent="0.25">
      <c r="B393"/>
      <c r="C393"/>
      <c r="D393"/>
    </row>
    <row r="394" spans="2:4" x14ac:dyDescent="0.25">
      <c r="B394"/>
      <c r="C394"/>
      <c r="D394"/>
    </row>
    <row r="395" spans="2:4" x14ac:dyDescent="0.25">
      <c r="B395"/>
      <c r="C395"/>
      <c r="D395"/>
    </row>
    <row r="396" spans="2:4" x14ac:dyDescent="0.25">
      <c r="B396"/>
      <c r="C396"/>
      <c r="D396"/>
    </row>
    <row r="397" spans="2:4" x14ac:dyDescent="0.25">
      <c r="B397"/>
      <c r="C397"/>
      <c r="D397"/>
    </row>
    <row r="398" spans="2:4" x14ac:dyDescent="0.25">
      <c r="B398"/>
      <c r="C398"/>
      <c r="D398"/>
    </row>
    <row r="399" spans="2:4" x14ac:dyDescent="0.25">
      <c r="B399"/>
      <c r="C399"/>
      <c r="D399"/>
    </row>
    <row r="400" spans="2:4" x14ac:dyDescent="0.25">
      <c r="B400"/>
      <c r="C400"/>
      <c r="D400"/>
    </row>
    <row r="401" spans="2:4" x14ac:dyDescent="0.25">
      <c r="B401"/>
      <c r="C401"/>
      <c r="D401"/>
    </row>
    <row r="402" spans="2:4" x14ac:dyDescent="0.25">
      <c r="B402"/>
      <c r="C402"/>
      <c r="D402"/>
    </row>
    <row r="403" spans="2:4" x14ac:dyDescent="0.25">
      <c r="B403"/>
      <c r="C403"/>
      <c r="D403"/>
    </row>
    <row r="404" spans="2:4" x14ac:dyDescent="0.25">
      <c r="B404"/>
      <c r="C404"/>
      <c r="D404"/>
    </row>
    <row r="405" spans="2:4" x14ac:dyDescent="0.25">
      <c r="B405"/>
      <c r="C405"/>
      <c r="D405"/>
    </row>
    <row r="406" spans="2:4" x14ac:dyDescent="0.25">
      <c r="B406"/>
      <c r="C406"/>
      <c r="D406"/>
    </row>
    <row r="407" spans="2:4" x14ac:dyDescent="0.25">
      <c r="B407"/>
      <c r="C407"/>
      <c r="D407"/>
    </row>
    <row r="408" spans="2:4" x14ac:dyDescent="0.25">
      <c r="B408"/>
      <c r="C408"/>
      <c r="D408"/>
    </row>
    <row r="409" spans="2:4" x14ac:dyDescent="0.25">
      <c r="B409"/>
      <c r="C409"/>
      <c r="D409"/>
    </row>
    <row r="410" spans="2:4" x14ac:dyDescent="0.25">
      <c r="B410"/>
      <c r="C410"/>
      <c r="D410"/>
    </row>
    <row r="411" spans="2:4" x14ac:dyDescent="0.25">
      <c r="B411"/>
      <c r="C411"/>
      <c r="D411"/>
    </row>
    <row r="412" spans="2:4" x14ac:dyDescent="0.25">
      <c r="B412"/>
      <c r="C412"/>
      <c r="D412"/>
    </row>
    <row r="413" spans="2:4" x14ac:dyDescent="0.25">
      <c r="B413"/>
      <c r="C413"/>
      <c r="D413"/>
    </row>
    <row r="414" spans="2:4" x14ac:dyDescent="0.25">
      <c r="B414"/>
      <c r="C414"/>
      <c r="D414"/>
    </row>
    <row r="415" spans="2:4" x14ac:dyDescent="0.25">
      <c r="B415"/>
      <c r="C415"/>
      <c r="D415"/>
    </row>
    <row r="416" spans="2:4" x14ac:dyDescent="0.25">
      <c r="B416"/>
      <c r="C416"/>
      <c r="D416"/>
    </row>
    <row r="417" spans="2:4" x14ac:dyDescent="0.25">
      <c r="B417"/>
      <c r="C417"/>
      <c r="D417"/>
    </row>
    <row r="418" spans="2:4" x14ac:dyDescent="0.25">
      <c r="B418"/>
      <c r="C418"/>
      <c r="D418"/>
    </row>
    <row r="419" spans="2:4" x14ac:dyDescent="0.25">
      <c r="B419"/>
      <c r="C419"/>
      <c r="D419"/>
    </row>
    <row r="420" spans="2:4" x14ac:dyDescent="0.25">
      <c r="B420"/>
      <c r="C420"/>
      <c r="D420"/>
    </row>
    <row r="421" spans="2:4" x14ac:dyDescent="0.25">
      <c r="B421"/>
      <c r="C421"/>
      <c r="D421"/>
    </row>
    <row r="422" spans="2:4" x14ac:dyDescent="0.25">
      <c r="B422"/>
      <c r="C422"/>
      <c r="D422"/>
    </row>
    <row r="423" spans="2:4" x14ac:dyDescent="0.25">
      <c r="B423"/>
      <c r="C423"/>
      <c r="D423"/>
    </row>
    <row r="424" spans="2:4" x14ac:dyDescent="0.25">
      <c r="B424"/>
      <c r="C424"/>
      <c r="D424"/>
    </row>
    <row r="425" spans="2:4" x14ac:dyDescent="0.25">
      <c r="B425"/>
      <c r="C425"/>
      <c r="D425"/>
    </row>
    <row r="426" spans="2:4" x14ac:dyDescent="0.25">
      <c r="B426"/>
      <c r="C426"/>
      <c r="D426"/>
    </row>
    <row r="427" spans="2:4" x14ac:dyDescent="0.25">
      <c r="B427"/>
      <c r="C427"/>
      <c r="D427"/>
    </row>
    <row r="428" spans="2:4" x14ac:dyDescent="0.25">
      <c r="B428"/>
      <c r="C428"/>
      <c r="D428"/>
    </row>
    <row r="429" spans="2:4" x14ac:dyDescent="0.25">
      <c r="B429"/>
      <c r="C429"/>
      <c r="D429"/>
    </row>
    <row r="430" spans="2:4" x14ac:dyDescent="0.25">
      <c r="B430"/>
      <c r="C430"/>
      <c r="D430"/>
    </row>
    <row r="431" spans="2:4" x14ac:dyDescent="0.25">
      <c r="B431"/>
      <c r="C431"/>
      <c r="D431"/>
    </row>
    <row r="432" spans="2:4" x14ac:dyDescent="0.25">
      <c r="B432"/>
      <c r="C432"/>
      <c r="D432"/>
    </row>
    <row r="433" spans="2:4" x14ac:dyDescent="0.25">
      <c r="B433"/>
      <c r="C433"/>
      <c r="D433"/>
    </row>
    <row r="434" spans="2:4" x14ac:dyDescent="0.25">
      <c r="B434"/>
      <c r="C434"/>
      <c r="D434"/>
    </row>
    <row r="435" spans="2:4" x14ac:dyDescent="0.25">
      <c r="B435"/>
      <c r="C435"/>
      <c r="D435"/>
    </row>
    <row r="436" spans="2:4" x14ac:dyDescent="0.25">
      <c r="B436"/>
      <c r="C436"/>
      <c r="D436"/>
    </row>
    <row r="437" spans="2:4" x14ac:dyDescent="0.25">
      <c r="B437"/>
      <c r="C437"/>
      <c r="D437"/>
    </row>
    <row r="438" spans="2:4" x14ac:dyDescent="0.25">
      <c r="B438"/>
      <c r="C438"/>
      <c r="D438"/>
    </row>
    <row r="439" spans="2:4" x14ac:dyDescent="0.25">
      <c r="B439"/>
      <c r="C439"/>
      <c r="D439"/>
    </row>
    <row r="440" spans="2:4" x14ac:dyDescent="0.25">
      <c r="B440"/>
      <c r="C440"/>
      <c r="D440"/>
    </row>
    <row r="441" spans="2:4" x14ac:dyDescent="0.25">
      <c r="B441"/>
      <c r="C441"/>
      <c r="D441"/>
    </row>
    <row r="442" spans="2:4" x14ac:dyDescent="0.25">
      <c r="B442"/>
      <c r="C442"/>
      <c r="D442"/>
    </row>
    <row r="443" spans="2:4" x14ac:dyDescent="0.25">
      <c r="B443"/>
      <c r="C443"/>
      <c r="D443"/>
    </row>
    <row r="444" spans="2:4" x14ac:dyDescent="0.25">
      <c r="B444"/>
      <c r="C444"/>
      <c r="D444"/>
    </row>
    <row r="445" spans="2:4" x14ac:dyDescent="0.25">
      <c r="B445"/>
      <c r="C445"/>
      <c r="D445"/>
    </row>
    <row r="446" spans="2:4" x14ac:dyDescent="0.25">
      <c r="B446"/>
      <c r="C446"/>
      <c r="D446"/>
    </row>
    <row r="447" spans="2:4" x14ac:dyDescent="0.25">
      <c r="B447"/>
      <c r="C447"/>
      <c r="D447"/>
    </row>
    <row r="448" spans="2:4" x14ac:dyDescent="0.25">
      <c r="B448"/>
      <c r="C448"/>
      <c r="D448"/>
    </row>
    <row r="449" spans="2:4" x14ac:dyDescent="0.25">
      <c r="B449"/>
      <c r="C449"/>
      <c r="D449"/>
    </row>
    <row r="450" spans="2:4" x14ac:dyDescent="0.25">
      <c r="B450"/>
      <c r="C450"/>
      <c r="D450"/>
    </row>
    <row r="451" spans="2:4" x14ac:dyDescent="0.25">
      <c r="B451"/>
      <c r="C451"/>
      <c r="D451"/>
    </row>
    <row r="452" spans="2:4" x14ac:dyDescent="0.25">
      <c r="B452"/>
      <c r="C452"/>
      <c r="D452"/>
    </row>
    <row r="453" spans="2:4" x14ac:dyDescent="0.25">
      <c r="B453"/>
      <c r="C453"/>
      <c r="D453"/>
    </row>
    <row r="454" spans="2:4" x14ac:dyDescent="0.25">
      <c r="B454"/>
      <c r="C454"/>
      <c r="D454"/>
    </row>
    <row r="455" spans="2:4" x14ac:dyDescent="0.25">
      <c r="B455"/>
      <c r="C455"/>
      <c r="D455"/>
    </row>
    <row r="456" spans="2:4" x14ac:dyDescent="0.25">
      <c r="B456"/>
      <c r="C456"/>
      <c r="D456"/>
    </row>
    <row r="457" spans="2:4" x14ac:dyDescent="0.25">
      <c r="B457"/>
      <c r="C457"/>
      <c r="D457"/>
    </row>
    <row r="458" spans="2:4" x14ac:dyDescent="0.25">
      <c r="B458"/>
      <c r="C458"/>
      <c r="D458"/>
    </row>
    <row r="459" spans="2:4" x14ac:dyDescent="0.25">
      <c r="B459"/>
      <c r="C459"/>
      <c r="D459"/>
    </row>
    <row r="460" spans="2:4" x14ac:dyDescent="0.25">
      <c r="B460"/>
      <c r="C460"/>
      <c r="D460"/>
    </row>
    <row r="461" spans="2:4" x14ac:dyDescent="0.25">
      <c r="B461"/>
      <c r="C461"/>
      <c r="D461"/>
    </row>
    <row r="462" spans="2:4" x14ac:dyDescent="0.25">
      <c r="B462"/>
      <c r="C462"/>
      <c r="D462"/>
    </row>
    <row r="463" spans="2:4" x14ac:dyDescent="0.25">
      <c r="B463"/>
      <c r="C463"/>
      <c r="D463"/>
    </row>
    <row r="464" spans="2:4" x14ac:dyDescent="0.25">
      <c r="B464"/>
      <c r="C464"/>
      <c r="D464"/>
    </row>
    <row r="465" spans="2:4" x14ac:dyDescent="0.25">
      <c r="B465"/>
      <c r="C465"/>
      <c r="D465"/>
    </row>
    <row r="466" spans="2:4" x14ac:dyDescent="0.25">
      <c r="B466"/>
      <c r="C466"/>
      <c r="D466"/>
    </row>
    <row r="467" spans="2:4" x14ac:dyDescent="0.25">
      <c r="B467"/>
      <c r="C467"/>
      <c r="D467"/>
    </row>
    <row r="468" spans="2:4" x14ac:dyDescent="0.25">
      <c r="B468"/>
      <c r="C468"/>
      <c r="D468"/>
    </row>
    <row r="469" spans="2:4" x14ac:dyDescent="0.25">
      <c r="B469"/>
      <c r="C469"/>
      <c r="D469"/>
    </row>
    <row r="470" spans="2:4" x14ac:dyDescent="0.25">
      <c r="B470"/>
      <c r="C470"/>
      <c r="D470"/>
    </row>
    <row r="471" spans="2:4" x14ac:dyDescent="0.25">
      <c r="B471"/>
      <c r="C471"/>
      <c r="D471"/>
    </row>
    <row r="472" spans="2:4" x14ac:dyDescent="0.25">
      <c r="B472"/>
      <c r="C472"/>
      <c r="D472"/>
    </row>
    <row r="473" spans="2:4" x14ac:dyDescent="0.25">
      <c r="B473"/>
      <c r="C473"/>
      <c r="D473"/>
    </row>
    <row r="474" spans="2:4" x14ac:dyDescent="0.25">
      <c r="B474"/>
      <c r="C474"/>
      <c r="D474"/>
    </row>
    <row r="475" spans="2:4" x14ac:dyDescent="0.25">
      <c r="B475"/>
      <c r="C475"/>
      <c r="D475"/>
    </row>
    <row r="476" spans="2:4" x14ac:dyDescent="0.25">
      <c r="B476"/>
      <c r="C476"/>
      <c r="D476"/>
    </row>
    <row r="477" spans="2:4" x14ac:dyDescent="0.25">
      <c r="B477"/>
      <c r="C477"/>
      <c r="D477"/>
    </row>
    <row r="478" spans="2:4" x14ac:dyDescent="0.25">
      <c r="B478"/>
      <c r="C478"/>
      <c r="D478"/>
    </row>
    <row r="479" spans="2:4" x14ac:dyDescent="0.25">
      <c r="B479"/>
      <c r="C479"/>
      <c r="D479"/>
    </row>
    <row r="480" spans="2:4" x14ac:dyDescent="0.25">
      <c r="B480"/>
      <c r="C480"/>
      <c r="D480"/>
    </row>
    <row r="481" spans="2:4" x14ac:dyDescent="0.25">
      <c r="B481"/>
      <c r="C481"/>
      <c r="D481"/>
    </row>
    <row r="482" spans="2:4" x14ac:dyDescent="0.25">
      <c r="B482"/>
      <c r="C482"/>
      <c r="D482"/>
    </row>
    <row r="483" spans="2:4" x14ac:dyDescent="0.25">
      <c r="B483"/>
      <c r="C483"/>
      <c r="D483"/>
    </row>
    <row r="484" spans="2:4" x14ac:dyDescent="0.25">
      <c r="B484"/>
      <c r="C484"/>
      <c r="D484"/>
    </row>
    <row r="485" spans="2:4" x14ac:dyDescent="0.25">
      <c r="B485"/>
      <c r="C485"/>
      <c r="D485"/>
    </row>
    <row r="486" spans="2:4" x14ac:dyDescent="0.25">
      <c r="B486"/>
      <c r="C486"/>
      <c r="D486"/>
    </row>
    <row r="487" spans="2:4" x14ac:dyDescent="0.25">
      <c r="B487"/>
      <c r="C487"/>
      <c r="D487"/>
    </row>
    <row r="488" spans="2:4" x14ac:dyDescent="0.25">
      <c r="B488"/>
      <c r="C488"/>
      <c r="D488"/>
    </row>
    <row r="489" spans="2:4" x14ac:dyDescent="0.25">
      <c r="B489"/>
      <c r="C489"/>
      <c r="D489"/>
    </row>
    <row r="490" spans="2:4" x14ac:dyDescent="0.25">
      <c r="B490"/>
      <c r="C490"/>
      <c r="D490"/>
    </row>
    <row r="491" spans="2:4" x14ac:dyDescent="0.25">
      <c r="B491"/>
      <c r="C491"/>
      <c r="D491"/>
    </row>
    <row r="492" spans="2:4" x14ac:dyDescent="0.25">
      <c r="B492"/>
      <c r="C492"/>
      <c r="D492"/>
    </row>
    <row r="493" spans="2:4" x14ac:dyDescent="0.25">
      <c r="B493"/>
      <c r="C493"/>
      <c r="D493"/>
    </row>
    <row r="494" spans="2:4" x14ac:dyDescent="0.25">
      <c r="B494"/>
      <c r="C494"/>
      <c r="D494"/>
    </row>
    <row r="495" spans="2:4" x14ac:dyDescent="0.25">
      <c r="B495"/>
      <c r="C495"/>
      <c r="D495"/>
    </row>
    <row r="496" spans="2:4" x14ac:dyDescent="0.25">
      <c r="B496"/>
      <c r="C496"/>
      <c r="D496"/>
    </row>
    <row r="497" spans="2:4" x14ac:dyDescent="0.25">
      <c r="B497"/>
      <c r="C497"/>
      <c r="D497"/>
    </row>
    <row r="498" spans="2:4" x14ac:dyDescent="0.25">
      <c r="B498"/>
      <c r="C498"/>
      <c r="D498"/>
    </row>
    <row r="499" spans="2:4" x14ac:dyDescent="0.25">
      <c r="B499"/>
      <c r="C499"/>
      <c r="D499"/>
    </row>
    <row r="500" spans="2:4" x14ac:dyDescent="0.25">
      <c r="B500"/>
      <c r="C500"/>
      <c r="D500"/>
    </row>
    <row r="501" spans="2:4" x14ac:dyDescent="0.25">
      <c r="B501"/>
      <c r="C501"/>
      <c r="D501"/>
    </row>
    <row r="502" spans="2:4" x14ac:dyDescent="0.25">
      <c r="B502"/>
      <c r="C502"/>
      <c r="D502"/>
    </row>
    <row r="503" spans="2:4" x14ac:dyDescent="0.25">
      <c r="B503"/>
      <c r="C503"/>
      <c r="D503"/>
    </row>
    <row r="504" spans="2:4" x14ac:dyDescent="0.25">
      <c r="B504"/>
      <c r="C504"/>
      <c r="D504"/>
    </row>
    <row r="505" spans="2:4" x14ac:dyDescent="0.25">
      <c r="B505"/>
      <c r="C505"/>
      <c r="D505"/>
    </row>
    <row r="506" spans="2:4" x14ac:dyDescent="0.25">
      <c r="B506"/>
      <c r="C506"/>
      <c r="D506"/>
    </row>
    <row r="507" spans="2:4" x14ac:dyDescent="0.25">
      <c r="B507"/>
      <c r="C507"/>
      <c r="D507"/>
    </row>
    <row r="508" spans="2:4" x14ac:dyDescent="0.25">
      <c r="B508"/>
      <c r="C508"/>
      <c r="D508"/>
    </row>
    <row r="509" spans="2:4" x14ac:dyDescent="0.25">
      <c r="B509"/>
      <c r="C509"/>
      <c r="D509"/>
    </row>
    <row r="510" spans="2:4" x14ac:dyDescent="0.25">
      <c r="B510"/>
      <c r="C510"/>
      <c r="D510"/>
    </row>
    <row r="511" spans="2:4" x14ac:dyDescent="0.25">
      <c r="B511"/>
      <c r="C511"/>
      <c r="D511"/>
    </row>
    <row r="512" spans="2:4" x14ac:dyDescent="0.25">
      <c r="B512"/>
      <c r="C512"/>
      <c r="D512"/>
    </row>
    <row r="513" spans="2:4" x14ac:dyDescent="0.25">
      <c r="B513"/>
      <c r="C513"/>
      <c r="D513"/>
    </row>
    <row r="514" spans="2:4" x14ac:dyDescent="0.25">
      <c r="B514"/>
      <c r="C514"/>
      <c r="D514"/>
    </row>
    <row r="515" spans="2:4" x14ac:dyDescent="0.25">
      <c r="B515"/>
      <c r="C515"/>
      <c r="D515"/>
    </row>
    <row r="516" spans="2:4" x14ac:dyDescent="0.25">
      <c r="B516"/>
      <c r="C516"/>
      <c r="D516"/>
    </row>
    <row r="517" spans="2:4" x14ac:dyDescent="0.25">
      <c r="B517"/>
      <c r="C517"/>
      <c r="D517"/>
    </row>
    <row r="518" spans="2:4" x14ac:dyDescent="0.25">
      <c r="B518"/>
      <c r="C518"/>
      <c r="D518"/>
    </row>
    <row r="519" spans="2:4" x14ac:dyDescent="0.25">
      <c r="B519"/>
      <c r="C519"/>
      <c r="D519"/>
    </row>
    <row r="520" spans="2:4" x14ac:dyDescent="0.25">
      <c r="B520"/>
      <c r="C520"/>
      <c r="D520"/>
    </row>
    <row r="521" spans="2:4" x14ac:dyDescent="0.25">
      <c r="B521"/>
      <c r="C521"/>
      <c r="D521"/>
    </row>
    <row r="522" spans="2:4" x14ac:dyDescent="0.25">
      <c r="B522"/>
      <c r="C522"/>
      <c r="D522"/>
    </row>
    <row r="523" spans="2:4" x14ac:dyDescent="0.25">
      <c r="B523"/>
      <c r="C523"/>
      <c r="D523"/>
    </row>
    <row r="524" spans="2:4" x14ac:dyDescent="0.25">
      <c r="B524"/>
      <c r="C524"/>
      <c r="D524"/>
    </row>
    <row r="525" spans="2:4" x14ac:dyDescent="0.25">
      <c r="B525"/>
      <c r="C525"/>
      <c r="D525"/>
    </row>
    <row r="526" spans="2:4" x14ac:dyDescent="0.25">
      <c r="B526"/>
      <c r="C526"/>
      <c r="D526"/>
    </row>
    <row r="527" spans="2:4" x14ac:dyDescent="0.25">
      <c r="B527"/>
      <c r="C527"/>
      <c r="D527"/>
    </row>
    <row r="528" spans="2:4" x14ac:dyDescent="0.25">
      <c r="B528"/>
      <c r="C528"/>
      <c r="D528"/>
    </row>
    <row r="529" spans="2:4" x14ac:dyDescent="0.25">
      <c r="B529"/>
      <c r="C529"/>
      <c r="D529"/>
    </row>
    <row r="530" spans="2:4" x14ac:dyDescent="0.25">
      <c r="B530"/>
      <c r="C530"/>
      <c r="D530"/>
    </row>
    <row r="531" spans="2:4" x14ac:dyDescent="0.25">
      <c r="B531"/>
      <c r="C531"/>
      <c r="D531"/>
    </row>
    <row r="532" spans="2:4" x14ac:dyDescent="0.25">
      <c r="B532"/>
      <c r="C532"/>
      <c r="D532"/>
    </row>
    <row r="533" spans="2:4" x14ac:dyDescent="0.25">
      <c r="B533"/>
      <c r="C533"/>
      <c r="D533"/>
    </row>
    <row r="534" spans="2:4" x14ac:dyDescent="0.25">
      <c r="B534"/>
      <c r="C534"/>
      <c r="D534"/>
    </row>
    <row r="535" spans="2:4" x14ac:dyDescent="0.25">
      <c r="B535"/>
      <c r="C535"/>
      <c r="D535"/>
    </row>
    <row r="536" spans="2:4" x14ac:dyDescent="0.25">
      <c r="B536"/>
      <c r="C536"/>
      <c r="D536"/>
    </row>
    <row r="537" spans="2:4" x14ac:dyDescent="0.25">
      <c r="B537"/>
      <c r="C537"/>
      <c r="D537"/>
    </row>
    <row r="538" spans="2:4" x14ac:dyDescent="0.25">
      <c r="B538"/>
      <c r="C538"/>
      <c r="D538"/>
    </row>
    <row r="539" spans="2:4" x14ac:dyDescent="0.25">
      <c r="B539"/>
      <c r="C539"/>
      <c r="D539"/>
    </row>
    <row r="540" spans="2:4" x14ac:dyDescent="0.25">
      <c r="B540"/>
      <c r="C540"/>
      <c r="D540"/>
    </row>
    <row r="541" spans="2:4" x14ac:dyDescent="0.25">
      <c r="B541"/>
      <c r="C541"/>
      <c r="D541"/>
    </row>
    <row r="542" spans="2:4" x14ac:dyDescent="0.25">
      <c r="B542"/>
      <c r="C542"/>
      <c r="D542"/>
    </row>
    <row r="543" spans="2:4" x14ac:dyDescent="0.25">
      <c r="B543"/>
      <c r="C543"/>
      <c r="D543"/>
    </row>
    <row r="544" spans="2:4" x14ac:dyDescent="0.25">
      <c r="B544"/>
      <c r="C544"/>
      <c r="D544"/>
    </row>
    <row r="545" spans="2:4" x14ac:dyDescent="0.25">
      <c r="B545"/>
      <c r="C545"/>
      <c r="D545"/>
    </row>
    <row r="546" spans="2:4" x14ac:dyDescent="0.25">
      <c r="B546"/>
      <c r="C546"/>
      <c r="D546"/>
    </row>
    <row r="547" spans="2:4" x14ac:dyDescent="0.25">
      <c r="B547"/>
      <c r="C547"/>
      <c r="D547"/>
    </row>
    <row r="548" spans="2:4" x14ac:dyDescent="0.25">
      <c r="B548"/>
      <c r="C548"/>
      <c r="D548"/>
    </row>
    <row r="549" spans="2:4" x14ac:dyDescent="0.25">
      <c r="B549"/>
      <c r="C549"/>
      <c r="D549"/>
    </row>
    <row r="550" spans="2:4" x14ac:dyDescent="0.25">
      <c r="B550"/>
      <c r="C550"/>
      <c r="D550"/>
    </row>
    <row r="551" spans="2:4" x14ac:dyDescent="0.25">
      <c r="B551"/>
      <c r="C551"/>
      <c r="D551"/>
    </row>
    <row r="552" spans="2:4" x14ac:dyDescent="0.25">
      <c r="B552"/>
      <c r="C552"/>
      <c r="D552"/>
    </row>
    <row r="553" spans="2:4" x14ac:dyDescent="0.25">
      <c r="B553"/>
      <c r="C553"/>
      <c r="D553"/>
    </row>
    <row r="554" spans="2:4" x14ac:dyDescent="0.25">
      <c r="B554"/>
      <c r="C554"/>
      <c r="D554"/>
    </row>
    <row r="555" spans="2:4" x14ac:dyDescent="0.25">
      <c r="B555"/>
      <c r="C555"/>
      <c r="D555"/>
    </row>
    <row r="556" spans="2:4" x14ac:dyDescent="0.25">
      <c r="B556"/>
      <c r="C556"/>
      <c r="D556"/>
    </row>
    <row r="557" spans="2:4" x14ac:dyDescent="0.25">
      <c r="B557"/>
      <c r="C557"/>
      <c r="D557"/>
    </row>
    <row r="558" spans="2:4" x14ac:dyDescent="0.25">
      <c r="B558"/>
      <c r="C558"/>
      <c r="D558"/>
    </row>
    <row r="559" spans="2:4" x14ac:dyDescent="0.25">
      <c r="B559"/>
      <c r="C559"/>
      <c r="D559"/>
    </row>
    <row r="560" spans="2:4" x14ac:dyDescent="0.25">
      <c r="B560"/>
      <c r="C560"/>
      <c r="D560"/>
    </row>
    <row r="561" spans="2:4" x14ac:dyDescent="0.25">
      <c r="B561"/>
      <c r="C561"/>
      <c r="D561"/>
    </row>
    <row r="562" spans="2:4" x14ac:dyDescent="0.25">
      <c r="B562"/>
      <c r="C562"/>
      <c r="D562"/>
    </row>
    <row r="563" spans="2:4" x14ac:dyDescent="0.25">
      <c r="B563"/>
      <c r="C563"/>
      <c r="D563"/>
    </row>
    <row r="564" spans="2:4" x14ac:dyDescent="0.25">
      <c r="B564"/>
      <c r="C564"/>
      <c r="D564"/>
    </row>
    <row r="565" spans="2:4" x14ac:dyDescent="0.25">
      <c r="B565"/>
      <c r="C565"/>
      <c r="D565"/>
    </row>
    <row r="566" spans="2:4" x14ac:dyDescent="0.25">
      <c r="B566"/>
      <c r="C566"/>
      <c r="D566"/>
    </row>
    <row r="567" spans="2:4" x14ac:dyDescent="0.25">
      <c r="B567"/>
      <c r="C567"/>
      <c r="D567"/>
    </row>
    <row r="568" spans="2:4" x14ac:dyDescent="0.25">
      <c r="B568"/>
      <c r="C568"/>
      <c r="D568"/>
    </row>
    <row r="569" spans="2:4" x14ac:dyDescent="0.25">
      <c r="B569"/>
      <c r="C569"/>
      <c r="D569"/>
    </row>
    <row r="570" spans="2:4" x14ac:dyDescent="0.25">
      <c r="B570"/>
      <c r="C570"/>
      <c r="D570"/>
    </row>
    <row r="571" spans="2:4" x14ac:dyDescent="0.25">
      <c r="B571"/>
      <c r="C571"/>
      <c r="D571"/>
    </row>
    <row r="572" spans="2:4" x14ac:dyDescent="0.25">
      <c r="B572"/>
      <c r="C572"/>
      <c r="D572"/>
    </row>
    <row r="573" spans="2:4" x14ac:dyDescent="0.25">
      <c r="B573"/>
      <c r="C573"/>
      <c r="D573"/>
    </row>
    <row r="574" spans="2:4" x14ac:dyDescent="0.25">
      <c r="B574"/>
      <c r="C574"/>
      <c r="D574"/>
    </row>
    <row r="575" spans="2:4" x14ac:dyDescent="0.25">
      <c r="B575"/>
      <c r="C575"/>
      <c r="D575"/>
    </row>
    <row r="576" spans="2:4" x14ac:dyDescent="0.25">
      <c r="B576"/>
      <c r="C576"/>
      <c r="D576"/>
    </row>
    <row r="577" spans="2:4" x14ac:dyDescent="0.25">
      <c r="B577"/>
      <c r="C577"/>
      <c r="D577"/>
    </row>
    <row r="578" spans="2:4" x14ac:dyDescent="0.25">
      <c r="B578"/>
      <c r="C578"/>
      <c r="D578"/>
    </row>
    <row r="579" spans="2:4" x14ac:dyDescent="0.25">
      <c r="B579"/>
      <c r="C579"/>
      <c r="D579"/>
    </row>
    <row r="580" spans="2:4" x14ac:dyDescent="0.25">
      <c r="B580"/>
      <c r="C580"/>
      <c r="D580"/>
    </row>
    <row r="581" spans="2:4" x14ac:dyDescent="0.25">
      <c r="B581"/>
      <c r="C581"/>
      <c r="D581"/>
    </row>
    <row r="582" spans="2:4" x14ac:dyDescent="0.25">
      <c r="B582"/>
      <c r="C582"/>
      <c r="D582"/>
    </row>
    <row r="583" spans="2:4" x14ac:dyDescent="0.25">
      <c r="B583"/>
      <c r="C583"/>
      <c r="D583"/>
    </row>
    <row r="584" spans="2:4" x14ac:dyDescent="0.25">
      <c r="B584"/>
      <c r="C584"/>
      <c r="D584"/>
    </row>
    <row r="585" spans="2:4" x14ac:dyDescent="0.25">
      <c r="B585"/>
      <c r="C585"/>
      <c r="D585"/>
    </row>
    <row r="586" spans="2:4" x14ac:dyDescent="0.25">
      <c r="B586"/>
      <c r="C586"/>
      <c r="D586"/>
    </row>
    <row r="587" spans="2:4" x14ac:dyDescent="0.25">
      <c r="B587"/>
      <c r="C587"/>
      <c r="D587"/>
    </row>
    <row r="588" spans="2:4" x14ac:dyDescent="0.25">
      <c r="B588"/>
      <c r="C588"/>
      <c r="D588"/>
    </row>
    <row r="589" spans="2:4" x14ac:dyDescent="0.25">
      <c r="B589"/>
      <c r="C589"/>
      <c r="D589"/>
    </row>
    <row r="590" spans="2:4" x14ac:dyDescent="0.25">
      <c r="B590"/>
      <c r="C590"/>
      <c r="D590"/>
    </row>
    <row r="591" spans="2:4" x14ac:dyDescent="0.25">
      <c r="B591"/>
      <c r="C591"/>
      <c r="D591"/>
    </row>
    <row r="592" spans="2:4" x14ac:dyDescent="0.25">
      <c r="B592"/>
      <c r="C592"/>
      <c r="D592"/>
    </row>
    <row r="593" spans="2:4" x14ac:dyDescent="0.25">
      <c r="B593"/>
      <c r="C593"/>
      <c r="D593"/>
    </row>
    <row r="594" spans="2:4" x14ac:dyDescent="0.25">
      <c r="B594"/>
      <c r="C594"/>
      <c r="D594"/>
    </row>
    <row r="595" spans="2:4" x14ac:dyDescent="0.25">
      <c r="B595"/>
      <c r="C595"/>
      <c r="D595"/>
    </row>
    <row r="596" spans="2:4" x14ac:dyDescent="0.25">
      <c r="B596"/>
      <c r="C596"/>
      <c r="D596"/>
    </row>
    <row r="597" spans="2:4" x14ac:dyDescent="0.25">
      <c r="B597"/>
      <c r="C597"/>
      <c r="D597"/>
    </row>
    <row r="598" spans="2:4" x14ac:dyDescent="0.25">
      <c r="B598"/>
      <c r="C598"/>
      <c r="D598"/>
    </row>
    <row r="599" spans="2:4" x14ac:dyDescent="0.25">
      <c r="B599"/>
      <c r="C599"/>
      <c r="D599"/>
    </row>
    <row r="600" spans="2:4" x14ac:dyDescent="0.25">
      <c r="B600"/>
      <c r="C600"/>
      <c r="D600"/>
    </row>
    <row r="601" spans="2:4" x14ac:dyDescent="0.25">
      <c r="B601"/>
      <c r="C601"/>
      <c r="D601"/>
    </row>
    <row r="602" spans="2:4" x14ac:dyDescent="0.25">
      <c r="B602"/>
      <c r="C602"/>
      <c r="D602"/>
    </row>
    <row r="603" spans="2:4" x14ac:dyDescent="0.25">
      <c r="B603"/>
      <c r="C603"/>
      <c r="D603"/>
    </row>
    <row r="604" spans="2:4" x14ac:dyDescent="0.25">
      <c r="B604"/>
      <c r="C604"/>
      <c r="D604"/>
    </row>
    <row r="605" spans="2:4" x14ac:dyDescent="0.25">
      <c r="B605"/>
      <c r="C605"/>
      <c r="D605"/>
    </row>
    <row r="606" spans="2:4" x14ac:dyDescent="0.25">
      <c r="B606"/>
      <c r="C606"/>
      <c r="D606"/>
    </row>
    <row r="607" spans="2:4" x14ac:dyDescent="0.25">
      <c r="B607"/>
      <c r="C607"/>
      <c r="D607"/>
    </row>
    <row r="608" spans="2:4" x14ac:dyDescent="0.25">
      <c r="B608"/>
      <c r="C608"/>
      <c r="D608"/>
    </row>
    <row r="609" spans="2:4" x14ac:dyDescent="0.25">
      <c r="B609"/>
      <c r="C609"/>
      <c r="D609"/>
    </row>
    <row r="610" spans="2:4" x14ac:dyDescent="0.25">
      <c r="B610"/>
      <c r="C610"/>
      <c r="D610"/>
    </row>
    <row r="611" spans="2:4" x14ac:dyDescent="0.25">
      <c r="B611"/>
      <c r="C611"/>
      <c r="D611"/>
    </row>
    <row r="612" spans="2:4" x14ac:dyDescent="0.25">
      <c r="B612"/>
      <c r="C612"/>
      <c r="D612"/>
    </row>
    <row r="613" spans="2:4" x14ac:dyDescent="0.25">
      <c r="B613"/>
      <c r="C613"/>
      <c r="D613"/>
    </row>
    <row r="614" spans="2:4" x14ac:dyDescent="0.25">
      <c r="B614"/>
      <c r="C614"/>
      <c r="D614"/>
    </row>
    <row r="615" spans="2:4" x14ac:dyDescent="0.25">
      <c r="B615"/>
      <c r="C615"/>
      <c r="D615"/>
    </row>
    <row r="616" spans="2:4" x14ac:dyDescent="0.25">
      <c r="B616"/>
      <c r="C616"/>
      <c r="D616"/>
    </row>
    <row r="617" spans="2:4" x14ac:dyDescent="0.25">
      <c r="B617"/>
      <c r="C617"/>
      <c r="D617"/>
    </row>
    <row r="618" spans="2:4" x14ac:dyDescent="0.25">
      <c r="B618"/>
      <c r="C618"/>
      <c r="D618"/>
    </row>
    <row r="619" spans="2:4" x14ac:dyDescent="0.25">
      <c r="B619"/>
      <c r="C619"/>
      <c r="D619"/>
    </row>
    <row r="620" spans="2:4" x14ac:dyDescent="0.25">
      <c r="B620"/>
      <c r="C620"/>
      <c r="D620"/>
    </row>
    <row r="621" spans="2:4" x14ac:dyDescent="0.25">
      <c r="B621"/>
      <c r="C621"/>
      <c r="D621"/>
    </row>
    <row r="622" spans="2:4" x14ac:dyDescent="0.25">
      <c r="B622"/>
      <c r="C622"/>
      <c r="D622"/>
    </row>
    <row r="623" spans="2:4" x14ac:dyDescent="0.25">
      <c r="B623"/>
      <c r="C623"/>
      <c r="D623"/>
    </row>
    <row r="624" spans="2:4" x14ac:dyDescent="0.25">
      <c r="B624"/>
      <c r="C624"/>
      <c r="D624"/>
    </row>
    <row r="625" spans="2:4" x14ac:dyDescent="0.25">
      <c r="B625"/>
      <c r="C625"/>
      <c r="D625"/>
    </row>
    <row r="626" spans="2:4" x14ac:dyDescent="0.25">
      <c r="B626"/>
      <c r="C626"/>
      <c r="D626"/>
    </row>
    <row r="627" spans="2:4" x14ac:dyDescent="0.25">
      <c r="B627"/>
      <c r="C627"/>
      <c r="D627"/>
    </row>
    <row r="628" spans="2:4" x14ac:dyDescent="0.25">
      <c r="B628"/>
      <c r="C628"/>
      <c r="D628"/>
    </row>
    <row r="629" spans="2:4" x14ac:dyDescent="0.25">
      <c r="B629"/>
      <c r="C629"/>
      <c r="D629"/>
    </row>
    <row r="630" spans="2:4" x14ac:dyDescent="0.25">
      <c r="B630"/>
      <c r="C630"/>
      <c r="D630"/>
    </row>
    <row r="631" spans="2:4" x14ac:dyDescent="0.25">
      <c r="B631"/>
      <c r="C631"/>
      <c r="D631"/>
    </row>
    <row r="632" spans="2:4" x14ac:dyDescent="0.25">
      <c r="B632"/>
      <c r="C632"/>
      <c r="D632"/>
    </row>
    <row r="633" spans="2:4" x14ac:dyDescent="0.25">
      <c r="B633"/>
      <c r="C633"/>
      <c r="D633"/>
    </row>
    <row r="634" spans="2:4" x14ac:dyDescent="0.25">
      <c r="B634"/>
      <c r="C634"/>
      <c r="D634"/>
    </row>
    <row r="635" spans="2:4" x14ac:dyDescent="0.25">
      <c r="B635"/>
      <c r="C635"/>
      <c r="D635"/>
    </row>
    <row r="636" spans="2:4" x14ac:dyDescent="0.25">
      <c r="B636"/>
      <c r="C636"/>
      <c r="D636"/>
    </row>
    <row r="637" spans="2:4" x14ac:dyDescent="0.25">
      <c r="B637"/>
      <c r="C637"/>
      <c r="D637"/>
    </row>
    <row r="638" spans="2:4" x14ac:dyDescent="0.25">
      <c r="B638"/>
      <c r="C638"/>
      <c r="D638"/>
    </row>
    <row r="639" spans="2:4" x14ac:dyDescent="0.25">
      <c r="B639"/>
      <c r="C639"/>
      <c r="D639"/>
    </row>
    <row r="640" spans="2:4" x14ac:dyDescent="0.25">
      <c r="B640"/>
      <c r="C640"/>
      <c r="D640"/>
    </row>
    <row r="641" spans="2:4" x14ac:dyDescent="0.25">
      <c r="B641"/>
      <c r="C641"/>
      <c r="D641"/>
    </row>
    <row r="642" spans="2:4" x14ac:dyDescent="0.25">
      <c r="B642"/>
      <c r="C642"/>
      <c r="D642"/>
    </row>
    <row r="643" spans="2:4" x14ac:dyDescent="0.25">
      <c r="B643"/>
      <c r="C643"/>
      <c r="D643"/>
    </row>
    <row r="644" spans="2:4" x14ac:dyDescent="0.25">
      <c r="B644"/>
      <c r="C644"/>
      <c r="D644"/>
    </row>
    <row r="645" spans="2:4" x14ac:dyDescent="0.25">
      <c r="B645"/>
      <c r="C645"/>
      <c r="D645"/>
    </row>
    <row r="646" spans="2:4" x14ac:dyDescent="0.25">
      <c r="B646"/>
      <c r="C646"/>
      <c r="D646"/>
    </row>
    <row r="647" spans="2:4" x14ac:dyDescent="0.25">
      <c r="B647"/>
      <c r="C647"/>
      <c r="D647"/>
    </row>
    <row r="648" spans="2:4" x14ac:dyDescent="0.25">
      <c r="B648"/>
      <c r="C648"/>
      <c r="D648"/>
    </row>
    <row r="649" spans="2:4" x14ac:dyDescent="0.25">
      <c r="B649"/>
      <c r="C649"/>
      <c r="D649"/>
    </row>
    <row r="650" spans="2:4" x14ac:dyDescent="0.25">
      <c r="B650"/>
      <c r="C650"/>
      <c r="D650"/>
    </row>
    <row r="651" spans="2:4" x14ac:dyDescent="0.25">
      <c r="B651"/>
      <c r="C651"/>
      <c r="D651"/>
    </row>
    <row r="652" spans="2:4" x14ac:dyDescent="0.25">
      <c r="B652"/>
      <c r="C652"/>
      <c r="D652"/>
    </row>
    <row r="653" spans="2:4" x14ac:dyDescent="0.25">
      <c r="B653"/>
      <c r="C653"/>
      <c r="D653"/>
    </row>
    <row r="654" spans="2:4" x14ac:dyDescent="0.25">
      <c r="B654"/>
      <c r="C654"/>
      <c r="D654"/>
    </row>
    <row r="655" spans="2:4" x14ac:dyDescent="0.25">
      <c r="B655"/>
      <c r="C655"/>
      <c r="D655"/>
    </row>
    <row r="656" spans="2:4" x14ac:dyDescent="0.25">
      <c r="B656"/>
      <c r="C656"/>
      <c r="D656"/>
    </row>
    <row r="657" spans="2:4" x14ac:dyDescent="0.25">
      <c r="B657"/>
      <c r="C657"/>
      <c r="D657"/>
    </row>
    <row r="658" spans="2:4" x14ac:dyDescent="0.25">
      <c r="B658"/>
      <c r="C658"/>
      <c r="D658"/>
    </row>
    <row r="659" spans="2:4" x14ac:dyDescent="0.25">
      <c r="B659"/>
      <c r="C659"/>
      <c r="D659"/>
    </row>
    <row r="660" spans="2:4" x14ac:dyDescent="0.25">
      <c r="B660"/>
      <c r="C660"/>
      <c r="D660"/>
    </row>
    <row r="661" spans="2:4" x14ac:dyDescent="0.25">
      <c r="B661"/>
      <c r="C661"/>
      <c r="D661"/>
    </row>
    <row r="662" spans="2:4" x14ac:dyDescent="0.25">
      <c r="B662"/>
      <c r="C662"/>
      <c r="D662"/>
    </row>
    <row r="663" spans="2:4" x14ac:dyDescent="0.25">
      <c r="B663"/>
      <c r="C663"/>
      <c r="D663"/>
    </row>
    <row r="664" spans="2:4" x14ac:dyDescent="0.25">
      <c r="B664"/>
      <c r="C664"/>
      <c r="D664"/>
    </row>
    <row r="665" spans="2:4" x14ac:dyDescent="0.25">
      <c r="B665"/>
      <c r="C665"/>
      <c r="D665"/>
    </row>
    <row r="666" spans="2:4" x14ac:dyDescent="0.25">
      <c r="B666"/>
      <c r="C666"/>
      <c r="D666"/>
    </row>
    <row r="667" spans="2:4" x14ac:dyDescent="0.25">
      <c r="B667"/>
      <c r="C667"/>
      <c r="D667"/>
    </row>
    <row r="668" spans="2:4" x14ac:dyDescent="0.25">
      <c r="B668"/>
      <c r="C668"/>
      <c r="D668"/>
    </row>
    <row r="669" spans="2:4" x14ac:dyDescent="0.25">
      <c r="B669"/>
      <c r="C669"/>
      <c r="D669"/>
    </row>
    <row r="670" spans="2:4" x14ac:dyDescent="0.25">
      <c r="B670"/>
      <c r="C670"/>
      <c r="D670"/>
    </row>
    <row r="671" spans="2:4" x14ac:dyDescent="0.25">
      <c r="B671"/>
      <c r="C671"/>
      <c r="D671"/>
    </row>
    <row r="672" spans="2:4" x14ac:dyDescent="0.25">
      <c r="B672"/>
      <c r="C672"/>
      <c r="D672"/>
    </row>
    <row r="673" spans="2:4" x14ac:dyDescent="0.25">
      <c r="B673"/>
      <c r="C673"/>
      <c r="D673"/>
    </row>
    <row r="674" spans="2:4" x14ac:dyDescent="0.25">
      <c r="B674"/>
      <c r="C674"/>
      <c r="D674"/>
    </row>
    <row r="675" spans="2:4" x14ac:dyDescent="0.25">
      <c r="B675"/>
      <c r="C675"/>
      <c r="D675"/>
    </row>
    <row r="676" spans="2:4" x14ac:dyDescent="0.25">
      <c r="B676"/>
      <c r="C676"/>
      <c r="D676"/>
    </row>
    <row r="677" spans="2:4" x14ac:dyDescent="0.25">
      <c r="B677"/>
      <c r="C677"/>
      <c r="D677"/>
    </row>
    <row r="678" spans="2:4" x14ac:dyDescent="0.25">
      <c r="B678"/>
      <c r="C678"/>
      <c r="D678"/>
    </row>
    <row r="679" spans="2:4" x14ac:dyDescent="0.25">
      <c r="B679"/>
      <c r="C679"/>
      <c r="D679"/>
    </row>
    <row r="680" spans="2:4" x14ac:dyDescent="0.25">
      <c r="B680"/>
      <c r="C680"/>
      <c r="D680"/>
    </row>
    <row r="681" spans="2:4" x14ac:dyDescent="0.25">
      <c r="B681"/>
      <c r="C681"/>
      <c r="D681"/>
    </row>
    <row r="682" spans="2:4" x14ac:dyDescent="0.25">
      <c r="B682"/>
      <c r="C682"/>
      <c r="D682"/>
    </row>
    <row r="683" spans="2:4" x14ac:dyDescent="0.25">
      <c r="B683"/>
      <c r="C683"/>
      <c r="D683"/>
    </row>
    <row r="684" spans="2:4" x14ac:dyDescent="0.25">
      <c r="B684"/>
      <c r="C684"/>
      <c r="D684"/>
    </row>
  </sheetData>
  <autoFilter ref="A1:L253" xr:uid="{6CA238FB-6EB1-446C-B402-633DA9EAABC9}"/>
  <sortState xmlns:xlrd2="http://schemas.microsoft.com/office/spreadsheetml/2017/richdata2" ref="B2:D221">
    <sortCondition ref="B2:B221"/>
    <sortCondition ref="C2:C22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39618-B1E8-431B-9674-1D17A51B4324}">
  <dimension ref="A1:AE125"/>
  <sheetViews>
    <sheetView zoomScaleNormal="100" workbookViewId="0">
      <selection activeCell="G19" sqref="G19"/>
    </sheetView>
  </sheetViews>
  <sheetFormatPr defaultRowHeight="15" x14ac:dyDescent="0.25"/>
  <cols>
    <col min="1" max="1" width="9.140625" style="37"/>
    <col min="3" max="5" width="9.140625" customWidth="1"/>
    <col min="6" max="6" width="10.5703125" customWidth="1"/>
    <col min="7" max="7" width="12" bestFit="1" customWidth="1"/>
    <col min="11" max="11" width="10.5703125" bestFit="1" customWidth="1"/>
    <col min="12" max="12" width="11.5703125" bestFit="1" customWidth="1"/>
    <col min="13" max="13" width="14.140625" bestFit="1" customWidth="1"/>
    <col min="14" max="14" width="11.5703125" style="37" customWidth="1"/>
    <col min="15" max="15" width="11.5703125" bestFit="1" customWidth="1"/>
    <col min="16" max="16" width="12" style="37" bestFit="1" customWidth="1"/>
    <col min="17" max="17" width="11.5703125" bestFit="1" customWidth="1"/>
    <col min="18" max="18" width="12" style="37" bestFit="1" customWidth="1"/>
    <col min="19" max="19" width="10.5703125" bestFit="1" customWidth="1"/>
    <col min="20" max="20" width="12" style="37" bestFit="1" customWidth="1"/>
    <col min="21" max="22" width="12" bestFit="1" customWidth="1"/>
    <col min="27" max="27" width="10.5703125" bestFit="1" customWidth="1"/>
  </cols>
  <sheetData>
    <row r="1" spans="1:22" x14ac:dyDescent="0.25">
      <c r="B1" s="37"/>
      <c r="D1" t="s">
        <v>366</v>
      </c>
      <c r="E1" t="s">
        <v>365</v>
      </c>
      <c r="F1" t="s">
        <v>368</v>
      </c>
      <c r="G1" t="s">
        <v>369</v>
      </c>
      <c r="H1" t="s">
        <v>370</v>
      </c>
      <c r="I1" t="s">
        <v>367</v>
      </c>
      <c r="K1" s="37"/>
      <c r="N1">
        <v>1</v>
      </c>
      <c r="O1" s="37">
        <v>1</v>
      </c>
      <c r="P1">
        <v>2</v>
      </c>
      <c r="Q1" s="37">
        <v>2</v>
      </c>
      <c r="R1">
        <v>3</v>
      </c>
      <c r="S1" s="37">
        <v>3</v>
      </c>
      <c r="T1">
        <v>4</v>
      </c>
      <c r="U1" s="37">
        <v>4</v>
      </c>
      <c r="V1" t="s">
        <v>664</v>
      </c>
    </row>
    <row r="2" spans="1:22" x14ac:dyDescent="0.25">
      <c r="A2" s="37" t="str">
        <f>CONCATENATE(B2,C2)</f>
        <v>2019April</v>
      </c>
      <c r="B2" s="37">
        <v>2019</v>
      </c>
      <c r="C2" t="s">
        <v>338</v>
      </c>
      <c r="E2">
        <f>SUMIFS(Drank!AB:AB,Drank!AC:AC,Expenses!B2,Drank!U:U,Expenses!C2)</f>
        <v>41</v>
      </c>
      <c r="F2" s="2">
        <v>700</v>
      </c>
      <c r="G2" s="2">
        <f>SUMIFS(Drank!W:W,Drank!AC:AC,Expenses!B2,Drank!U:U,Expenses!C2)</f>
        <v>1122.3200000000002</v>
      </c>
      <c r="H2" s="2"/>
      <c r="I2" s="2">
        <f t="shared" ref="I2:I19" si="0">G2/E2</f>
        <v>27.373658536585371</v>
      </c>
      <c r="J2" s="2"/>
      <c r="K2" t="str">
        <f>CONCATENATE(L2,M2)</f>
        <v>2019April</v>
      </c>
      <c r="L2" s="37">
        <v>2019</v>
      </c>
      <c r="M2" s="37" t="s">
        <v>338</v>
      </c>
      <c r="N2" s="37">
        <f>SUMIFS(Drank!$AB:$AB,Drank!$AA:$AA,Expenses!N$1,Drank!$U:$U,Expenses!$M2,Drank!AC:AC,Expenses!L2)</f>
        <v>14</v>
      </c>
      <c r="O2" s="2">
        <f>SUMIFS(Drank!$W:$W,Drank!$AA:$AA,Expenses!O$1,Drank!$U:$U,Expenses!$M2,Drank!AC:AC,Expenses!L2)</f>
        <v>171.44000000000003</v>
      </c>
      <c r="P2" s="37">
        <f>SUMIFS(Drank!$AB:$AB,Drank!$AA:$AA,Expenses!P$1,Drank!$U:$U,Expenses!$M2,Drank!AC:AC,Expenses!L2)</f>
        <v>11</v>
      </c>
      <c r="Q2" s="2">
        <f>SUMIFS(Drank!$W:$W,Drank!$AA:$AA,Expenses!Q$1,Drank!$U:$U,Expenses!$M2,Drank!AC:AC,Expenses!L2)</f>
        <v>261.97000000000003</v>
      </c>
      <c r="R2" s="37">
        <f>SUMIFS(Drank!$AB:$AB,Drank!$AA:$AA,Expenses!R$1,Drank!$U:$U,Expenses!$M2,Drank!AC:AC,Expenses!L2)</f>
        <v>15.5</v>
      </c>
      <c r="S2" s="2">
        <f>SUMIFS(Drank!$W:$W,Drank!$AA:$AA,Expenses!S$1,Drank!$U:$U,Expenses!$M2,Drank!AC:AC,Expenses!L2)</f>
        <v>618.91000000000008</v>
      </c>
      <c r="T2" s="37">
        <f>SUMIFS(Drank!$AB:$AB,Drank!$AA:$AA,Expenses!T$1,Drank!$U:$U,Expenses!$M2,Drank!AC:AC,Expenses!L2)</f>
        <v>0.5</v>
      </c>
      <c r="U2" s="2">
        <f>SUMIFS(Drank!$W:$W,Drank!$AA:$AA,Expenses!U$1,Drank!$U:$U,Expenses!$M2,Drank!AC:AC,Expenses!L2)</f>
        <v>70</v>
      </c>
      <c r="V2">
        <f>SUM(N2,P2,R2,T2)</f>
        <v>41</v>
      </c>
    </row>
    <row r="3" spans="1:22" x14ac:dyDescent="0.25">
      <c r="A3" s="37" t="str">
        <f t="shared" ref="A3:A17" si="1">CONCATENATE(B3,C3)</f>
        <v>2019May</v>
      </c>
      <c r="B3" s="37">
        <v>2019</v>
      </c>
      <c r="C3" t="s">
        <v>339</v>
      </c>
      <c r="E3" s="37">
        <f>SUMIFS(Drank!AB:AB,Drank!AC:AC,Expenses!B3,Drank!U:U,Expenses!C3)</f>
        <v>28.5</v>
      </c>
      <c r="F3" s="2">
        <v>600</v>
      </c>
      <c r="G3" s="2">
        <f>SUMIFS(Drank!W:W,Drank!AC:AC,Expenses!B3,Drank!U:U,Expenses!C3)</f>
        <v>732.07</v>
      </c>
      <c r="H3" s="2"/>
      <c r="I3" s="2">
        <f t="shared" si="0"/>
        <v>25.686666666666667</v>
      </c>
      <c r="J3" s="2"/>
      <c r="K3" s="37" t="str">
        <f t="shared" ref="K3:K17" si="2">CONCATENATE(L3,M3)</f>
        <v>2019May</v>
      </c>
      <c r="L3" s="37">
        <v>2019</v>
      </c>
      <c r="M3" s="37" t="s">
        <v>339</v>
      </c>
      <c r="N3" s="37">
        <f>SUMIFS(Drank!$AB:$AB,Drank!$AA:$AA,Expenses!N$1,Drank!$U:$U,Expenses!$M3,Drank!AC:AC,Expenses!L3)</f>
        <v>13</v>
      </c>
      <c r="O3" s="2">
        <f>SUMIFS(Drank!$W:$W,Drank!$AA:$AA,Expenses!O$1,Drank!$U:$U,Expenses!$M3,Drank!AC:AC,Expenses!L3)</f>
        <v>162.21</v>
      </c>
      <c r="P3" s="37">
        <f>SUMIFS(Drank!$AB:$AB,Drank!$AA:$AA,Expenses!P$1,Drank!$U:$U,Expenses!$M3,Drank!AC:AC,Expenses!L3)</f>
        <v>6</v>
      </c>
      <c r="Q3" s="2">
        <f>SUMIFS(Drank!$W:$W,Drank!$AA:$AA,Expenses!Q$1,Drank!$U:$U,Expenses!$M3,Drank!AC:AC,Expenses!L3)</f>
        <v>124.93999999999998</v>
      </c>
      <c r="R3" s="37">
        <f>SUMIFS(Drank!$AB:$AB,Drank!$AA:$AA,Expenses!R$1,Drank!$U:$U,Expenses!$M3,Drank!AC:AC,Expenses!L3)</f>
        <v>8</v>
      </c>
      <c r="S3" s="2">
        <f>SUMIFS(Drank!$W:$W,Drank!$AA:$AA,Expenses!S$1,Drank!$U:$U,Expenses!$M3,Drank!AC:AC,Expenses!L3)</f>
        <v>339.94</v>
      </c>
      <c r="T3" s="37">
        <f>SUMIFS(Drank!$AB:$AB,Drank!$AA:$AA,Expenses!T$1,Drank!$U:$U,Expenses!$M3,Drank!AC:AC,Expenses!L3)</f>
        <v>1.5</v>
      </c>
      <c r="U3" s="2">
        <f>SUMIFS(Drank!$W:$W,Drank!$AA:$AA,Expenses!U$1,Drank!$U:$U,Expenses!$M3,Drank!AC:AC,Expenses!L3)</f>
        <v>104.97999999999999</v>
      </c>
      <c r="V3" s="37">
        <f t="shared" ref="V3:V15" si="3">SUM(N3,P3,R3,T3)</f>
        <v>28.5</v>
      </c>
    </row>
    <row r="4" spans="1:22" x14ac:dyDescent="0.25">
      <c r="A4" s="37" t="str">
        <f t="shared" si="1"/>
        <v>2019June</v>
      </c>
      <c r="B4" s="37">
        <v>2019</v>
      </c>
      <c r="C4" t="s">
        <v>340</v>
      </c>
      <c r="E4" s="37">
        <f>SUMIFS(Drank!AB:AB,Drank!AC:AC,Expenses!B4,Drank!U:U,Expenses!C4)</f>
        <v>25.5</v>
      </c>
      <c r="F4" s="2">
        <v>600</v>
      </c>
      <c r="G4" s="2">
        <f>SUMIFS(Drank!W:W,Drank!AC:AC,Expenses!B4,Drank!U:U,Expenses!C4)</f>
        <v>751.47000000000014</v>
      </c>
      <c r="H4" s="2"/>
      <c r="I4" s="2">
        <f t="shared" si="0"/>
        <v>29.469411764705889</v>
      </c>
      <c r="J4" s="2"/>
      <c r="K4" s="37" t="str">
        <f t="shared" si="2"/>
        <v>2019June</v>
      </c>
      <c r="L4" s="37">
        <v>2019</v>
      </c>
      <c r="M4" s="37" t="s">
        <v>340</v>
      </c>
      <c r="N4" s="37">
        <f>SUMIFS(Drank!$AB:$AB,Drank!$AA:$AA,Expenses!N$1,Drank!$U:$U,Expenses!$M4,Drank!AC:AC,Expenses!L4)</f>
        <v>10</v>
      </c>
      <c r="O4" s="2">
        <f>SUMIFS(Drank!$W:$W,Drank!$AA:$AA,Expenses!O$1,Drank!$U:$U,Expenses!$M4,Drank!AC:AC,Expenses!L4)</f>
        <v>96.55</v>
      </c>
      <c r="P4" s="37">
        <f>SUMIFS(Drank!$AB:$AB,Drank!$AA:$AA,Expenses!P$1,Drank!$U:$U,Expenses!$M4,Drank!AC:AC,Expenses!L4)</f>
        <v>7</v>
      </c>
      <c r="Q4" s="2">
        <f>SUMIFS(Drank!$W:$W,Drank!$AA:$AA,Expenses!Q$1,Drank!$U:$U,Expenses!$M4,Drank!AC:AC,Expenses!L4)</f>
        <v>158.94999999999999</v>
      </c>
      <c r="R4" s="37">
        <f>SUMIFS(Drank!$AB:$AB,Drank!$AA:$AA,Expenses!R$1,Drank!$U:$U,Expenses!$M4,Drank!AC:AC,Expenses!L4)</f>
        <v>6.5</v>
      </c>
      <c r="S4" s="2">
        <f>SUMIFS(Drank!$W:$W,Drank!$AA:$AA,Expenses!S$1,Drank!$U:$U,Expenses!$M4,Drank!AC:AC,Expenses!L4)</f>
        <v>280.97000000000003</v>
      </c>
      <c r="T4" s="37">
        <f>SUMIFS(Drank!$AB:$AB,Drank!$AA:$AA,Expenses!T$1,Drank!$U:$U,Expenses!$M4,Drank!AC:AC,Expenses!L4)</f>
        <v>2</v>
      </c>
      <c r="U4" s="2">
        <f>SUMIFS(Drank!$W:$W,Drank!$AA:$AA,Expenses!U$1,Drank!$U:$U,Expenses!$M4,Drank!AC:AC,Expenses!L4)</f>
        <v>215</v>
      </c>
      <c r="V4" s="37">
        <f t="shared" si="3"/>
        <v>25.5</v>
      </c>
    </row>
    <row r="5" spans="1:22" x14ac:dyDescent="0.25">
      <c r="A5" s="37" t="str">
        <f t="shared" si="1"/>
        <v>2019July</v>
      </c>
      <c r="B5" s="37">
        <v>2019</v>
      </c>
      <c r="C5" t="s">
        <v>341</v>
      </c>
      <c r="D5">
        <v>30</v>
      </c>
      <c r="E5" s="37">
        <f>SUMIFS(Drank!AB:AB,Drank!AC:AC,Expenses!B5,Drank!U:U,Expenses!C5)</f>
        <v>18</v>
      </c>
      <c r="F5" s="2">
        <v>650</v>
      </c>
      <c r="G5" s="2">
        <f>SUMIFS(Drank!W:W,Drank!AC:AC,Expenses!B5,Drank!U:U,Expenses!C5)</f>
        <v>432.98</v>
      </c>
      <c r="H5" s="11">
        <f>F5/D5</f>
        <v>21.666666666666668</v>
      </c>
      <c r="I5" s="2">
        <f t="shared" si="0"/>
        <v>24.054444444444446</v>
      </c>
      <c r="J5" s="2"/>
      <c r="K5" s="37" t="str">
        <f t="shared" si="2"/>
        <v>2019July</v>
      </c>
      <c r="L5" s="37">
        <v>2019</v>
      </c>
      <c r="M5" s="37" t="s">
        <v>341</v>
      </c>
      <c r="N5" s="37">
        <f>SUMIFS(Drank!$AB:$AB,Drank!$AA:$AA,Expenses!N$1,Drank!$U:$U,Expenses!$M5,Drank!AC:AC,Expenses!L5)</f>
        <v>9</v>
      </c>
      <c r="O5" s="2">
        <f>SUMIFS(Drank!$W:$W,Drank!$AA:$AA,Expenses!O$1,Drank!$U:$U,Expenses!$M5,Drank!AC:AC,Expenses!L5)</f>
        <v>115.21</v>
      </c>
      <c r="P5" s="37">
        <f>SUMIFS(Drank!$AB:$AB,Drank!$AA:$AA,Expenses!P$1,Drank!$U:$U,Expenses!$M5,Drank!AC:AC,Expenses!L5)</f>
        <v>3</v>
      </c>
      <c r="Q5" s="2">
        <f>SUMIFS(Drank!$W:$W,Drank!$AA:$AA,Expenses!Q$1,Drank!$U:$U,Expenses!$M5,Drank!AC:AC,Expenses!L5)</f>
        <v>54.78</v>
      </c>
      <c r="R5" s="37">
        <f>SUMIFS(Drank!$AB:$AB,Drank!$AA:$AA,Expenses!R$1,Drank!$U:$U,Expenses!$M5,Drank!AC:AC,Expenses!L5)</f>
        <v>5</v>
      </c>
      <c r="S5" s="2">
        <f>SUMIFS(Drank!$W:$W,Drank!$AA:$AA,Expenses!S$1,Drank!$U:$U,Expenses!$M5,Drank!AC:AC,Expenses!L5)</f>
        <v>187.99</v>
      </c>
      <c r="T5" s="37">
        <f>SUMIFS(Drank!$AB:$AB,Drank!$AA:$AA,Expenses!T$1,Drank!$U:$U,Expenses!$M5,Drank!AC:AC,Expenses!L5)</f>
        <v>1</v>
      </c>
      <c r="U5" s="2">
        <f>SUMIFS(Drank!$W:$W,Drank!$AA:$AA,Expenses!U$1,Drank!$U:$U,Expenses!$M5,Drank!AC:AC,Expenses!L5)</f>
        <v>75</v>
      </c>
      <c r="V5" s="37">
        <f t="shared" si="3"/>
        <v>18</v>
      </c>
    </row>
    <row r="6" spans="1:22" x14ac:dyDescent="0.25">
      <c r="A6" s="37" t="str">
        <f t="shared" si="1"/>
        <v>2019August</v>
      </c>
      <c r="B6" s="37">
        <v>2019</v>
      </c>
      <c r="C6" t="s">
        <v>342</v>
      </c>
      <c r="D6">
        <v>30</v>
      </c>
      <c r="E6" s="37">
        <f>SUMIFS(Drank!AB:AB,Drank!AC:AC,Expenses!B6,Drank!U:U,Expenses!C6)</f>
        <v>23</v>
      </c>
      <c r="F6" s="2">
        <v>650</v>
      </c>
      <c r="G6" s="2">
        <f>SUMIFS(Drank!W:W,Drank!AC:AC,Expenses!B6,Drank!U:U,Expenses!C6)</f>
        <v>497.56000000000006</v>
      </c>
      <c r="H6" s="11">
        <f>F6/D6</f>
        <v>21.666666666666668</v>
      </c>
      <c r="I6" s="2">
        <f t="shared" si="0"/>
        <v>21.633043478260873</v>
      </c>
      <c r="J6" s="2"/>
      <c r="K6" s="37" t="str">
        <f t="shared" si="2"/>
        <v>2019August</v>
      </c>
      <c r="L6" s="37">
        <v>2019</v>
      </c>
      <c r="M6" s="37" t="s">
        <v>342</v>
      </c>
      <c r="N6" s="37">
        <f>SUMIFS(Drank!$AB:$AB,Drank!$AA:$AA,Expenses!N$1,Drank!$U:$U,Expenses!$M6,Drank!AC:AC,Expenses!L6)</f>
        <v>13</v>
      </c>
      <c r="O6" s="2">
        <f>SUMIFS(Drank!$W:$W,Drank!$AA:$AA,Expenses!O$1,Drank!$U:$U,Expenses!$M6,Drank!AC:AC,Expenses!L6)</f>
        <v>150.44</v>
      </c>
      <c r="P6" s="37">
        <f>SUMIFS(Drank!$AB:$AB,Drank!$AA:$AA,Expenses!P$1,Drank!$U:$U,Expenses!$M6,Drank!AC:AC,Expenses!L6)</f>
        <v>5</v>
      </c>
      <c r="Q6" s="2">
        <f>SUMIFS(Drank!$W:$W,Drank!$AA:$AA,Expenses!Q$1,Drank!$U:$U,Expenses!$M6,Drank!AC:AC,Expenses!L6)</f>
        <v>107.16</v>
      </c>
      <c r="R6" s="37">
        <f>SUMIFS(Drank!$AB:$AB,Drank!$AA:$AA,Expenses!R$1,Drank!$U:$U,Expenses!$M6,Drank!AC:AC,Expenses!L6)</f>
        <v>5</v>
      </c>
      <c r="S6" s="2">
        <f>SUMIFS(Drank!$W:$W,Drank!$AA:$AA,Expenses!S$1,Drank!$U:$U,Expenses!$M6,Drank!AC:AC,Expenses!L6)</f>
        <v>239.96</v>
      </c>
      <c r="T6" s="37">
        <f>SUMIFS(Drank!$AB:$AB,Drank!$AA:$AA,Expenses!T$1,Drank!$U:$U,Expenses!$M6,Drank!AC:AC,Expenses!L6)</f>
        <v>0</v>
      </c>
      <c r="U6" s="2">
        <f>SUMIFS(Drank!$W:$W,Drank!$AA:$AA,Expenses!U$1,Drank!$U:$U,Expenses!$M6,Drank!AC:AC,Expenses!L6)</f>
        <v>0</v>
      </c>
      <c r="V6" s="37">
        <f t="shared" si="3"/>
        <v>23</v>
      </c>
    </row>
    <row r="7" spans="1:22" x14ac:dyDescent="0.25">
      <c r="A7" s="37" t="str">
        <f t="shared" si="1"/>
        <v>2019September</v>
      </c>
      <c r="B7" s="37">
        <v>2019</v>
      </c>
      <c r="C7" t="s">
        <v>343</v>
      </c>
      <c r="D7">
        <v>15</v>
      </c>
      <c r="E7" s="37">
        <f>SUMIFS(Drank!AB:AB,Drank!AC:AC,Expenses!B7,Drank!U:U,Expenses!C7)</f>
        <v>11.5</v>
      </c>
      <c r="F7" s="11">
        <f>D7*H7</f>
        <v>300</v>
      </c>
      <c r="G7" s="2">
        <f>SUMIFS(Drank!W:W,Drank!AC:AC,Expenses!B7,Drank!U:U,Expenses!C7)</f>
        <v>273.74</v>
      </c>
      <c r="H7" s="2">
        <v>20</v>
      </c>
      <c r="I7" s="2">
        <f t="shared" si="0"/>
        <v>23.803478260869564</v>
      </c>
      <c r="J7" s="2"/>
      <c r="K7" s="37" t="str">
        <f t="shared" si="2"/>
        <v>2019September</v>
      </c>
      <c r="L7" s="37">
        <v>2019</v>
      </c>
      <c r="M7" s="37" t="s">
        <v>343</v>
      </c>
      <c r="N7" s="37">
        <f>SUMIFS(Drank!$AB:$AB,Drank!$AA:$AA,Expenses!N$1,Drank!$U:$U,Expenses!$M7,Drank!AC:AC,Expenses!L7)</f>
        <v>5</v>
      </c>
      <c r="O7" s="2">
        <f>SUMIFS(Drank!$W:$W,Drank!$AA:$AA,Expenses!O$1,Drank!$U:$U,Expenses!$M7,Drank!AC:AC,Expenses!L7)</f>
        <v>52.15</v>
      </c>
      <c r="P7" s="37">
        <f>SUMIFS(Drank!$AB:$AB,Drank!$AA:$AA,Expenses!P$1,Drank!$U:$U,Expenses!$M7,Drank!AC:AC,Expenses!L7)</f>
        <v>5</v>
      </c>
      <c r="Q7" s="2">
        <f>SUMIFS(Drank!$W:$W,Drank!$AA:$AA,Expenses!Q$1,Drank!$U:$U,Expenses!$M7,Drank!AC:AC,Expenses!L7)</f>
        <v>111.59</v>
      </c>
      <c r="R7" s="37">
        <f>SUMIFS(Drank!$AB:$AB,Drank!$AA:$AA,Expenses!R$1,Drank!$U:$U,Expenses!$M7,Drank!AC:AC,Expenses!L7)</f>
        <v>1</v>
      </c>
      <c r="S7" s="2">
        <f>SUMIFS(Drank!$W:$W,Drank!$AA:$AA,Expenses!S$1,Drank!$U:$U,Expenses!$M7,Drank!AC:AC,Expenses!L7)</f>
        <v>40</v>
      </c>
      <c r="T7" s="37">
        <f>SUMIFS(Drank!$AB:$AB,Drank!$AA:$AA,Expenses!T$1,Drank!$U:$U,Expenses!$M7,Drank!AC:AC,Expenses!L7)</f>
        <v>0.5</v>
      </c>
      <c r="U7" s="2">
        <f>SUMIFS(Drank!$W:$W,Drank!$AA:$AA,Expenses!U$1,Drank!$U:$U,Expenses!$M7,Drank!AC:AC,Expenses!L7)</f>
        <v>70</v>
      </c>
      <c r="V7" s="37">
        <f t="shared" si="3"/>
        <v>11.5</v>
      </c>
    </row>
    <row r="8" spans="1:22" x14ac:dyDescent="0.25">
      <c r="A8" s="37" t="str">
        <f t="shared" si="1"/>
        <v>2019October</v>
      </c>
      <c r="B8" s="37">
        <v>2019</v>
      </c>
      <c r="C8" t="s">
        <v>344</v>
      </c>
      <c r="D8">
        <v>21</v>
      </c>
      <c r="E8" s="37">
        <f>SUMIFS(Drank!AB:AB,Drank!AC:AC,Expenses!B8,Drank!U:U,Expenses!C8)</f>
        <v>20.5</v>
      </c>
      <c r="F8" s="11">
        <f>D8*H8</f>
        <v>420</v>
      </c>
      <c r="G8" s="2">
        <f>SUMIFS(Drank!W:W,Drank!AC:AC,Expenses!B8,Drank!U:U,Expenses!C8)</f>
        <v>337.55000000000007</v>
      </c>
      <c r="H8" s="2">
        <v>20</v>
      </c>
      <c r="I8" s="2">
        <f t="shared" si="0"/>
        <v>16.465853658536588</v>
      </c>
      <c r="J8" s="2"/>
      <c r="K8" s="37" t="str">
        <f t="shared" si="2"/>
        <v>2019October</v>
      </c>
      <c r="L8" s="37">
        <v>2019</v>
      </c>
      <c r="M8" s="37" t="s">
        <v>344</v>
      </c>
      <c r="N8" s="37">
        <f>SUMIFS(Drank!$AB:$AB,Drank!$AA:$AA,Expenses!N$1,Drank!$U:$U,Expenses!$M8,Drank!AC:AC,Expenses!L8)</f>
        <v>14</v>
      </c>
      <c r="O8" s="2">
        <f>SUMIFS(Drank!$W:$W,Drank!$AA:$AA,Expenses!O$1,Drank!$U:$U,Expenses!$M8,Drank!AC:AC,Expenses!L8)</f>
        <v>173.99</v>
      </c>
      <c r="P8" s="37">
        <f>SUMIFS(Drank!$AB:$AB,Drank!$AA:$AA,Expenses!P$1,Drank!$U:$U,Expenses!$M8,Drank!AC:AC,Expenses!L8)</f>
        <v>5</v>
      </c>
      <c r="Q8" s="2">
        <f>SUMIFS(Drank!$W:$W,Drank!$AA:$AA,Expenses!Q$1,Drank!$U:$U,Expenses!$M8,Drank!AC:AC,Expenses!L8)</f>
        <v>110.58</v>
      </c>
      <c r="R8" s="37">
        <f>SUMIFS(Drank!$AB:$AB,Drank!$AA:$AA,Expenses!R$1,Drank!$U:$U,Expenses!$M8,Drank!AC:AC,Expenses!L8)</f>
        <v>1.5</v>
      </c>
      <c r="S8" s="2">
        <f>SUMIFS(Drank!$W:$W,Drank!$AA:$AA,Expenses!S$1,Drank!$U:$U,Expenses!$M8,Drank!AC:AC,Expenses!L8)</f>
        <v>52.980000000000004</v>
      </c>
      <c r="T8" s="37">
        <f>SUMIFS(Drank!$AB:$AB,Drank!$AA:$AA,Expenses!T$1,Drank!$U:$U,Expenses!$M8,Drank!AC:AC,Expenses!L8)</f>
        <v>0</v>
      </c>
      <c r="U8" s="2">
        <f>SUMIFS(Drank!$W:$W,Drank!$AA:$AA,Expenses!U$1,Drank!$U:$U,Expenses!$M8,Drank!AC:AC,Expenses!L8)</f>
        <v>0</v>
      </c>
      <c r="V8" s="37">
        <f t="shared" si="3"/>
        <v>20.5</v>
      </c>
    </row>
    <row r="9" spans="1:22" x14ac:dyDescent="0.25">
      <c r="A9" s="37" t="str">
        <f t="shared" si="1"/>
        <v>2019November</v>
      </c>
      <c r="B9" s="37">
        <v>2019</v>
      </c>
      <c r="C9" t="s">
        <v>345</v>
      </c>
      <c r="D9">
        <v>19</v>
      </c>
      <c r="E9" s="37">
        <f>SUMIFS(Drank!AB:AB,Drank!AC:AC,Expenses!B9,Drank!U:U,Expenses!C9)</f>
        <v>17.5</v>
      </c>
      <c r="F9" s="11">
        <v>300</v>
      </c>
      <c r="G9" s="2">
        <f>SUMIFS(Drank!W:W,Drank!AC:AC,Expenses!B9,Drank!U:U,Expenses!C9)</f>
        <v>304.90000000000003</v>
      </c>
      <c r="H9" s="11">
        <f>F9/D9</f>
        <v>15.789473684210526</v>
      </c>
      <c r="I9" s="2">
        <f t="shared" si="0"/>
        <v>17.422857142857143</v>
      </c>
      <c r="J9" s="2"/>
      <c r="K9" s="37" t="str">
        <f t="shared" si="2"/>
        <v>2019November</v>
      </c>
      <c r="L9" s="37">
        <v>2019</v>
      </c>
      <c r="M9" s="37" t="s">
        <v>345</v>
      </c>
      <c r="N9" s="37">
        <f>SUMIFS(Drank!$AB:$AB,Drank!$AA:$AA,Expenses!N$1,Drank!$U:$U,Expenses!$M9,Drank!AC:AC,Expenses!L9)</f>
        <v>11</v>
      </c>
      <c r="O9" s="2">
        <f>SUMIFS(Drank!$W:$W,Drank!$AA:$AA,Expenses!O$1,Drank!$U:$U,Expenses!$M9,Drank!AC:AC,Expenses!L9)</f>
        <v>130.14999999999998</v>
      </c>
      <c r="P9" s="37">
        <f>SUMIFS(Drank!$AB:$AB,Drank!$AA:$AA,Expenses!P$1,Drank!$U:$U,Expenses!$M9,Drank!AC:AC,Expenses!L9)</f>
        <v>5</v>
      </c>
      <c r="Q9" s="2">
        <f>SUMIFS(Drank!$W:$W,Drank!$AA:$AA,Expenses!Q$1,Drank!$U:$U,Expenses!$M9,Drank!AC:AC,Expenses!L9)</f>
        <v>107.75999999999999</v>
      </c>
      <c r="R9" s="37">
        <f>SUMIFS(Drank!$AB:$AB,Drank!$AA:$AA,Expenses!R$1,Drank!$U:$U,Expenses!$M9,Drank!AC:AC,Expenses!L9)</f>
        <v>1.5</v>
      </c>
      <c r="S9" s="2">
        <f>SUMIFS(Drank!$W:$W,Drank!$AA:$AA,Expenses!S$1,Drank!$U:$U,Expenses!$M9,Drank!AC:AC,Expenses!L9)</f>
        <v>66.989999999999995</v>
      </c>
      <c r="T9" s="37">
        <f>SUMIFS(Drank!$AB:$AB,Drank!$AA:$AA,Expenses!T$1,Drank!$U:$U,Expenses!$M9,Drank!AC:AC,Expenses!L9)</f>
        <v>0</v>
      </c>
      <c r="U9" s="2">
        <f>SUMIFS(Drank!$W:$W,Drank!$AA:$AA,Expenses!U$1,Drank!$U:$U,Expenses!$M9,Drank!AC:AC,Expenses!L9)</f>
        <v>0</v>
      </c>
      <c r="V9" s="37">
        <f t="shared" si="3"/>
        <v>17.5</v>
      </c>
    </row>
    <row r="10" spans="1:22" x14ac:dyDescent="0.25">
      <c r="A10" s="37" t="str">
        <f t="shared" si="1"/>
        <v>2019December</v>
      </c>
      <c r="B10" s="37">
        <v>2019</v>
      </c>
      <c r="C10" t="s">
        <v>346</v>
      </c>
      <c r="D10">
        <v>21</v>
      </c>
      <c r="E10" s="37">
        <f>SUMIFS(Drank!AB:AB,Drank!AC:AC,Expenses!B10,Drank!U:U,Expenses!C10)</f>
        <v>34.666666666666664</v>
      </c>
      <c r="F10" s="11">
        <v>500</v>
      </c>
      <c r="G10" s="2">
        <f>SUMIFS(Drank!W:W,Drank!AC:AC,Expenses!B10,Drank!U:U,Expenses!C10)</f>
        <v>676.64000000000021</v>
      </c>
      <c r="H10" s="11">
        <f>F10/D10</f>
        <v>23.80952380952381</v>
      </c>
      <c r="I10" s="2">
        <f t="shared" si="0"/>
        <v>19.518461538461548</v>
      </c>
      <c r="J10" s="2"/>
      <c r="K10" s="37" t="str">
        <f t="shared" si="2"/>
        <v>2019December</v>
      </c>
      <c r="L10" s="37">
        <v>2019</v>
      </c>
      <c r="M10" s="37" t="s">
        <v>346</v>
      </c>
      <c r="N10" s="37">
        <f>SUMIFS(Drank!$AB:$AB,Drank!$AA:$AA,Expenses!N$1,Drank!$U:$U,Expenses!$M10,Drank!AC:AC,Expenses!L10)</f>
        <v>21</v>
      </c>
      <c r="O10" s="2">
        <f>SUMIFS(Drank!$W:$W,Drank!$AA:$AA,Expenses!O$1,Drank!$U:$U,Expenses!$M10,Drank!AC:AC,Expenses!L10)</f>
        <v>271.15000000000003</v>
      </c>
      <c r="P10" s="37">
        <f>SUMIFS(Drank!$AB:$AB,Drank!$AA:$AA,Expenses!P$1,Drank!$U:$U,Expenses!$M10,Drank!AC:AC,Expenses!L10)</f>
        <v>9</v>
      </c>
      <c r="Q10" s="2">
        <f>SUMIFS(Drank!$W:$W,Drank!$AA:$AA,Expenses!Q$1,Drank!$U:$U,Expenses!$M10,Drank!AC:AC,Expenses!L10)</f>
        <v>198.53</v>
      </c>
      <c r="R10" s="37">
        <f>SUMIFS(Drank!$AB:$AB,Drank!$AA:$AA,Expenses!R$1,Drank!$U:$U,Expenses!$M10,Drank!AC:AC,Expenses!L10)</f>
        <v>4</v>
      </c>
      <c r="S10" s="2">
        <f>SUMIFS(Drank!$W:$W,Drank!$AA:$AA,Expenses!S$1,Drank!$U:$U,Expenses!$M10,Drank!AC:AC,Expenses!L10)</f>
        <v>158.96</v>
      </c>
      <c r="T10" s="37">
        <f>SUMIFS(Drank!$AB:$AB,Drank!$AA:$AA,Expenses!T$1,Drank!$U:$U,Expenses!$M10,Drank!AC:AC,Expenses!L10)</f>
        <v>0.66666666666666663</v>
      </c>
      <c r="U10" s="2">
        <f>SUMIFS(Drank!$W:$W,Drank!$AA:$AA,Expenses!U$1,Drank!$U:$U,Expenses!$M10,Drank!AC:AC,Expenses!L10)</f>
        <v>48</v>
      </c>
      <c r="V10" s="37">
        <f t="shared" si="3"/>
        <v>34.666666666666664</v>
      </c>
    </row>
    <row r="11" spans="1:22" x14ac:dyDescent="0.25">
      <c r="A11" s="37" t="str">
        <f t="shared" si="1"/>
        <v>2020January</v>
      </c>
      <c r="B11">
        <v>2020</v>
      </c>
      <c r="C11" t="s">
        <v>690</v>
      </c>
      <c r="D11">
        <v>19</v>
      </c>
      <c r="E11" s="37">
        <f>SUMIFS(Drank!AB:AB,Drank!AC:AC,Expenses!B11,Drank!U:U,Expenses!C11)</f>
        <v>25</v>
      </c>
      <c r="F11" s="11">
        <v>350</v>
      </c>
      <c r="G11" s="2">
        <f>SUMIFS(Drank!W:W,Drank!AC:AC,Expenses!B11,Drank!U:U,Expenses!C11)</f>
        <v>572.53000000000009</v>
      </c>
      <c r="H11" s="11">
        <f>F11/D11</f>
        <v>18.421052631578949</v>
      </c>
      <c r="I11" s="2">
        <f t="shared" si="0"/>
        <v>22.901200000000003</v>
      </c>
      <c r="J11" s="2"/>
      <c r="K11" s="37" t="str">
        <f t="shared" si="2"/>
        <v>2020January</v>
      </c>
      <c r="L11" s="37">
        <v>2020</v>
      </c>
      <c r="M11" s="37" t="s">
        <v>690</v>
      </c>
      <c r="N11" s="37">
        <f>SUMIFS(Drank!$AB:$AB,Drank!$AA:$AA,Expenses!N$1,Drank!$U:$U,Expenses!$M11,Drank!AC:AC,Expenses!L11)</f>
        <v>12</v>
      </c>
      <c r="O11" s="2">
        <f>SUMIFS(Drank!$W:$W,Drank!$AA:$AA,Expenses!O$1,Drank!$U:$U,Expenses!$M11,Drank!AC:AC,Expenses!L11)</f>
        <v>134.1</v>
      </c>
      <c r="P11" s="37">
        <f>SUMIFS(Drank!$AB:$AB,Drank!$AA:$AA,Expenses!P$1,Drank!$U:$U,Expenses!$M11,Drank!AC:AC,Expenses!L11)</f>
        <v>9</v>
      </c>
      <c r="Q11" s="2">
        <f>SUMIFS(Drank!$W:$W,Drank!$AA:$AA,Expenses!Q$1,Drank!$U:$U,Expenses!$M11,Drank!AC:AC,Expenses!L11)</f>
        <v>210.45</v>
      </c>
      <c r="R11" s="37">
        <f>SUMIFS(Drank!$AB:$AB,Drank!$AA:$AA,Expenses!R$1,Drank!$U:$U,Expenses!$M11,Drank!AC:AC,Expenses!L11)</f>
        <v>3</v>
      </c>
      <c r="S11" s="2">
        <f>SUMIFS(Drank!$W:$W,Drank!$AA:$AA,Expenses!S$1,Drank!$U:$U,Expenses!$M11,Drank!AC:AC,Expenses!L11)</f>
        <v>127.99000000000001</v>
      </c>
      <c r="T11" s="37">
        <f>SUMIFS(Drank!$AB:$AB,Drank!$AA:$AA,Expenses!T$1,Drank!$U:$U,Expenses!$M11,Drank!AC:AC,Expenses!L11)</f>
        <v>1</v>
      </c>
      <c r="U11" s="2">
        <f>SUMIFS(Drank!$W:$W,Drank!$AA:$AA,Expenses!U$1,Drank!$U:$U,Expenses!$M11,Drank!AC:AC,Expenses!L11)</f>
        <v>99.99</v>
      </c>
      <c r="V11" s="37">
        <f t="shared" si="3"/>
        <v>25</v>
      </c>
    </row>
    <row r="12" spans="1:22" x14ac:dyDescent="0.25">
      <c r="A12" s="37" t="str">
        <f t="shared" si="1"/>
        <v>2020February</v>
      </c>
      <c r="B12" s="37">
        <v>2020</v>
      </c>
      <c r="C12" s="37" t="s">
        <v>691</v>
      </c>
      <c r="D12">
        <v>20</v>
      </c>
      <c r="E12" s="37">
        <f>SUMIFS(Drank!AB:AB,Drank!AC:AC,Expenses!B12,Drank!U:U,Expenses!C12)</f>
        <v>23</v>
      </c>
      <c r="F12" s="11">
        <v>350</v>
      </c>
      <c r="G12" s="2">
        <f>SUMIFS(Drank!W:W,Drank!AC:AC,Expenses!B12,Drank!U:U,Expenses!C12)</f>
        <v>492.65000000000003</v>
      </c>
      <c r="H12" s="11">
        <f t="shared" ref="H12:H19" si="4">F12/D12</f>
        <v>17.5</v>
      </c>
      <c r="I12" s="2">
        <f t="shared" si="0"/>
        <v>21.419565217391305</v>
      </c>
      <c r="J12" s="2"/>
      <c r="K12" s="37" t="str">
        <f t="shared" si="2"/>
        <v>2020February</v>
      </c>
      <c r="L12" s="37">
        <v>2020</v>
      </c>
      <c r="M12" s="37" t="s">
        <v>691</v>
      </c>
      <c r="N12" s="37">
        <f>SUMIFS(Drank!$AB:$AB,Drank!$AA:$AA,Expenses!N$1,Drank!$U:$U,Expenses!$M12,Drank!AC:AC,Expenses!L12)</f>
        <v>12</v>
      </c>
      <c r="O12" s="2">
        <f>SUMIFS(Drank!$W:$W,Drank!$AA:$AA,Expenses!O$1,Drank!$U:$U,Expenses!$M12,Drank!AC:AC,Expenses!L12)</f>
        <v>138.97999999999999</v>
      </c>
      <c r="P12" s="37">
        <f>SUMIFS(Drank!$AB:$AB,Drank!$AA:$AA,Expenses!P$1,Drank!$U:$U,Expenses!$M12,Drank!AC:AC,Expenses!L12)</f>
        <v>4</v>
      </c>
      <c r="Q12" s="2">
        <f>SUMIFS(Drank!$W:$W,Drank!$AA:$AA,Expenses!Q$1,Drank!$U:$U,Expenses!$M12,Drank!AC:AC,Expenses!L12)</f>
        <v>85.91</v>
      </c>
      <c r="R12" s="37">
        <f>SUMIFS(Drank!$AB:$AB,Drank!$AA:$AA,Expenses!R$1,Drank!$U:$U,Expenses!$M12,Drank!AC:AC,Expenses!L12)</f>
        <v>7</v>
      </c>
      <c r="S12" s="2">
        <f>SUMIFS(Drank!$W:$W,Drank!$AA:$AA,Expenses!S$1,Drank!$U:$U,Expenses!$M12,Drank!AC:AC,Expenses!L12)</f>
        <v>267.76</v>
      </c>
      <c r="T12" s="37">
        <f>SUMIFS(Drank!$AB:$AB,Drank!$AA:$AA,Expenses!T$1,Drank!$U:$U,Expenses!$M12,Drank!AC:AC,Expenses!L12)</f>
        <v>0</v>
      </c>
      <c r="U12" s="2">
        <f>SUMIFS(Drank!$W:$W,Drank!$AA:$AA,Expenses!U$1,Drank!$U:$U,Expenses!$M12,Drank!AC:AC,Expenses!L12)</f>
        <v>0</v>
      </c>
      <c r="V12" s="37">
        <f t="shared" si="3"/>
        <v>23</v>
      </c>
    </row>
    <row r="13" spans="1:22" x14ac:dyDescent="0.25">
      <c r="A13" s="37" t="str">
        <f t="shared" si="1"/>
        <v>2020March</v>
      </c>
      <c r="B13" s="37">
        <v>2020</v>
      </c>
      <c r="C13" s="37" t="s">
        <v>685</v>
      </c>
      <c r="D13">
        <v>19</v>
      </c>
      <c r="E13" s="37">
        <f>SUMIFS(Drank!AB:AB,Drank!AC:AC,Expenses!B13,Drank!U:U,Expenses!C13)</f>
        <v>22.5</v>
      </c>
      <c r="F13" s="11">
        <v>350</v>
      </c>
      <c r="G13" s="2">
        <f>SUMIFS(Drank!W:W,Drank!AC:AC,Expenses!B13,Drank!U:U,Expenses!C13)</f>
        <v>508.39000000000016</v>
      </c>
      <c r="H13" s="11">
        <f t="shared" si="4"/>
        <v>18.421052631578949</v>
      </c>
      <c r="I13" s="2">
        <f t="shared" si="0"/>
        <v>22.59511111111112</v>
      </c>
      <c r="J13" s="2"/>
      <c r="K13" s="37" t="str">
        <f t="shared" si="2"/>
        <v>2020March</v>
      </c>
      <c r="L13" s="37">
        <v>2020</v>
      </c>
      <c r="M13" s="37" t="s">
        <v>685</v>
      </c>
      <c r="N13" s="37">
        <f>SUMIFS(Drank!$AB:$AB,Drank!$AA:$AA,Expenses!N$1,Drank!$U:$U,Expenses!$M13,Drank!AC:AC,Expenses!L13)</f>
        <v>11</v>
      </c>
      <c r="O13" s="2">
        <f>SUMIFS(Drank!$W:$W,Drank!$AA:$AA,Expenses!O$1,Drank!$U:$U,Expenses!$M13,Drank!AC:AC,Expenses!L13)</f>
        <v>148.00000000000003</v>
      </c>
      <c r="P13" s="37">
        <f>SUMIFS(Drank!$AB:$AB,Drank!$AA:$AA,Expenses!P$1,Drank!$U:$U,Expenses!$M13,Drank!AC:AC,Expenses!L13)</f>
        <v>7</v>
      </c>
      <c r="Q13" s="2">
        <f>SUMIFS(Drank!$W:$W,Drank!$AA:$AA,Expenses!Q$1,Drank!$U:$U,Expenses!$M13,Drank!AC:AC,Expenses!L13)</f>
        <v>150.90999999999997</v>
      </c>
      <c r="R13" s="37">
        <f>SUMIFS(Drank!$AB:$AB,Drank!$AA:$AA,Expenses!R$1,Drank!$U:$U,Expenses!$M13,Drank!AC:AC,Expenses!L13)</f>
        <v>4.5</v>
      </c>
      <c r="S13" s="2">
        <f>SUMIFS(Drank!$W:$W,Drank!$AA:$AA,Expenses!S$1,Drank!$U:$U,Expenses!$M13,Drank!AC:AC,Expenses!L13)</f>
        <v>209.48</v>
      </c>
      <c r="T13" s="37">
        <f>SUMIFS(Drank!$AB:$AB,Drank!$AA:$AA,Expenses!T$1,Drank!$U:$U,Expenses!$M13,Drank!AC:AC,Expenses!L13)</f>
        <v>0</v>
      </c>
      <c r="U13" s="2">
        <f>SUMIFS(Drank!$W:$W,Drank!$AA:$AA,Expenses!U$1,Drank!$U:$U,Expenses!$M13,Drank!AC:AC,Expenses!L13)</f>
        <v>0</v>
      </c>
      <c r="V13" s="37">
        <f t="shared" si="3"/>
        <v>22.5</v>
      </c>
    </row>
    <row r="14" spans="1:22" x14ac:dyDescent="0.25">
      <c r="A14" s="37" t="str">
        <f t="shared" si="1"/>
        <v>2020April</v>
      </c>
      <c r="B14" s="37">
        <v>2020</v>
      </c>
      <c r="C14" s="37" t="s">
        <v>338</v>
      </c>
      <c r="D14">
        <v>20</v>
      </c>
      <c r="E14" s="37">
        <f>SUMIFS(Drank!AB:AB,Drank!AC:AC,Expenses!B14,Drank!U:U,Expenses!C14)</f>
        <v>23</v>
      </c>
      <c r="F14" s="11">
        <v>400</v>
      </c>
      <c r="G14" s="2">
        <f>SUMIFS(Drank!W:W,Drank!AC:AC,Expenses!B14,Drank!U:U,Expenses!C14)</f>
        <v>525</v>
      </c>
      <c r="H14" s="11">
        <f t="shared" si="4"/>
        <v>20</v>
      </c>
      <c r="I14" s="2">
        <f t="shared" si="0"/>
        <v>22.826086956521738</v>
      </c>
      <c r="J14" s="2"/>
      <c r="K14" s="37" t="str">
        <f t="shared" si="2"/>
        <v>2020April</v>
      </c>
      <c r="L14" s="37">
        <v>2020</v>
      </c>
      <c r="M14" s="37" t="s">
        <v>338</v>
      </c>
      <c r="N14" s="37">
        <f>SUMIFS(Drank!$AB:$AB,Drank!$AA:$AA,Expenses!N$1,Drank!$U:$U,Expenses!$M14,Drank!AC:AC,Expenses!L14)</f>
        <v>12</v>
      </c>
      <c r="O14" s="2">
        <f>SUMIFS(Drank!$W:$W,Drank!$AA:$AA,Expenses!O$1,Drank!$U:$U,Expenses!$M14,Drank!AC:AC,Expenses!L14)</f>
        <v>148.49</v>
      </c>
      <c r="P14" s="37">
        <f>SUMIFS(Drank!$AB:$AB,Drank!$AA:$AA,Expenses!P$1,Drank!$U:$U,Expenses!$M14,Drank!AC:AC,Expenses!L14)</f>
        <v>7</v>
      </c>
      <c r="Q14" s="2">
        <f>SUMIFS(Drank!$W:$W,Drank!$AA:$AA,Expenses!Q$1,Drank!$U:$U,Expenses!$M14,Drank!AC:AC,Expenses!L14)</f>
        <v>159.54999999999998</v>
      </c>
      <c r="R14" s="37">
        <f>SUMIFS(Drank!$AB:$AB,Drank!$AA:$AA,Expenses!R$1,Drank!$U:$U,Expenses!$M14,Drank!AC:AC,Expenses!L14)</f>
        <v>3</v>
      </c>
      <c r="S14" s="2">
        <f>SUMIFS(Drank!$W:$W,Drank!$AA:$AA,Expenses!S$1,Drank!$U:$U,Expenses!$M14,Drank!AC:AC,Expenses!L14)</f>
        <v>136.97</v>
      </c>
      <c r="T14" s="37">
        <f>SUMIFS(Drank!$AB:$AB,Drank!$AA:$AA,Expenses!T$1,Drank!$U:$U,Expenses!$M14,Drank!AC:AC,Expenses!L14)</f>
        <v>1</v>
      </c>
      <c r="U14" s="2">
        <f>SUMIFS(Drank!$W:$W,Drank!$AA:$AA,Expenses!U$1,Drank!$U:$U,Expenses!$M14,Drank!AC:AC,Expenses!L14)</f>
        <v>79.989999999999995</v>
      </c>
      <c r="V14" s="37">
        <f t="shared" si="3"/>
        <v>23</v>
      </c>
    </row>
    <row r="15" spans="1:22" s="37" customFormat="1" x14ac:dyDescent="0.25">
      <c r="A15" s="37" t="str">
        <f t="shared" si="1"/>
        <v>2020May</v>
      </c>
      <c r="B15" s="37">
        <v>2020</v>
      </c>
      <c r="C15" s="37" t="s">
        <v>339</v>
      </c>
      <c r="D15" s="37">
        <v>20</v>
      </c>
      <c r="E15" s="37">
        <f>SUMIFS(Drank!AB:AB,Drank!AC:AC,Expenses!B15,Drank!U:U,Expenses!C15)</f>
        <v>35</v>
      </c>
      <c r="F15" s="11">
        <v>450</v>
      </c>
      <c r="G15" s="2">
        <f>SUMIFS(Drank!W:W,Drank!AC:AC,Expenses!B15,Drank!U:U,Expenses!C15)</f>
        <v>572.6600000000002</v>
      </c>
      <c r="H15" s="11">
        <f t="shared" si="4"/>
        <v>22.5</v>
      </c>
      <c r="I15" s="2">
        <f t="shared" si="0"/>
        <v>16.361714285714292</v>
      </c>
      <c r="J15" s="2"/>
      <c r="K15" s="37" t="str">
        <f t="shared" si="2"/>
        <v>2020May</v>
      </c>
      <c r="L15" s="37">
        <v>2020</v>
      </c>
      <c r="M15" s="37" t="s">
        <v>339</v>
      </c>
      <c r="N15" s="37">
        <f>SUMIFS(Drank!$AB:$AB,Drank!$AA:$AA,Expenses!N$1,Drank!$U:$U,Expenses!$M15,Drank!AC:AC,Expenses!L15)</f>
        <v>25</v>
      </c>
      <c r="O15" s="2">
        <f>SUMIFS(Drank!$W:$W,Drank!$AA:$AA,Expenses!O$1,Drank!$U:$U,Expenses!$M15,Drank!AC:AC,Expenses!L15)</f>
        <v>314.00000000000006</v>
      </c>
      <c r="P15" s="37">
        <f>SUMIFS(Drank!$AB:$AB,Drank!$AA:$AA,Expenses!P$1,Drank!$U:$U,Expenses!$M15,Drank!AC:AC,Expenses!L15)</f>
        <v>8</v>
      </c>
      <c r="Q15" s="2">
        <f>SUMIFS(Drank!$W:$W,Drank!$AA:$AA,Expenses!Q$1,Drank!$U:$U,Expenses!$M15,Drank!AC:AC,Expenses!L15)</f>
        <v>178.3</v>
      </c>
      <c r="R15" s="37">
        <f>SUMIFS(Drank!$AB:$AB,Drank!$AA:$AA,Expenses!R$1,Drank!$U:$U,Expenses!$M15,Drank!AC:AC,Expenses!L15)</f>
        <v>2</v>
      </c>
      <c r="S15" s="2">
        <f>SUMIFS(Drank!$W:$W,Drank!$AA:$AA,Expenses!S$1,Drank!$U:$U,Expenses!$M15,Drank!AC:AC,Expenses!L15)</f>
        <v>80.36</v>
      </c>
      <c r="T15" s="37">
        <f>SUMIFS(Drank!$AB:$AB,Drank!$AA:$AA,Expenses!T$1,Drank!$U:$U,Expenses!$M15,Drank!AC:AC,Expenses!L15)</f>
        <v>0</v>
      </c>
      <c r="U15" s="2">
        <f>SUMIFS(Drank!$W:$W,Drank!$AA:$AA,Expenses!U$1,Drank!$U:$U,Expenses!$M15,Drank!AC:AC,Expenses!L15)</f>
        <v>0</v>
      </c>
      <c r="V15" s="37">
        <f t="shared" si="3"/>
        <v>35</v>
      </c>
    </row>
    <row r="16" spans="1:22" x14ac:dyDescent="0.25">
      <c r="A16" s="37" t="str">
        <f t="shared" si="1"/>
        <v>2020June</v>
      </c>
      <c r="B16" s="37">
        <v>2020</v>
      </c>
      <c r="C16" s="37" t="s">
        <v>340</v>
      </c>
      <c r="D16">
        <v>20</v>
      </c>
      <c r="E16" s="37">
        <f>SUMIFS(Drank!AB:AB,Drank!AC:AC,Expenses!B16,Drank!U:U,Expenses!C16)</f>
        <v>27</v>
      </c>
      <c r="F16" s="11">
        <v>450</v>
      </c>
      <c r="G16" s="2">
        <f>SUMIFS(Drank!W:W,Drank!AC:AC,Expenses!B16,Drank!U:U,Expenses!C16)</f>
        <v>545.85000000000014</v>
      </c>
      <c r="H16" s="11">
        <f t="shared" si="4"/>
        <v>22.5</v>
      </c>
      <c r="I16" s="2">
        <f t="shared" si="0"/>
        <v>20.216666666666672</v>
      </c>
      <c r="J16" s="2"/>
      <c r="K16" s="37" t="str">
        <f t="shared" si="2"/>
        <v>2020June</v>
      </c>
      <c r="L16" s="37">
        <v>2020</v>
      </c>
      <c r="M16" s="37" t="s">
        <v>340</v>
      </c>
      <c r="N16" s="37">
        <f>SUMIFS(Drank!$AB:$AB,Drank!$AA:$AA,Expenses!N$1,Drank!$U:$U,Expenses!$M16,Drank!AC:AC,Expenses!L16)</f>
        <v>18</v>
      </c>
      <c r="O16" s="2">
        <f>SUMIFS(Drank!$W:$W,Drank!$AA:$AA,Expenses!O$1,Drank!$U:$U,Expenses!$M16,Drank!AC:AC,Expenses!L16)</f>
        <v>245.66999999999996</v>
      </c>
      <c r="P16" s="37">
        <f>SUMIFS(Drank!$AB:$AB,Drank!$AA:$AA,Expenses!P$1,Drank!$U:$U,Expenses!$M16,Drank!AC:AC,Expenses!L16)</f>
        <v>3.5</v>
      </c>
      <c r="Q16" s="2">
        <f>SUMIFS(Drank!$W:$W,Drank!$AA:$AA,Expenses!Q$1,Drank!$U:$U,Expenses!$M16,Drank!AC:AC,Expenses!L16)</f>
        <v>82.81</v>
      </c>
      <c r="R16" s="37">
        <f>SUMIFS(Drank!$AB:$AB,Drank!$AA:$AA,Expenses!R$1,Drank!$U:$U,Expenses!$M16,Drank!AC:AC,Expenses!L16)</f>
        <v>5.5</v>
      </c>
      <c r="S16" s="2">
        <f>SUMIFS(Drank!$W:$W,Drank!$AA:$AA,Expenses!S$1,Drank!$U:$U,Expenses!$M16,Drank!AC:AC,Expenses!L16)</f>
        <v>217.37</v>
      </c>
      <c r="T16" s="37">
        <f>SUMIFS(Drank!$AB:$AB,Drank!$AA:$AA,Expenses!T$1,Drank!$U:$U,Expenses!$M16,Drank!AC:AC,Expenses!L16)</f>
        <v>0</v>
      </c>
      <c r="U16" s="2">
        <f>SUMIFS(Drank!$W:$W,Drank!$AA:$AA,Expenses!U$1,Drank!$U:$U,Expenses!$M16,Drank!AC:AC,Expenses!L16)</f>
        <v>0</v>
      </c>
      <c r="V16" s="37">
        <f>SUM(N16,P16,R16,T16)</f>
        <v>27</v>
      </c>
    </row>
    <row r="17" spans="1:22" x14ac:dyDescent="0.25">
      <c r="A17" s="37" t="str">
        <f t="shared" si="1"/>
        <v>2020July</v>
      </c>
      <c r="B17" s="37">
        <v>2020</v>
      </c>
      <c r="C17" s="37" t="s">
        <v>341</v>
      </c>
      <c r="D17">
        <v>20</v>
      </c>
      <c r="E17" s="37">
        <f>SUMIFS(Drank!AB:AB,Drank!AC:AC,Expenses!B17,Drank!U:U,Expenses!C17)</f>
        <v>24.666666666666664</v>
      </c>
      <c r="F17" s="11">
        <v>450</v>
      </c>
      <c r="G17" s="2">
        <f>SUMIFS(Drank!W:W,Drank!AC:AC,Expenses!B17,Drank!U:U,Expenses!C17)</f>
        <v>606.91000000000008</v>
      </c>
      <c r="H17" s="11">
        <f t="shared" si="4"/>
        <v>22.5</v>
      </c>
      <c r="I17" s="2">
        <f t="shared" si="0"/>
        <v>24.604459459459466</v>
      </c>
      <c r="J17" s="2"/>
      <c r="K17" s="37" t="str">
        <f t="shared" si="2"/>
        <v>2020July</v>
      </c>
      <c r="L17" s="37">
        <v>2020</v>
      </c>
      <c r="M17" s="37" t="s">
        <v>341</v>
      </c>
      <c r="N17" s="37">
        <f>SUMIFS(Drank!$AB:$AB,Drank!$AA:$AA,Expenses!N$1,Drank!$U:$U,Expenses!$M17,Drank!AC:AC,Expenses!L17)</f>
        <v>12</v>
      </c>
      <c r="O17" s="2">
        <f>SUMIFS(Drank!$W:$W,Drank!$AA:$AA,Expenses!O$1,Drank!$U:$U,Expenses!$M17,Drank!AC:AC,Expenses!L17)</f>
        <v>117.75</v>
      </c>
      <c r="P17" s="37">
        <f>SUMIFS(Drank!$AB:$AB,Drank!$AA:$AA,Expenses!P$1,Drank!$U:$U,Expenses!$M17,Drank!AC:AC,Expenses!L17)</f>
        <v>7.6666666666666661</v>
      </c>
      <c r="Q17" s="2">
        <f>SUMIFS(Drank!$W:$W,Drank!$AA:$AA,Expenses!Q$1,Drank!$U:$U,Expenses!$M17,Drank!AC:AC,Expenses!L17)</f>
        <v>184.07999999999998</v>
      </c>
      <c r="R17" s="37">
        <f>SUMIFS(Drank!$AB:$AB,Drank!$AA:$AA,Expenses!R$1,Drank!$U:$U,Expenses!$M17,Drank!AC:AC,Expenses!L17)</f>
        <v>2</v>
      </c>
      <c r="S17" s="2">
        <f>SUMIFS(Drank!$W:$W,Drank!$AA:$AA,Expenses!S$1,Drank!$U:$U,Expenses!$M17,Drank!AC:AC,Expenses!L17)</f>
        <v>74.930000000000007</v>
      </c>
      <c r="T17" s="37">
        <f>SUMIFS(Drank!$AB:$AB,Drank!$AA:$AA,Expenses!T$1,Drank!$U:$U,Expenses!$M17,Drank!AC:AC,Expenses!L17)</f>
        <v>3</v>
      </c>
      <c r="U17" s="2">
        <f>SUMIFS(Drank!$W:$W,Drank!$AA:$AA,Expenses!U$1,Drank!$U:$U,Expenses!$M17,Drank!AC:AC,Expenses!L17)</f>
        <v>230.15</v>
      </c>
      <c r="V17" s="37">
        <f>SUM(N17,P17,R17,T17)</f>
        <v>24.666666666666664</v>
      </c>
    </row>
    <row r="18" spans="1:22" s="37" customFormat="1" x14ac:dyDescent="0.25">
      <c r="A18" s="37" t="str">
        <f>CONCATENATE(B18,C18)</f>
        <v>2020August</v>
      </c>
      <c r="B18" s="37">
        <v>2020</v>
      </c>
      <c r="C18" s="37" t="s">
        <v>342</v>
      </c>
      <c r="D18" s="37">
        <v>19</v>
      </c>
      <c r="E18" s="37">
        <f>SUMIFS(Drank!AB:AB,Drank!AC:AC,Expenses!B18,Drank!U:U,Expenses!C18)</f>
        <v>49.833333333333329</v>
      </c>
      <c r="F18" s="11">
        <v>450</v>
      </c>
      <c r="G18" s="2">
        <f>SUMIFS(Drank!W:W,Drank!AC:AC,Expenses!B18,Drank!U:U,Expenses!C18)</f>
        <v>1500.4443595748614</v>
      </c>
      <c r="H18" s="11">
        <f t="shared" si="4"/>
        <v>23.684210526315791</v>
      </c>
      <c r="I18" s="2">
        <f t="shared" si="0"/>
        <v>30.109251362706253</v>
      </c>
      <c r="J18" s="2"/>
      <c r="K18" s="37" t="str">
        <f>CONCATENATE(L18,M18)</f>
        <v>2020August</v>
      </c>
      <c r="L18" s="37">
        <v>2020</v>
      </c>
      <c r="M18" s="37" t="s">
        <v>342</v>
      </c>
      <c r="N18" s="37">
        <f>SUMIFS(Drank!$AB:$AB,Drank!$AA:$AA,Expenses!N$1,Drank!$U:$U,Expenses!$M18,Drank!AC:AC,Expenses!L18)</f>
        <v>7</v>
      </c>
      <c r="O18" s="2">
        <f>SUMIFS(Drank!$W:$W,Drank!$AA:$AA,Expenses!O$1,Drank!$U:$U,Expenses!$M18,Drank!AC:AC,Expenses!L18)</f>
        <v>66.2</v>
      </c>
      <c r="P18" s="37">
        <f>SUMIFS(Drank!$AB:$AB,Drank!$AA:$AA,Expenses!P$1,Drank!$U:$U,Expenses!$M18,Drank!AC:AC,Expenses!L18)</f>
        <v>22.333333333333336</v>
      </c>
      <c r="Q18" s="2">
        <f>SUMIFS(Drank!$W:$W,Drank!$AA:$AA,Expenses!Q$1,Drank!$U:$U,Expenses!$M18,Drank!AC:AC,Expenses!L18)</f>
        <v>501.59679385253145</v>
      </c>
      <c r="R18" s="37">
        <f>SUMIFS(Drank!$AB:$AB,Drank!$AA:$AA,Expenses!R$1,Drank!$U:$U,Expenses!$M18,Drank!AC:AC,Expenses!L18)</f>
        <v>19</v>
      </c>
      <c r="S18" s="2">
        <f>SUMIFS(Drank!$W:$W,Drank!$AA:$AA,Expenses!S$1,Drank!$U:$U,Expenses!$M18,Drank!AC:AC,Expenses!L18)</f>
        <v>801.2275657223305</v>
      </c>
      <c r="T18" s="37">
        <f>SUMIFS(Drank!$AB:$AB,Drank!$AA:$AA,Expenses!T$1,Drank!$U:$U,Expenses!$M18,Drank!AC:AC,Expenses!L18)</f>
        <v>1.5</v>
      </c>
      <c r="U18" s="2">
        <f>SUMIFS(Drank!$W:$W,Drank!$AA:$AA,Expenses!U$1,Drank!$U:$U,Expenses!$M18,Drank!AC:AC,Expenses!L18)</f>
        <v>131.42000000000002</v>
      </c>
      <c r="V18" s="37">
        <f>SUM(N18,P18,R18,T18)</f>
        <v>49.833333333333336</v>
      </c>
    </row>
    <row r="19" spans="1:22" s="37" customFormat="1" x14ac:dyDescent="0.25">
      <c r="A19" s="37" t="str">
        <f>CONCATENATE(B19,C19)</f>
        <v>2020September</v>
      </c>
      <c r="B19" s="37">
        <v>2020</v>
      </c>
      <c r="C19" s="37" t="s">
        <v>343</v>
      </c>
      <c r="D19" s="37">
        <v>18</v>
      </c>
      <c r="E19" s="37">
        <f>SUMIFS(Drank!AB:AB,Drank!AC:AC,Expenses!B19,Drank!U:U,Expenses!C19)</f>
        <v>12</v>
      </c>
      <c r="F19" s="11">
        <v>350</v>
      </c>
      <c r="G19" s="2">
        <f>SUMIFS(Drank!W:W,Drank!AC:AC,Expenses!B19,Drank!U:U,Expenses!C19)</f>
        <v>227.38000000000002</v>
      </c>
      <c r="H19" s="11">
        <f t="shared" si="4"/>
        <v>19.444444444444443</v>
      </c>
      <c r="I19" s="2">
        <f t="shared" si="0"/>
        <v>18.948333333333334</v>
      </c>
      <c r="J19" s="2"/>
      <c r="K19" s="37" t="str">
        <f>CONCATENATE(L19,M19)</f>
        <v>2020September</v>
      </c>
      <c r="L19" s="37">
        <v>2020</v>
      </c>
      <c r="M19" s="37" t="s">
        <v>343</v>
      </c>
      <c r="N19" s="37">
        <f>SUMIFS(Drank!$AB:$AB,Drank!$AA:$AA,Expenses!N$1,Drank!$U:$U,Expenses!$M19,Drank!AC:AC,Expenses!L19)</f>
        <v>7</v>
      </c>
      <c r="O19" s="2">
        <f>SUMIFS(Drank!$W:$W,Drank!$AA:$AA,Expenses!O$1,Drank!$U:$U,Expenses!$M19,Drank!AC:AC,Expenses!L19)</f>
        <v>64.19</v>
      </c>
      <c r="P19" s="37">
        <f>SUMIFS(Drank!$AB:$AB,Drank!$AA:$AA,Expenses!P$1,Drank!$U:$U,Expenses!$M19,Drank!AC:AC,Expenses!L19)</f>
        <v>3</v>
      </c>
      <c r="Q19" s="2">
        <f>SUMIFS(Drank!$W:$W,Drank!$AA:$AA,Expenses!Q$1,Drank!$U:$U,Expenses!$M19,Drank!AC:AC,Expenses!L19)</f>
        <v>68.69</v>
      </c>
      <c r="R19" s="37">
        <f>SUMIFS(Drank!$AB:$AB,Drank!$AA:$AA,Expenses!R$1,Drank!$U:$U,Expenses!$M19,Drank!AC:AC,Expenses!L19)</f>
        <v>2</v>
      </c>
      <c r="S19" s="2">
        <f>SUMIFS(Drank!$W:$W,Drank!$AA:$AA,Expenses!S$1,Drank!$U:$U,Expenses!$M19,Drank!AC:AC,Expenses!L19)</f>
        <v>94.5</v>
      </c>
      <c r="T19" s="37">
        <f>SUMIFS(Drank!$AB:$AB,Drank!$AA:$AA,Expenses!T$1,Drank!$U:$U,Expenses!$M19,Drank!AC:AC,Expenses!L19)</f>
        <v>0</v>
      </c>
      <c r="U19" s="2">
        <f>SUMIFS(Drank!$W:$W,Drank!$AA:$AA,Expenses!U$1,Drank!$U:$U,Expenses!$M19,Drank!AC:AC,Expenses!L19)</f>
        <v>0</v>
      </c>
      <c r="V19" s="37">
        <f>SUM(N19,P19,R19,T19)</f>
        <v>12</v>
      </c>
    </row>
    <row r="20" spans="1:22" s="37" customFormat="1" x14ac:dyDescent="0.25">
      <c r="A20" s="37" t="str">
        <f>CONCATENATE(B20,C20)</f>
        <v>2020October</v>
      </c>
      <c r="B20" s="37">
        <v>2020</v>
      </c>
      <c r="C20" s="37" t="s">
        <v>344</v>
      </c>
      <c r="D20" s="37">
        <v>18</v>
      </c>
      <c r="G20" s="2"/>
      <c r="H20" s="11"/>
      <c r="I20" s="2"/>
      <c r="J20" s="2"/>
      <c r="K20" s="37" t="str">
        <f>CONCATENATE(L20,M20)</f>
        <v>2020October</v>
      </c>
      <c r="L20" s="37">
        <v>2020</v>
      </c>
      <c r="M20" s="37" t="s">
        <v>344</v>
      </c>
      <c r="O20" s="2"/>
      <c r="Q20" s="2"/>
      <c r="S20" s="2"/>
      <c r="U20" s="2"/>
    </row>
    <row r="21" spans="1:22" s="37" customFormat="1" x14ac:dyDescent="0.25">
      <c r="A21" s="37" t="str">
        <f>CONCATENATE(B21,C21)</f>
        <v>2020November</v>
      </c>
      <c r="B21" s="37">
        <v>2020</v>
      </c>
      <c r="C21" s="37" t="s">
        <v>345</v>
      </c>
      <c r="D21" s="37">
        <v>22</v>
      </c>
      <c r="G21" s="2"/>
      <c r="H21" s="11"/>
      <c r="I21" s="2"/>
      <c r="J21" s="2"/>
      <c r="K21" s="37" t="str">
        <f>CONCATENATE(L21,M21)</f>
        <v>2020November</v>
      </c>
      <c r="L21" s="37">
        <v>2020</v>
      </c>
      <c r="M21" s="37" t="s">
        <v>345</v>
      </c>
      <c r="O21" s="2"/>
      <c r="Q21" s="2"/>
      <c r="S21" s="2"/>
      <c r="U21" s="2"/>
    </row>
    <row r="22" spans="1:22" s="37" customFormat="1" x14ac:dyDescent="0.25">
      <c r="A22" s="37" t="str">
        <f>CONCATENATE(B22,C22)</f>
        <v>2020December</v>
      </c>
      <c r="B22" s="37">
        <v>2020</v>
      </c>
      <c r="C22" s="37" t="s">
        <v>346</v>
      </c>
      <c r="D22" s="37">
        <v>22</v>
      </c>
      <c r="G22" s="2"/>
      <c r="H22" s="11"/>
      <c r="I22" s="2"/>
      <c r="J22" s="2"/>
      <c r="K22" s="37" t="str">
        <f>CONCATENATE(L22,M22)</f>
        <v>2020December</v>
      </c>
      <c r="L22" s="37">
        <v>2020</v>
      </c>
      <c r="M22" s="37" t="s">
        <v>346</v>
      </c>
      <c r="O22" s="2"/>
      <c r="Q22" s="2"/>
      <c r="S22" s="2"/>
      <c r="U22" s="2"/>
    </row>
    <row r="23" spans="1:22" s="37" customFormat="1" x14ac:dyDescent="0.25">
      <c r="G23" s="2"/>
      <c r="H23" s="11"/>
      <c r="I23" s="2"/>
      <c r="J23" s="2"/>
      <c r="O23" s="2"/>
      <c r="Q23" s="2"/>
      <c r="S23" s="2"/>
      <c r="U23" s="2"/>
    </row>
    <row r="24" spans="1:22" s="37" customFormat="1" x14ac:dyDescent="0.25">
      <c r="G24" s="2"/>
      <c r="H24" s="11"/>
      <c r="I24" s="2"/>
      <c r="J24" s="2"/>
      <c r="O24" s="2"/>
      <c r="Q24" s="2"/>
      <c r="S24" s="2"/>
      <c r="U24" s="2"/>
    </row>
    <row r="25" spans="1:22" x14ac:dyDescent="0.25">
      <c r="J25" s="37"/>
      <c r="L25" s="37"/>
      <c r="N25"/>
      <c r="O25" s="37"/>
      <c r="P25"/>
      <c r="Q25" s="37"/>
      <c r="R25"/>
      <c r="S25" s="37"/>
      <c r="T25"/>
      <c r="U25" s="37"/>
    </row>
    <row r="26" spans="1:22" x14ac:dyDescent="0.25">
      <c r="J26" s="37"/>
      <c r="L26" s="37"/>
      <c r="N26"/>
      <c r="O26" s="37"/>
      <c r="P26"/>
      <c r="Q26" s="37"/>
      <c r="R26"/>
      <c r="S26" s="37"/>
      <c r="T26"/>
      <c r="U26" s="37"/>
    </row>
    <row r="27" spans="1:22" x14ac:dyDescent="0.25">
      <c r="J27" s="37"/>
      <c r="L27" s="37"/>
      <c r="M27" s="37" t="s">
        <v>622</v>
      </c>
      <c r="N27" s="37">
        <f>AVERAGE(N2:N10)</f>
        <v>12.222222222222221</v>
      </c>
      <c r="O27" s="37"/>
      <c r="P27" s="37">
        <f>AVERAGE(P2:P10)</f>
        <v>6.2222222222222223</v>
      </c>
      <c r="Q27" s="37"/>
      <c r="R27" s="37">
        <f>AVERAGE(R2:R10)</f>
        <v>5.333333333333333</v>
      </c>
      <c r="S27" s="37"/>
      <c r="T27" s="37">
        <f>AVERAGE(T2:T10)</f>
        <v>0.68518518518518523</v>
      </c>
      <c r="U27" s="37"/>
      <c r="V27" s="37">
        <f>AVERAGE(V2:V10)</f>
        <v>24.462962962962962</v>
      </c>
    </row>
    <row r="28" spans="1:22" x14ac:dyDescent="0.25">
      <c r="F28">
        <v>15</v>
      </c>
      <c r="G28">
        <v>2.1</v>
      </c>
      <c r="H28">
        <f>F28*G28</f>
        <v>31.5</v>
      </c>
      <c r="J28" s="37"/>
      <c r="L28" s="37"/>
      <c r="M28" s="37" t="s">
        <v>688</v>
      </c>
      <c r="N28" s="37">
        <f>AVERAGE(N7:N10)</f>
        <v>12.75</v>
      </c>
      <c r="O28" s="37"/>
      <c r="P28" s="37">
        <f>AVERAGE(P7:P10)</f>
        <v>6</v>
      </c>
      <c r="Q28" s="37"/>
      <c r="R28" s="37">
        <f>AVERAGE(R7:R10)</f>
        <v>2</v>
      </c>
      <c r="S28" s="37"/>
      <c r="T28" s="37">
        <f>AVERAGE(T7:T10)</f>
        <v>0.29166666666666663</v>
      </c>
      <c r="U28" s="37"/>
      <c r="V28" s="37">
        <f>AVERAGE(V7:V10)</f>
        <v>21.041666666666664</v>
      </c>
    </row>
    <row r="29" spans="1:22" ht="15.75" thickBot="1" x14ac:dyDescent="0.3">
      <c r="J29" s="37"/>
      <c r="L29" s="37"/>
      <c r="N29">
        <v>12.9</v>
      </c>
      <c r="O29" s="37"/>
      <c r="P29">
        <v>4.3</v>
      </c>
      <c r="Q29" s="37"/>
      <c r="R29">
        <v>2.16</v>
      </c>
      <c r="S29" s="37"/>
      <c r="T29">
        <v>0.5</v>
      </c>
      <c r="U29" s="37"/>
    </row>
    <row r="30" spans="1:22" ht="16.5" thickTop="1" thickBot="1" x14ac:dyDescent="0.3">
      <c r="B30">
        <v>1</v>
      </c>
      <c r="C30" s="36">
        <v>16.989999999999998</v>
      </c>
      <c r="J30" s="37"/>
      <c r="L30" s="37"/>
      <c r="N30"/>
      <c r="O30" s="37"/>
      <c r="P30"/>
      <c r="Q30" s="37"/>
      <c r="R30"/>
      <c r="S30" s="37"/>
      <c r="T30"/>
      <c r="U30" s="37"/>
    </row>
    <row r="31" spans="1:22" ht="16.5" thickTop="1" thickBot="1" x14ac:dyDescent="0.3">
      <c r="B31">
        <v>2</v>
      </c>
      <c r="C31" s="36">
        <v>29.99</v>
      </c>
      <c r="J31" s="37"/>
      <c r="L31" s="37"/>
      <c r="N31" s="11">
        <f>N28*VLOOKUP(N1,Expenses!$B$45:$E$48,4,FALSE)</f>
        <v>173.03856768325423</v>
      </c>
      <c r="O31" s="11"/>
      <c r="P31" s="11">
        <f>P28*VLOOKUP(P1,Expenses!$B$45:$E$48,4,FALSE)</f>
        <v>140.07818190569941</v>
      </c>
      <c r="Q31" s="11"/>
      <c r="R31" s="11">
        <f>R28*VLOOKUP(R1,Expenses!$B$45:$E$48,4,FALSE)</f>
        <v>87.406753988883366</v>
      </c>
      <c r="S31" s="11"/>
      <c r="T31" s="11">
        <f>T28*VLOOKUP(T1,Expenses!$B$45:$E$48,4,FALSE)</f>
        <v>30.932456896551724</v>
      </c>
      <c r="U31" s="11"/>
    </row>
    <row r="32" spans="1:22" ht="16.5" thickTop="1" thickBot="1" x14ac:dyDescent="0.3">
      <c r="B32">
        <v>3</v>
      </c>
      <c r="C32" s="36">
        <v>64.989999999999995</v>
      </c>
      <c r="J32" s="37"/>
      <c r="N32" s="2">
        <f>N29*VLOOKUP(N1,Expenses!$B$45:$E$48,4,FALSE)</f>
        <v>175.07431553835133</v>
      </c>
      <c r="O32" s="2"/>
      <c r="P32" s="2">
        <f>P29*VLOOKUP(P1,Expenses!$B$45:$E$48,4,FALSE)</f>
        <v>100.38936369908458</v>
      </c>
      <c r="Q32" s="2"/>
      <c r="R32" s="2">
        <f>R29*VLOOKUP(R1,Expenses!$B$45:$E$48,4,FALSE)</f>
        <v>94.39929430799404</v>
      </c>
      <c r="S32" s="2"/>
      <c r="T32" s="2">
        <f>T29*VLOOKUP(T1,Expenses!$B$45:$E$48,4,FALSE)</f>
        <v>53.027068965517245</v>
      </c>
      <c r="U32" s="2"/>
    </row>
    <row r="33" spans="1:31" ht="15.75" thickTop="1" x14ac:dyDescent="0.25">
      <c r="B33">
        <v>4</v>
      </c>
      <c r="J33" s="37"/>
      <c r="N33" s="11">
        <f>N32-N31</f>
        <v>2.0357478550970995</v>
      </c>
      <c r="O33" s="11"/>
      <c r="P33" s="11">
        <f>P32-P31</f>
        <v>-39.688818206614826</v>
      </c>
      <c r="Q33" s="11"/>
      <c r="R33" s="11">
        <f>R32-R31</f>
        <v>6.9925403191106739</v>
      </c>
      <c r="S33" s="11"/>
      <c r="T33" s="11">
        <f>T32-T31</f>
        <v>22.094612068965521</v>
      </c>
      <c r="U33" s="11"/>
    </row>
    <row r="34" spans="1:31" x14ac:dyDescent="0.25">
      <c r="J34" s="37"/>
      <c r="N34"/>
      <c r="O34" s="37"/>
      <c r="P34"/>
      <c r="Q34" s="37"/>
      <c r="R34"/>
      <c r="S34" s="37"/>
      <c r="T34"/>
      <c r="U34" s="37"/>
    </row>
    <row r="35" spans="1:31" x14ac:dyDescent="0.25">
      <c r="J35" s="37"/>
      <c r="N35"/>
      <c r="O35" s="37"/>
      <c r="P35"/>
      <c r="Q35" s="37"/>
      <c r="R35"/>
      <c r="S35" s="37"/>
      <c r="T35"/>
      <c r="U35" s="37"/>
    </row>
    <row r="36" spans="1:31" x14ac:dyDescent="0.25">
      <c r="I36" s="2"/>
      <c r="J36" s="2"/>
      <c r="N36" s="2"/>
      <c r="O36" s="2"/>
      <c r="P36"/>
      <c r="Q36" s="37"/>
      <c r="R36"/>
      <c r="S36" s="37"/>
      <c r="T36"/>
      <c r="U36" s="37"/>
      <c r="AB36" s="11"/>
    </row>
    <row r="37" spans="1:31" ht="15.75" thickBot="1" x14ac:dyDescent="0.3">
      <c r="B37" t="s">
        <v>209</v>
      </c>
      <c r="C37" t="s">
        <v>613</v>
      </c>
      <c r="D37" t="s">
        <v>614</v>
      </c>
      <c r="E37" t="s">
        <v>615</v>
      </c>
      <c r="F37" s="2" t="s">
        <v>616</v>
      </c>
      <c r="G37" s="37" t="s">
        <v>617</v>
      </c>
      <c r="H37" s="37" t="s">
        <v>618</v>
      </c>
      <c r="I37" s="2" t="s">
        <v>616</v>
      </c>
      <c r="J37" t="s">
        <v>617</v>
      </c>
      <c r="K37" t="s">
        <v>618</v>
      </c>
      <c r="M37" s="2"/>
      <c r="N37" s="2"/>
      <c r="AA37" s="11"/>
    </row>
    <row r="38" spans="1:31" ht="16.5" thickTop="1" thickBot="1" x14ac:dyDescent="0.3">
      <c r="B38">
        <v>1</v>
      </c>
      <c r="C38" s="2" t="e">
        <f>AVERAGEIF(Drank!Z:Z,Expenses!B38,Drank!Y:Y)</f>
        <v>#DIV/0!</v>
      </c>
      <c r="D38" s="2">
        <f>AVERAGEIF(Wine1!AE:AE,Expenses!B38,Wine1!AI:AI)</f>
        <v>14.823004764589585</v>
      </c>
      <c r="E38" s="11" t="e">
        <f>MAX(C38,D38)</f>
        <v>#DIV/0!</v>
      </c>
      <c r="F38" s="36">
        <v>3</v>
      </c>
      <c r="G38">
        <f>F38*4.3</f>
        <v>12.899999999999999</v>
      </c>
      <c r="H38">
        <f>F38*52</f>
        <v>156</v>
      </c>
      <c r="I38" s="2" t="e">
        <f>F38*$E38</f>
        <v>#DIV/0!</v>
      </c>
      <c r="J38" s="2" t="e">
        <f t="shared" ref="J38:K40" si="5">G38*$E38</f>
        <v>#DIV/0!</v>
      </c>
      <c r="K38" s="2" t="e">
        <f t="shared" si="5"/>
        <v>#DIV/0!</v>
      </c>
      <c r="M38" s="2"/>
      <c r="N38" s="2"/>
      <c r="AA38" s="11"/>
    </row>
    <row r="39" spans="1:31" ht="16.5" thickTop="1" thickBot="1" x14ac:dyDescent="0.3">
      <c r="B39">
        <v>2</v>
      </c>
      <c r="C39" s="2" t="e">
        <f>AVERAGEIF(Drank!Z:Z,Expenses!B39,Drank!Y:Y)</f>
        <v>#DIV/0!</v>
      </c>
      <c r="D39" s="2">
        <f>AVERAGEIF(Wine1!AE:AE,Expenses!B39,Wine1!AI:AI)</f>
        <v>34.14463793720541</v>
      </c>
      <c r="E39" s="11" t="e">
        <f>MAX(C39,D39)</f>
        <v>#DIV/0!</v>
      </c>
      <c r="F39" s="36">
        <v>1</v>
      </c>
      <c r="G39" s="37">
        <f>F39*4.3</f>
        <v>4.3</v>
      </c>
      <c r="H39" s="37">
        <f>F39*52</f>
        <v>52</v>
      </c>
      <c r="I39" s="2" t="e">
        <f>F39*$E39</f>
        <v>#DIV/0!</v>
      </c>
      <c r="J39" s="2" t="e">
        <f t="shared" si="5"/>
        <v>#DIV/0!</v>
      </c>
      <c r="K39" s="2" t="e">
        <f t="shared" si="5"/>
        <v>#DIV/0!</v>
      </c>
      <c r="M39" s="2"/>
      <c r="N39" s="2"/>
      <c r="AA39" s="11"/>
    </row>
    <row r="40" spans="1:31" ht="16.5" thickTop="1" thickBot="1" x14ac:dyDescent="0.3">
      <c r="B40">
        <v>3</v>
      </c>
      <c r="C40" s="2" t="e">
        <f>AVERAGEIF(Drank!Z:Z,Expenses!B40,Drank!Y:Y)</f>
        <v>#DIV/0!</v>
      </c>
      <c r="D40" s="2">
        <f>AVERAGEIF(Wine1!AE:AE,Expenses!B40,Wine1!AI:AI)</f>
        <v>79.838062919048781</v>
      </c>
      <c r="E40" s="11" t="e">
        <f>MAX(C40,D40)</f>
        <v>#DIV/0!</v>
      </c>
      <c r="F40">
        <f>H40/52</f>
        <v>0.25</v>
      </c>
      <c r="G40">
        <f>H40/12</f>
        <v>1.0833333333333333</v>
      </c>
      <c r="H40" s="36">
        <v>13</v>
      </c>
      <c r="I40" s="2" t="e">
        <f>F40*$E40</f>
        <v>#DIV/0!</v>
      </c>
      <c r="J40" s="2" t="e">
        <f t="shared" si="5"/>
        <v>#DIV/0!</v>
      </c>
      <c r="K40" s="2" t="e">
        <f t="shared" si="5"/>
        <v>#DIV/0!</v>
      </c>
      <c r="M40" s="2"/>
      <c r="N40" s="2"/>
      <c r="AA40" s="11"/>
    </row>
    <row r="41" spans="1:31" ht="15.75" thickTop="1" x14ac:dyDescent="0.25">
      <c r="F41" s="37">
        <f t="shared" ref="F41:K41" si="6">SUM(F38:F40)</f>
        <v>4.25</v>
      </c>
      <c r="G41" s="37">
        <f t="shared" si="6"/>
        <v>18.283333333333331</v>
      </c>
      <c r="H41">
        <f t="shared" si="6"/>
        <v>221</v>
      </c>
      <c r="I41" s="11" t="e">
        <f t="shared" si="6"/>
        <v>#DIV/0!</v>
      </c>
      <c r="J41" s="11" t="e">
        <f t="shared" si="6"/>
        <v>#DIV/0!</v>
      </c>
      <c r="K41" s="11" t="e">
        <f t="shared" si="6"/>
        <v>#DIV/0!</v>
      </c>
      <c r="AA41" s="11"/>
    </row>
    <row r="42" spans="1:31" x14ac:dyDescent="0.25">
      <c r="I42" s="11" t="e">
        <f>SUM(I41)</f>
        <v>#DIV/0!</v>
      </c>
      <c r="K42" s="11" t="e">
        <f>SUM(K41)</f>
        <v>#DIV/0!</v>
      </c>
      <c r="AA42" s="11"/>
    </row>
    <row r="43" spans="1:31" x14ac:dyDescent="0.25">
      <c r="M43" s="37"/>
      <c r="N43"/>
      <c r="O43" s="37"/>
      <c r="P43"/>
      <c r="Q43" s="37"/>
      <c r="R43"/>
      <c r="S43" s="37"/>
      <c r="T43"/>
      <c r="U43" s="37"/>
      <c r="AB43" s="11"/>
    </row>
    <row r="44" spans="1:31" ht="15.75" thickBot="1" x14ac:dyDescent="0.3">
      <c r="B44" s="37" t="s">
        <v>209</v>
      </c>
      <c r="C44" s="37" t="s">
        <v>613</v>
      </c>
      <c r="D44" s="37" t="s">
        <v>614</v>
      </c>
      <c r="E44" s="37" t="s">
        <v>615</v>
      </c>
      <c r="F44" s="2" t="s">
        <v>616</v>
      </c>
      <c r="G44" s="37" t="s">
        <v>617</v>
      </c>
      <c r="H44" s="37" t="s">
        <v>618</v>
      </c>
      <c r="I44" s="2" t="s">
        <v>616</v>
      </c>
      <c r="J44" s="37" t="s">
        <v>617</v>
      </c>
      <c r="K44" s="37" t="s">
        <v>618</v>
      </c>
      <c r="M44" s="37"/>
      <c r="N44">
        <v>22</v>
      </c>
      <c r="O44" s="37"/>
      <c r="P44" s="37">
        <v>25</v>
      </c>
      <c r="Q44" s="37"/>
      <c r="R44">
        <v>22</v>
      </c>
      <c r="S44" s="37"/>
      <c r="T44" s="37">
        <v>25</v>
      </c>
      <c r="V44" s="37"/>
      <c r="X44" s="37"/>
      <c r="AE44" s="11"/>
    </row>
    <row r="45" spans="1:31" ht="16.5" thickTop="1" thickBot="1" x14ac:dyDescent="0.3">
      <c r="A45" s="37">
        <v>7.0201272175536893</v>
      </c>
      <c r="B45" s="37">
        <v>1</v>
      </c>
      <c r="C45" s="2">
        <f>AVERAGEIF(Drank!AA:AA,Expenses!B45,Drank!Y:Y)</f>
        <v>12.079914529914525</v>
      </c>
      <c r="D45" s="2">
        <f>AVERAGEIF(Wine1!AF:AF,Expenses!B45,Wine1!AI:AI)</f>
        <v>13.571652367314057</v>
      </c>
      <c r="E45" s="11">
        <f>MAX(C45,D45)</f>
        <v>13.571652367314057</v>
      </c>
      <c r="F45" s="36">
        <v>2.5</v>
      </c>
      <c r="G45">
        <f>F45*4.3</f>
        <v>10.75</v>
      </c>
      <c r="H45">
        <f>F45*52</f>
        <v>130</v>
      </c>
      <c r="I45" s="11">
        <f t="shared" ref="I45:K48" si="7">F45*$E45</f>
        <v>33.929130918285139</v>
      </c>
      <c r="J45" s="11">
        <f t="shared" si="7"/>
        <v>145.89526294862611</v>
      </c>
      <c r="K45" s="11">
        <f t="shared" si="7"/>
        <v>1764.3148077508274</v>
      </c>
      <c r="L45" s="11">
        <f>(A45-1)*K45</f>
        <v>10621.399594473762</v>
      </c>
      <c r="M45" s="11">
        <f>(A45-1)*H45</f>
        <v>782.61653828197962</v>
      </c>
      <c r="N45" s="37">
        <v>203</v>
      </c>
      <c r="O45" s="11">
        <f>N45*E46</f>
        <v>4739.3118211428309</v>
      </c>
      <c r="P45" s="37">
        <v>370</v>
      </c>
      <c r="Q45" s="11">
        <f>P45*E46</f>
        <v>8638.1545508514646</v>
      </c>
      <c r="R45" s="37">
        <v>121</v>
      </c>
      <c r="S45" s="11">
        <f>R45*E46</f>
        <v>2824.9100017649384</v>
      </c>
      <c r="T45" s="37">
        <v>229</v>
      </c>
      <c r="U45" s="11">
        <f>T45*E46</f>
        <v>5346.3172760675279</v>
      </c>
      <c r="V45" s="37"/>
      <c r="X45" s="37"/>
      <c r="AE45" s="11"/>
    </row>
    <row r="46" spans="1:31" ht="16.5" thickTop="1" thickBot="1" x14ac:dyDescent="0.3">
      <c r="A46" s="37">
        <v>12.122327044025157</v>
      </c>
      <c r="B46" s="37">
        <v>2</v>
      </c>
      <c r="C46" s="2">
        <f>AVERAGEIF(Drank!AA:AA,Expenses!B46,Drank!Y:Y)</f>
        <v>22.332677327390719</v>
      </c>
      <c r="D46" s="2">
        <f>AVERAGEIF(Wine1!AF:AF,Expenses!B46,Wine1!AI:AI)</f>
        <v>23.346363650949904</v>
      </c>
      <c r="E46" s="11">
        <f>MAX(C46,D46)</f>
        <v>23.346363650949904</v>
      </c>
      <c r="F46" s="36">
        <v>1</v>
      </c>
      <c r="G46" s="37">
        <f>F46*4.3</f>
        <v>4.3</v>
      </c>
      <c r="H46" s="37">
        <f>F46*52</f>
        <v>52</v>
      </c>
      <c r="I46" s="11">
        <f t="shared" si="7"/>
        <v>23.346363650949904</v>
      </c>
      <c r="J46" s="11">
        <f t="shared" si="7"/>
        <v>100.38936369908458</v>
      </c>
      <c r="K46" s="11">
        <f t="shared" si="7"/>
        <v>1214.0109098493949</v>
      </c>
      <c r="L46" s="11">
        <f>(A46-1)*K46</f>
        <v>13502.626374359512</v>
      </c>
      <c r="M46" s="11">
        <f>(A46-1)*H46</f>
        <v>578.36100628930819</v>
      </c>
      <c r="N46" s="37">
        <v>99</v>
      </c>
      <c r="O46" s="11">
        <f>N46*E47</f>
        <v>4326.6343224497268</v>
      </c>
      <c r="P46" s="37">
        <v>200</v>
      </c>
      <c r="Q46" s="11">
        <f>P46*E47</f>
        <v>8740.6753988883374</v>
      </c>
      <c r="R46" s="37">
        <v>40</v>
      </c>
      <c r="S46" s="11">
        <f>R46*E47</f>
        <v>1748.1350797776672</v>
      </c>
      <c r="T46" s="37">
        <v>87</v>
      </c>
      <c r="U46" s="11">
        <f>T46*E47</f>
        <v>3802.1937985164263</v>
      </c>
      <c r="V46" s="37"/>
      <c r="X46" s="37"/>
      <c r="AE46" s="11"/>
    </row>
    <row r="47" spans="1:31" ht="16.5" thickTop="1" thickBot="1" x14ac:dyDescent="0.3">
      <c r="A47" s="37">
        <v>17.759587020648969</v>
      </c>
      <c r="B47" s="37">
        <v>3</v>
      </c>
      <c r="C47" s="2">
        <f>AVERAGEIF(Drank!AA:AA,Expenses!B47,Drank!Y:Y)</f>
        <v>41.217374501868285</v>
      </c>
      <c r="D47" s="2">
        <f>AVERAGEIF(Wine1!AF:AF,Expenses!B47,Wine1!AI:AI)</f>
        <v>43.703376994441683</v>
      </c>
      <c r="E47" s="11">
        <f>MAX(C47,D47)</f>
        <v>43.703376994441683</v>
      </c>
      <c r="F47" s="37">
        <f>H47/52</f>
        <v>0.69230769230769229</v>
      </c>
      <c r="G47" s="37">
        <f>H47/12</f>
        <v>3</v>
      </c>
      <c r="H47" s="36">
        <v>36</v>
      </c>
      <c r="I47" s="11">
        <f t="shared" si="7"/>
        <v>30.256184073075012</v>
      </c>
      <c r="J47" s="11">
        <f t="shared" si="7"/>
        <v>131.11013098332506</v>
      </c>
      <c r="K47" s="11">
        <f t="shared" si="7"/>
        <v>1573.3215717999005</v>
      </c>
      <c r="L47" s="11">
        <f>(A47-1)*K47</f>
        <v>26368.219794044646</v>
      </c>
      <c r="M47" s="11">
        <f>(A47-1)*H47</f>
        <v>603.34513274336291</v>
      </c>
      <c r="N47" s="37">
        <v>19</v>
      </c>
      <c r="O47" s="11">
        <f>N47*E48</f>
        <v>2015.0286206896553</v>
      </c>
      <c r="P47" s="37">
        <v>13</v>
      </c>
      <c r="Q47" s="11">
        <f>P47*E48</f>
        <v>1378.7037931034483</v>
      </c>
      <c r="R47" s="37">
        <v>19</v>
      </c>
      <c r="S47" s="11">
        <f>R47*E48</f>
        <v>2015.0286206896553</v>
      </c>
      <c r="T47" s="37">
        <v>13</v>
      </c>
      <c r="U47" s="11">
        <f>T47*E48</f>
        <v>1378.7037931034483</v>
      </c>
      <c r="V47" s="37"/>
      <c r="X47" s="37"/>
      <c r="AE47" s="11"/>
    </row>
    <row r="48" spans="1:31" ht="16.5" thickTop="1" thickBot="1" x14ac:dyDescent="0.3">
      <c r="A48" s="37">
        <v>22.472222222222221</v>
      </c>
      <c r="B48">
        <v>4</v>
      </c>
      <c r="C48" s="2">
        <f>AVERAGEIF(Drank!AA:AA,Expenses!B48,Drank!Y:Y)</f>
        <v>91.07468750000001</v>
      </c>
      <c r="D48" s="2">
        <f>AVERAGEIF(Wine1!AF:AF,Expenses!B48,Wine1!AI:AI)</f>
        <v>106.05413793103449</v>
      </c>
      <c r="E48" s="11">
        <f>MAX(C48,D48)</f>
        <v>106.05413793103449</v>
      </c>
      <c r="F48">
        <f>H48/52</f>
        <v>0.17307692307692307</v>
      </c>
      <c r="G48">
        <f>H48/12</f>
        <v>0.75</v>
      </c>
      <c r="H48" s="36">
        <v>9</v>
      </c>
      <c r="I48" s="11">
        <f t="shared" si="7"/>
        <v>18.355523872679047</v>
      </c>
      <c r="J48" s="11">
        <f t="shared" si="7"/>
        <v>79.540603448275874</v>
      </c>
      <c r="K48" s="11">
        <f t="shared" si="7"/>
        <v>954.48724137931038</v>
      </c>
      <c r="L48" s="11">
        <f>(A48-1)*K48</f>
        <v>20494.962155172412</v>
      </c>
      <c r="M48" s="11">
        <f>(A48-1)*H48</f>
        <v>193.25</v>
      </c>
      <c r="N48" s="37">
        <v>-1</v>
      </c>
      <c r="O48" s="11">
        <f>N48*E49</f>
        <v>0</v>
      </c>
      <c r="P48" s="37">
        <v>-2</v>
      </c>
      <c r="Q48" s="11">
        <f>P48*E49</f>
        <v>0</v>
      </c>
      <c r="R48" s="37">
        <v>1</v>
      </c>
      <c r="S48" s="11">
        <f>R48*E49</f>
        <v>0</v>
      </c>
      <c r="T48" s="37">
        <v>3</v>
      </c>
      <c r="U48" s="11">
        <f>T48*E49</f>
        <v>0</v>
      </c>
      <c r="V48" s="37"/>
      <c r="W48" s="37"/>
      <c r="X48" s="37"/>
      <c r="Y48" s="37"/>
      <c r="AE48" s="11"/>
    </row>
    <row r="49" spans="4:28" ht="15.75" thickTop="1" x14ac:dyDescent="0.25">
      <c r="F49" s="37">
        <f t="shared" ref="F49:K49" si="8">SUM(F45:F48)</f>
        <v>4.3653846153846159</v>
      </c>
      <c r="G49" s="37">
        <f t="shared" si="8"/>
        <v>18.8</v>
      </c>
      <c r="H49">
        <f t="shared" si="8"/>
        <v>227</v>
      </c>
      <c r="I49" s="11">
        <f t="shared" si="8"/>
        <v>105.8872025149891</v>
      </c>
      <c r="J49" s="11">
        <f t="shared" si="8"/>
        <v>456.93536107931163</v>
      </c>
      <c r="K49" s="11">
        <f t="shared" si="8"/>
        <v>5506.1345307794336</v>
      </c>
      <c r="L49" s="11">
        <f>SUM(L45:L48)</f>
        <v>70987.207918050335</v>
      </c>
      <c r="M49" s="11">
        <f>SUM(M45:M48)</f>
        <v>2157.5726773146507</v>
      </c>
      <c r="N49" s="11"/>
      <c r="O49" s="11">
        <f>SUM(O45:O48)</f>
        <v>11080.974764282215</v>
      </c>
      <c r="P49"/>
      <c r="Q49" s="11">
        <f>SUM(Q45:Q48)</f>
        <v>18757.533742843254</v>
      </c>
      <c r="R49"/>
      <c r="S49" s="11">
        <f>SUM(S45:S48)</f>
        <v>6588.073702232261</v>
      </c>
      <c r="T49"/>
      <c r="U49" s="11">
        <f>SUM(U45:U48)</f>
        <v>10527.214867687402</v>
      </c>
      <c r="V49" s="37"/>
      <c r="AB49" s="11"/>
    </row>
    <row r="50" spans="4:28" x14ac:dyDescent="0.25">
      <c r="I50" s="11">
        <f>I49/F49</f>
        <v>24.256099254534945</v>
      </c>
      <c r="J50" s="11">
        <f>J49/G49</f>
        <v>24.305072397835723</v>
      </c>
      <c r="K50" s="11">
        <f>K49/H49</f>
        <v>24.256099254534949</v>
      </c>
      <c r="L50" s="11"/>
      <c r="M50" s="11"/>
      <c r="N50"/>
      <c r="O50" s="37"/>
      <c r="P50"/>
      <c r="Q50" s="37"/>
      <c r="R50"/>
      <c r="S50" s="37"/>
      <c r="T50"/>
      <c r="U50" s="37"/>
      <c r="AB50" s="11"/>
    </row>
    <row r="51" spans="4:28" x14ac:dyDescent="0.25">
      <c r="F51">
        <v>2.75</v>
      </c>
      <c r="G51">
        <v>11.824999999999999</v>
      </c>
      <c r="H51">
        <v>143</v>
      </c>
      <c r="K51" s="37"/>
      <c r="M51" s="37"/>
      <c r="N51"/>
      <c r="O51" s="37"/>
      <c r="P51"/>
      <c r="Q51" s="37"/>
      <c r="R51"/>
      <c r="S51" s="37"/>
      <c r="T51"/>
      <c r="U51" s="37"/>
      <c r="AB51" s="11"/>
    </row>
    <row r="52" spans="4:28" x14ac:dyDescent="0.25">
      <c r="F52">
        <v>1.5</v>
      </c>
      <c r="G52">
        <v>6.4499999999999993</v>
      </c>
      <c r="H52">
        <v>78</v>
      </c>
      <c r="K52" s="37"/>
      <c r="M52" s="37"/>
      <c r="N52"/>
      <c r="O52" s="37"/>
      <c r="P52"/>
      <c r="Q52" s="37"/>
      <c r="R52"/>
      <c r="S52" s="37"/>
      <c r="T52"/>
      <c r="U52" s="37"/>
      <c r="AB52" s="11"/>
    </row>
    <row r="53" spans="4:28" x14ac:dyDescent="0.25">
      <c r="F53">
        <v>0.46153846153846156</v>
      </c>
      <c r="G53">
        <v>2</v>
      </c>
      <c r="H53">
        <v>24</v>
      </c>
      <c r="K53" s="37"/>
      <c r="M53" s="37"/>
      <c r="N53"/>
      <c r="O53" s="37"/>
      <c r="P53"/>
      <c r="Q53" s="37"/>
      <c r="R53"/>
      <c r="S53" s="37"/>
      <c r="T53"/>
      <c r="U53" s="37"/>
      <c r="AB53" s="11"/>
    </row>
    <row r="54" spans="4:28" x14ac:dyDescent="0.25">
      <c r="F54">
        <v>9.6153846153846159E-2</v>
      </c>
      <c r="G54">
        <v>0.41666666666666669</v>
      </c>
      <c r="H54">
        <v>5</v>
      </c>
      <c r="M54" s="37"/>
      <c r="N54"/>
      <c r="O54" s="37"/>
      <c r="P54"/>
      <c r="Q54" s="37"/>
      <c r="R54"/>
      <c r="S54" s="37"/>
      <c r="T54" s="37">
        <v>5000</v>
      </c>
      <c r="U54" s="37"/>
    </row>
    <row r="55" spans="4:28" x14ac:dyDescent="0.25">
      <c r="M55" s="37"/>
      <c r="N55"/>
      <c r="O55" s="37"/>
      <c r="P55"/>
      <c r="Q55" s="37"/>
      <c r="R55"/>
      <c r="S55" s="37"/>
      <c r="T55" s="37">
        <v>150</v>
      </c>
      <c r="U55" s="37">
        <f>T54/T55</f>
        <v>33.333333333333336</v>
      </c>
      <c r="V55" s="37"/>
    </row>
    <row r="56" spans="4:28" x14ac:dyDescent="0.25">
      <c r="D56">
        <v>20</v>
      </c>
      <c r="E56">
        <v>3</v>
      </c>
      <c r="F56">
        <v>3</v>
      </c>
      <c r="G56">
        <v>3</v>
      </c>
      <c r="H56">
        <v>3</v>
      </c>
      <c r="I56">
        <v>3</v>
      </c>
      <c r="M56" s="37"/>
      <c r="N56"/>
      <c r="O56" s="37"/>
      <c r="P56"/>
      <c r="Q56" s="37"/>
      <c r="R56"/>
      <c r="S56" s="37"/>
      <c r="U56" s="37"/>
      <c r="V56" s="37"/>
    </row>
    <row r="57" spans="4:28" x14ac:dyDescent="0.25">
      <c r="D57">
        <v>50</v>
      </c>
      <c r="E57">
        <v>1</v>
      </c>
      <c r="F57">
        <v>1</v>
      </c>
      <c r="G57">
        <v>1</v>
      </c>
      <c r="H57">
        <v>1</v>
      </c>
      <c r="I57">
        <v>1</v>
      </c>
      <c r="M57" s="37"/>
      <c r="N57"/>
      <c r="O57" s="37"/>
      <c r="P57"/>
      <c r="Q57" s="37"/>
      <c r="R57"/>
      <c r="S57" s="37"/>
      <c r="T57" s="37">
        <v>75</v>
      </c>
      <c r="U57" s="37">
        <v>55</v>
      </c>
      <c r="V57" s="37">
        <f>T57*U57</f>
        <v>4125</v>
      </c>
    </row>
    <row r="58" spans="4:28" x14ac:dyDescent="0.25">
      <c r="D58">
        <v>200</v>
      </c>
      <c r="E58">
        <v>0.25</v>
      </c>
      <c r="M58" s="37" t="s">
        <v>1531</v>
      </c>
      <c r="N58"/>
      <c r="O58" s="37"/>
      <c r="P58"/>
      <c r="Q58" s="37"/>
      <c r="R58"/>
      <c r="S58" s="37"/>
      <c r="T58" s="37">
        <v>75</v>
      </c>
      <c r="U58" s="37">
        <v>15</v>
      </c>
      <c r="V58" s="37">
        <f>T58*U58</f>
        <v>1125</v>
      </c>
    </row>
    <row r="59" spans="4:28" x14ac:dyDescent="0.25">
      <c r="M59" s="37" t="s">
        <v>1530</v>
      </c>
      <c r="N59"/>
      <c r="O59" s="37"/>
      <c r="P59"/>
      <c r="Q59" s="37"/>
      <c r="R59"/>
      <c r="S59" s="37"/>
      <c r="T59"/>
      <c r="U59" s="37"/>
    </row>
    <row r="60" spans="4:28" x14ac:dyDescent="0.25">
      <c r="M60" t="s">
        <v>1532</v>
      </c>
      <c r="N60"/>
      <c r="O60" s="37"/>
      <c r="P60"/>
      <c r="Q60" s="37"/>
      <c r="R60"/>
      <c r="S60" s="37"/>
      <c r="T60"/>
      <c r="U60" s="37"/>
    </row>
    <row r="61" spans="4:28" x14ac:dyDescent="0.25">
      <c r="M61" s="37"/>
      <c r="N61"/>
      <c r="O61" s="37"/>
      <c r="P61"/>
      <c r="Q61" s="37"/>
      <c r="R61"/>
      <c r="S61" s="37"/>
      <c r="T61"/>
      <c r="U61" s="37"/>
    </row>
    <row r="62" spans="4:28" x14ac:dyDescent="0.25">
      <c r="M62" s="37"/>
      <c r="N62"/>
      <c r="O62" s="37"/>
      <c r="P62"/>
      <c r="Q62" s="37"/>
      <c r="R62"/>
      <c r="S62" s="37"/>
      <c r="T62"/>
      <c r="U62" s="37"/>
    </row>
    <row r="63" spans="4:28" x14ac:dyDescent="0.25">
      <c r="M63" s="37" t="s">
        <v>1554</v>
      </c>
      <c r="N63"/>
      <c r="O63" s="37"/>
      <c r="P63"/>
      <c r="Q63" s="37"/>
      <c r="R63"/>
      <c r="S63" s="37"/>
      <c r="T63"/>
      <c r="U63" s="37"/>
    </row>
    <row r="64" spans="4:28" x14ac:dyDescent="0.25">
      <c r="M64" s="37">
        <v>2032731180</v>
      </c>
      <c r="N64"/>
      <c r="O64" s="37"/>
      <c r="P64"/>
      <c r="Q64" s="37"/>
      <c r="R64"/>
      <c r="S64" s="37"/>
      <c r="T64"/>
      <c r="U64" s="37"/>
    </row>
    <row r="65" spans="5:21" x14ac:dyDescent="0.25">
      <c r="M65" s="112" t="s">
        <v>1555</v>
      </c>
      <c r="N65"/>
      <c r="O65" s="37"/>
      <c r="P65"/>
      <c r="Q65" s="37"/>
      <c r="R65"/>
      <c r="S65" s="37"/>
      <c r="T65"/>
      <c r="U65" s="37"/>
    </row>
    <row r="66" spans="5:21" x14ac:dyDescent="0.25">
      <c r="M66" s="37"/>
      <c r="N66"/>
      <c r="O66" s="37"/>
      <c r="P66"/>
      <c r="Q66" s="37"/>
      <c r="R66"/>
      <c r="S66" s="37"/>
      <c r="T66"/>
      <c r="U66" s="37"/>
    </row>
    <row r="67" spans="5:21" x14ac:dyDescent="0.25">
      <c r="M67" s="37"/>
      <c r="N67"/>
      <c r="O67" s="37"/>
      <c r="P67"/>
      <c r="Q67" s="37"/>
      <c r="R67"/>
      <c r="S67" s="37"/>
      <c r="T67"/>
      <c r="U67" s="37"/>
    </row>
    <row r="68" spans="5:21" x14ac:dyDescent="0.25">
      <c r="M68" s="37"/>
      <c r="N68"/>
      <c r="O68" s="37"/>
      <c r="P68"/>
      <c r="Q68" s="37"/>
      <c r="R68"/>
      <c r="S68" s="37"/>
      <c r="T68"/>
      <c r="U68" s="37"/>
    </row>
    <row r="69" spans="5:21" x14ac:dyDescent="0.25">
      <c r="M69" s="37"/>
      <c r="N69"/>
      <c r="O69" s="37"/>
      <c r="P69"/>
      <c r="Q69" s="37"/>
      <c r="R69"/>
      <c r="S69" s="37"/>
      <c r="T69"/>
      <c r="U69" s="37"/>
    </row>
    <row r="70" spans="5:21" x14ac:dyDescent="0.25">
      <c r="M70" s="37"/>
      <c r="N70"/>
      <c r="O70" s="37"/>
      <c r="P70"/>
      <c r="Q70" s="37"/>
      <c r="R70"/>
      <c r="S70" s="37"/>
      <c r="T70"/>
      <c r="U70" s="37"/>
    </row>
    <row r="71" spans="5:21" x14ac:dyDescent="0.25">
      <c r="E71" s="37" t="s">
        <v>1558</v>
      </c>
      <c r="F71" s="37" t="s">
        <v>1559</v>
      </c>
      <c r="G71" t="s">
        <v>1560</v>
      </c>
      <c r="H71" t="s">
        <v>1561</v>
      </c>
      <c r="I71" t="s">
        <v>1562</v>
      </c>
      <c r="M71" s="37"/>
      <c r="N71"/>
      <c r="O71" s="37"/>
      <c r="P71"/>
      <c r="Q71" s="37"/>
      <c r="R71"/>
      <c r="S71" s="37"/>
      <c r="T71"/>
      <c r="U71" s="37"/>
    </row>
    <row r="72" spans="5:21" x14ac:dyDescent="0.25">
      <c r="E72" s="37">
        <v>480</v>
      </c>
      <c r="F72" s="37">
        <f>E72*1.24</f>
        <v>595.20000000000005</v>
      </c>
      <c r="G72">
        <f>F72*1.087</f>
        <v>646.98239999999998</v>
      </c>
      <c r="H72">
        <f>F72*0.01+G72</f>
        <v>652.93439999999998</v>
      </c>
      <c r="I72">
        <v>12</v>
      </c>
      <c r="J72">
        <f>H72/I72</f>
        <v>54.411200000000001</v>
      </c>
      <c r="M72" s="37"/>
      <c r="N72"/>
      <c r="O72" s="37"/>
      <c r="P72"/>
      <c r="Q72" s="37"/>
      <c r="R72"/>
      <c r="S72" s="37"/>
      <c r="T72"/>
      <c r="U72" s="37"/>
    </row>
    <row r="73" spans="5:21" x14ac:dyDescent="0.25">
      <c r="M73" s="37"/>
      <c r="N73"/>
      <c r="O73" s="37"/>
      <c r="P73"/>
      <c r="Q73" s="37"/>
      <c r="R73"/>
      <c r="S73" s="37"/>
      <c r="T73"/>
      <c r="U73" s="37"/>
    </row>
    <row r="74" spans="5:21" x14ac:dyDescent="0.25">
      <c r="M74" s="37"/>
      <c r="N74"/>
      <c r="O74" s="37"/>
      <c r="P74"/>
      <c r="Q74" s="37"/>
      <c r="R74"/>
      <c r="S74" s="37"/>
      <c r="T74"/>
      <c r="U74" s="37"/>
    </row>
    <row r="75" spans="5:21" x14ac:dyDescent="0.25">
      <c r="M75" s="37"/>
      <c r="N75"/>
      <c r="O75" s="37"/>
      <c r="P75"/>
      <c r="Q75" s="37"/>
      <c r="R75"/>
      <c r="S75" s="37"/>
      <c r="T75"/>
      <c r="U75" s="37"/>
    </row>
    <row r="76" spans="5:21" x14ac:dyDescent="0.25">
      <c r="M76" s="37"/>
      <c r="N76"/>
      <c r="O76" s="37"/>
      <c r="P76"/>
      <c r="Q76" s="37"/>
      <c r="R76"/>
      <c r="S76" s="37"/>
      <c r="T76"/>
      <c r="U76" s="37"/>
    </row>
    <row r="77" spans="5:21" x14ac:dyDescent="0.25">
      <c r="M77" s="37"/>
      <c r="N77"/>
      <c r="O77" s="37"/>
      <c r="P77"/>
      <c r="Q77" s="37"/>
      <c r="R77"/>
      <c r="S77" s="37"/>
      <c r="T77"/>
      <c r="U77" s="37"/>
    </row>
    <row r="78" spans="5:21" x14ac:dyDescent="0.25">
      <c r="M78" s="37"/>
      <c r="N78"/>
      <c r="O78" s="37"/>
      <c r="P78"/>
      <c r="Q78" s="37"/>
      <c r="R78"/>
      <c r="S78" s="37"/>
      <c r="T78"/>
      <c r="U78" s="37"/>
    </row>
    <row r="79" spans="5:21" x14ac:dyDescent="0.25">
      <c r="M79" s="37"/>
      <c r="N79"/>
      <c r="O79" s="37"/>
      <c r="P79"/>
      <c r="Q79" s="37"/>
      <c r="R79"/>
      <c r="S79" s="37"/>
      <c r="T79"/>
      <c r="U79" s="37"/>
    </row>
    <row r="80" spans="5:21" x14ac:dyDescent="0.25">
      <c r="M80" s="37"/>
      <c r="N80"/>
      <c r="O80" s="37"/>
      <c r="P80"/>
      <c r="Q80" s="37"/>
      <c r="R80"/>
      <c r="S80" s="37"/>
      <c r="T80"/>
      <c r="U80" s="37"/>
    </row>
    <row r="81" spans="8:21" x14ac:dyDescent="0.25">
      <c r="K81" s="37"/>
      <c r="L81" s="37"/>
      <c r="M81" s="37"/>
      <c r="N81"/>
      <c r="O81" s="37"/>
      <c r="P81"/>
      <c r="Q81" s="37"/>
      <c r="R81"/>
      <c r="S81" s="37"/>
      <c r="T81"/>
      <c r="U81" s="37"/>
    </row>
    <row r="82" spans="8:21" x14ac:dyDescent="0.25">
      <c r="H82">
        <v>10000</v>
      </c>
      <c r="K82">
        <v>500</v>
      </c>
      <c r="L82">
        <v>3</v>
      </c>
      <c r="M82" s="37">
        <f>K82*L82</f>
        <v>1500</v>
      </c>
      <c r="N82"/>
      <c r="O82" s="37"/>
      <c r="P82"/>
      <c r="Q82" s="37"/>
      <c r="R82"/>
      <c r="S82" s="37"/>
      <c r="T82"/>
      <c r="U82" s="37"/>
    </row>
    <row r="83" spans="8:21" x14ac:dyDescent="0.25">
      <c r="K83">
        <v>200</v>
      </c>
      <c r="L83">
        <v>15</v>
      </c>
      <c r="M83" s="37">
        <f>K83*L83</f>
        <v>3000</v>
      </c>
      <c r="N83"/>
      <c r="O83" s="37"/>
      <c r="P83"/>
      <c r="Q83" s="37"/>
      <c r="R83"/>
      <c r="S83" s="37"/>
      <c r="T83"/>
      <c r="U83" s="37"/>
    </row>
    <row r="84" spans="8:21" x14ac:dyDescent="0.25">
      <c r="K84">
        <v>100</v>
      </c>
      <c r="L84">
        <v>25</v>
      </c>
      <c r="M84" s="37">
        <f>K84*L84</f>
        <v>2500</v>
      </c>
      <c r="N84"/>
      <c r="O84" s="37"/>
      <c r="P84"/>
      <c r="Q84" s="37"/>
      <c r="R84"/>
      <c r="S84" s="37"/>
      <c r="T84"/>
      <c r="U84" s="37"/>
    </row>
    <row r="85" spans="8:21" x14ac:dyDescent="0.25">
      <c r="K85">
        <v>50</v>
      </c>
      <c r="L85">
        <v>60</v>
      </c>
      <c r="M85" s="37">
        <f>K85*L85</f>
        <v>3000</v>
      </c>
      <c r="N85"/>
      <c r="O85" s="37"/>
      <c r="P85"/>
      <c r="Q85" s="37"/>
      <c r="R85"/>
      <c r="S85" s="37"/>
      <c r="T85"/>
      <c r="U85" s="37"/>
    </row>
    <row r="86" spans="8:21" x14ac:dyDescent="0.25">
      <c r="K86">
        <v>35</v>
      </c>
      <c r="M86" s="37">
        <f>K86*L86</f>
        <v>0</v>
      </c>
      <c r="N86"/>
      <c r="O86" s="37"/>
      <c r="P86"/>
      <c r="Q86" s="37"/>
      <c r="R86"/>
      <c r="S86" s="37"/>
      <c r="T86"/>
      <c r="U86" s="37"/>
    </row>
    <row r="87" spans="8:21" x14ac:dyDescent="0.25">
      <c r="L87">
        <f>SUM(L82:L86)</f>
        <v>103</v>
      </c>
      <c r="M87" s="37">
        <f>SUM(M82:M86)</f>
        <v>10000</v>
      </c>
      <c r="N87"/>
      <c r="O87" s="37"/>
      <c r="P87"/>
      <c r="Q87" s="37"/>
      <c r="R87"/>
      <c r="S87" s="37"/>
      <c r="T87"/>
      <c r="U87" s="37"/>
    </row>
    <row r="88" spans="8:21" x14ac:dyDescent="0.25">
      <c r="M88" s="37"/>
      <c r="N88"/>
      <c r="O88" s="37"/>
      <c r="P88"/>
      <c r="Q88" s="37"/>
      <c r="R88"/>
      <c r="S88" s="37"/>
      <c r="T88"/>
      <c r="U88" s="37"/>
    </row>
    <row r="89" spans="8:21" x14ac:dyDescent="0.25">
      <c r="M89" s="37"/>
      <c r="N89"/>
      <c r="O89" s="37"/>
      <c r="P89"/>
      <c r="Q89" s="37"/>
      <c r="R89"/>
      <c r="S89" s="37"/>
      <c r="T89"/>
      <c r="U89" s="37"/>
    </row>
    <row r="90" spans="8:21" x14ac:dyDescent="0.25">
      <c r="M90" s="37"/>
      <c r="N90"/>
      <c r="O90" s="37"/>
      <c r="P90"/>
      <c r="Q90" s="37"/>
      <c r="R90"/>
      <c r="S90" s="37"/>
      <c r="T90"/>
      <c r="U90" s="37"/>
    </row>
    <row r="91" spans="8:21" x14ac:dyDescent="0.25">
      <c r="M91" s="37"/>
      <c r="N91"/>
      <c r="O91" s="37"/>
      <c r="P91"/>
      <c r="Q91" s="37"/>
      <c r="R91"/>
      <c r="S91" s="37"/>
      <c r="T91"/>
      <c r="U91" s="37"/>
    </row>
    <row r="92" spans="8:21" x14ac:dyDescent="0.25">
      <c r="M92" s="37"/>
      <c r="N92"/>
      <c r="O92" s="37"/>
      <c r="P92"/>
      <c r="Q92" s="37"/>
      <c r="R92"/>
      <c r="S92" s="37"/>
      <c r="T92"/>
      <c r="U92" s="37"/>
    </row>
    <row r="93" spans="8:21" x14ac:dyDescent="0.25">
      <c r="M93" s="37"/>
      <c r="N93"/>
      <c r="O93" s="37"/>
      <c r="P93"/>
      <c r="Q93" s="37"/>
      <c r="R93"/>
      <c r="S93" s="37"/>
      <c r="T93"/>
      <c r="U93" s="37"/>
    </row>
    <row r="94" spans="8:21" x14ac:dyDescent="0.25">
      <c r="M94" s="37"/>
      <c r="N94"/>
      <c r="O94" s="37"/>
      <c r="P94"/>
      <c r="Q94" s="37"/>
      <c r="R94"/>
      <c r="S94" s="37"/>
      <c r="T94"/>
      <c r="U94" s="37"/>
    </row>
    <row r="95" spans="8:21" x14ac:dyDescent="0.25">
      <c r="M95" s="37"/>
      <c r="N95"/>
      <c r="O95" s="37"/>
      <c r="P95"/>
      <c r="Q95" s="37"/>
      <c r="R95"/>
      <c r="S95" s="37"/>
      <c r="T95"/>
      <c r="U95" s="37"/>
    </row>
    <row r="96" spans="8:21" x14ac:dyDescent="0.25">
      <c r="M96" s="37"/>
      <c r="N96"/>
      <c r="O96" s="37"/>
      <c r="P96"/>
      <c r="Q96" s="37"/>
      <c r="R96"/>
      <c r="S96" s="37"/>
      <c r="T96"/>
      <c r="U96" s="37"/>
    </row>
    <row r="97" spans="13:21" x14ac:dyDescent="0.25">
      <c r="M97" s="37"/>
      <c r="N97"/>
      <c r="O97" s="37"/>
      <c r="P97"/>
      <c r="Q97" s="37"/>
      <c r="R97"/>
      <c r="S97" s="37"/>
      <c r="T97"/>
      <c r="U97" s="37"/>
    </row>
    <row r="98" spans="13:21" x14ac:dyDescent="0.25">
      <c r="M98" s="37"/>
      <c r="N98"/>
      <c r="O98" s="37"/>
      <c r="P98"/>
      <c r="Q98" s="37"/>
      <c r="R98"/>
      <c r="S98" s="37"/>
      <c r="T98"/>
      <c r="U98" s="37"/>
    </row>
    <row r="99" spans="13:21" x14ac:dyDescent="0.25">
      <c r="M99" s="37"/>
      <c r="N99"/>
      <c r="O99" s="37"/>
      <c r="P99"/>
      <c r="Q99" s="37"/>
      <c r="R99"/>
      <c r="S99" s="37"/>
      <c r="T99"/>
      <c r="U99" s="37"/>
    </row>
    <row r="100" spans="13:21" x14ac:dyDescent="0.25">
      <c r="M100" s="37"/>
      <c r="N100"/>
      <c r="O100" s="37"/>
      <c r="P100"/>
      <c r="Q100" s="37"/>
      <c r="R100"/>
      <c r="S100" s="37"/>
      <c r="T100"/>
      <c r="U100" s="37"/>
    </row>
    <row r="101" spans="13:21" x14ac:dyDescent="0.25">
      <c r="M101" s="37"/>
      <c r="N101"/>
      <c r="O101" s="37"/>
      <c r="P101"/>
      <c r="Q101" s="37"/>
      <c r="R101"/>
      <c r="S101" s="37"/>
      <c r="T101"/>
      <c r="U101" s="37"/>
    </row>
    <row r="102" spans="13:21" x14ac:dyDescent="0.25">
      <c r="M102" s="37"/>
      <c r="N102"/>
      <c r="O102" s="37"/>
      <c r="P102"/>
      <c r="Q102" s="37"/>
      <c r="R102"/>
      <c r="S102" s="37"/>
      <c r="T102"/>
      <c r="U102" s="37"/>
    </row>
    <row r="103" spans="13:21" x14ac:dyDescent="0.25">
      <c r="M103" s="37"/>
      <c r="N103"/>
      <c r="O103" s="37"/>
      <c r="P103"/>
      <c r="Q103" s="37"/>
      <c r="R103"/>
      <c r="S103" s="37"/>
      <c r="T103"/>
      <c r="U103" s="37"/>
    </row>
    <row r="104" spans="13:21" x14ac:dyDescent="0.25">
      <c r="M104" s="37"/>
      <c r="N104"/>
      <c r="O104" s="37"/>
      <c r="P104"/>
      <c r="Q104" s="37"/>
      <c r="R104"/>
      <c r="S104" s="37"/>
      <c r="T104"/>
      <c r="U104" s="37"/>
    </row>
    <row r="105" spans="13:21" x14ac:dyDescent="0.25">
      <c r="M105" s="37"/>
      <c r="N105"/>
      <c r="O105" s="37"/>
      <c r="P105"/>
      <c r="Q105" s="37"/>
      <c r="R105"/>
      <c r="S105" s="37"/>
      <c r="T105"/>
      <c r="U105" s="37"/>
    </row>
    <row r="106" spans="13:21" x14ac:dyDescent="0.25">
      <c r="M106" s="37"/>
      <c r="N106"/>
      <c r="O106" s="37"/>
      <c r="P106"/>
      <c r="Q106" s="37"/>
      <c r="R106"/>
      <c r="S106" s="37"/>
      <c r="T106"/>
      <c r="U106" s="37"/>
    </row>
    <row r="107" spans="13:21" x14ac:dyDescent="0.25">
      <c r="M107" s="37"/>
      <c r="N107"/>
      <c r="O107" s="37"/>
      <c r="P107"/>
      <c r="Q107" s="37"/>
      <c r="R107"/>
      <c r="S107" s="37"/>
      <c r="T107"/>
      <c r="U107" s="37"/>
    </row>
    <row r="108" spans="13:21" x14ac:dyDescent="0.25">
      <c r="M108" s="37"/>
      <c r="N108"/>
      <c r="O108" s="37"/>
      <c r="P108"/>
      <c r="Q108" s="37"/>
      <c r="R108"/>
      <c r="S108" s="37"/>
      <c r="T108"/>
      <c r="U108" s="37"/>
    </row>
    <row r="109" spans="13:21" x14ac:dyDescent="0.25">
      <c r="M109" s="37"/>
      <c r="N109"/>
      <c r="O109" s="37"/>
      <c r="P109"/>
      <c r="Q109" s="37"/>
      <c r="R109"/>
      <c r="S109" s="37"/>
      <c r="T109"/>
      <c r="U109" s="37"/>
    </row>
    <row r="110" spans="13:21" x14ac:dyDescent="0.25">
      <c r="M110" s="37"/>
      <c r="N110"/>
      <c r="O110" s="37"/>
      <c r="P110"/>
      <c r="Q110" s="37"/>
      <c r="R110"/>
      <c r="S110" s="37"/>
      <c r="T110"/>
      <c r="U110" s="37"/>
    </row>
    <row r="111" spans="13:21" x14ac:dyDescent="0.25">
      <c r="M111" s="37"/>
      <c r="N111"/>
      <c r="O111" s="37"/>
      <c r="P111"/>
      <c r="Q111" s="37"/>
      <c r="R111"/>
      <c r="S111" s="37"/>
      <c r="T111"/>
      <c r="U111" s="37"/>
    </row>
    <row r="112" spans="13:21" x14ac:dyDescent="0.25">
      <c r="M112" s="37"/>
      <c r="N112"/>
      <c r="O112" s="37"/>
      <c r="P112"/>
      <c r="Q112" s="37"/>
      <c r="R112"/>
      <c r="S112" s="37"/>
      <c r="T112"/>
      <c r="U112" s="37"/>
    </row>
    <row r="113" spans="13:21" x14ac:dyDescent="0.25">
      <c r="M113" s="37"/>
      <c r="N113"/>
      <c r="O113" s="37"/>
      <c r="P113"/>
      <c r="Q113" s="37"/>
      <c r="R113"/>
      <c r="S113" s="37"/>
      <c r="T113"/>
      <c r="U113" s="37"/>
    </row>
    <row r="114" spans="13:21" x14ac:dyDescent="0.25">
      <c r="M114" s="37"/>
      <c r="N114"/>
      <c r="O114" s="37"/>
      <c r="P114"/>
      <c r="Q114" s="37"/>
      <c r="R114"/>
      <c r="S114" s="37"/>
      <c r="T114"/>
      <c r="U114" s="37"/>
    </row>
    <row r="115" spans="13:21" x14ac:dyDescent="0.25">
      <c r="M115" s="37"/>
      <c r="N115"/>
      <c r="O115" s="37"/>
      <c r="P115"/>
      <c r="Q115" s="37"/>
      <c r="R115"/>
      <c r="S115" s="37"/>
      <c r="T115"/>
      <c r="U115" s="37"/>
    </row>
    <row r="116" spans="13:21" x14ac:dyDescent="0.25">
      <c r="M116" s="37"/>
      <c r="N116"/>
      <c r="O116" s="37"/>
      <c r="P116"/>
      <c r="Q116" s="37"/>
      <c r="R116"/>
      <c r="S116" s="37"/>
      <c r="T116"/>
      <c r="U116" s="37"/>
    </row>
    <row r="117" spans="13:21" x14ac:dyDescent="0.25">
      <c r="M117" s="37"/>
      <c r="N117"/>
      <c r="O117" s="37"/>
      <c r="P117"/>
      <c r="Q117" s="37"/>
      <c r="R117"/>
      <c r="S117" s="37"/>
      <c r="T117"/>
      <c r="U117" s="37"/>
    </row>
    <row r="118" spans="13:21" x14ac:dyDescent="0.25">
      <c r="M118" s="37"/>
      <c r="N118"/>
      <c r="O118" s="37"/>
      <c r="P118"/>
      <c r="Q118" s="37"/>
      <c r="R118"/>
      <c r="S118" s="37"/>
      <c r="T118"/>
      <c r="U118" s="37"/>
    </row>
    <row r="119" spans="13:21" x14ac:dyDescent="0.25">
      <c r="M119" s="37"/>
      <c r="N119"/>
      <c r="O119" s="37"/>
      <c r="P119"/>
      <c r="Q119" s="37"/>
      <c r="R119"/>
      <c r="S119" s="37"/>
      <c r="T119"/>
      <c r="U119" s="37"/>
    </row>
    <row r="120" spans="13:21" x14ac:dyDescent="0.25">
      <c r="M120" s="37"/>
      <c r="N120"/>
      <c r="O120" s="37"/>
      <c r="P120"/>
      <c r="Q120" s="37"/>
      <c r="R120"/>
      <c r="S120" s="37"/>
      <c r="T120"/>
      <c r="U120" s="37"/>
    </row>
    <row r="121" spans="13:21" x14ac:dyDescent="0.25">
      <c r="M121" s="37"/>
      <c r="N121"/>
      <c r="O121" s="37"/>
      <c r="P121"/>
      <c r="Q121" s="37"/>
      <c r="R121"/>
      <c r="S121" s="37"/>
      <c r="T121"/>
      <c r="U121" s="37"/>
    </row>
    <row r="122" spans="13:21" x14ac:dyDescent="0.25">
      <c r="M122" s="37"/>
      <c r="N122"/>
      <c r="O122" s="37"/>
      <c r="P122"/>
      <c r="Q122" s="37"/>
      <c r="R122"/>
      <c r="S122" s="37"/>
      <c r="T122"/>
      <c r="U122" s="37"/>
    </row>
    <row r="123" spans="13:21" x14ac:dyDescent="0.25">
      <c r="M123" s="37"/>
      <c r="N123"/>
      <c r="O123" s="37"/>
      <c r="P123"/>
      <c r="Q123" s="37"/>
      <c r="R123"/>
      <c r="S123" s="37"/>
      <c r="T123"/>
      <c r="U123" s="37"/>
    </row>
    <row r="124" spans="13:21" x14ac:dyDescent="0.25">
      <c r="M124" s="37"/>
      <c r="N124"/>
      <c r="O124" s="37"/>
      <c r="P124"/>
      <c r="Q124" s="37"/>
      <c r="R124"/>
      <c r="S124" s="37"/>
      <c r="T124"/>
      <c r="U124" s="37"/>
    </row>
    <row r="125" spans="13:21" x14ac:dyDescent="0.25">
      <c r="M125" s="37"/>
    </row>
  </sheetData>
  <phoneticPr fontId="19" type="noConversion"/>
  <hyperlinks>
    <hyperlink ref="M65" r:id="rId1" xr:uid="{ABE383BB-EF9F-4B56-B65D-82E26F9389E3}"/>
  </hyperlinks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C389-7AB2-455C-BB11-3C30B92290E3}">
  <dimension ref="A2:Q20"/>
  <sheetViews>
    <sheetView workbookViewId="0">
      <selection activeCell="L17" sqref="L17"/>
    </sheetView>
  </sheetViews>
  <sheetFormatPr defaultRowHeight="15" x14ac:dyDescent="0.25"/>
  <cols>
    <col min="1" max="1" width="9.140625" style="37"/>
    <col min="2" max="2" width="5" style="37" bestFit="1" customWidth="1"/>
    <col min="3" max="3" width="10.85546875" style="37" bestFit="1" customWidth="1"/>
    <col min="4" max="5" width="10.5703125" bestFit="1" customWidth="1"/>
    <col min="6" max="6" width="10.5703125" style="37" bestFit="1" customWidth="1"/>
    <col min="7" max="7" width="10.5703125" style="37" customWidth="1"/>
    <col min="8" max="8" width="10.5703125" bestFit="1" customWidth="1"/>
    <col min="9" max="9" width="9" style="37" bestFit="1" customWidth="1"/>
    <col min="10" max="10" width="10.5703125" style="37" bestFit="1" customWidth="1"/>
    <col min="11" max="11" width="10.5703125" bestFit="1" customWidth="1"/>
    <col min="12" max="12" width="9" style="37" bestFit="1" customWidth="1"/>
    <col min="13" max="13" width="11.5703125" style="37" bestFit="1" customWidth="1"/>
    <col min="14" max="14" width="10.5703125" bestFit="1" customWidth="1"/>
    <col min="15" max="15" width="9" style="37" bestFit="1" customWidth="1"/>
    <col min="16" max="16" width="10.5703125" style="37" customWidth="1"/>
    <col min="17" max="17" width="11.5703125" bestFit="1" customWidth="1"/>
  </cols>
  <sheetData>
    <row r="2" spans="1:17" x14ac:dyDescent="0.25">
      <c r="E2" s="23">
        <f>VLOOKUP(E3,Expenses!$B$44:$K$49,9,FALSE)</f>
        <v>145.89526294862611</v>
      </c>
      <c r="F2" s="70"/>
      <c r="G2" s="70"/>
      <c r="H2" s="2">
        <f>VLOOKUP(H3,Expenses!$B$44:$K$49,9,FALSE)</f>
        <v>100.38936369908458</v>
      </c>
      <c r="I2" s="2"/>
      <c r="J2" s="2"/>
      <c r="K2" s="2">
        <f>VLOOKUP(K3,Expenses!$B$44:$K$49,9,FALSE)</f>
        <v>131.11013098332506</v>
      </c>
      <c r="L2" s="2"/>
      <c r="M2" s="2"/>
      <c r="N2" s="2">
        <f>VLOOKUP(N3,Expenses!$B$44:$K$49,9,FALSE)</f>
        <v>79.540603448275874</v>
      </c>
      <c r="O2" s="2"/>
      <c r="P2" s="70"/>
    </row>
    <row r="3" spans="1:17" x14ac:dyDescent="0.25">
      <c r="D3" s="73" t="s">
        <v>1300</v>
      </c>
      <c r="E3" s="74">
        <v>1</v>
      </c>
      <c r="F3" s="75">
        <v>1</v>
      </c>
      <c r="G3" s="75">
        <v>1</v>
      </c>
      <c r="H3" s="74">
        <v>2</v>
      </c>
      <c r="I3" s="75">
        <v>2</v>
      </c>
      <c r="J3" s="75">
        <v>2</v>
      </c>
      <c r="K3" s="74">
        <v>3</v>
      </c>
      <c r="L3" s="75">
        <v>3</v>
      </c>
      <c r="M3" s="75">
        <v>3</v>
      </c>
      <c r="N3" s="74">
        <v>4</v>
      </c>
      <c r="O3" s="75">
        <v>4</v>
      </c>
      <c r="P3" s="75">
        <v>4</v>
      </c>
      <c r="Q3" s="22" t="s">
        <v>1301</v>
      </c>
    </row>
    <row r="4" spans="1:17" x14ac:dyDescent="0.25">
      <c r="A4" s="37" t="str">
        <f>CONCATENATE(B4,C4)</f>
        <v>2019December</v>
      </c>
      <c r="B4" s="37">
        <v>2019</v>
      </c>
      <c r="C4" s="84" t="s">
        <v>346</v>
      </c>
      <c r="D4" s="85"/>
      <c r="E4" s="86">
        <f>SUMIFS(Wine1!$AB:$AB,Wine1!$AO:$AO,Purchases!$C4,Wine1!$AP:$AP,Purchases!$B4,Wine1!$AF:$AF,Purchases!$E$3)+SUMIFS(Drank!$W:$W,Drank!$AF:$AF,Purchases!$C4,Drank!$AG:$AG,Purchases!$B4,Drank!$AA:$AA,Purchases!E$3)</f>
        <v>498.82000000000011</v>
      </c>
      <c r="F4" s="87">
        <f>SUMIFS(Drank!$W:$W,Drank!$AF:$AF,Purchases!$C4,Drank!$AG:$AG,Purchases!$B4,Drank!$AA:$AA,Purchases!F$3)</f>
        <v>158.07</v>
      </c>
      <c r="G4" s="87">
        <f>SUM(E4:F4)</f>
        <v>656.8900000000001</v>
      </c>
      <c r="H4" s="86">
        <f>SUMIFS(Wine1!$AB:$AB,Wine1!$AO:$AO,Purchases!$C4,Wine1!$AP:$AP,Purchases!$B4,Wine1!$AF:$AF,Purchases!$H$3)</f>
        <v>487.83000000000021</v>
      </c>
      <c r="I4" s="87">
        <f>SUMIFS(Drank!$W:$W,Drank!$AF:$AF,Purchases!$C4,Drank!$AG:$AG,Purchases!$B4,Drank!$AA:$AA,Purchases!I$3)</f>
        <v>122.94999999999999</v>
      </c>
      <c r="J4" s="87">
        <f>SUM(H4:I4)</f>
        <v>610.7800000000002</v>
      </c>
      <c r="K4" s="86">
        <f>SUMIFS(Wine1!$AB:$AB,Wine1!$AO:$AO,Purchases!$C4,Wine1!$AP:$AP,Purchases!$B4,Wine1!$AF:$AF,Purchases!$K$3)</f>
        <v>505.94000000000005</v>
      </c>
      <c r="L4" s="87">
        <f>SUMIFS(Drank!$W:$W,Drank!$AF:$AF,Purchases!$C4,Drank!$AG:$AG,Purchases!$B4,Drank!$AA:$AA,Purchases!L$3)</f>
        <v>0</v>
      </c>
      <c r="M4" s="87">
        <f>SUM(K4:L4)</f>
        <v>505.94000000000005</v>
      </c>
      <c r="N4" s="86">
        <f>SUMIFS(Wine1!$AB:$AB,Wine1!$AO:$AO,Purchases!$C4,Wine1!$AP:$AP,Purchases!$B4,Wine1!$AF:$AF,Purchases!$N$3)</f>
        <v>0</v>
      </c>
      <c r="O4" s="87">
        <f>SUMIFS(Drank!$W:$W,Drank!$AF:$AF,Purchases!$C4,Drank!$AG:$AG,Purchases!$B4,Drank!$AA:$AA,Purchases!O$3)</f>
        <v>48</v>
      </c>
      <c r="P4" s="87">
        <f>SUM(N4:O4)</f>
        <v>48</v>
      </c>
      <c r="Q4" s="76">
        <f>SUM(G4,J4,M4,P4)</f>
        <v>1821.6100000000004</v>
      </c>
    </row>
    <row r="5" spans="1:17" x14ac:dyDescent="0.25">
      <c r="A5" s="37" t="str">
        <f t="shared" ref="A5:A16" si="0">CONCATENATE(B5,C5)</f>
        <v>2020January</v>
      </c>
      <c r="B5" s="80">
        <v>2020</v>
      </c>
      <c r="C5" s="80" t="s">
        <v>690</v>
      </c>
      <c r="D5" s="81"/>
      <c r="E5" s="82">
        <f>SUMIFS(Wine1!$AB:$AB,Wine1!$AO:$AO,Purchases!$C5,Wine1!$AP:$AP,Purchases!$B5,Wine1!$AF:$AF,Purchases!$E$3)+SUMIFS(Drank!$W:$W,Drank!$AF:$AF,Purchases!$C5,Drank!$AG:$AG,Purchases!$B5,Drank!$AA:$AA,Purchases!E$3)</f>
        <v>0</v>
      </c>
      <c r="F5" s="83">
        <f>SUMIFS(Drank!W:W,Drank!AF:AF,Purchases!C5,Drank!AG:AG,Purchases!B5)</f>
        <v>479.38000000000005</v>
      </c>
      <c r="G5" s="83">
        <f>SUM(E5:F5)</f>
        <v>479.38000000000005</v>
      </c>
      <c r="H5" s="82">
        <f>SUMIFS(Wine1!$AB:$AB,Wine1!$AO:$AO,Purchases!$C5,Wine1!$AP:$AP,Purchases!$B5,Wine1!$AF:$AF,Purchases!$H$3)</f>
        <v>234.94</v>
      </c>
      <c r="I5" s="83">
        <f>SUMIFS(Drank!$W:$W,Drank!$AF:$AF,Purchases!$C5,Drank!$AG:$AG,Purchases!$B5,Drank!$AA:$AA,Purchases!I$3)</f>
        <v>84.93</v>
      </c>
      <c r="J5" s="83">
        <f t="shared" ref="J5:J17" si="1">SUM(H5:I5)</f>
        <v>319.87</v>
      </c>
      <c r="K5" s="82">
        <f>SUMIFS(Wine1!$AB:$AB,Wine1!$AO:$AO,Purchases!$C5,Wine1!$AP:$AP,Purchases!$B5,Wine1!$AF:$AF,Purchases!$K$3)</f>
        <v>2231.6100000000006</v>
      </c>
      <c r="L5" s="83">
        <f>SUMIFS(Drank!$W:$W,Drank!$AF:$AF,Purchases!$C5,Drank!$AG:$AG,Purchases!$B5,Drank!$AA:$AA,Purchases!L$3)</f>
        <v>314.46000000000004</v>
      </c>
      <c r="M5" s="83">
        <f t="shared" ref="M5:M17" si="2">SUM(K5:L5)</f>
        <v>2546.0700000000006</v>
      </c>
      <c r="N5" s="82">
        <f>SUMIFS(Wine1!$AB:$AB,Wine1!$AO:$AO,Purchases!$C5,Wine1!$AP:$AP,Purchases!$B5,Wine1!$AF:$AF,Purchases!$N$3)</f>
        <v>683.84</v>
      </c>
      <c r="O5" s="83">
        <f>SUMIFS(Drank!$W:$W,Drank!$AF:$AF,Purchases!$C5,Drank!$AG:$AG,Purchases!$B5,Drank!$AA:$AA,Purchases!O$3)</f>
        <v>79.989999999999995</v>
      </c>
      <c r="P5" s="83">
        <f t="shared" ref="P5:P17" si="3">SUM(N5:O5)</f>
        <v>763.83</v>
      </c>
      <c r="Q5" s="76">
        <f>SUM(G5,J5,M5,P5)</f>
        <v>4109.1500000000005</v>
      </c>
    </row>
    <row r="6" spans="1:17" x14ac:dyDescent="0.25">
      <c r="A6" s="37" t="str">
        <f t="shared" si="0"/>
        <v>2020February</v>
      </c>
      <c r="B6" s="37">
        <v>2020</v>
      </c>
      <c r="C6" s="37" t="s">
        <v>691</v>
      </c>
      <c r="D6" s="77">
        <v>2500</v>
      </c>
      <c r="E6" s="23">
        <f>SUMIFS(Wine1!$AB:$AB,Wine1!$AO:$AO,Purchases!$C6,Wine1!$AP:$AP,Purchases!$B6,Wine1!$AF:$AF,Purchases!$E$3)+SUMIFS(Drank!$W:$W,Drank!$AF:$AF,Purchases!$C6,Drank!$AG:$AG,Purchases!$B6,Drank!$AA:$AA,Purchases!E$3)</f>
        <v>578.62000000000012</v>
      </c>
      <c r="F6" s="70">
        <f>SUMIFS(Drank!W:W,Drank!AF:AF,Purchases!C6,Drank!AG:AG,Purchases!B6)</f>
        <v>722.23000000000025</v>
      </c>
      <c r="G6" s="70">
        <f>SUM(E6:F6)</f>
        <v>1300.8500000000004</v>
      </c>
      <c r="H6" s="23">
        <f>SUMIFS(Wine1!$AB:$AB,Wine1!$AO:$AO,Purchases!$C6,Wine1!$AP:$AP,Purchases!$B6,Wine1!$AF:$AF,Purchases!$H$3)</f>
        <v>327.47999999999996</v>
      </c>
      <c r="I6" s="70">
        <f>SUMIFS(Drank!$W:$W,Drank!$AF:$AF,Purchases!$C6,Drank!$AG:$AG,Purchases!$B6,Drank!$AA:$AA,Purchases!I$3)</f>
        <v>150.72</v>
      </c>
      <c r="J6" s="70">
        <f t="shared" si="1"/>
        <v>478.19999999999993</v>
      </c>
      <c r="K6" s="23">
        <f>SUMIFS(Wine1!$AB:$AB,Wine1!$AO:$AO,Purchases!$C6,Wine1!$AP:$AP,Purchases!$B6,Wine1!$AF:$AF,Purchases!$K$3)</f>
        <v>948.64</v>
      </c>
      <c r="L6" s="70">
        <f>SUMIFS(Drank!$W:$W,Drank!$AF:$AF,Purchases!$C6,Drank!$AG:$AG,Purchases!$B6,Drank!$AA:$AA,Purchases!L$3)</f>
        <v>167.36</v>
      </c>
      <c r="M6" s="70">
        <f t="shared" si="2"/>
        <v>1116</v>
      </c>
      <c r="N6" s="23">
        <f>SUMIFS(Wine1!$AB:$AB,Wine1!$AO:$AO,Purchases!$C6,Wine1!$AP:$AP,Purchases!$B6,Wine1!$AF:$AF,Purchases!$N$3)</f>
        <v>172.64</v>
      </c>
      <c r="O6" s="70">
        <f>SUMIFS(Drank!$W:$W,Drank!$AF:$AF,Purchases!$C6,Drank!$AG:$AG,Purchases!$B6,Drank!$AA:$AA,Purchases!O$3)</f>
        <v>0</v>
      </c>
      <c r="P6" s="70">
        <f t="shared" si="3"/>
        <v>172.64</v>
      </c>
      <c r="Q6" s="76">
        <f>SUM(G6,J6,M6,P6)</f>
        <v>3067.69</v>
      </c>
    </row>
    <row r="7" spans="1:17" x14ac:dyDescent="0.25">
      <c r="A7" s="37" t="str">
        <f t="shared" si="0"/>
        <v>2020March</v>
      </c>
      <c r="B7" s="37">
        <v>2020</v>
      </c>
      <c r="C7" s="37" t="s">
        <v>685</v>
      </c>
      <c r="D7" s="77">
        <v>1000</v>
      </c>
      <c r="E7" s="23">
        <f>SUMIFS(Wine1!$AB:$AB,Wine1!$AO:$AO,Purchases!$C7,Wine1!$AP:$AP,Purchases!$B7,Wine1!$AF:$AF,Purchases!$E$3)+SUMIFS(Drank!$W:$W,Drank!$AF:$AF,Purchases!$C7,Drank!$AG:$AG,Purchases!$B7,Drank!$AA:$AA,Purchases!E$3)</f>
        <v>15.29</v>
      </c>
      <c r="F7" s="70">
        <f>SUMIFS(Drank!W:W,Drank!AF:AF,Purchases!C7,Drank!AG:AG,Purchases!B7)</f>
        <v>53.08</v>
      </c>
      <c r="G7" s="70">
        <f t="shared" ref="G7:G17" si="4">SUM(E7:F7)</f>
        <v>68.37</v>
      </c>
      <c r="H7" s="23">
        <f>SUMIFS(Wine1!$AB:$AB,Wine1!$AO:$AO,Purchases!$C7,Wine1!$AP:$AP,Purchases!$B7,Wine1!$AF:$AF,Purchases!$H$3)</f>
        <v>0</v>
      </c>
      <c r="I7" s="70">
        <f>SUMIFS(Drank!$W:$W,Drank!$AF:$AF,Purchases!$C7,Drank!$AG:$AG,Purchases!$B7,Drank!$AA:$AA,Purchases!I$3)</f>
        <v>0</v>
      </c>
      <c r="J7" s="70">
        <f t="shared" si="1"/>
        <v>0</v>
      </c>
      <c r="K7" s="23">
        <f>SUMIFS(Wine1!$AB:$AB,Wine1!$AO:$AO,Purchases!$C7,Wine1!$AP:$AP,Purchases!$B7,Wine1!$AF:$AF,Purchases!$K$3)</f>
        <v>126.72</v>
      </c>
      <c r="L7" s="70">
        <f>SUMIFS(Drank!$W:$W,Drank!$AF:$AF,Purchases!$C7,Drank!$AG:$AG,Purchases!$B7,Drank!$AA:$AA,Purchases!L$3)</f>
        <v>37.79</v>
      </c>
      <c r="M7" s="70">
        <f t="shared" si="2"/>
        <v>164.51</v>
      </c>
      <c r="N7" s="23">
        <f>SUMIFS(Wine1!$AB:$AB,Wine1!$AO:$AO,Purchases!$C7,Wine1!$AP:$AP,Purchases!$B7,Wine1!$AF:$AF,Purchases!$N$3)</f>
        <v>0</v>
      </c>
      <c r="O7" s="70">
        <f>SUMIFS(Drank!$W:$W,Drank!$AF:$AF,Purchases!$C7,Drank!$AG:$AG,Purchases!$B7,Drank!$AA:$AA,Purchases!O$3)</f>
        <v>0</v>
      </c>
      <c r="P7" s="70">
        <f t="shared" si="3"/>
        <v>0</v>
      </c>
      <c r="Q7" s="76">
        <f>SUM(G7,J7,M7,P7)</f>
        <v>232.88</v>
      </c>
    </row>
    <row r="8" spans="1:17" x14ac:dyDescent="0.25">
      <c r="A8" s="37" t="str">
        <f t="shared" si="0"/>
        <v>2020April</v>
      </c>
      <c r="B8" s="37">
        <v>2020</v>
      </c>
      <c r="C8" s="37" t="s">
        <v>338</v>
      </c>
      <c r="D8" s="77">
        <v>1500</v>
      </c>
      <c r="E8" s="23">
        <f>SUMIFS(Wine1!$AB:$AB,Wine1!$AO:$AO,Purchases!$C8,Wine1!$AP:$AP,Purchases!$B8,Wine1!$AF:$AF,Purchases!$E$3)+SUMIFS(Drank!$W:$W,Drank!$AF:$AF,Purchases!$C8,Drank!$AG:$AG,Purchases!$B8,Drank!$AA:$AA,Purchases!E$3)</f>
        <v>150.08999999999997</v>
      </c>
      <c r="F8" s="70">
        <f>SUMIFS(Drank!W:W,Drank!AF:AF,Purchases!C8,Drank!AG:AG,Purchases!B8)</f>
        <v>485.52000000000015</v>
      </c>
      <c r="G8" s="70">
        <f t="shared" si="4"/>
        <v>635.61000000000013</v>
      </c>
      <c r="H8" s="23">
        <f>SUMIFS(Wine1!$AB:$AB,Wine1!$AO:$AO,Purchases!$C8,Wine1!$AP:$AP,Purchases!$B8,Wine1!$AF:$AF,Purchases!$H$3)</f>
        <v>466.30000000000013</v>
      </c>
      <c r="I8" s="70">
        <f>SUMIFS(Drank!$W:$W,Drank!$AF:$AF,Purchases!$C8,Drank!$AG:$AG,Purchases!$B8,Drank!$AA:$AA,Purchases!I$3)</f>
        <v>186.29999999999998</v>
      </c>
      <c r="J8" s="70">
        <f t="shared" si="1"/>
        <v>652.60000000000014</v>
      </c>
      <c r="K8" s="23">
        <f>SUMIFS(Wine1!$AB:$AB,Wine1!$AO:$AO,Purchases!$C8,Wine1!$AP:$AP,Purchases!$B8,Wine1!$AF:$AF,Purchases!$K$3)</f>
        <v>765.77000000000021</v>
      </c>
      <c r="L8" s="70">
        <f>SUMIFS(Drank!$W:$W,Drank!$AF:$AF,Purchases!$C8,Drank!$AG:$AG,Purchases!$B8,Drank!$AA:$AA,Purchases!L$3)</f>
        <v>199.30999999999997</v>
      </c>
      <c r="M8" s="70">
        <f t="shared" si="2"/>
        <v>965.08000000000015</v>
      </c>
      <c r="N8" s="23">
        <f>SUMIFS(Wine1!$AB:$AB,Wine1!$AO:$AO,Purchases!$C8,Wine1!$AP:$AP,Purchases!$B8,Wine1!$AF:$AF,Purchases!$N$3)</f>
        <v>402</v>
      </c>
      <c r="O8" s="70">
        <f>SUMIFS(Drank!$W:$W,Drank!$AF:$AF,Purchases!$C8,Drank!$AG:$AG,Purchases!$B8,Drank!$AA:$AA,Purchases!O$3)</f>
        <v>0</v>
      </c>
      <c r="P8" s="70">
        <f t="shared" si="3"/>
        <v>402</v>
      </c>
      <c r="Q8" s="76">
        <f>SUM(G8,J8,M8,P8)</f>
        <v>2655.2900000000004</v>
      </c>
    </row>
    <row r="9" spans="1:17" x14ac:dyDescent="0.25">
      <c r="A9" s="37" t="str">
        <f t="shared" si="0"/>
        <v>2020May</v>
      </c>
      <c r="B9" s="37">
        <v>2020</v>
      </c>
      <c r="C9" s="37" t="s">
        <v>339</v>
      </c>
      <c r="D9" s="77">
        <v>1500</v>
      </c>
      <c r="E9" s="23">
        <f>SUMIFS(Wine1!$AB:$AB,Wine1!$AO:$AO,Purchases!$C9,Wine1!$AP:$AP,Purchases!$B9,Wine1!$AF:$AF,Purchases!$E$3)+SUMIFS(Drank!$W:$W,Drank!$AF:$AF,Purchases!$C9,Drank!$AG:$AG,Purchases!$B9,Drank!$AA:$AA,Purchases!E$3)</f>
        <v>261.93</v>
      </c>
      <c r="F9" s="70">
        <f>SUMIFS(Drank!W:W,Drank!AF:AF,Purchases!C9,Drank!AG:AG,Purchases!B9)</f>
        <v>543.72</v>
      </c>
      <c r="G9" s="70">
        <f t="shared" si="4"/>
        <v>805.65000000000009</v>
      </c>
      <c r="H9" s="23">
        <f>SUMIFS(Wine1!$AB:$AB,Wine1!$AO:$AO,Purchases!$C9,Wine1!$AP:$AP,Purchases!$B9,Wine1!$AF:$AF,Purchases!$H$3)</f>
        <v>307.60000000000002</v>
      </c>
      <c r="I9" s="70">
        <f>SUMIFS(Drank!$W:$W,Drank!$AF:$AF,Purchases!$C9,Drank!$AG:$AG,Purchases!$B9,Drank!$AA:$AA,Purchases!I$3)</f>
        <v>192.48000000000002</v>
      </c>
      <c r="J9" s="70">
        <f t="shared" si="1"/>
        <v>500.08000000000004</v>
      </c>
      <c r="K9" s="23">
        <f>SUMIFS(Wine1!$AB:$AB,Wine1!$AO:$AO,Purchases!$C9,Wine1!$AP:$AP,Purchases!$B9,Wine1!$AF:$AF,Purchases!$K$3)</f>
        <v>1105.2799999999997</v>
      </c>
      <c r="L9" s="70">
        <f>SUMIFS(Drank!$W:$W,Drank!$AF:$AF,Purchases!$C9,Drank!$AG:$AG,Purchases!$B9,Drank!$AA:$AA,Purchases!L$3)</f>
        <v>147.31</v>
      </c>
      <c r="M9" s="70">
        <f t="shared" si="2"/>
        <v>1252.5899999999997</v>
      </c>
      <c r="N9" s="23">
        <f>SUMIFS(Wine1!$AB:$AB,Wine1!$AO:$AO,Purchases!$C9,Wine1!$AP:$AP,Purchases!$B9,Wine1!$AF:$AF,Purchases!$N$3)</f>
        <v>170.5</v>
      </c>
      <c r="O9" s="70">
        <f>SUMIFS(Drank!$W:$W,Drank!$AF:$AF,Purchases!$C9,Drank!$AG:$AG,Purchases!$B9,Drank!$AA:$AA,Purchases!O$3)</f>
        <v>65.16</v>
      </c>
      <c r="P9" s="70">
        <f t="shared" si="3"/>
        <v>235.66</v>
      </c>
      <c r="Q9" s="76">
        <f t="shared" ref="Q9:Q17" si="5">SUM(G9,J9,M9,P9)</f>
        <v>2793.9799999999996</v>
      </c>
    </row>
    <row r="10" spans="1:17" x14ac:dyDescent="0.25">
      <c r="A10" s="37" t="str">
        <f t="shared" si="0"/>
        <v>2020June</v>
      </c>
      <c r="B10" s="37">
        <v>2020</v>
      </c>
      <c r="C10" s="37" t="s">
        <v>340</v>
      </c>
      <c r="D10" s="77">
        <v>1000</v>
      </c>
      <c r="E10" s="23">
        <f>SUMIFS(Wine1!$AB:$AB,Wine1!$AO:$AO,Purchases!$C10,Wine1!$AP:$AP,Purchases!$B10,Wine1!$AF:$AF,Purchases!$E$3)+SUMIFS(Drank!$W:$W,Drank!$AF:$AF,Purchases!$C10,Drank!$AG:$AG,Purchases!$B10,Drank!$AA:$AA,Purchases!E$3)</f>
        <v>846.64000000000033</v>
      </c>
      <c r="F10" s="70">
        <f>SUMIFS(Drank!W:W,Drank!AF:AF,Purchases!C10,Drank!AG:AG,Purchases!B10)</f>
        <v>257.29000000000002</v>
      </c>
      <c r="G10" s="70">
        <f t="shared" si="4"/>
        <v>1103.9300000000003</v>
      </c>
      <c r="H10" s="23">
        <f>SUMIFS(Wine1!$AB:$AB,Wine1!$AO:$AO,Purchases!$C10,Wine1!$AP:$AP,Purchases!$B10,Wine1!$AF:$AF,Purchases!$H$3)</f>
        <v>65.16</v>
      </c>
      <c r="I10" s="70">
        <f>SUMIFS(Drank!$W:$W,Drank!$AF:$AF,Purchases!$C10,Drank!$AG:$AG,Purchases!$B10,Drank!$AA:$AA,Purchases!I$3)</f>
        <v>21.72</v>
      </c>
      <c r="J10" s="70">
        <f t="shared" si="1"/>
        <v>86.88</v>
      </c>
      <c r="K10" s="23">
        <f>SUMIFS(Wine1!$AB:$AB,Wine1!$AO:$AO,Purchases!$C10,Wine1!$AP:$AP,Purchases!$B10,Wine1!$AF:$AF,Purchases!$K$3)</f>
        <v>347.5</v>
      </c>
      <c r="L10" s="70">
        <f>SUMIFS(Drank!$W:$W,Drank!$AF:$AF,Purchases!$C10,Drank!$AG:$AG,Purchases!$B10,Drank!$AA:$AA,Purchases!L$3)</f>
        <v>69.5</v>
      </c>
      <c r="M10" s="70">
        <f t="shared" si="2"/>
        <v>417</v>
      </c>
      <c r="N10" s="23">
        <f>SUMIFS(Wine1!$AB:$AB,Wine1!$AO:$AO,Purchases!$C10,Wine1!$AP:$AP,Purchases!$B10,Wine1!$AF:$AF,Purchases!$N$3)</f>
        <v>0</v>
      </c>
      <c r="O10" s="70">
        <f>SUMIFS(Drank!$W:$W,Drank!$AF:$AF,Purchases!$C10,Drank!$AG:$AG,Purchases!$B10,Drank!$AA:$AA,Purchases!O$3)</f>
        <v>0</v>
      </c>
      <c r="P10" s="70">
        <f t="shared" si="3"/>
        <v>0</v>
      </c>
      <c r="Q10" s="76">
        <f t="shared" si="5"/>
        <v>1607.8100000000004</v>
      </c>
    </row>
    <row r="11" spans="1:17" x14ac:dyDescent="0.25">
      <c r="A11" s="37" t="str">
        <f t="shared" si="0"/>
        <v>2020July</v>
      </c>
      <c r="B11" s="37">
        <v>2020</v>
      </c>
      <c r="C11" s="37" t="s">
        <v>341</v>
      </c>
      <c r="D11" s="77">
        <v>1000</v>
      </c>
      <c r="E11" s="23">
        <f>SUMIFS(Wine1!$AB:$AB,Wine1!$AO:$AO,Purchases!$C11,Wine1!$AP:$AP,Purchases!$B11,Wine1!$AF:$AF,Purchases!$E$3)+SUMIFS(Drank!$W:$W,Drank!$AF:$AF,Purchases!$C11,Drank!$AG:$AG,Purchases!$B11,Drank!$AA:$AA,Purchases!E$3)</f>
        <v>80.819999999999993</v>
      </c>
      <c r="F11" s="70">
        <f>SUMIFS(Drank!W:W,Drank!AF:AF,Purchases!C11,Drank!AG:AG,Purchases!B11)</f>
        <v>468.5</v>
      </c>
      <c r="G11" s="70">
        <f t="shared" ref="G11:G16" si="6">SUM(E11:F11)</f>
        <v>549.31999999999994</v>
      </c>
      <c r="H11" s="23">
        <f>SUMIFS(Wine1!$AB:$AB,Wine1!$AO:$AO,Purchases!$C11,Wine1!$AP:$AP,Purchases!$B11,Wine1!$AF:$AF,Purchases!$H$3)</f>
        <v>673.26</v>
      </c>
      <c r="I11" s="70">
        <f>SUMIFS(Drank!$W:$W,Drank!$AF:$AF,Purchases!$C11,Drank!$AG:$AG,Purchases!$B11,Drank!$AA:$AA,Purchases!I$3)</f>
        <v>231.72000000000003</v>
      </c>
      <c r="J11" s="70">
        <f t="shared" ref="J11:J16" si="7">SUM(H11:I11)</f>
        <v>904.98</v>
      </c>
      <c r="K11" s="23">
        <f>SUMIFS(Wine1!$AB:$AB,Wine1!$AO:$AO,Purchases!$C11,Wine1!$AP:$AP,Purchases!$B11,Wine1!$AF:$AF,Purchases!$K$3)</f>
        <v>1319.6499999999999</v>
      </c>
      <c r="L11" s="70">
        <f>SUMIFS(Drank!$W:$W,Drank!$AF:$AF,Purchases!$C11,Drank!$AG:$AG,Purchases!$B11,Drank!$AA:$AA,Purchases!L$3)</f>
        <v>188.18</v>
      </c>
      <c r="M11" s="70">
        <f t="shared" ref="M11:M16" si="8">SUM(K11:L11)</f>
        <v>1507.83</v>
      </c>
      <c r="N11" s="23">
        <f>SUMIFS(Wine1!$AB:$AB,Wine1!$AO:$AO,Purchases!$C11,Wine1!$AP:$AP,Purchases!$B11,Wine1!$AF:$AF,Purchases!$N$3)</f>
        <v>708.84</v>
      </c>
      <c r="O11" s="70">
        <f>SUMIFS(Drank!$W:$W,Drank!$AF:$AF,Purchases!$C11,Drank!$AG:$AG,Purchases!$B11,Drank!$AA:$AA,Purchases!O$3)</f>
        <v>0</v>
      </c>
      <c r="P11" s="70">
        <f>SUM(N11:O11)</f>
        <v>708.84</v>
      </c>
      <c r="Q11" s="76">
        <f>SUM(G11,J11,M11,P11)</f>
        <v>3670.9700000000003</v>
      </c>
    </row>
    <row r="12" spans="1:17" s="37" customFormat="1" x14ac:dyDescent="0.25">
      <c r="A12" s="37" t="str">
        <f t="shared" si="0"/>
        <v>2020August</v>
      </c>
      <c r="B12" s="37">
        <v>2020</v>
      </c>
      <c r="C12" s="37" t="s">
        <v>342</v>
      </c>
      <c r="D12" s="77">
        <v>2000</v>
      </c>
      <c r="E12" s="23">
        <f>SUMIFS(Wine1!$AB:$AB,Wine1!$AO:$AO,Purchases!$C12,Wine1!$AP:$AP,Purchases!$B12,Wine1!$AF:$AF,Purchases!$E$3)+SUMIFS(Drank!$W:$W,Drank!$AF:$AF,Purchases!$C12,Drank!$AG:$AG,Purchases!$B12,Drank!$AA:$AA,Purchases!E$3)</f>
        <v>677.02682554372973</v>
      </c>
      <c r="F12" s="70">
        <f>SUMIFS(Drank!W:W,Drank!AF:AF,Purchases!C12,Drank!AG:AG,Purchases!B12)</f>
        <v>840.13435957486183</v>
      </c>
      <c r="G12" s="70">
        <f t="shared" si="6"/>
        <v>1517.1611851185917</v>
      </c>
      <c r="H12" s="23">
        <f>SUMIFS(Wine1!$AB:$AB,Wine1!$AO:$AO,Purchases!$C12,Wine1!$AP:$AP,Purchases!$B12,Wine1!$AF:$AF,Purchases!$H$3)</f>
        <v>1748.9385943039799</v>
      </c>
      <c r="I12" s="70">
        <f>SUMIFS(Drank!$W:$W,Drank!$AF:$AF,Purchases!$C12,Drank!$AG:$AG,Purchases!$B12,Drank!$AA:$AA,Purchases!I$3)</f>
        <v>234.70679385253138</v>
      </c>
      <c r="J12" s="70">
        <f t="shared" si="7"/>
        <v>1983.6453881565112</v>
      </c>
      <c r="K12" s="23">
        <f>SUMIFS(Wine1!$AB:$AB,Wine1!$AO:$AO,Purchases!$C12,Wine1!$AP:$AP,Purchases!$B12,Wine1!$AF:$AF,Purchases!$K$3)</f>
        <v>10369.529478509328</v>
      </c>
      <c r="L12" s="70">
        <f>SUMIFS(Drank!$W:$W,Drank!$AF:$AF,Purchases!$C12,Drank!$AG:$AG,Purchases!$B12,Drank!$AA:$AA,Purchases!L$3)</f>
        <v>484.74756572233036</v>
      </c>
      <c r="M12" s="70">
        <f t="shared" si="8"/>
        <v>10854.277044231658</v>
      </c>
      <c r="N12" s="23">
        <f>SUMIFS(Wine1!$AB:$AB,Wine1!$AO:$AO,Purchases!$C12,Wine1!$AP:$AP,Purchases!$B12,Wine1!$AF:$AF,Purchases!$N$3)</f>
        <v>6792.82</v>
      </c>
      <c r="O12" s="70">
        <f>SUMIFS(Drank!$W:$W,Drank!$AF:$AF,Purchases!$C12,Drank!$AG:$AG,Purchases!$B12,Drank!$AA:$AA,Purchases!O$3)</f>
        <v>66.260000000000005</v>
      </c>
      <c r="P12" s="70">
        <f t="shared" si="3"/>
        <v>6859.08</v>
      </c>
      <c r="Q12" s="76">
        <f t="shared" si="5"/>
        <v>21214.163617506762</v>
      </c>
    </row>
    <row r="13" spans="1:17" s="37" customFormat="1" x14ac:dyDescent="0.25">
      <c r="A13" s="37" t="str">
        <f t="shared" si="0"/>
        <v>2020September</v>
      </c>
      <c r="B13" s="37">
        <v>2020</v>
      </c>
      <c r="C13" s="37" t="s">
        <v>343</v>
      </c>
      <c r="D13" s="77">
        <v>500</v>
      </c>
      <c r="E13" s="23">
        <f>SUMIFS(Wine1!$AB:$AB,Wine1!$AO:$AO,Purchases!$C13,Wine1!$AP:$AP,Purchases!$B13,Wine1!$AF:$AF,Purchases!$E$3)+SUMIFS(Drank!$W:$W,Drank!$AF:$AF,Purchases!$C13,Drank!$AG:$AG,Purchases!$B13,Drank!$AA:$AA,Purchases!E$3)</f>
        <v>364.68000000000018</v>
      </c>
      <c r="F13" s="70">
        <f>SUMIFS(Drank!W:W,Drank!AF:AF,Purchases!C13,Drank!AG:AG,Purchases!B13)</f>
        <v>0</v>
      </c>
      <c r="G13" s="70">
        <f t="shared" si="6"/>
        <v>364.68000000000018</v>
      </c>
      <c r="H13" s="23">
        <f>SUMIFS(Wine1!$AB:$AB,Wine1!$AO:$AO,Purchases!$C13,Wine1!$AP:$AP,Purchases!$B13,Wine1!$AF:$AF,Purchases!$H$3)</f>
        <v>379.59027399999991</v>
      </c>
      <c r="I13" s="70">
        <f>SUMIFS(Drank!$W:$W,Drank!$AF:$AF,Purchases!$C13,Drank!$AG:$AG,Purchases!$B13,Drank!$AA:$AA,Purchases!I$3)</f>
        <v>0</v>
      </c>
      <c r="J13" s="70">
        <f t="shared" si="7"/>
        <v>379.59027399999991</v>
      </c>
      <c r="K13" s="23">
        <f>SUMIFS(Wine1!$AB:$AB,Wine1!$AO:$AO,Purchases!$C13,Wine1!$AP:$AP,Purchases!$B13,Wine1!$AF:$AF,Purchases!$K$3)</f>
        <v>1785.886273999999</v>
      </c>
      <c r="L13" s="70">
        <f>SUMIFS(Drank!$W:$W,Drank!$AF:$AF,Purchases!$C13,Drank!$AG:$AG,Purchases!$B13,Drank!$AA:$AA,Purchases!L$3)</f>
        <v>0</v>
      </c>
      <c r="M13" s="70">
        <f t="shared" si="8"/>
        <v>1785.886273999999</v>
      </c>
      <c r="N13" s="23">
        <f>SUMIFS(Wine1!$AB:$AB,Wine1!$AO:$AO,Purchases!$C13,Wine1!$AP:$AP,Purchases!$B13,Wine1!$AF:$AF,Purchases!$N$3)</f>
        <v>770.22</v>
      </c>
      <c r="O13" s="70">
        <f>SUMIFS(Drank!$W:$W,Drank!$AF:$AF,Purchases!$C13,Drank!$AG:$AG,Purchases!$B13,Drank!$AA:$AA,Purchases!O$3)</f>
        <v>0</v>
      </c>
      <c r="P13" s="70">
        <f>SUM(N13:O13)</f>
        <v>770.22</v>
      </c>
      <c r="Q13" s="76">
        <f>SUM(G13,J13,M13,P13)</f>
        <v>3300.3765479999993</v>
      </c>
    </row>
    <row r="14" spans="1:17" s="37" customFormat="1" x14ac:dyDescent="0.25">
      <c r="A14" s="37" t="str">
        <f t="shared" si="0"/>
        <v>2020October</v>
      </c>
      <c r="B14" s="37">
        <v>2020</v>
      </c>
      <c r="C14" s="37" t="s">
        <v>344</v>
      </c>
      <c r="D14" s="77">
        <v>500</v>
      </c>
      <c r="E14" s="23">
        <f>SUMIFS(Wine1!$AB:$AB,Wine1!$AO:$AO,Purchases!$C14,Wine1!$AP:$AP,Purchases!$B14,Wine1!$AF:$AF,Purchases!$E$3)+SUMIFS(Drank!$W:$W,Drank!$AF:$AF,Purchases!$C14,Drank!$AG:$AG,Purchases!$B14,Drank!$AA:$AA,Purchases!E$3)</f>
        <v>0</v>
      </c>
      <c r="F14" s="70">
        <f>SUMIFS(Drank!W:W,Drank!AF:AF,Purchases!C14,Drank!AG:AG,Purchases!B14)</f>
        <v>0</v>
      </c>
      <c r="G14" s="70">
        <f t="shared" si="6"/>
        <v>0</v>
      </c>
      <c r="H14" s="23">
        <f>SUMIFS(Wine1!$AB:$AB,Wine1!$AO:$AO,Purchases!$C14,Wine1!$AP:$AP,Purchases!$B14,Wine1!$AF:$AF,Purchases!$H$3)</f>
        <v>0</v>
      </c>
      <c r="I14" s="70">
        <f>SUMIFS(Drank!$W:$W,Drank!$AF:$AF,Purchases!$C14,Drank!$AG:$AG,Purchases!$B14,Drank!$AA:$AA,Purchases!I$3)</f>
        <v>0</v>
      </c>
      <c r="J14" s="70">
        <f t="shared" si="7"/>
        <v>0</v>
      </c>
      <c r="K14" s="23">
        <f>SUMIFS(Wine1!$AB:$AB,Wine1!$AO:$AO,Purchases!$C14,Wine1!$AP:$AP,Purchases!$B14,Wine1!$AF:$AF,Purchases!$K$3)</f>
        <v>0</v>
      </c>
      <c r="L14" s="70">
        <f>SUMIFS(Drank!$W:$W,Drank!$AF:$AF,Purchases!$C14,Drank!$AG:$AG,Purchases!$B14,Drank!$AA:$AA,Purchases!L$3)</f>
        <v>0</v>
      </c>
      <c r="M14" s="70">
        <f t="shared" si="8"/>
        <v>0</v>
      </c>
      <c r="N14" s="23">
        <f>SUMIFS(Wine1!$AB:$AB,Wine1!$AO:$AO,Purchases!$C14,Wine1!$AP:$AP,Purchases!$B14,Wine1!$AF:$AF,Purchases!$N$3)</f>
        <v>0</v>
      </c>
      <c r="O14" s="70">
        <f>SUMIFS(Drank!$W:$W,Drank!$AF:$AF,Purchases!$C14,Drank!$AG:$AG,Purchases!$B14,Drank!$AA:$AA,Purchases!O$3)</f>
        <v>0</v>
      </c>
      <c r="P14" s="70">
        <f>SUM(N14:O14)</f>
        <v>0</v>
      </c>
      <c r="Q14" s="76">
        <f>SUM(G14,J14,M14,P14)</f>
        <v>0</v>
      </c>
    </row>
    <row r="15" spans="1:17" s="37" customFormat="1" x14ac:dyDescent="0.25">
      <c r="A15" s="37" t="str">
        <f t="shared" si="0"/>
        <v>2020November</v>
      </c>
      <c r="B15" s="37">
        <v>2020</v>
      </c>
      <c r="C15" s="37" t="s">
        <v>345</v>
      </c>
      <c r="D15" s="77">
        <v>500</v>
      </c>
      <c r="E15" s="23">
        <f>SUMIFS(Wine1!$AB:$AB,Wine1!$AO:$AO,Purchases!$C15,Wine1!$AP:$AP,Purchases!$B15,Wine1!$AF:$AF,Purchases!$E$3)+SUMIFS(Drank!$W:$W,Drank!$AF:$AF,Purchases!$C15,Drank!$AG:$AG,Purchases!$B15,Drank!$AA:$AA,Purchases!E$3)</f>
        <v>0</v>
      </c>
      <c r="F15" s="70">
        <f>SUMIFS(Drank!W:W,Drank!AF:AF,Purchases!C15,Drank!AG:AG,Purchases!B15)</f>
        <v>0</v>
      </c>
      <c r="G15" s="70">
        <f t="shared" si="6"/>
        <v>0</v>
      </c>
      <c r="H15" s="23">
        <f>SUMIFS(Wine1!$AB:$AB,Wine1!$AO:$AO,Purchases!$C15,Wine1!$AP:$AP,Purchases!$B15,Wine1!$AF:$AF,Purchases!$H$3)</f>
        <v>0</v>
      </c>
      <c r="I15" s="70">
        <f>SUMIFS(Drank!$W:$W,Drank!$AF:$AF,Purchases!$C15,Drank!$AG:$AG,Purchases!$B15,Drank!$AA:$AA,Purchases!I$3)</f>
        <v>0</v>
      </c>
      <c r="J15" s="70">
        <f t="shared" si="7"/>
        <v>0</v>
      </c>
      <c r="K15" s="23">
        <f>SUMIFS(Wine1!$AB:$AB,Wine1!$AO:$AO,Purchases!$C15,Wine1!$AP:$AP,Purchases!$B15,Wine1!$AF:$AF,Purchases!$K$3)</f>
        <v>0</v>
      </c>
      <c r="L15" s="70">
        <f>SUMIFS(Drank!$W:$W,Drank!$AF:$AF,Purchases!$C15,Drank!$AG:$AG,Purchases!$B15,Drank!$AA:$AA,Purchases!L$3)</f>
        <v>0</v>
      </c>
      <c r="M15" s="70">
        <f t="shared" si="8"/>
        <v>0</v>
      </c>
      <c r="N15" s="23">
        <f>SUMIFS(Wine1!$AB:$AB,Wine1!$AO:$AO,Purchases!$C15,Wine1!$AP:$AP,Purchases!$B15,Wine1!$AF:$AF,Purchases!$N$3)</f>
        <v>0</v>
      </c>
      <c r="O15" s="70">
        <f>SUMIFS(Drank!$W:$W,Drank!$AF:$AF,Purchases!$C15,Drank!$AG:$AG,Purchases!$B15,Drank!$AA:$AA,Purchases!O$3)</f>
        <v>0</v>
      </c>
      <c r="P15" s="70">
        <f>SUM(N15:O15)</f>
        <v>0</v>
      </c>
      <c r="Q15" s="76">
        <f>SUM(G15,J15,M15,P15)</f>
        <v>0</v>
      </c>
    </row>
    <row r="16" spans="1:17" s="37" customFormat="1" x14ac:dyDescent="0.25">
      <c r="A16" s="37" t="str">
        <f t="shared" si="0"/>
        <v>2020December</v>
      </c>
      <c r="B16" s="37">
        <v>2020</v>
      </c>
      <c r="C16" s="37" t="s">
        <v>346</v>
      </c>
      <c r="D16" s="77">
        <v>500</v>
      </c>
      <c r="E16" s="23">
        <f>SUMIFS(Wine1!$AB:$AB,Wine1!$AO:$AO,Purchases!$C16,Wine1!$AP:$AP,Purchases!$B16,Wine1!$AF:$AF,Purchases!$E$3)+SUMIFS(Drank!$W:$W,Drank!$AF:$AF,Purchases!$C16,Drank!$AG:$AG,Purchases!$B16,Drank!$AA:$AA,Purchases!E$3)</f>
        <v>0</v>
      </c>
      <c r="F16" s="70">
        <f>SUMIFS(Drank!W:W,Drank!AF:AF,Purchases!C16,Drank!AG:AG,Purchases!B16)</f>
        <v>0</v>
      </c>
      <c r="G16" s="70">
        <f t="shared" si="6"/>
        <v>0</v>
      </c>
      <c r="H16" s="23">
        <f>SUMIFS(Wine1!$AB:$AB,Wine1!$AO:$AO,Purchases!$C16,Wine1!$AP:$AP,Purchases!$B16,Wine1!$AF:$AF,Purchases!$H$3)</f>
        <v>0</v>
      </c>
      <c r="I16" s="70">
        <f>SUMIFS(Drank!$W:$W,Drank!$AF:$AF,Purchases!$C16,Drank!$AG:$AG,Purchases!$B16,Drank!$AA:$AA,Purchases!I$3)</f>
        <v>0</v>
      </c>
      <c r="J16" s="70">
        <f t="shared" si="7"/>
        <v>0</v>
      </c>
      <c r="K16" s="23">
        <f>SUMIFS(Wine1!$AB:$AB,Wine1!$AO:$AO,Purchases!$C16,Wine1!$AP:$AP,Purchases!$B16,Wine1!$AF:$AF,Purchases!$K$3)</f>
        <v>0</v>
      </c>
      <c r="L16" s="70">
        <f>SUMIFS(Drank!$W:$W,Drank!$AF:$AF,Purchases!$C16,Drank!$AG:$AG,Purchases!$B16,Drank!$AA:$AA,Purchases!L$3)</f>
        <v>0</v>
      </c>
      <c r="M16" s="70">
        <f t="shared" si="8"/>
        <v>0</v>
      </c>
      <c r="N16" s="23">
        <f>SUMIFS(Wine1!$AB:$AB,Wine1!$AO:$AO,Purchases!$C16,Wine1!$AP:$AP,Purchases!$B16,Wine1!$AF:$AF,Purchases!$N$3)</f>
        <v>0</v>
      </c>
      <c r="O16" s="70">
        <f>SUMIFS(Drank!$W:$W,Drank!$AF:$AF,Purchases!$C16,Drank!$AG:$AG,Purchases!$B16,Drank!$AA:$AA,Purchases!O$3)</f>
        <v>0</v>
      </c>
      <c r="P16" s="70">
        <f>SUM(N16:O16)</f>
        <v>0</v>
      </c>
      <c r="Q16" s="76">
        <f>SUM(G16,J16,M16,P16)</f>
        <v>0</v>
      </c>
    </row>
    <row r="17" spans="5:17" s="37" customFormat="1" x14ac:dyDescent="0.25">
      <c r="E17" s="11">
        <f>SUM(E4:E16)</f>
        <v>3473.9168255437307</v>
      </c>
      <c r="F17" s="11">
        <f t="shared" ref="F17:O17" si="9">SUM(F4:F16)</f>
        <v>4007.9243595748621</v>
      </c>
      <c r="G17" s="70">
        <f t="shared" si="4"/>
        <v>7481.8411851185929</v>
      </c>
      <c r="H17" s="11">
        <f t="shared" si="9"/>
        <v>4691.0988683039805</v>
      </c>
      <c r="I17" s="11">
        <f t="shared" si="9"/>
        <v>1225.5267938525315</v>
      </c>
      <c r="J17" s="70">
        <f t="shared" si="1"/>
        <v>5916.6256621565117</v>
      </c>
      <c r="K17" s="11">
        <f t="shared" si="9"/>
        <v>19506.525752509329</v>
      </c>
      <c r="L17" s="11">
        <f t="shared" si="9"/>
        <v>1608.6575657223304</v>
      </c>
      <c r="M17" s="70">
        <f t="shared" si="2"/>
        <v>21115.183318231659</v>
      </c>
      <c r="N17" s="11">
        <f t="shared" si="9"/>
        <v>9700.8599999999988</v>
      </c>
      <c r="O17" s="11">
        <f t="shared" si="9"/>
        <v>259.40999999999997</v>
      </c>
      <c r="P17" s="70">
        <f t="shared" si="3"/>
        <v>9960.2699999999986</v>
      </c>
      <c r="Q17" s="76">
        <f t="shared" si="5"/>
        <v>44473.920165506759</v>
      </c>
    </row>
    <row r="18" spans="5:17" s="37" customFormat="1" x14ac:dyDescent="0.25"/>
    <row r="19" spans="5:17" s="37" customFormat="1" x14ac:dyDescent="0.25"/>
    <row r="20" spans="5:17" s="37" customFormat="1" x14ac:dyDescent="0.25"/>
  </sheetData>
  <phoneticPr fontId="1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EF4A6-90A2-4E8D-9FDF-4752748F4B9E}">
  <dimension ref="A1:R18"/>
  <sheetViews>
    <sheetView workbookViewId="0">
      <selection activeCell="L11" sqref="L11"/>
    </sheetView>
  </sheetViews>
  <sheetFormatPr defaultRowHeight="15" x14ac:dyDescent="0.25"/>
  <cols>
    <col min="1" max="1" width="15" style="37" bestFit="1" customWidth="1"/>
    <col min="2" max="2" width="5" bestFit="1" customWidth="1"/>
    <col min="3" max="3" width="10.85546875" bestFit="1" customWidth="1"/>
    <col min="4" max="9" width="10.5703125" bestFit="1" customWidth="1"/>
    <col min="10" max="10" width="11.5703125" bestFit="1" customWidth="1"/>
    <col min="11" max="11" width="10.5703125" bestFit="1" customWidth="1"/>
    <col min="12" max="12" width="11.5703125" bestFit="1" customWidth="1"/>
    <col min="13" max="13" width="10.5703125" bestFit="1" customWidth="1"/>
    <col min="14" max="14" width="9" bestFit="1" customWidth="1"/>
    <col min="15" max="15" width="10.5703125" bestFit="1" customWidth="1"/>
    <col min="16" max="16" width="11.5703125" bestFit="1" customWidth="1"/>
    <col min="17" max="17" width="10.5703125" bestFit="1" customWidth="1"/>
    <col min="18" max="18" width="11.5703125" bestFit="1" customWidth="1"/>
  </cols>
  <sheetData>
    <row r="1" spans="1:18" x14ac:dyDescent="0.25">
      <c r="D1" t="s">
        <v>1375</v>
      </c>
      <c r="E1" t="s">
        <v>1376</v>
      </c>
      <c r="F1" s="24" t="s">
        <v>1377</v>
      </c>
      <c r="G1" s="37" t="s">
        <v>1375</v>
      </c>
      <c r="H1" s="37" t="s">
        <v>1376</v>
      </c>
      <c r="I1" s="24" t="s">
        <v>1377</v>
      </c>
      <c r="J1" s="37" t="s">
        <v>1375</v>
      </c>
      <c r="K1" s="37" t="s">
        <v>1376</v>
      </c>
      <c r="L1" s="24" t="s">
        <v>1377</v>
      </c>
      <c r="M1" s="37" t="s">
        <v>1375</v>
      </c>
      <c r="N1" s="37" t="s">
        <v>1376</v>
      </c>
      <c r="O1" s="24" t="s">
        <v>1377</v>
      </c>
      <c r="P1" s="37" t="s">
        <v>1375</v>
      </c>
      <c r="Q1" s="37" t="s">
        <v>1376</v>
      </c>
      <c r="R1" s="24" t="s">
        <v>1377</v>
      </c>
    </row>
    <row r="2" spans="1:18" x14ac:dyDescent="0.25">
      <c r="D2">
        <v>1</v>
      </c>
      <c r="E2">
        <v>1</v>
      </c>
      <c r="F2" s="24">
        <v>1</v>
      </c>
      <c r="G2">
        <v>2</v>
      </c>
      <c r="H2">
        <v>2</v>
      </c>
      <c r="I2" s="24">
        <v>2</v>
      </c>
      <c r="J2">
        <v>3</v>
      </c>
      <c r="K2">
        <v>3</v>
      </c>
      <c r="L2" s="24">
        <v>3</v>
      </c>
      <c r="M2">
        <v>4</v>
      </c>
      <c r="N2">
        <v>4</v>
      </c>
      <c r="O2" s="24">
        <v>4</v>
      </c>
      <c r="P2" s="37" t="s">
        <v>664</v>
      </c>
      <c r="Q2" s="37" t="s">
        <v>664</v>
      </c>
      <c r="R2" s="24" t="s">
        <v>664</v>
      </c>
    </row>
    <row r="3" spans="1:18" x14ac:dyDescent="0.25">
      <c r="A3" s="37" t="str">
        <f>CONCATENATE(B3,C3)</f>
        <v>2019December</v>
      </c>
      <c r="B3">
        <v>2019</v>
      </c>
      <c r="C3" t="s">
        <v>346</v>
      </c>
      <c r="D3" s="2">
        <f>VLOOKUP(A3,Purchases!A:Q,7,FALSE)</f>
        <v>656.8900000000001</v>
      </c>
      <c r="E3" s="2">
        <f>VLOOKUP(A3,Expenses!K:V,5,FALSE)</f>
        <v>271.15000000000003</v>
      </c>
      <c r="F3" s="89">
        <f>D3-E3</f>
        <v>385.74000000000007</v>
      </c>
      <c r="G3" s="2">
        <f>VLOOKUP(A3,Purchases!A:Q,10,FALSE)</f>
        <v>610.7800000000002</v>
      </c>
      <c r="H3" s="2">
        <f>VLOOKUP(A3,Expenses!K:V,7,FALSE)</f>
        <v>198.53</v>
      </c>
      <c r="I3" s="89">
        <f>G3-H3</f>
        <v>412.25000000000023</v>
      </c>
      <c r="J3" s="2">
        <f>VLOOKUP(A3,Purchases!A:Q,13,FALSE)</f>
        <v>505.94000000000005</v>
      </c>
      <c r="K3" s="2">
        <f>VLOOKUP(A3,Expenses!K:V,9,FALSE)</f>
        <v>158.96</v>
      </c>
      <c r="L3" s="89">
        <f>J3-K3</f>
        <v>346.98</v>
      </c>
      <c r="M3" s="2">
        <f>VLOOKUP(A3,Purchases!A:Q,16,FALSE)</f>
        <v>48</v>
      </c>
      <c r="N3" s="2">
        <f>VLOOKUP(A3,Expenses!K:V,11,FALSE)</f>
        <v>48</v>
      </c>
      <c r="O3" s="89">
        <f>M3-N3</f>
        <v>0</v>
      </c>
      <c r="P3" s="2">
        <f>SUM(D3,G3,J3,M3)</f>
        <v>1821.6100000000004</v>
      </c>
      <c r="Q3" s="2">
        <f>SUM(E3,H3,K3,N3)</f>
        <v>676.6400000000001</v>
      </c>
      <c r="R3" s="89">
        <f>SUM(F3,I3,L3,O3)</f>
        <v>1144.9700000000003</v>
      </c>
    </row>
    <row r="4" spans="1:18" x14ac:dyDescent="0.25">
      <c r="A4" s="80" t="str">
        <f t="shared" ref="A4:A15" si="0">CONCATENATE(B4,C4)</f>
        <v>2020January</v>
      </c>
      <c r="B4" s="80">
        <v>2020</v>
      </c>
      <c r="C4" s="80" t="s">
        <v>690</v>
      </c>
      <c r="D4" s="83">
        <f>VLOOKUP(A4,Purchases!A:Q,7,FALSE)</f>
        <v>479.38000000000005</v>
      </c>
      <c r="E4" s="83">
        <f>VLOOKUP(A4,Expenses!K:V,5,FALSE)</f>
        <v>134.1</v>
      </c>
      <c r="F4" s="90">
        <f t="shared" ref="F4:F15" si="1">D4-E4</f>
        <v>345.28000000000009</v>
      </c>
      <c r="G4" s="83">
        <f>VLOOKUP(A4,Purchases!A:Q,10,FALSE)</f>
        <v>319.87</v>
      </c>
      <c r="H4" s="83">
        <f>VLOOKUP(A4,Expenses!K:V,7,FALSE)</f>
        <v>210.45</v>
      </c>
      <c r="I4" s="90">
        <f t="shared" ref="I4:I15" si="2">G4-H4</f>
        <v>109.42000000000002</v>
      </c>
      <c r="J4" s="83">
        <f>VLOOKUP(A4,Purchases!A:Q,13,FALSE)</f>
        <v>2546.0700000000006</v>
      </c>
      <c r="K4" s="83">
        <f>VLOOKUP(A4,Expenses!K:V,9,FALSE)</f>
        <v>127.99000000000001</v>
      </c>
      <c r="L4" s="90">
        <f t="shared" ref="L4:L15" si="3">J4-K4</f>
        <v>2418.0800000000008</v>
      </c>
      <c r="M4" s="83">
        <f>VLOOKUP(A4,Purchases!A:Q,16,FALSE)</f>
        <v>763.83</v>
      </c>
      <c r="N4" s="83">
        <f>VLOOKUP(A4,Expenses!K:V,11,FALSE)</f>
        <v>99.99</v>
      </c>
      <c r="O4" s="90">
        <f t="shared" ref="O4:O15" si="4">M4-N4</f>
        <v>663.84</v>
      </c>
      <c r="P4" s="83">
        <f t="shared" ref="P4:P15" si="5">SUM(D4,G4,J4,M4)</f>
        <v>4109.1500000000005</v>
      </c>
      <c r="Q4" s="83">
        <f t="shared" ref="Q4:Q15" si="6">SUM(E4,H4,K4,N4)</f>
        <v>572.53</v>
      </c>
      <c r="R4" s="90">
        <f t="shared" ref="R4:R15" si="7">SUM(F4,I4,L4,O4)</f>
        <v>3536.6200000000013</v>
      </c>
    </row>
    <row r="5" spans="1:18" x14ac:dyDescent="0.25">
      <c r="A5" s="37" t="str">
        <f t="shared" si="0"/>
        <v>2020February</v>
      </c>
      <c r="B5">
        <v>2020</v>
      </c>
      <c r="C5" t="s">
        <v>691</v>
      </c>
      <c r="D5" s="2">
        <f>VLOOKUP(A5,Purchases!A:Q,7,FALSE)</f>
        <v>1300.8500000000004</v>
      </c>
      <c r="E5" s="2">
        <f>VLOOKUP(A5,Expenses!K:V,5,FALSE)</f>
        <v>138.97999999999999</v>
      </c>
      <c r="F5" s="89">
        <f t="shared" si="1"/>
        <v>1161.8700000000003</v>
      </c>
      <c r="G5" s="2">
        <f>VLOOKUP(A5,Purchases!A:Q,10,FALSE)</f>
        <v>478.19999999999993</v>
      </c>
      <c r="H5" s="2">
        <f>VLOOKUP(A5,Expenses!K:V,7,FALSE)</f>
        <v>85.91</v>
      </c>
      <c r="I5" s="89">
        <f t="shared" si="2"/>
        <v>392.28999999999996</v>
      </c>
      <c r="J5" s="2">
        <f>VLOOKUP(A5,Purchases!A:Q,13,FALSE)</f>
        <v>1116</v>
      </c>
      <c r="K5" s="2">
        <f>VLOOKUP(A5,Expenses!K:V,9,FALSE)</f>
        <v>267.76</v>
      </c>
      <c r="L5" s="89">
        <f t="shared" si="3"/>
        <v>848.24</v>
      </c>
      <c r="M5" s="2">
        <f>VLOOKUP(A5,Purchases!A:Q,16,FALSE)</f>
        <v>172.64</v>
      </c>
      <c r="N5" s="2">
        <f>VLOOKUP(A5,Expenses!K:V,11,FALSE)</f>
        <v>0</v>
      </c>
      <c r="O5" s="89">
        <f t="shared" si="4"/>
        <v>172.64</v>
      </c>
      <c r="P5" s="2">
        <f t="shared" si="5"/>
        <v>3067.69</v>
      </c>
      <c r="Q5" s="2">
        <f t="shared" si="6"/>
        <v>492.65</v>
      </c>
      <c r="R5" s="89">
        <f t="shared" si="7"/>
        <v>2575.0400000000004</v>
      </c>
    </row>
    <row r="6" spans="1:18" x14ac:dyDescent="0.25">
      <c r="A6" s="37" t="str">
        <f t="shared" si="0"/>
        <v>2020March</v>
      </c>
      <c r="B6">
        <v>2020</v>
      </c>
      <c r="C6" t="s">
        <v>685</v>
      </c>
      <c r="D6" s="2">
        <f>VLOOKUP(A6,Purchases!A:Q,7,FALSE)</f>
        <v>68.37</v>
      </c>
      <c r="E6" s="2">
        <f>VLOOKUP(A6,Expenses!K:V,5,FALSE)</f>
        <v>148.00000000000003</v>
      </c>
      <c r="F6" s="89">
        <f t="shared" si="1"/>
        <v>-79.630000000000024</v>
      </c>
      <c r="G6" s="2">
        <f>VLOOKUP(A6,Purchases!A:Q,10,FALSE)</f>
        <v>0</v>
      </c>
      <c r="H6" s="2">
        <f>VLOOKUP(A6,Expenses!K:V,7,FALSE)</f>
        <v>150.90999999999997</v>
      </c>
      <c r="I6" s="89">
        <f t="shared" si="2"/>
        <v>-150.90999999999997</v>
      </c>
      <c r="J6" s="2">
        <f>VLOOKUP(A6,Purchases!A:Q,13,FALSE)</f>
        <v>164.51</v>
      </c>
      <c r="K6" s="2">
        <f>VLOOKUP(A6,Expenses!K:V,9,FALSE)</f>
        <v>209.48</v>
      </c>
      <c r="L6" s="89">
        <f t="shared" si="3"/>
        <v>-44.97</v>
      </c>
      <c r="M6" s="2">
        <f>VLOOKUP(A6,Purchases!A:Q,16,FALSE)</f>
        <v>0</v>
      </c>
      <c r="N6" s="2">
        <f>VLOOKUP(A6,Expenses!K:V,11,FALSE)</f>
        <v>0</v>
      </c>
      <c r="O6" s="89">
        <f t="shared" si="4"/>
        <v>0</v>
      </c>
      <c r="P6" s="2">
        <f t="shared" si="5"/>
        <v>232.88</v>
      </c>
      <c r="Q6" s="2">
        <f t="shared" si="6"/>
        <v>508.39</v>
      </c>
      <c r="R6" s="89">
        <f t="shared" si="7"/>
        <v>-275.51</v>
      </c>
    </row>
    <row r="7" spans="1:18" x14ac:dyDescent="0.25">
      <c r="A7" s="37" t="str">
        <f t="shared" si="0"/>
        <v>2020April</v>
      </c>
      <c r="B7">
        <v>2020</v>
      </c>
      <c r="C7" t="s">
        <v>338</v>
      </c>
      <c r="D7" s="2">
        <f>VLOOKUP(A7,Purchases!A:Q,7,FALSE)</f>
        <v>635.61000000000013</v>
      </c>
      <c r="E7" s="2">
        <f>VLOOKUP(A7,Expenses!K:V,5,FALSE)</f>
        <v>148.49</v>
      </c>
      <c r="F7" s="89">
        <f t="shared" si="1"/>
        <v>487.12000000000012</v>
      </c>
      <c r="G7" s="2">
        <f>VLOOKUP(A7,Purchases!A:Q,10,FALSE)</f>
        <v>652.60000000000014</v>
      </c>
      <c r="H7" s="2">
        <f>VLOOKUP(A7,Expenses!K:V,7,FALSE)</f>
        <v>159.54999999999998</v>
      </c>
      <c r="I7" s="89">
        <f t="shared" si="2"/>
        <v>493.05000000000018</v>
      </c>
      <c r="J7" s="2">
        <f>VLOOKUP(A7,Purchases!A:Q,13,FALSE)</f>
        <v>965.08000000000015</v>
      </c>
      <c r="K7" s="2">
        <f>VLOOKUP(A7,Expenses!K:V,9,FALSE)</f>
        <v>136.97</v>
      </c>
      <c r="L7" s="89">
        <f t="shared" si="3"/>
        <v>828.11000000000013</v>
      </c>
      <c r="M7" s="2">
        <f>VLOOKUP(A7,Purchases!A:Q,16,FALSE)</f>
        <v>402</v>
      </c>
      <c r="N7" s="2">
        <f>VLOOKUP(A7,Expenses!K:V,11,FALSE)</f>
        <v>79.989999999999995</v>
      </c>
      <c r="O7" s="89">
        <f t="shared" si="4"/>
        <v>322.01</v>
      </c>
      <c r="P7" s="2">
        <f t="shared" si="5"/>
        <v>2655.2900000000004</v>
      </c>
      <c r="Q7" s="2">
        <f t="shared" si="6"/>
        <v>525</v>
      </c>
      <c r="R7" s="89">
        <f t="shared" si="7"/>
        <v>2130.2900000000004</v>
      </c>
    </row>
    <row r="8" spans="1:18" x14ac:dyDescent="0.25">
      <c r="A8" s="37" t="str">
        <f t="shared" si="0"/>
        <v>2020May</v>
      </c>
      <c r="B8">
        <v>2020</v>
      </c>
      <c r="C8" t="s">
        <v>339</v>
      </c>
      <c r="D8" s="2">
        <f>VLOOKUP(A8,Purchases!A:Q,7,FALSE)</f>
        <v>805.65000000000009</v>
      </c>
      <c r="E8" s="2">
        <f>VLOOKUP(A8,Expenses!K:V,5,FALSE)</f>
        <v>314.00000000000006</v>
      </c>
      <c r="F8" s="89">
        <f t="shared" si="1"/>
        <v>491.65000000000003</v>
      </c>
      <c r="G8" s="2">
        <f>VLOOKUP(A8,Purchases!A:Q,10,FALSE)</f>
        <v>500.08000000000004</v>
      </c>
      <c r="H8" s="2">
        <f>VLOOKUP(A8,Expenses!K:V,7,FALSE)</f>
        <v>178.3</v>
      </c>
      <c r="I8" s="89">
        <f t="shared" si="2"/>
        <v>321.78000000000003</v>
      </c>
      <c r="J8" s="2">
        <f>VLOOKUP(A8,Purchases!A:Q,13,FALSE)</f>
        <v>1252.5899999999997</v>
      </c>
      <c r="K8" s="2">
        <f>VLOOKUP(A8,Expenses!K:V,9,FALSE)</f>
        <v>80.36</v>
      </c>
      <c r="L8" s="89">
        <f t="shared" si="3"/>
        <v>1172.2299999999998</v>
      </c>
      <c r="M8" s="2">
        <f>VLOOKUP(A8,Purchases!A:Q,16,FALSE)</f>
        <v>235.66</v>
      </c>
      <c r="N8" s="2">
        <f>VLOOKUP(A8,Expenses!K:V,11,FALSE)</f>
        <v>0</v>
      </c>
      <c r="O8" s="89">
        <f t="shared" si="4"/>
        <v>235.66</v>
      </c>
      <c r="P8" s="2">
        <f t="shared" si="5"/>
        <v>2793.9799999999996</v>
      </c>
      <c r="Q8" s="2">
        <f t="shared" si="6"/>
        <v>572.66000000000008</v>
      </c>
      <c r="R8" s="89">
        <f t="shared" si="7"/>
        <v>2221.3199999999997</v>
      </c>
    </row>
    <row r="9" spans="1:18" x14ac:dyDescent="0.25">
      <c r="A9" s="37" t="str">
        <f t="shared" si="0"/>
        <v>2020June</v>
      </c>
      <c r="B9">
        <v>2020</v>
      </c>
      <c r="C9" t="s">
        <v>340</v>
      </c>
      <c r="D9" s="2">
        <f>VLOOKUP(A9,Purchases!A:Q,7,FALSE)</f>
        <v>1103.9300000000003</v>
      </c>
      <c r="E9" s="2">
        <f>VLOOKUP(A9,Expenses!K:V,5,FALSE)</f>
        <v>245.66999999999996</v>
      </c>
      <c r="F9" s="89">
        <f t="shared" si="1"/>
        <v>858.26000000000033</v>
      </c>
      <c r="G9" s="2">
        <f>VLOOKUP(A9,Purchases!A:Q,10,FALSE)</f>
        <v>86.88</v>
      </c>
      <c r="H9" s="2">
        <f>VLOOKUP(A9,Expenses!K:V,7,FALSE)</f>
        <v>82.81</v>
      </c>
      <c r="I9" s="89">
        <f t="shared" si="2"/>
        <v>4.0699999999999932</v>
      </c>
      <c r="J9" s="2">
        <f>VLOOKUP(A9,Purchases!A:Q,13,FALSE)</f>
        <v>417</v>
      </c>
      <c r="K9" s="2">
        <f>VLOOKUP(A9,Expenses!K:V,9,FALSE)</f>
        <v>217.37</v>
      </c>
      <c r="L9" s="89">
        <f t="shared" si="3"/>
        <v>199.63</v>
      </c>
      <c r="M9" s="2">
        <f>VLOOKUP(A9,Purchases!A:Q,16,FALSE)</f>
        <v>0</v>
      </c>
      <c r="N9" s="2">
        <f>VLOOKUP(A9,Expenses!K:V,11,FALSE)</f>
        <v>0</v>
      </c>
      <c r="O9" s="89">
        <f t="shared" si="4"/>
        <v>0</v>
      </c>
      <c r="P9" s="2">
        <f t="shared" si="5"/>
        <v>1607.8100000000004</v>
      </c>
      <c r="Q9" s="2">
        <f t="shared" si="6"/>
        <v>545.84999999999991</v>
      </c>
      <c r="R9" s="89">
        <f t="shared" si="7"/>
        <v>1061.9600000000005</v>
      </c>
    </row>
    <row r="10" spans="1:18" x14ac:dyDescent="0.25">
      <c r="A10" s="37" t="str">
        <f t="shared" si="0"/>
        <v>2020July</v>
      </c>
      <c r="B10">
        <v>2020</v>
      </c>
      <c r="C10" t="s">
        <v>341</v>
      </c>
      <c r="D10" s="2">
        <f>VLOOKUP(A10,Purchases!A:Q,7,FALSE)</f>
        <v>549.31999999999994</v>
      </c>
      <c r="E10" s="2">
        <f>VLOOKUP(A10,Expenses!K:V,5,FALSE)</f>
        <v>117.75</v>
      </c>
      <c r="F10" s="89">
        <f t="shared" si="1"/>
        <v>431.56999999999994</v>
      </c>
      <c r="G10" s="2">
        <f>VLOOKUP(A10,Purchases!A:Q,10,FALSE)</f>
        <v>904.98</v>
      </c>
      <c r="H10" s="2">
        <f>VLOOKUP(A10,Expenses!K:V,7,FALSE)</f>
        <v>184.07999999999998</v>
      </c>
      <c r="I10" s="89">
        <f t="shared" si="2"/>
        <v>720.90000000000009</v>
      </c>
      <c r="J10" s="2">
        <f>VLOOKUP(A10,Purchases!A:Q,13,FALSE)</f>
        <v>1507.83</v>
      </c>
      <c r="K10" s="2">
        <f>VLOOKUP(A10,Expenses!K:V,9,FALSE)</f>
        <v>74.930000000000007</v>
      </c>
      <c r="L10" s="89">
        <f t="shared" si="3"/>
        <v>1432.8999999999999</v>
      </c>
      <c r="M10" s="2">
        <f>VLOOKUP(A10,Purchases!A:Q,16,FALSE)</f>
        <v>708.84</v>
      </c>
      <c r="N10" s="2">
        <f>VLOOKUP(A10,Expenses!K:V,11,FALSE)</f>
        <v>230.15</v>
      </c>
      <c r="O10" s="89">
        <f t="shared" si="4"/>
        <v>478.69000000000005</v>
      </c>
      <c r="P10" s="2">
        <f t="shared" si="5"/>
        <v>3670.9700000000003</v>
      </c>
      <c r="Q10" s="2">
        <f t="shared" si="6"/>
        <v>606.91</v>
      </c>
      <c r="R10" s="89">
        <f t="shared" si="7"/>
        <v>3064.06</v>
      </c>
    </row>
    <row r="11" spans="1:18" x14ac:dyDescent="0.25">
      <c r="A11" s="37" t="str">
        <f t="shared" si="0"/>
        <v>2020August</v>
      </c>
      <c r="B11">
        <v>2020</v>
      </c>
      <c r="C11" t="s">
        <v>342</v>
      </c>
      <c r="D11" s="2">
        <f>VLOOKUP(A11,Purchases!A:Q,7,FALSE)</f>
        <v>1517.1611851185917</v>
      </c>
      <c r="E11" s="2">
        <f>VLOOKUP(A11,Expenses!K:V,5,FALSE)</f>
        <v>66.2</v>
      </c>
      <c r="F11" s="89">
        <f t="shared" si="1"/>
        <v>1450.9611851185916</v>
      </c>
      <c r="G11" s="2">
        <f>VLOOKUP(A11,Purchases!A:Q,10,FALSE)</f>
        <v>1983.6453881565112</v>
      </c>
      <c r="H11" s="2">
        <f>VLOOKUP(A11,Expenses!K:V,7,FALSE)</f>
        <v>501.59679385253145</v>
      </c>
      <c r="I11" s="89">
        <f t="shared" si="2"/>
        <v>1482.0485943039798</v>
      </c>
      <c r="J11" s="2">
        <f>VLOOKUP(A11,Purchases!A:Q,13,FALSE)</f>
        <v>10854.277044231658</v>
      </c>
      <c r="K11" s="2">
        <f>VLOOKUP(A11,Expenses!K:V,9,FALSE)</f>
        <v>801.2275657223305</v>
      </c>
      <c r="L11" s="89">
        <f t="shared" si="3"/>
        <v>10053.049478509327</v>
      </c>
      <c r="M11" s="2">
        <f>VLOOKUP(A11,Purchases!A:Q,16,FALSE)</f>
        <v>6859.08</v>
      </c>
      <c r="N11" s="2">
        <f>VLOOKUP(A11,Expenses!K:V,11,FALSE)</f>
        <v>131.42000000000002</v>
      </c>
      <c r="O11" s="89">
        <f t="shared" si="4"/>
        <v>6727.66</v>
      </c>
      <c r="P11" s="2">
        <f t="shared" si="5"/>
        <v>21214.163617506762</v>
      </c>
      <c r="Q11" s="2">
        <f t="shared" si="6"/>
        <v>1500.4443595748621</v>
      </c>
      <c r="R11" s="89">
        <f t="shared" si="7"/>
        <v>19713.719257931898</v>
      </c>
    </row>
    <row r="12" spans="1:18" x14ac:dyDescent="0.25">
      <c r="A12" s="37" t="str">
        <f t="shared" si="0"/>
        <v>2020September</v>
      </c>
      <c r="B12">
        <v>2020</v>
      </c>
      <c r="C12" t="s">
        <v>343</v>
      </c>
      <c r="D12" s="2">
        <f>VLOOKUP(A12,Purchases!A:Q,7,FALSE)</f>
        <v>364.68000000000018</v>
      </c>
      <c r="E12" s="2">
        <f>VLOOKUP(A12,Expenses!K:V,5,FALSE)</f>
        <v>64.19</v>
      </c>
      <c r="F12" s="89">
        <f t="shared" si="1"/>
        <v>300.49000000000018</v>
      </c>
      <c r="G12" s="2">
        <f>VLOOKUP(A12,Purchases!A:Q,10,FALSE)</f>
        <v>379.59027399999991</v>
      </c>
      <c r="H12" s="2">
        <f>VLOOKUP(A12,Expenses!K:V,7,FALSE)</f>
        <v>68.69</v>
      </c>
      <c r="I12" s="89">
        <f t="shared" si="2"/>
        <v>310.90027399999991</v>
      </c>
      <c r="J12" s="2">
        <f>VLOOKUP(A12,Purchases!A:Q,13,FALSE)</f>
        <v>1785.886273999999</v>
      </c>
      <c r="K12" s="2">
        <f>VLOOKUP(A12,Expenses!K:V,9,FALSE)</f>
        <v>94.5</v>
      </c>
      <c r="L12" s="89">
        <f t="shared" si="3"/>
        <v>1691.386273999999</v>
      </c>
      <c r="M12" s="2">
        <f>VLOOKUP(A12,Purchases!A:Q,16,FALSE)</f>
        <v>770.22</v>
      </c>
      <c r="N12" s="2">
        <f>VLOOKUP(A12,Expenses!K:V,11,FALSE)</f>
        <v>0</v>
      </c>
      <c r="O12" s="89">
        <f t="shared" si="4"/>
        <v>770.22</v>
      </c>
      <c r="P12" s="2">
        <f t="shared" si="5"/>
        <v>3300.3765479999993</v>
      </c>
      <c r="Q12" s="2">
        <f t="shared" si="6"/>
        <v>227.38</v>
      </c>
      <c r="R12" s="89">
        <f t="shared" si="7"/>
        <v>3072.9965479999992</v>
      </c>
    </row>
    <row r="13" spans="1:18" x14ac:dyDescent="0.25">
      <c r="A13" s="37" t="str">
        <f t="shared" si="0"/>
        <v>2020October</v>
      </c>
      <c r="B13">
        <v>2020</v>
      </c>
      <c r="C13" t="s">
        <v>344</v>
      </c>
      <c r="D13" s="2">
        <f>VLOOKUP(A13,Purchases!A:Q,7,FALSE)</f>
        <v>0</v>
      </c>
      <c r="E13" s="2">
        <f>VLOOKUP(A13,Expenses!K:V,5,FALSE)</f>
        <v>0</v>
      </c>
      <c r="F13" s="89">
        <f t="shared" si="1"/>
        <v>0</v>
      </c>
      <c r="G13" s="2">
        <f>VLOOKUP(A13,Purchases!A:Q,10,FALSE)</f>
        <v>0</v>
      </c>
      <c r="H13" s="2">
        <f>VLOOKUP(A13,Expenses!K:V,7,FALSE)</f>
        <v>0</v>
      </c>
      <c r="I13" s="89">
        <f t="shared" si="2"/>
        <v>0</v>
      </c>
      <c r="J13" s="2">
        <f>VLOOKUP(A13,Purchases!A:Q,13,FALSE)</f>
        <v>0</v>
      </c>
      <c r="K13" s="2">
        <f>VLOOKUP(A13,Expenses!K:V,9,FALSE)</f>
        <v>0</v>
      </c>
      <c r="L13" s="89">
        <f t="shared" si="3"/>
        <v>0</v>
      </c>
      <c r="M13" s="2">
        <f>VLOOKUP(A13,Purchases!A:Q,16,FALSE)</f>
        <v>0</v>
      </c>
      <c r="N13" s="2">
        <f>VLOOKUP(A13,Expenses!K:V,11,FALSE)</f>
        <v>0</v>
      </c>
      <c r="O13" s="89">
        <f t="shared" si="4"/>
        <v>0</v>
      </c>
      <c r="P13" s="2">
        <f t="shared" si="5"/>
        <v>0</v>
      </c>
      <c r="Q13" s="2">
        <f t="shared" si="6"/>
        <v>0</v>
      </c>
      <c r="R13" s="89">
        <f t="shared" si="7"/>
        <v>0</v>
      </c>
    </row>
    <row r="14" spans="1:18" x14ac:dyDescent="0.25">
      <c r="A14" s="37" t="str">
        <f t="shared" si="0"/>
        <v>2020November</v>
      </c>
      <c r="B14">
        <v>2020</v>
      </c>
      <c r="C14" t="s">
        <v>345</v>
      </c>
      <c r="D14" s="2">
        <f>VLOOKUP(A14,Purchases!A:Q,7,FALSE)</f>
        <v>0</v>
      </c>
      <c r="E14" s="2">
        <f>VLOOKUP(A14,Expenses!K:V,5,FALSE)</f>
        <v>0</v>
      </c>
      <c r="F14" s="89">
        <f t="shared" si="1"/>
        <v>0</v>
      </c>
      <c r="G14" s="2">
        <f>VLOOKUP(A14,Purchases!A:Q,10,FALSE)</f>
        <v>0</v>
      </c>
      <c r="H14" s="2">
        <f>VLOOKUP(A14,Expenses!K:V,7,FALSE)</f>
        <v>0</v>
      </c>
      <c r="I14" s="89">
        <f t="shared" si="2"/>
        <v>0</v>
      </c>
      <c r="J14" s="2">
        <f>VLOOKUP(A14,Purchases!A:Q,13,FALSE)</f>
        <v>0</v>
      </c>
      <c r="K14" s="2">
        <f>VLOOKUP(A14,Expenses!K:V,9,FALSE)</f>
        <v>0</v>
      </c>
      <c r="L14" s="89">
        <f t="shared" si="3"/>
        <v>0</v>
      </c>
      <c r="M14" s="2">
        <f>VLOOKUP(A14,Purchases!A:Q,16,FALSE)</f>
        <v>0</v>
      </c>
      <c r="N14" s="2">
        <f>VLOOKUP(A14,Expenses!K:V,11,FALSE)</f>
        <v>0</v>
      </c>
      <c r="O14" s="89">
        <f t="shared" si="4"/>
        <v>0</v>
      </c>
      <c r="P14" s="2">
        <f t="shared" si="5"/>
        <v>0</v>
      </c>
      <c r="Q14" s="2">
        <f t="shared" si="6"/>
        <v>0</v>
      </c>
      <c r="R14" s="89">
        <f t="shared" si="7"/>
        <v>0</v>
      </c>
    </row>
    <row r="15" spans="1:18" x14ac:dyDescent="0.25">
      <c r="A15" s="37" t="str">
        <f t="shared" si="0"/>
        <v>2020December</v>
      </c>
      <c r="B15">
        <v>2020</v>
      </c>
      <c r="C15" t="s">
        <v>346</v>
      </c>
      <c r="D15" s="2">
        <f>VLOOKUP(A15,Purchases!A:Q,7,FALSE)</f>
        <v>0</v>
      </c>
      <c r="E15" s="2">
        <f>VLOOKUP(A15,Expenses!K:V,5,FALSE)</f>
        <v>0</v>
      </c>
      <c r="F15" s="89">
        <f t="shared" si="1"/>
        <v>0</v>
      </c>
      <c r="G15" s="2">
        <f>VLOOKUP(A15,Purchases!A:Q,10,FALSE)</f>
        <v>0</v>
      </c>
      <c r="H15" s="2">
        <f>VLOOKUP(A15,Expenses!K:V,7,FALSE)</f>
        <v>0</v>
      </c>
      <c r="I15" s="89">
        <f t="shared" si="2"/>
        <v>0</v>
      </c>
      <c r="J15" s="2">
        <f>VLOOKUP(A15,Purchases!A:Q,13,FALSE)</f>
        <v>0</v>
      </c>
      <c r="K15" s="2">
        <f>VLOOKUP(A15,Expenses!K:V,9,FALSE)</f>
        <v>0</v>
      </c>
      <c r="L15" s="89">
        <f t="shared" si="3"/>
        <v>0</v>
      </c>
      <c r="M15" s="2">
        <f>VLOOKUP(A15,Purchases!A:Q,16,FALSE)</f>
        <v>0</v>
      </c>
      <c r="N15" s="2">
        <f>VLOOKUP(A15,Expenses!K:V,11,FALSE)</f>
        <v>0</v>
      </c>
      <c r="O15" s="89">
        <f t="shared" si="4"/>
        <v>0</v>
      </c>
      <c r="P15" s="2">
        <f t="shared" si="5"/>
        <v>0</v>
      </c>
      <c r="Q15" s="2">
        <f t="shared" si="6"/>
        <v>0</v>
      </c>
      <c r="R15" s="89">
        <f t="shared" si="7"/>
        <v>0</v>
      </c>
    </row>
    <row r="16" spans="1:18" s="37" customFormat="1" x14ac:dyDescent="0.25">
      <c r="A16" s="37">
        <v>2019</v>
      </c>
      <c r="D16" s="2">
        <f>SUMIF($B:$B,$A16,D:D)</f>
        <v>656.8900000000001</v>
      </c>
      <c r="E16" s="2">
        <f t="shared" ref="E16:R17" si="8">SUMIF($B:$B,$A16,E:E)</f>
        <v>271.15000000000003</v>
      </c>
      <c r="F16" s="89">
        <f t="shared" si="8"/>
        <v>385.74000000000007</v>
      </c>
      <c r="G16" s="2">
        <f t="shared" si="8"/>
        <v>610.7800000000002</v>
      </c>
      <c r="H16" s="2">
        <f t="shared" si="8"/>
        <v>198.53</v>
      </c>
      <c r="I16" s="89">
        <f t="shared" si="8"/>
        <v>412.25000000000023</v>
      </c>
      <c r="J16" s="2">
        <f t="shared" si="8"/>
        <v>505.94000000000005</v>
      </c>
      <c r="K16" s="2">
        <f t="shared" si="8"/>
        <v>158.96</v>
      </c>
      <c r="L16" s="89">
        <f t="shared" si="8"/>
        <v>346.98</v>
      </c>
      <c r="M16" s="2">
        <f t="shared" si="8"/>
        <v>48</v>
      </c>
      <c r="N16" s="2">
        <f t="shared" si="8"/>
        <v>48</v>
      </c>
      <c r="O16" s="89">
        <f t="shared" si="8"/>
        <v>0</v>
      </c>
      <c r="P16" s="2">
        <f t="shared" si="8"/>
        <v>1821.6100000000004</v>
      </c>
      <c r="Q16" s="2">
        <f t="shared" si="8"/>
        <v>676.6400000000001</v>
      </c>
      <c r="R16" s="89">
        <f t="shared" si="8"/>
        <v>1144.9700000000003</v>
      </c>
    </row>
    <row r="17" spans="1:18" s="37" customFormat="1" x14ac:dyDescent="0.25">
      <c r="A17" s="37">
        <v>2020</v>
      </c>
      <c r="D17" s="2">
        <f>SUMIF($B:$B,$A17,D:D)</f>
        <v>6824.9511851185925</v>
      </c>
      <c r="E17" s="2">
        <f t="shared" si="8"/>
        <v>1377.3800000000003</v>
      </c>
      <c r="F17" s="89">
        <f t="shared" si="8"/>
        <v>5447.5711851185924</v>
      </c>
      <c r="G17" s="2">
        <f t="shared" si="8"/>
        <v>5305.845662156511</v>
      </c>
      <c r="H17" s="2">
        <f t="shared" si="8"/>
        <v>1622.2967938525312</v>
      </c>
      <c r="I17" s="89">
        <f t="shared" si="8"/>
        <v>3683.5488683039798</v>
      </c>
      <c r="J17" s="2">
        <f t="shared" si="8"/>
        <v>20609.243318231656</v>
      </c>
      <c r="K17" s="2">
        <f t="shared" si="8"/>
        <v>2010.5875657223305</v>
      </c>
      <c r="L17" s="89">
        <f t="shared" si="8"/>
        <v>18598.655752509327</v>
      </c>
      <c r="M17" s="2">
        <f t="shared" si="8"/>
        <v>9912.2699999999986</v>
      </c>
      <c r="N17" s="2">
        <f t="shared" si="8"/>
        <v>541.54999999999995</v>
      </c>
      <c r="O17" s="89">
        <f t="shared" si="8"/>
        <v>9370.7199999999993</v>
      </c>
      <c r="P17" s="2">
        <f t="shared" si="8"/>
        <v>42652.310165506758</v>
      </c>
      <c r="Q17" s="2">
        <f t="shared" si="8"/>
        <v>5551.8143595748616</v>
      </c>
      <c r="R17" s="89">
        <f t="shared" si="8"/>
        <v>37100.495805931903</v>
      </c>
    </row>
    <row r="18" spans="1:18" x14ac:dyDescent="0.25">
      <c r="A18" s="80" t="s">
        <v>1378</v>
      </c>
      <c r="B18" s="80"/>
      <c r="C18" s="80"/>
      <c r="D18" s="88">
        <f t="shared" ref="D18:Q18" si="9">SUM(D3:D15)</f>
        <v>7481.8411851185929</v>
      </c>
      <c r="E18" s="88">
        <f t="shared" si="9"/>
        <v>1648.53</v>
      </c>
      <c r="F18" s="90">
        <f t="shared" si="9"/>
        <v>5833.3111851185922</v>
      </c>
      <c r="G18" s="88">
        <f t="shared" si="9"/>
        <v>5916.6256621565117</v>
      </c>
      <c r="H18" s="88">
        <f t="shared" si="9"/>
        <v>1820.8267938525312</v>
      </c>
      <c r="I18" s="90">
        <f t="shared" si="9"/>
        <v>4095.7988683039803</v>
      </c>
      <c r="J18" s="88">
        <f t="shared" si="9"/>
        <v>21115.183318231659</v>
      </c>
      <c r="K18" s="88">
        <f t="shared" si="9"/>
        <v>2169.5475657223305</v>
      </c>
      <c r="L18" s="90">
        <f t="shared" si="9"/>
        <v>18945.63575250933</v>
      </c>
      <c r="M18" s="88">
        <f t="shared" si="9"/>
        <v>9960.2699999999986</v>
      </c>
      <c r="N18" s="88">
        <f t="shared" si="9"/>
        <v>589.54999999999995</v>
      </c>
      <c r="O18" s="90">
        <f t="shared" si="9"/>
        <v>9370.7199999999993</v>
      </c>
      <c r="P18" s="88">
        <f t="shared" si="9"/>
        <v>44473.920165506759</v>
      </c>
      <c r="Q18" s="88">
        <f t="shared" si="9"/>
        <v>6228.4543595748628</v>
      </c>
      <c r="R18" s="90">
        <f>SUM(R3:R15)</f>
        <v>38245.465805931904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4C10-EC4D-499C-B340-F90207D54E4B}">
  <dimension ref="A1:S336"/>
  <sheetViews>
    <sheetView topLeftCell="A91" workbookViewId="0">
      <selection activeCell="E31" sqref="E31"/>
    </sheetView>
  </sheetViews>
  <sheetFormatPr defaultRowHeight="15" x14ac:dyDescent="0.25"/>
  <cols>
    <col min="1" max="1" width="81.140625" bestFit="1" customWidth="1"/>
    <col min="2" max="2" width="10.28515625" style="37" bestFit="1" customWidth="1"/>
    <col min="3" max="3" width="12.85546875" style="37" bestFit="1" customWidth="1"/>
    <col min="4" max="4" width="19.7109375" style="37" bestFit="1" customWidth="1"/>
    <col min="5" max="5" width="36.140625" style="37" bestFit="1" customWidth="1"/>
    <col min="6" max="6" width="36.140625" style="37" customWidth="1"/>
    <col min="7" max="7" width="55.7109375" style="37" bestFit="1" customWidth="1"/>
    <col min="9" max="10" width="9.140625" style="37"/>
    <col min="11" max="11" width="11" bestFit="1" customWidth="1"/>
    <col min="15" max="15" width="9.140625" style="37"/>
  </cols>
  <sheetData>
    <row r="1" spans="1:19" x14ac:dyDescent="0.25">
      <c r="A1" t="s">
        <v>667</v>
      </c>
      <c r="B1" s="37" t="s">
        <v>957</v>
      </c>
      <c r="C1" s="37" t="s">
        <v>724</v>
      </c>
      <c r="D1" s="37" t="s">
        <v>725</v>
      </c>
      <c r="E1" s="37" t="s">
        <v>726</v>
      </c>
      <c r="F1" s="37" t="s">
        <v>725</v>
      </c>
      <c r="G1" s="37" t="s">
        <v>960</v>
      </c>
      <c r="H1" t="s">
        <v>669</v>
      </c>
      <c r="I1" s="37" t="s">
        <v>710</v>
      </c>
      <c r="J1" s="37" t="s">
        <v>439</v>
      </c>
      <c r="K1" t="s">
        <v>580</v>
      </c>
      <c r="L1" t="s">
        <v>949</v>
      </c>
      <c r="M1" t="s">
        <v>951</v>
      </c>
      <c r="P1" t="s">
        <v>950</v>
      </c>
    </row>
    <row r="2" spans="1:19" x14ac:dyDescent="0.25">
      <c r="A2" t="s">
        <v>694</v>
      </c>
      <c r="C2" s="37" t="str">
        <f>IF(I2&gt;0,VLOOKUP(A2,Wine1!A:H,6,FALSE),VLOOKUP(A2,Drank!A:H,6,FALSE))</f>
        <v>Italy</v>
      </c>
      <c r="D2" s="37" t="str">
        <f>IF(I2&gt;0,VLOOKUP(A2,Wine1!A:H,7,FALSE),VLOOKUP(A2,Drank!A:H,7,FALSE))</f>
        <v>Veneto</v>
      </c>
      <c r="E2" s="37">
        <f>IF(I2&gt;0,VLOOKUP(A2,Wine1!A:H,8,FALSE),VLOOKUP(A2,Drank!A:H,8,FALSE))</f>
        <v>0</v>
      </c>
      <c r="F2" s="37" t="str">
        <f>CONCATENATE(C2,", ",D2)</f>
        <v>Italy, Veneto</v>
      </c>
      <c r="G2" s="37" t="str">
        <f>CONCATENATE(C2,", ",D2,", ",E2)</f>
        <v>Italy, Veneto, 0</v>
      </c>
      <c r="H2">
        <f>COUNTIF(Agibility!A:A,UniqueID!A2)</f>
        <v>1</v>
      </c>
      <c r="I2" s="37">
        <f>COUNTIF(Wine1!A:A,UniqueID!A2)</f>
        <v>0</v>
      </c>
      <c r="J2" s="37">
        <f>COUNTIF(Drank!A:A,UniqueID!A2)</f>
        <v>1</v>
      </c>
      <c r="K2">
        <f>IF(I2&lt;1,VLOOKUP(A2,Drank!A:S,19,FALSE),VLOOKUP(A2,Wine1!A:AI,26,FALSE))</f>
        <v>86</v>
      </c>
      <c r="L2">
        <f>IF(I2&lt;1,VLOOKUP(A2,Drank!A:Z,25,FALSE),VLOOKUP(A2,Wine1!A:AI,35,FALSE))</f>
        <v>9.9700000000000006</v>
      </c>
      <c r="M2">
        <f t="shared" ref="M2:M65" si="0">IF(K2&gt;96,4,IF(K2&gt;92,3,IF(K2&gt;=90,2,1)))</f>
        <v>1</v>
      </c>
      <c r="N2" s="37">
        <f>IFERROR(1/K2,0)</f>
        <v>1.1627906976744186E-2</v>
      </c>
      <c r="O2" s="37">
        <f>IF(N2&gt;0,K2*0.01*L2,0)</f>
        <v>8.5742000000000012</v>
      </c>
      <c r="P2">
        <f>IF(N2&gt;0,M2,IF(L2&gt;=64.99,4,IF(L2&gt;=Expenses!C31,3,IF(UniqueID!L2&gt;=Expenses!C30,2,1))))</f>
        <v>1</v>
      </c>
      <c r="Q2">
        <f>IF(O2&gt;=64.99,4,IF(N2&gt;0,M2,IF(L2&gt;=64.99,4,IF(L2&gt;=Expenses!C31,3,IF(UniqueID!L2&gt;=Expenses!C30,2,1)))))</f>
        <v>1</v>
      </c>
    </row>
    <row r="3" spans="1:19" x14ac:dyDescent="0.25">
      <c r="A3" t="s">
        <v>693</v>
      </c>
      <c r="C3" s="37" t="str">
        <f>IF(I3&gt;0,VLOOKUP(A3,Wine1!A:H,6,FALSE),VLOOKUP(A3,Drank!A:H,6,FALSE))</f>
        <v>France</v>
      </c>
      <c r="D3" s="37" t="str">
        <f>IF(I3&gt;0,VLOOKUP(A3,Wine1!A:H,7,FALSE),VLOOKUP(A3,Drank!A:H,7,FALSE))</f>
        <v>Provence</v>
      </c>
      <c r="E3" s="37">
        <f>IF(I3&gt;0,VLOOKUP(A3,Wine1!A:H,8,FALSE),VLOOKUP(A3,Drank!A:H,8,FALSE))</f>
        <v>0</v>
      </c>
      <c r="F3" s="37" t="str">
        <f t="shared" ref="F3:F66" si="1">CONCATENATE(C3,", ",D3)</f>
        <v>France, Provence</v>
      </c>
      <c r="G3" s="37" t="str">
        <f t="shared" ref="G3:G66" si="2">CONCATENATE(C3,", ",D3,", ",E3)</f>
        <v>France, Provence, 0</v>
      </c>
      <c r="H3" s="37">
        <f>COUNTIF(Agibility!A:A,UniqueID!A3)</f>
        <v>1</v>
      </c>
      <c r="I3" s="37">
        <f>COUNTIF(Wine1!A:A,UniqueID!A3)</f>
        <v>0</v>
      </c>
      <c r="J3" s="37">
        <f>COUNTIF(Drank!A:A,UniqueID!A3)</f>
        <v>1</v>
      </c>
      <c r="K3" s="37">
        <f>IF(I3&lt;1,VLOOKUP(A3,Drank!A:S,19,FALSE),VLOOKUP(A3,Wine1!A:AI,26,FALSE))</f>
        <v>86</v>
      </c>
      <c r="L3" s="37">
        <f>IF(I3&lt;1,VLOOKUP(A3,Drank!A:Z,25,FALSE),VLOOKUP(A3,Wine1!A:AI,35,FALSE))</f>
        <v>15.97</v>
      </c>
      <c r="M3" s="37">
        <f t="shared" si="0"/>
        <v>1</v>
      </c>
      <c r="N3" s="37">
        <f>IFERROR(1/K3,0)</f>
        <v>1.1627906976744186E-2</v>
      </c>
      <c r="O3" s="37">
        <f>IF(N3&gt;0,K3*0.01*L3,0)</f>
        <v>13.7342</v>
      </c>
      <c r="P3" s="37">
        <f>IF(N3&gt;0,M3,IF(L3&gt;=64.99,4,IF(L3&gt;=Expenses!C32,3,IF(UniqueID!L3&gt;=Expenses!C31,2,1))))</f>
        <v>1</v>
      </c>
      <c r="Q3" s="37">
        <f>IF(O3&gt;=64.99,4,IF(N3&gt;0,M3,IF(L3&gt;=64.99,4,IF(L3&gt;=Expenses!C32,3,IF(UniqueID!L3&gt;=Expenses!C31,2,1)))))</f>
        <v>1</v>
      </c>
      <c r="R3" s="37"/>
      <c r="S3" s="37"/>
    </row>
    <row r="4" spans="1:19" x14ac:dyDescent="0.25">
      <c r="A4" t="s">
        <v>438</v>
      </c>
      <c r="C4" s="37" t="str">
        <f>IF(I4&gt;0,VLOOKUP(A4,Wine1!A:H,6,FALSE),VLOOKUP(A4,Drank!A:H,6,FALSE))</f>
        <v>Italy</v>
      </c>
      <c r="D4" s="37" t="str">
        <f>IF(I4&gt;0,VLOOKUP(A4,Wine1!A:H,7,FALSE),VLOOKUP(A4,Drank!A:H,7,FALSE))</f>
        <v>Tuscany</v>
      </c>
      <c r="E4" s="37" t="str">
        <f>IF(I4&gt;0,VLOOKUP(A4,Wine1!A:H,8,FALSE),VLOOKUP(A4,Drank!A:H,8,FALSE))</f>
        <v>San Gimignano</v>
      </c>
      <c r="F4" s="37" t="str">
        <f t="shared" si="1"/>
        <v>Italy, Tuscany</v>
      </c>
      <c r="G4" s="37" t="str">
        <f t="shared" si="2"/>
        <v>Italy, Tuscany, San Gimignano</v>
      </c>
      <c r="H4" s="37">
        <f>COUNTIF(Agibility!A:A,UniqueID!A4)</f>
        <v>1</v>
      </c>
      <c r="I4" s="37">
        <f>COUNTIF(Wine1!A:A,UniqueID!A4)</f>
        <v>0</v>
      </c>
      <c r="J4" s="37">
        <f>COUNTIF(Drank!A:A,UniqueID!A4)</f>
        <v>8</v>
      </c>
      <c r="K4" s="37">
        <f>IF(I4&lt;1,VLOOKUP(A4,Drank!A:S,19,FALSE),VLOOKUP(A4,Wine1!A:AI,26,FALSE))</f>
        <v>90.375</v>
      </c>
      <c r="L4" s="37">
        <f>IF(I4&lt;1,VLOOKUP(A4,Drank!A:Z,25,FALSE),VLOOKUP(A4,Wine1!A:AI,35,FALSE))</f>
        <v>11.69</v>
      </c>
      <c r="M4" s="37">
        <f t="shared" si="0"/>
        <v>2</v>
      </c>
      <c r="N4" s="37">
        <f t="shared" ref="N4:N67" si="3">IFERROR(1/K4,0)</f>
        <v>1.1065006915629323E-2</v>
      </c>
      <c r="O4" s="37">
        <f t="shared" ref="O4:O67" si="4">IF(N4&gt;0,K4*0.01*L4,0)</f>
        <v>10.564837499999999</v>
      </c>
      <c r="P4" s="37">
        <f>IF(N4&gt;0,M4,IF(L4&gt;=64.99,4,IF(L4&gt;=Expenses!C33,3,IF(UniqueID!L4&gt;=Expenses!C32,2,1))))</f>
        <v>2</v>
      </c>
      <c r="Q4" s="37">
        <f>IF(O4&gt;=64.99,4,IF(N4&gt;0,M4,IF(L4&gt;=64.99,4,IF(L4&gt;=Expenses!C33,3,IF(UniqueID!L4&gt;=Expenses!C32,2,1)))))</f>
        <v>2</v>
      </c>
      <c r="R4" s="37"/>
      <c r="S4" s="37"/>
    </row>
    <row r="5" spans="1:19" x14ac:dyDescent="0.25">
      <c r="A5" t="s">
        <v>696</v>
      </c>
      <c r="C5" s="37" t="str">
        <f>IF(I5&gt;0,VLOOKUP(A5,Wine1!A:H,6,FALSE),VLOOKUP(A5,Drank!A:H,6,FALSE))</f>
        <v>Portugal</v>
      </c>
      <c r="D5" s="37" t="str">
        <f>IF(I5&gt;0,VLOOKUP(A5,Wine1!A:H,7,FALSE),VLOOKUP(A5,Drank!A:H,7,FALSE))</f>
        <v>Dao</v>
      </c>
      <c r="E5" s="37">
        <f>IF(I5&gt;0,VLOOKUP(A5,Wine1!A:H,8,FALSE),VLOOKUP(A5,Drank!A:H,8,FALSE))</f>
        <v>0</v>
      </c>
      <c r="F5" s="37" t="str">
        <f t="shared" si="1"/>
        <v>Portugal, Dao</v>
      </c>
      <c r="G5" s="37" t="str">
        <f t="shared" si="2"/>
        <v>Portugal, Dao, 0</v>
      </c>
      <c r="H5" s="37">
        <f>COUNTIF(Agibility!A:A,UniqueID!A5)</f>
        <v>1</v>
      </c>
      <c r="I5" s="37">
        <f>COUNTIF(Wine1!A:A,UniqueID!A5)</f>
        <v>1</v>
      </c>
      <c r="J5" s="37">
        <f>COUNTIF(Drank!A:A,UniqueID!A5)</f>
        <v>3</v>
      </c>
      <c r="K5" s="37">
        <f>IF(I5&lt;1,VLOOKUP(A5,Drank!A:S,19,FALSE),VLOOKUP(A5,Wine1!A:AI,26,FALSE))</f>
        <v>88</v>
      </c>
      <c r="L5" s="37">
        <f>IF(I5&lt;1,VLOOKUP(A5,Drank!A:Z,25,FALSE),VLOOKUP(A5,Wine1!A:AI,35,FALSE))</f>
        <v>9.99</v>
      </c>
      <c r="M5" s="37">
        <f t="shared" si="0"/>
        <v>1</v>
      </c>
      <c r="N5" s="37">
        <f t="shared" si="3"/>
        <v>1.1363636363636364E-2</v>
      </c>
      <c r="O5" s="37">
        <f t="shared" si="4"/>
        <v>8.7911999999999999</v>
      </c>
      <c r="P5" s="37">
        <f>IF(N5&gt;0,M5,IF(L5&gt;=64.99,4,IF(L5&gt;=Expenses!C34,3,IF(UniqueID!L5&gt;=Expenses!C33,2,1))))</f>
        <v>1</v>
      </c>
      <c r="Q5" s="37">
        <f>IF(O5&gt;=64.99,4,IF(N5&gt;0,M5,IF(L5&gt;=64.99,4,IF(L5&gt;=Expenses!C34,3,IF(UniqueID!L5&gt;=Expenses!C33,2,1)))))</f>
        <v>1</v>
      </c>
      <c r="R5" s="37"/>
      <c r="S5" s="37"/>
    </row>
    <row r="6" spans="1:19" x14ac:dyDescent="0.25">
      <c r="A6" t="s">
        <v>521</v>
      </c>
      <c r="C6" s="37" t="str">
        <f>IF(I6&gt;0,VLOOKUP(A6,Wine1!A:H,6,FALSE),VLOOKUP(A6,Drank!A:H,6,FALSE))</f>
        <v>Italy</v>
      </c>
      <c r="D6" s="37" t="str">
        <f>IF(I6&gt;0,VLOOKUP(A6,Wine1!A:H,7,FALSE),VLOOKUP(A6,Drank!A:H,7,FALSE))</f>
        <v>Piedmont</v>
      </c>
      <c r="E6" s="37" t="str">
        <f>IF(I6&gt;0,VLOOKUP(A6,Wine1!A:H,8,FALSE),VLOOKUP(A6,Drank!A:H,8,FALSE))</f>
        <v>Barolo, Serralunga d'Alba</v>
      </c>
      <c r="F6" s="37" t="str">
        <f t="shared" si="1"/>
        <v>Italy, Piedmont</v>
      </c>
      <c r="G6" s="37" t="str">
        <f t="shared" si="2"/>
        <v>Italy, Piedmont, Barolo, Serralunga d'Alba</v>
      </c>
      <c r="H6" s="37">
        <f>COUNTIF(Agibility!A:A,UniqueID!A6)</f>
        <v>1</v>
      </c>
      <c r="I6" s="37">
        <f>COUNTIF(Wine1!A:A,UniqueID!A6)</f>
        <v>7</v>
      </c>
      <c r="J6" s="37">
        <f>COUNTIF(Drank!A:A,UniqueID!A6)</f>
        <v>2</v>
      </c>
      <c r="K6" s="37">
        <f>IF(I6&lt;1,VLOOKUP(A6,Drank!A:S,19,FALSE),VLOOKUP(A6,Wine1!A:AI,26,FALSE))</f>
        <v>91.5</v>
      </c>
      <c r="L6" s="37">
        <f>IF(I6&lt;1,VLOOKUP(A6,Drank!A:Z,25,FALSE),VLOOKUP(A6,Wine1!A:AI,35,FALSE))</f>
        <v>24.742500000000003</v>
      </c>
      <c r="M6" s="37">
        <f t="shared" si="0"/>
        <v>2</v>
      </c>
      <c r="N6" s="37">
        <f t="shared" si="3"/>
        <v>1.092896174863388E-2</v>
      </c>
      <c r="O6" s="37">
        <f t="shared" si="4"/>
        <v>22.639387500000005</v>
      </c>
      <c r="P6" s="37">
        <f>IF(N6&gt;0,M6,IF(L6&gt;=64.99,4,IF(L6&gt;=Expenses!C35,3,IF(UniqueID!L6&gt;=Expenses!C34,2,1))))</f>
        <v>2</v>
      </c>
      <c r="Q6" s="37">
        <f>IF(O6&gt;=64.99,4,IF(N6&gt;0,M6,IF(L6&gt;=64.99,4,IF(L6&gt;=Expenses!C35,3,IF(UniqueID!L6&gt;=Expenses!C34,2,1)))))</f>
        <v>2</v>
      </c>
      <c r="R6" s="37"/>
      <c r="S6" s="37"/>
    </row>
    <row r="7" spans="1:19" x14ac:dyDescent="0.25">
      <c r="A7" t="s">
        <v>462</v>
      </c>
      <c r="C7" s="37" t="str">
        <f>IF(I7&gt;0,VLOOKUP(A7,Wine1!A:H,6,FALSE),VLOOKUP(A7,Drank!A:H,6,FALSE))</f>
        <v>Spain</v>
      </c>
      <c r="D7" s="37" t="str">
        <f>IF(I7&gt;0,VLOOKUP(A7,Wine1!A:H,7,FALSE),VLOOKUP(A7,Drank!A:H,7,FALSE))</f>
        <v>Andalucia</v>
      </c>
      <c r="E7" s="37" t="str">
        <f>IF(I7&gt;0,VLOOKUP(A7,Wine1!A:H,8,FALSE),VLOOKUP(A7,Drank!A:H,8,FALSE))</f>
        <v>Montilla-Moriles</v>
      </c>
      <c r="F7" s="37" t="str">
        <f t="shared" si="1"/>
        <v>Spain, Andalucia</v>
      </c>
      <c r="G7" s="37" t="str">
        <f t="shared" si="2"/>
        <v>Spain, Andalucia, Montilla-Moriles</v>
      </c>
      <c r="H7" s="37">
        <f>COUNTIF(Agibility!A:A,UniqueID!A7)</f>
        <v>1</v>
      </c>
      <c r="I7" s="37">
        <f>COUNTIF(Wine1!A:A,UniqueID!A7)</f>
        <v>1</v>
      </c>
      <c r="J7" s="37">
        <f>COUNTIF(Drank!A:A,UniqueID!A7)</f>
        <v>1</v>
      </c>
      <c r="K7" s="37">
        <f>IF(I7&lt;1,VLOOKUP(A7,Drank!A:S,19,FALSE),VLOOKUP(A7,Wine1!A:AI,26,FALSE))</f>
        <v>95</v>
      </c>
      <c r="L7" s="37">
        <f>IF(I7&lt;1,VLOOKUP(A7,Drank!A:Z,25,FALSE),VLOOKUP(A7,Wine1!A:AI,35,FALSE))</f>
        <v>150</v>
      </c>
      <c r="M7" s="37">
        <f t="shared" si="0"/>
        <v>3</v>
      </c>
      <c r="N7" s="37">
        <f t="shared" si="3"/>
        <v>1.0526315789473684E-2</v>
      </c>
      <c r="O7" s="37">
        <f t="shared" si="4"/>
        <v>142.5</v>
      </c>
      <c r="P7" s="37">
        <f>IF(N7&gt;0,M7,IF(L7&gt;=64.99,4,IF(L7&gt;=Expenses!C36,3,IF(UniqueID!L7&gt;=Expenses!C35,2,1))))</f>
        <v>3</v>
      </c>
      <c r="Q7" s="37">
        <f>IF(O7&gt;=64.99,4,IF(N7&gt;0,M7,IF(L7&gt;=64.99,4,IF(L7&gt;=Expenses!C36,3,IF(UniqueID!L7&gt;=Expenses!C35,2,1)))))</f>
        <v>4</v>
      </c>
      <c r="R7" s="37"/>
      <c r="S7" s="37"/>
    </row>
    <row r="8" spans="1:19" x14ac:dyDescent="0.25">
      <c r="A8" t="s">
        <v>463</v>
      </c>
      <c r="C8" s="37" t="str">
        <f>IF(I8&gt;0,VLOOKUP(A8,Wine1!A:H,6,FALSE),VLOOKUP(A8,Drank!A:H,6,FALSE))</f>
        <v>Italy</v>
      </c>
      <c r="D8" s="37" t="str">
        <f>IF(I8&gt;0,VLOOKUP(A8,Wine1!A:H,7,FALSE),VLOOKUP(A8,Drank!A:H,7,FALSE))</f>
        <v>Veneto</v>
      </c>
      <c r="E8" s="37" t="str">
        <f>IF(I8&gt;0,VLOOKUP(A8,Wine1!A:H,8,FALSE),VLOOKUP(A8,Drank!A:H,8,FALSE))</f>
        <v>Valpolicella Classico</v>
      </c>
      <c r="F8" s="37" t="str">
        <f t="shared" si="1"/>
        <v>Italy, Veneto</v>
      </c>
      <c r="G8" s="37" t="str">
        <f t="shared" si="2"/>
        <v>Italy, Veneto, Valpolicella Classico</v>
      </c>
      <c r="H8" s="37">
        <f>COUNTIF(Agibility!A:A,UniqueID!A8)</f>
        <v>1</v>
      </c>
      <c r="I8" s="37">
        <f>COUNTIF(Wine1!A:A,UniqueID!A8)</f>
        <v>0</v>
      </c>
      <c r="J8" s="37">
        <f>COUNTIF(Drank!A:A,UniqueID!A8)</f>
        <v>2</v>
      </c>
      <c r="K8" s="37">
        <f>IF(I8&lt;1,VLOOKUP(A8,Drank!A:S,19,FALSE),VLOOKUP(A8,Wine1!A:AI,26,FALSE))</f>
        <v>90</v>
      </c>
      <c r="L8" s="37">
        <f>IF(I8&lt;1,VLOOKUP(A8,Drank!A:Z,25,FALSE),VLOOKUP(A8,Wine1!A:AI,35,FALSE))</f>
        <v>26.999999999999996</v>
      </c>
      <c r="M8" s="37">
        <f t="shared" si="0"/>
        <v>2</v>
      </c>
      <c r="N8" s="37">
        <f t="shared" si="3"/>
        <v>1.1111111111111112E-2</v>
      </c>
      <c r="O8" s="37">
        <f t="shared" si="4"/>
        <v>24.299999999999997</v>
      </c>
      <c r="P8" s="37">
        <f>IF(N8&gt;0,M8,IF(L8&gt;=64.99,4,IF(L8&gt;=Expenses!C37,3,IF(UniqueID!L8&gt;=Expenses!C36,2,1))))</f>
        <v>2</v>
      </c>
      <c r="Q8" s="37">
        <f>IF(O8&gt;=64.99,4,IF(N8&gt;0,M8,IF(L8&gt;=64.99,4,IF(L8&gt;=Expenses!C37,3,IF(UniqueID!L8&gt;=Expenses!C36,2,1)))))</f>
        <v>2</v>
      </c>
      <c r="R8" s="37"/>
      <c r="S8" s="37"/>
    </row>
    <row r="9" spans="1:19" x14ac:dyDescent="0.25">
      <c r="A9" t="s">
        <v>461</v>
      </c>
      <c r="C9" s="37" t="str">
        <f>IF(I9&gt;0,VLOOKUP(A9,Wine1!A:H,6,FALSE),VLOOKUP(A9,Drank!A:H,6,FALSE))</f>
        <v>Italy</v>
      </c>
      <c r="D9" s="37" t="str">
        <f>IF(I9&gt;0,VLOOKUP(A9,Wine1!A:H,7,FALSE),VLOOKUP(A9,Drank!A:H,7,FALSE))</f>
        <v>Veneto</v>
      </c>
      <c r="E9" s="37" t="str">
        <f>IF(I9&gt;0,VLOOKUP(A9,Wine1!A:H,8,FALSE),VLOOKUP(A9,Drank!A:H,8,FALSE))</f>
        <v>Valpolicella</v>
      </c>
      <c r="F9" s="37" t="str">
        <f t="shared" si="1"/>
        <v>Italy, Veneto</v>
      </c>
      <c r="G9" s="37" t="str">
        <f t="shared" si="2"/>
        <v>Italy, Veneto, Valpolicella</v>
      </c>
      <c r="H9" s="37">
        <f>COUNTIF(Agibility!A:A,UniqueID!A9)</f>
        <v>1</v>
      </c>
      <c r="I9" s="37">
        <f>COUNTIF(Wine1!A:A,UniqueID!A9)</f>
        <v>0</v>
      </c>
      <c r="J9" s="37">
        <f>COUNTIF(Drank!A:A,UniqueID!A9)</f>
        <v>1</v>
      </c>
      <c r="K9" s="37">
        <f>IF(I9&lt;1,VLOOKUP(A9,Drank!A:S,19,FALSE),VLOOKUP(A9,Wine1!A:AI,26,FALSE))</f>
        <v>90</v>
      </c>
      <c r="L9" s="37">
        <f>IF(I9&lt;1,VLOOKUP(A9,Drank!A:Z,25,FALSE),VLOOKUP(A9,Wine1!A:AI,35,FALSE))</f>
        <v>59.989999999999995</v>
      </c>
      <c r="M9" s="37">
        <f t="shared" si="0"/>
        <v>2</v>
      </c>
      <c r="N9" s="37">
        <f t="shared" si="3"/>
        <v>1.1111111111111112E-2</v>
      </c>
      <c r="O9" s="37">
        <f t="shared" si="4"/>
        <v>53.991</v>
      </c>
      <c r="P9" s="37">
        <f>IF(N9&gt;0,M9,IF(L9&gt;=64.99,4,IF(L9&gt;=Expenses!C38,3,IF(UniqueID!L9&gt;=Expenses!C37,2,1))))</f>
        <v>2</v>
      </c>
      <c r="Q9" s="37">
        <f>IF(O9&gt;=64.99,4,IF(N9&gt;0,M9,IF(L9&gt;=64.99,4,IF(L9&gt;=Expenses!C38,3,IF(UniqueID!L9&gt;=Expenses!C37,2,1)))))</f>
        <v>2</v>
      </c>
      <c r="R9" s="37"/>
      <c r="S9" s="37"/>
    </row>
    <row r="10" spans="1:19" x14ac:dyDescent="0.25">
      <c r="A10" t="s">
        <v>1218</v>
      </c>
      <c r="C10" s="37" t="str">
        <f>IF(I10&gt;0,VLOOKUP(A10,Wine1!A:H,6,FALSE),VLOOKUP(A10,Drank!A:H,6,FALSE))</f>
        <v>Spain</v>
      </c>
      <c r="D10" s="37" t="str">
        <f>IF(I10&gt;0,VLOOKUP(A10,Wine1!A:H,7,FALSE),VLOOKUP(A10,Drank!A:H,7,FALSE))</f>
        <v>Rioja</v>
      </c>
      <c r="E10" s="37">
        <f>IF(I10&gt;0,VLOOKUP(A10,Wine1!A:H,8,FALSE),VLOOKUP(A10,Drank!A:H,8,FALSE))</f>
        <v>0</v>
      </c>
      <c r="F10" s="37" t="str">
        <f t="shared" si="1"/>
        <v>Spain, Rioja</v>
      </c>
      <c r="G10" s="37" t="str">
        <f t="shared" si="2"/>
        <v>Spain, Rioja, 0</v>
      </c>
      <c r="H10" s="37">
        <f>COUNTIF(Agibility!A:A,UniqueID!A10)</f>
        <v>1</v>
      </c>
      <c r="I10" s="37">
        <f>COUNTIF(Wine1!A:A,UniqueID!A10)</f>
        <v>1</v>
      </c>
      <c r="J10" s="37">
        <f>COUNTIF(Drank!A:A,UniqueID!A10)</f>
        <v>3</v>
      </c>
      <c r="K10" s="37">
        <f>IF(I10&lt;1,VLOOKUP(A10,Drank!A:S,19,FALSE),VLOOKUP(A10,Wine1!A:AI,26,FALSE))</f>
        <v>91</v>
      </c>
      <c r="L10" s="37">
        <f>IF(I10&lt;1,VLOOKUP(A10,Drank!A:Z,25,FALSE),VLOOKUP(A10,Wine1!A:AI,35,FALSE))</f>
        <v>16.989999999999998</v>
      </c>
      <c r="M10" s="37">
        <f t="shared" si="0"/>
        <v>2</v>
      </c>
      <c r="N10" s="37">
        <f t="shared" si="3"/>
        <v>1.098901098901099E-2</v>
      </c>
      <c r="O10" s="37">
        <f t="shared" si="4"/>
        <v>15.460899999999999</v>
      </c>
      <c r="P10" s="37">
        <f>IF(N10&gt;0,M10,IF(L10&gt;=64.99,4,IF(L10&gt;=Expenses!C39,3,IF(UniqueID!L10&gt;=Expenses!C38,2,1))))</f>
        <v>2</v>
      </c>
      <c r="Q10" s="37">
        <f>IF(O10&gt;=64.99,4,IF(N10&gt;0,M10,IF(L10&gt;=64.99,4,IF(L10&gt;=Expenses!C39,3,IF(UniqueID!L10&gt;=Expenses!C38,2,1)))))</f>
        <v>2</v>
      </c>
      <c r="R10" s="37"/>
      <c r="S10" s="37"/>
    </row>
    <row r="11" spans="1:19" x14ac:dyDescent="0.25">
      <c r="A11" t="s">
        <v>1276</v>
      </c>
      <c r="C11" s="37" t="str">
        <f>IF(I11&gt;0,VLOOKUP(A11,Wine1!A:H,6,FALSE),VLOOKUP(A11,Drank!A:H,6,FALSE))</f>
        <v>Spain</v>
      </c>
      <c r="D11" s="37" t="str">
        <f>IF(I11&gt;0,VLOOKUP(A11,Wine1!A:H,7,FALSE),VLOOKUP(A11,Drank!A:H,7,FALSE))</f>
        <v>Rioja</v>
      </c>
      <c r="E11" s="37" t="str">
        <f>IF(I11&gt;0,VLOOKUP(A11,Wine1!A:H,8,FALSE),VLOOKUP(A11,Drank!A:H,8,FALSE))</f>
        <v>Alta</v>
      </c>
      <c r="F11" s="37" t="str">
        <f t="shared" si="1"/>
        <v>Spain, Rioja</v>
      </c>
      <c r="G11" s="37" t="str">
        <f t="shared" si="2"/>
        <v>Spain, Rioja, Alta</v>
      </c>
      <c r="H11" s="37">
        <f>COUNTIF(Agibility!A:A,UniqueID!A11)</f>
        <v>1</v>
      </c>
      <c r="I11" s="37">
        <f>COUNTIF(Wine1!A:A,UniqueID!A11)</f>
        <v>0</v>
      </c>
      <c r="J11" s="37">
        <f>COUNTIF(Drank!A:A,UniqueID!A11)</f>
        <v>3</v>
      </c>
      <c r="K11" s="37">
        <f>IF(I11&lt;1,VLOOKUP(A11,Drank!A:S,19,FALSE),VLOOKUP(A11,Wine1!A:AI,26,FALSE))</f>
        <v>90</v>
      </c>
      <c r="L11" s="37">
        <f>IF(I11&lt;1,VLOOKUP(A11,Drank!A:Z,25,FALSE),VLOOKUP(A11,Wine1!A:AI,35,FALSE))</f>
        <v>8.49</v>
      </c>
      <c r="M11" s="37">
        <f t="shared" si="0"/>
        <v>2</v>
      </c>
      <c r="N11" s="37">
        <f t="shared" si="3"/>
        <v>1.1111111111111112E-2</v>
      </c>
      <c r="O11" s="37">
        <f t="shared" si="4"/>
        <v>7.641</v>
      </c>
      <c r="P11" s="37">
        <f>IF(N11&gt;0,M11,IF(L11&gt;=64.99,4,IF(L11&gt;=Expenses!C40,3,IF(UniqueID!L11&gt;=Expenses!C39,2,1))))</f>
        <v>2</v>
      </c>
      <c r="Q11" s="37">
        <f>IF(O11&gt;=64.99,4,IF(N11&gt;0,M11,IF(L11&gt;=64.99,4,IF(L11&gt;=Expenses!C40,3,IF(UniqueID!L11&gt;=Expenses!C39,2,1)))))</f>
        <v>2</v>
      </c>
      <c r="R11" s="37"/>
      <c r="S11" s="37"/>
    </row>
    <row r="12" spans="1:19" x14ac:dyDescent="0.25">
      <c r="A12" t="s">
        <v>465</v>
      </c>
      <c r="C12" s="37" t="str">
        <f>IF(I12&gt;0,VLOOKUP(A12,Wine1!A:H,6,FALSE),VLOOKUP(A12,Drank!A:H,6,FALSE))</f>
        <v>Italy</v>
      </c>
      <c r="D12" s="37" t="str">
        <f>IF(I12&gt;0,VLOOKUP(A12,Wine1!A:H,7,FALSE),VLOOKUP(A12,Drank!A:H,7,FALSE))</f>
        <v>Veneto</v>
      </c>
      <c r="E12" s="37" t="str">
        <f>IF(I12&gt;0,VLOOKUP(A12,Wine1!A:H,8,FALSE),VLOOKUP(A12,Drank!A:H,8,FALSE))</f>
        <v>Valpolicella Classico</v>
      </c>
      <c r="F12" s="37" t="str">
        <f t="shared" si="1"/>
        <v>Italy, Veneto</v>
      </c>
      <c r="G12" s="37" t="str">
        <f t="shared" si="2"/>
        <v>Italy, Veneto, Valpolicella Classico</v>
      </c>
      <c r="H12" s="37">
        <f>COUNTIF(Agibility!A:A,UniqueID!A12)</f>
        <v>1</v>
      </c>
      <c r="I12" s="37">
        <f>COUNTIF(Wine1!A:A,UniqueID!A12)</f>
        <v>0</v>
      </c>
      <c r="J12" s="37">
        <f>COUNTIF(Drank!A:A,UniqueID!A12)</f>
        <v>2</v>
      </c>
      <c r="K12" s="37">
        <f>IF(I12&lt;1,VLOOKUP(A12,Drank!A:S,19,FALSE),VLOOKUP(A12,Wine1!A:AI,26,FALSE))</f>
        <v>88</v>
      </c>
      <c r="L12" s="37">
        <f>IF(I12&lt;1,VLOOKUP(A12,Drank!A:Z,25,FALSE),VLOOKUP(A12,Wine1!A:AI,35,FALSE))</f>
        <v>14.39</v>
      </c>
      <c r="M12" s="37">
        <f t="shared" si="0"/>
        <v>1</v>
      </c>
      <c r="N12" s="37">
        <f t="shared" si="3"/>
        <v>1.1363636363636364E-2</v>
      </c>
      <c r="O12" s="37">
        <f t="shared" si="4"/>
        <v>12.6632</v>
      </c>
      <c r="P12" s="37">
        <f>IF(N12&gt;0,M12,IF(L12&gt;=64.99,4,IF(L12&gt;=Expenses!C41,3,IF(UniqueID!L12&gt;=Expenses!C40,2,1))))</f>
        <v>1</v>
      </c>
      <c r="Q12" s="37">
        <f>IF(O12&gt;=64.99,4,IF(N12&gt;0,M12,IF(L12&gt;=64.99,4,IF(L12&gt;=Expenses!C41,3,IF(UniqueID!L12&gt;=Expenses!C40,2,1)))))</f>
        <v>1</v>
      </c>
      <c r="R12" s="37"/>
      <c r="S12" s="37"/>
    </row>
    <row r="13" spans="1:19" x14ac:dyDescent="0.25">
      <c r="A13" t="s">
        <v>857</v>
      </c>
      <c r="C13" s="37" t="str">
        <f>IF(I13&gt;0,VLOOKUP(A13,Wine1!A:H,6,FALSE),VLOOKUP(A13,Drank!A:H,6,FALSE))</f>
        <v>Spain</v>
      </c>
      <c r="D13" s="37" t="str">
        <f>IF(I13&gt;0,VLOOKUP(A13,Wine1!A:H,7,FALSE),VLOOKUP(A13,Drank!A:H,7,FALSE))</f>
        <v>Aragon</v>
      </c>
      <c r="E13" s="37" t="str">
        <f>IF(I13&gt;0,VLOOKUP(A13,Wine1!A:H,8,FALSE),VLOOKUP(A13,Drank!A:H,8,FALSE))</f>
        <v>Campo de Borja</v>
      </c>
      <c r="F13" s="37" t="str">
        <f t="shared" si="1"/>
        <v>Spain, Aragon</v>
      </c>
      <c r="G13" s="37" t="str">
        <f t="shared" si="2"/>
        <v>Spain, Aragon, Campo de Borja</v>
      </c>
      <c r="H13" s="37">
        <f>COUNTIF(Agibility!A:A,UniqueID!A13)</f>
        <v>1</v>
      </c>
      <c r="I13" s="37">
        <f>COUNTIF(Wine1!A:A,UniqueID!A13)</f>
        <v>0</v>
      </c>
      <c r="J13" s="37">
        <f>COUNTIF(Drank!A:A,UniqueID!A13)</f>
        <v>8</v>
      </c>
      <c r="K13" s="37">
        <f>IF(I13&lt;1,VLOOKUP(A13,Drank!A:S,19,FALSE),VLOOKUP(A13,Wine1!A:AI,26,FALSE))</f>
        <v>88.125</v>
      </c>
      <c r="L13" s="37">
        <f>IF(I13&lt;1,VLOOKUP(A13,Drank!A:Z,25,FALSE),VLOOKUP(A13,Wine1!A:AI,35,FALSE))</f>
        <v>11.69</v>
      </c>
      <c r="M13" s="37">
        <f t="shared" si="0"/>
        <v>1</v>
      </c>
      <c r="N13" s="37">
        <f t="shared" si="3"/>
        <v>1.1347517730496455E-2</v>
      </c>
      <c r="O13" s="37">
        <f t="shared" si="4"/>
        <v>10.301812499999999</v>
      </c>
      <c r="P13" s="37">
        <f>IF(N13&gt;0,M13,IF(L13&gt;=64.99,4,IF(L13&gt;=Expenses!C42,3,IF(UniqueID!L13&gt;=Expenses!C41,2,1))))</f>
        <v>1</v>
      </c>
      <c r="Q13" s="37">
        <f>IF(O13&gt;=64.99,4,IF(N13&gt;0,M13,IF(L13&gt;=64.99,4,IF(L13&gt;=Expenses!C42,3,IF(UniqueID!L13&gt;=Expenses!C41,2,1)))))</f>
        <v>1</v>
      </c>
      <c r="R13" s="37"/>
      <c r="S13" s="37"/>
    </row>
    <row r="14" spans="1:19" x14ac:dyDescent="0.25">
      <c r="A14" t="s">
        <v>466</v>
      </c>
      <c r="C14" s="37" t="str">
        <f>IF(I14&gt;0,VLOOKUP(A14,Wine1!A:H,6,FALSE),VLOOKUP(A14,Drank!A:H,6,FALSE))</f>
        <v>France</v>
      </c>
      <c r="D14" s="37" t="str">
        <f>IF(I14&gt;0,VLOOKUP(A14,Wine1!A:H,7,FALSE),VLOOKUP(A14,Drank!A:H,7,FALSE))</f>
        <v>Languedoc-Rousillon</v>
      </c>
      <c r="E14" s="37" t="str">
        <f>IF(I14&gt;0,VLOOKUP(A14,Wine1!A:H,8,FALSE),VLOOKUP(A14,Drank!A:H,8,FALSE))</f>
        <v>La Clape</v>
      </c>
      <c r="F14" s="37" t="str">
        <f t="shared" si="1"/>
        <v>France, Languedoc-Rousillon</v>
      </c>
      <c r="G14" s="37" t="str">
        <f t="shared" si="2"/>
        <v>France, Languedoc-Rousillon, La Clape</v>
      </c>
      <c r="H14" s="37">
        <f>COUNTIF(Agibility!A:A,UniqueID!A14)</f>
        <v>1</v>
      </c>
      <c r="I14" s="37">
        <f>COUNTIF(Wine1!A:A,UniqueID!A14)</f>
        <v>1</v>
      </c>
      <c r="J14" s="37">
        <f>COUNTIF(Drank!A:A,UniqueID!A14)</f>
        <v>5</v>
      </c>
      <c r="K14" s="37">
        <f>IF(I14&lt;1,VLOOKUP(A14,Drank!A:S,19,FALSE),VLOOKUP(A14,Wine1!A:AI,26,FALSE))</f>
        <v>89.8</v>
      </c>
      <c r="L14" s="37">
        <f>IF(I14&lt;1,VLOOKUP(A14,Drank!A:Z,25,FALSE),VLOOKUP(A14,Wine1!A:AI,35,FALSE))</f>
        <v>12.989999999999998</v>
      </c>
      <c r="M14" s="37">
        <f t="shared" si="0"/>
        <v>1</v>
      </c>
      <c r="N14" s="37">
        <f t="shared" si="3"/>
        <v>1.1135857461024499E-2</v>
      </c>
      <c r="O14" s="37">
        <f t="shared" si="4"/>
        <v>11.665019999999998</v>
      </c>
      <c r="P14" s="37">
        <f>IF(N14&gt;0,M14,IF(L14&gt;=64.99,4,IF(L14&gt;=Expenses!C43,3,IF(UniqueID!L14&gt;=Expenses!C42,2,1))))</f>
        <v>1</v>
      </c>
      <c r="Q14" s="37">
        <f>IF(O14&gt;=64.99,4,IF(N14&gt;0,M14,IF(L14&gt;=64.99,4,IF(L14&gt;=Expenses!C43,3,IF(UniqueID!L14&gt;=Expenses!C42,2,1)))))</f>
        <v>1</v>
      </c>
      <c r="R14" s="37"/>
      <c r="S14" s="37"/>
    </row>
    <row r="15" spans="1:19" x14ac:dyDescent="0.25">
      <c r="A15" t="s">
        <v>467</v>
      </c>
      <c r="C15" s="37" t="str">
        <f>IF(I15&gt;0,VLOOKUP(A15,Wine1!A:H,6,FALSE),VLOOKUP(A15,Drank!A:H,6,FALSE))</f>
        <v>Italy</v>
      </c>
      <c r="D15" s="37" t="str">
        <f>IF(I15&gt;0,VLOOKUP(A15,Wine1!A:H,7,FALSE),VLOOKUP(A15,Drank!A:H,7,FALSE))</f>
        <v>Veneto</v>
      </c>
      <c r="E15" s="37" t="str">
        <f>IF(I15&gt;0,VLOOKUP(A15,Wine1!A:H,8,FALSE),VLOOKUP(A15,Drank!A:H,8,FALSE))</f>
        <v>Veneto IGT</v>
      </c>
      <c r="F15" s="37" t="str">
        <f t="shared" si="1"/>
        <v>Italy, Veneto</v>
      </c>
      <c r="G15" s="37" t="str">
        <f t="shared" si="2"/>
        <v>Italy, Veneto, Veneto IGT</v>
      </c>
      <c r="H15" s="37">
        <f>COUNTIF(Agibility!A:A,UniqueID!A15)</f>
        <v>1</v>
      </c>
      <c r="I15" s="37">
        <f>COUNTIF(Wine1!A:A,UniqueID!A15)</f>
        <v>0</v>
      </c>
      <c r="J15" s="37">
        <f>COUNTIF(Drank!A:A,UniqueID!A15)</f>
        <v>2</v>
      </c>
      <c r="K15" s="37">
        <f>IF(I15&lt;1,VLOOKUP(A15,Drank!A:S,19,FALSE),VLOOKUP(A15,Wine1!A:AI,26,FALSE))</f>
        <v>87</v>
      </c>
      <c r="L15" s="37">
        <f>IF(I15&lt;1,VLOOKUP(A15,Drank!A:Z,25,FALSE),VLOOKUP(A15,Wine1!A:AI,35,FALSE))</f>
        <v>14.39</v>
      </c>
      <c r="M15" s="37">
        <f t="shared" si="0"/>
        <v>1</v>
      </c>
      <c r="N15" s="37">
        <f t="shared" si="3"/>
        <v>1.1494252873563218E-2</v>
      </c>
      <c r="O15" s="37">
        <f t="shared" si="4"/>
        <v>12.519300000000001</v>
      </c>
      <c r="P15" s="37">
        <f>IF(N15&gt;0,M15,IF(L15&gt;=64.99,4,IF(L15&gt;=Expenses!C44,3,IF(UniqueID!L15&gt;=Expenses!C43,2,1))))</f>
        <v>1</v>
      </c>
      <c r="Q15" s="37">
        <f>IF(O15&gt;=64.99,4,IF(N15&gt;0,M15,IF(L15&gt;=64.99,4,IF(L15&gt;=Expenses!C44,3,IF(UniqueID!L15&gt;=Expenses!C43,2,1)))))</f>
        <v>1</v>
      </c>
      <c r="R15" s="37"/>
      <c r="S15" s="37"/>
    </row>
    <row r="16" spans="1:19" x14ac:dyDescent="0.25">
      <c r="A16" t="s">
        <v>468</v>
      </c>
      <c r="C16" s="37" t="str">
        <f>IF(I16&gt;0,VLOOKUP(A16,Wine1!A:H,6,FALSE),VLOOKUP(A16,Drank!A:H,6,FALSE))</f>
        <v>USA</v>
      </c>
      <c r="D16" s="37" t="str">
        <f>IF(I16&gt;0,VLOOKUP(A16,Wine1!A:H,7,FALSE),VLOOKUP(A16,Drank!A:H,7,FALSE))</f>
        <v>California</v>
      </c>
      <c r="E16" s="37" t="str">
        <f>IF(I16&gt;0,VLOOKUP(A16,Wine1!A:H,8,FALSE),VLOOKUP(A16,Drank!A:H,8,FALSE))</f>
        <v>North Coast, Napa Valley</v>
      </c>
      <c r="F16" s="37" t="str">
        <f t="shared" si="1"/>
        <v>USA, California</v>
      </c>
      <c r="G16" s="37" t="str">
        <f t="shared" si="2"/>
        <v>USA, California, North Coast, Napa Valley</v>
      </c>
      <c r="H16" s="37">
        <f>COUNTIF(Agibility!A:A,UniqueID!A16)</f>
        <v>1</v>
      </c>
      <c r="I16" s="37">
        <f>COUNTIF(Wine1!A:A,UniqueID!A16)</f>
        <v>0</v>
      </c>
      <c r="J16" s="37">
        <f>COUNTIF(Drank!A:A,UniqueID!A16)</f>
        <v>1</v>
      </c>
      <c r="K16" s="37">
        <f>IF(I16&lt;1,VLOOKUP(A16,Drank!A:S,19,FALSE),VLOOKUP(A16,Wine1!A:AI,26,FALSE))</f>
        <v>93</v>
      </c>
      <c r="L16" s="37">
        <f>IF(I16&lt;1,VLOOKUP(A16,Drank!A:Z,25,FALSE),VLOOKUP(A16,Wine1!A:AI,35,FALSE))</f>
        <v>35</v>
      </c>
      <c r="M16" s="37">
        <f t="shared" si="0"/>
        <v>3</v>
      </c>
      <c r="N16" s="37">
        <f t="shared" si="3"/>
        <v>1.0752688172043012E-2</v>
      </c>
      <c r="O16" s="37">
        <f t="shared" si="4"/>
        <v>32.550000000000004</v>
      </c>
      <c r="P16" s="37">
        <f>IF(N16&gt;0,M16,IF(L16&gt;=64.99,4,IF(L16&gt;=Expenses!C45,3,IF(UniqueID!L16&gt;=Expenses!C44,2,1))))</f>
        <v>3</v>
      </c>
      <c r="Q16" s="37">
        <f>IF(O16&gt;=64.99,4,IF(N16&gt;0,M16,IF(L16&gt;=64.99,4,IF(L16&gt;=Expenses!C45,3,IF(UniqueID!L16&gt;=Expenses!C44,2,1)))))</f>
        <v>3</v>
      </c>
      <c r="R16" s="37"/>
      <c r="S16" s="37"/>
    </row>
    <row r="17" spans="1:19" x14ac:dyDescent="0.25">
      <c r="A17" t="s">
        <v>469</v>
      </c>
      <c r="C17" s="37" t="str">
        <f>IF(I17&gt;0,VLOOKUP(A17,Wine1!A:H,6,FALSE),VLOOKUP(A17,Drank!A:H,6,FALSE))</f>
        <v>USA</v>
      </c>
      <c r="D17" s="37" t="str">
        <f>IF(I17&gt;0,VLOOKUP(A17,Wine1!A:H,7,FALSE),VLOOKUP(A17,Drank!A:H,7,FALSE))</f>
        <v>California</v>
      </c>
      <c r="E17" s="37" t="str">
        <f>IF(I17&gt;0,VLOOKUP(A17,Wine1!A:H,8,FALSE),VLOOKUP(A17,Drank!A:H,8,FALSE))</f>
        <v>Central Coast, Santa Barbara</v>
      </c>
      <c r="F17" s="37" t="str">
        <f t="shared" si="1"/>
        <v>USA, California</v>
      </c>
      <c r="G17" s="37" t="str">
        <f t="shared" si="2"/>
        <v>USA, California, Central Coast, Santa Barbara</v>
      </c>
      <c r="H17" s="37">
        <f>COUNTIF(Agibility!A:A,UniqueID!A17)</f>
        <v>1</v>
      </c>
      <c r="I17" s="37">
        <f>COUNTIF(Wine1!A:A,UniqueID!A17)</f>
        <v>0</v>
      </c>
      <c r="J17" s="37">
        <f>COUNTIF(Drank!A:A,UniqueID!A17)</f>
        <v>1</v>
      </c>
      <c r="K17" s="37">
        <f>IF(I17&lt;1,VLOOKUP(A17,Drank!A:S,19,FALSE),VLOOKUP(A17,Wine1!A:AI,26,FALSE))</f>
        <v>91</v>
      </c>
      <c r="L17" s="37">
        <f>IF(I17&lt;1,VLOOKUP(A17,Drank!A:Z,25,FALSE),VLOOKUP(A17,Wine1!A:AI,35,FALSE))</f>
        <v>34</v>
      </c>
      <c r="M17" s="37">
        <f t="shared" si="0"/>
        <v>2</v>
      </c>
      <c r="N17" s="37">
        <f t="shared" si="3"/>
        <v>1.098901098901099E-2</v>
      </c>
      <c r="O17" s="37">
        <f t="shared" si="4"/>
        <v>30.94</v>
      </c>
      <c r="P17" s="37">
        <f>IF(N17&gt;0,M17,IF(L17&gt;=64.99,4,IF(L17&gt;=Expenses!C46,3,IF(UniqueID!L17&gt;=Expenses!C45,2,1))))</f>
        <v>2</v>
      </c>
      <c r="Q17" s="37">
        <f>IF(O17&gt;=64.99,4,IF(N17&gt;0,M17,IF(L17&gt;=64.99,4,IF(L17&gt;=Expenses!C46,3,IF(UniqueID!L17&gt;=Expenses!C45,2,1)))))</f>
        <v>2</v>
      </c>
      <c r="R17" s="37"/>
      <c r="S17" s="37"/>
    </row>
    <row r="18" spans="1:19" x14ac:dyDescent="0.25">
      <c r="A18" t="s">
        <v>470</v>
      </c>
      <c r="C18" s="37" t="str">
        <f>IF(I18&gt;0,VLOOKUP(A18,Wine1!A:H,6,FALSE),VLOOKUP(A18,Drank!A:H,6,FALSE))</f>
        <v>Italy</v>
      </c>
      <c r="D18" s="37" t="str">
        <f>IF(I18&gt;0,VLOOKUP(A18,Wine1!A:H,7,FALSE),VLOOKUP(A18,Drank!A:H,7,FALSE))</f>
        <v>Veneto</v>
      </c>
      <c r="E18" s="37" t="str">
        <f>IF(I18&gt;0,VLOOKUP(A18,Wine1!A:H,8,FALSE),VLOOKUP(A18,Drank!A:H,8,FALSE))</f>
        <v>Valpolicella Classico</v>
      </c>
      <c r="F18" s="37" t="str">
        <f t="shared" si="1"/>
        <v>Italy, Veneto</v>
      </c>
      <c r="G18" s="37" t="str">
        <f t="shared" si="2"/>
        <v>Italy, Veneto, Valpolicella Classico</v>
      </c>
      <c r="H18" s="37">
        <f>COUNTIF(Agibility!A:A,UniqueID!A18)</f>
        <v>1</v>
      </c>
      <c r="I18" s="37">
        <f>COUNTIF(Wine1!A:A,UniqueID!A18)</f>
        <v>1</v>
      </c>
      <c r="J18" s="37">
        <f>COUNTIF(Drank!A:A,UniqueID!A18)</f>
        <v>1</v>
      </c>
      <c r="K18" s="37">
        <f>IF(I18&lt;1,VLOOKUP(A18,Drank!A:S,19,FALSE),VLOOKUP(A18,Wine1!A:AI,26,FALSE))</f>
        <v>87</v>
      </c>
      <c r="L18" s="37">
        <f>IF(I18&lt;1,VLOOKUP(A18,Drank!A:Z,25,FALSE),VLOOKUP(A18,Wine1!A:AI,35,FALSE))</f>
        <v>16.190000000000001</v>
      </c>
      <c r="M18" s="37">
        <f t="shared" si="0"/>
        <v>1</v>
      </c>
      <c r="N18" s="37">
        <f t="shared" si="3"/>
        <v>1.1494252873563218E-2</v>
      </c>
      <c r="O18" s="37">
        <f t="shared" si="4"/>
        <v>14.0853</v>
      </c>
      <c r="P18" s="37">
        <f>IF(N18&gt;0,M18,IF(L18&gt;=64.99,4,IF(L18&gt;=Expenses!C47,3,IF(UniqueID!L18&gt;=Expenses!C46,2,1))))</f>
        <v>1</v>
      </c>
      <c r="Q18" s="37">
        <f>IF(O18&gt;=64.99,4,IF(N18&gt;0,M18,IF(L18&gt;=64.99,4,IF(L18&gt;=Expenses!C47,3,IF(UniqueID!L18&gt;=Expenses!C46,2,1)))))</f>
        <v>1</v>
      </c>
      <c r="R18" s="37"/>
      <c r="S18" s="37"/>
    </row>
    <row r="19" spans="1:19" x14ac:dyDescent="0.25">
      <c r="A19" t="s">
        <v>698</v>
      </c>
      <c r="C19" s="37" t="str">
        <f>IF(I19&gt;0,VLOOKUP(A19,Wine1!A:H,6,FALSE),VLOOKUP(A19,Drank!A:H,6,FALSE))</f>
        <v>Italy</v>
      </c>
      <c r="D19" s="37" t="str">
        <f>IF(I19&gt;0,VLOOKUP(A19,Wine1!A:H,7,FALSE),VLOOKUP(A19,Drank!A:H,7,FALSE))</f>
        <v>Veneto</v>
      </c>
      <c r="E19" s="37" t="str">
        <f>IF(I19&gt;0,VLOOKUP(A19,Wine1!A:H,8,FALSE),VLOOKUP(A19,Drank!A:H,8,FALSE))</f>
        <v>Valpolicella Classico</v>
      </c>
      <c r="F19" s="37" t="str">
        <f t="shared" si="1"/>
        <v>Italy, Veneto</v>
      </c>
      <c r="G19" s="37" t="str">
        <f t="shared" si="2"/>
        <v>Italy, Veneto, Valpolicella Classico</v>
      </c>
      <c r="H19" s="37">
        <f>COUNTIF(Agibility!A:A,UniqueID!A19)</f>
        <v>1</v>
      </c>
      <c r="I19" s="37">
        <f>COUNTIF(Wine1!A:A,UniqueID!A19)</f>
        <v>1</v>
      </c>
      <c r="J19" s="37">
        <f>COUNTIF(Drank!A:A,UniqueID!A19)</f>
        <v>1</v>
      </c>
      <c r="K19" s="37">
        <f>IF(I19&lt;1,VLOOKUP(A19,Drank!A:S,19,FALSE),VLOOKUP(A19,Wine1!A:AI,26,FALSE))</f>
        <v>90</v>
      </c>
      <c r="L19" s="37">
        <f>IF(I19&lt;1,VLOOKUP(A19,Drank!A:Z,25,FALSE),VLOOKUP(A19,Wine1!A:AI,35,FALSE))</f>
        <v>17.989999999999998</v>
      </c>
      <c r="M19" s="37">
        <f t="shared" si="0"/>
        <v>2</v>
      </c>
      <c r="N19" s="37">
        <f t="shared" si="3"/>
        <v>1.1111111111111112E-2</v>
      </c>
      <c r="O19" s="37">
        <f t="shared" si="4"/>
        <v>16.190999999999999</v>
      </c>
      <c r="P19" s="37">
        <f>IF(N19&gt;0,M19,IF(L19&gt;=64.99,4,IF(L19&gt;=Expenses!C48,3,IF(UniqueID!L19&gt;=Expenses!C47,2,1))))</f>
        <v>2</v>
      </c>
      <c r="Q19" s="37">
        <f>IF(O19&gt;=64.99,4,IF(N19&gt;0,M19,IF(L19&gt;=64.99,4,IF(L19&gt;=Expenses!C48,3,IF(UniqueID!L19&gt;=Expenses!C47,2,1)))))</f>
        <v>2</v>
      </c>
      <c r="R19" s="37"/>
      <c r="S19" s="37"/>
    </row>
    <row r="20" spans="1:19" x14ac:dyDescent="0.25">
      <c r="A20" t="s">
        <v>699</v>
      </c>
      <c r="C20" s="37" t="str">
        <f>IF(I20&gt;0,VLOOKUP(A20,Wine1!A:H,6,FALSE),VLOOKUP(A20,Drank!A:H,6,FALSE))</f>
        <v>Spain</v>
      </c>
      <c r="D20" s="37" t="str">
        <f>IF(I20&gt;0,VLOOKUP(A20,Wine1!A:H,7,FALSE),VLOOKUP(A20,Drank!A:H,7,FALSE))</f>
        <v>Castilla Y Leon</v>
      </c>
      <c r="E20" s="37" t="str">
        <f>IF(I20&gt;0,VLOOKUP(A20,Wine1!A:H,8,FALSE),VLOOKUP(A20,Drank!A:H,8,FALSE))</f>
        <v>Bierzo</v>
      </c>
      <c r="F20" s="37" t="str">
        <f t="shared" si="1"/>
        <v>Spain, Castilla Y Leon</v>
      </c>
      <c r="G20" s="37" t="str">
        <f t="shared" si="2"/>
        <v>Spain, Castilla Y Leon, Bierzo</v>
      </c>
      <c r="H20" s="37">
        <f>COUNTIF(Agibility!A:A,UniqueID!A20)</f>
        <v>1</v>
      </c>
      <c r="I20" s="37">
        <f>COUNTIF(Wine1!A:A,UniqueID!A20)</f>
        <v>2</v>
      </c>
      <c r="J20" s="37">
        <f>COUNTIF(Drank!A:A,UniqueID!A20)</f>
        <v>2</v>
      </c>
      <c r="K20" s="37">
        <f>IF(I20&lt;1,VLOOKUP(A20,Drank!A:S,19,FALSE),VLOOKUP(A20,Wine1!A:AI,26,FALSE))</f>
        <v>92</v>
      </c>
      <c r="L20" s="37">
        <f>IF(I20&lt;1,VLOOKUP(A20,Drank!A:Z,25,FALSE),VLOOKUP(A20,Wine1!A:AI,35,FALSE))</f>
        <v>22</v>
      </c>
      <c r="M20" s="37">
        <f t="shared" si="0"/>
        <v>2</v>
      </c>
      <c r="N20" s="37">
        <f t="shared" si="3"/>
        <v>1.0869565217391304E-2</v>
      </c>
      <c r="O20" s="37">
        <f t="shared" si="4"/>
        <v>20.240000000000002</v>
      </c>
      <c r="P20" s="37">
        <f>IF(N20&gt;0,M20,IF(L20&gt;=64.99,4,IF(L20&gt;=Expenses!C49,3,IF(UniqueID!L20&gt;=Expenses!C48,2,1))))</f>
        <v>2</v>
      </c>
      <c r="Q20" s="37">
        <f>IF(O20&gt;=64.99,4,IF(N20&gt;0,M20,IF(L20&gt;=64.99,4,IF(L20&gt;=Expenses!C49,3,IF(UniqueID!L20&gt;=Expenses!C48,2,1)))))</f>
        <v>2</v>
      </c>
      <c r="R20" s="37"/>
      <c r="S20" s="37"/>
    </row>
    <row r="21" spans="1:19" x14ac:dyDescent="0.25">
      <c r="A21" t="s">
        <v>383</v>
      </c>
      <c r="C21" s="37" t="str">
        <f>IF(I21&gt;0,VLOOKUP(A21,Wine1!A:H,6,FALSE),VLOOKUP(A21,Drank!A:H,6,FALSE))</f>
        <v>Italy</v>
      </c>
      <c r="D21" s="37" t="str">
        <f>IF(I21&gt;0,VLOOKUP(A21,Wine1!A:H,7,FALSE),VLOOKUP(A21,Drank!A:H,7,FALSE))</f>
        <v>Puglia</v>
      </c>
      <c r="E21" s="37" t="str">
        <f>IF(I21&gt;0,VLOOKUP(A21,Wine1!A:H,8,FALSE),VLOOKUP(A21,Drank!A:H,8,FALSE))</f>
        <v>Salice Salentino</v>
      </c>
      <c r="F21" s="37" t="str">
        <f t="shared" si="1"/>
        <v>Italy, Puglia</v>
      </c>
      <c r="G21" s="37" t="str">
        <f t="shared" si="2"/>
        <v>Italy, Puglia, Salice Salentino</v>
      </c>
      <c r="H21" s="37">
        <f>COUNTIF(Agibility!A:A,UniqueID!A21)</f>
        <v>1</v>
      </c>
      <c r="I21" s="37">
        <f>COUNTIF(Wine1!A:A,UniqueID!A21)</f>
        <v>19</v>
      </c>
      <c r="J21" s="37">
        <f>COUNTIF(Drank!A:A,UniqueID!A21)</f>
        <v>33</v>
      </c>
      <c r="K21" s="37">
        <f>IF(I21&lt;1,VLOOKUP(A21,Drank!A:S,19,FALSE),VLOOKUP(A21,Wine1!A:AI,26,FALSE))</f>
        <v>89.46875</v>
      </c>
      <c r="L21" s="37">
        <f>IF(I21&lt;1,VLOOKUP(A21,Drank!A:Z,25,FALSE),VLOOKUP(A21,Wine1!A:AI,35,FALSE))</f>
        <v>14.66</v>
      </c>
      <c r="M21" s="37">
        <f t="shared" si="0"/>
        <v>1</v>
      </c>
      <c r="N21" s="37">
        <f t="shared" si="3"/>
        <v>1.1177086971707998E-2</v>
      </c>
      <c r="O21" s="37">
        <f t="shared" si="4"/>
        <v>13.11611875</v>
      </c>
      <c r="P21" s="37">
        <f>IF(N21&gt;0,M21,IF(L21&gt;=64.99,4,IF(L21&gt;=Expenses!C50,3,IF(UniqueID!L21&gt;=Expenses!C49,2,1))))</f>
        <v>1</v>
      </c>
      <c r="Q21" s="37">
        <f>IF(O21&gt;=64.99,4,IF(N21&gt;0,M21,IF(L21&gt;=64.99,4,IF(L21&gt;=Expenses!C50,3,IF(UniqueID!L21&gt;=Expenses!C49,2,1)))))</f>
        <v>1</v>
      </c>
      <c r="R21" s="37"/>
      <c r="S21" s="37"/>
    </row>
    <row r="22" spans="1:19" x14ac:dyDescent="0.25">
      <c r="A22" t="s">
        <v>697</v>
      </c>
      <c r="C22" s="37" t="str">
        <f>IF(I22&gt;0,VLOOKUP(A22,Wine1!A:H,6,FALSE),VLOOKUP(A22,Drank!A:H,6,FALSE))</f>
        <v>USA</v>
      </c>
      <c r="D22" s="37" t="str">
        <f>IF(I22&gt;0,VLOOKUP(A22,Wine1!A:H,7,FALSE),VLOOKUP(A22,Drank!A:H,7,FALSE))</f>
        <v>California</v>
      </c>
      <c r="E22" s="37" t="str">
        <f>IF(I22&gt;0,VLOOKUP(A22,Wine1!A:H,8,FALSE),VLOOKUP(A22,Drank!A:H,8,FALSE))</f>
        <v>North Coast, Napa Valley</v>
      </c>
      <c r="F22" s="37" t="str">
        <f t="shared" si="1"/>
        <v>USA, California</v>
      </c>
      <c r="G22" s="37" t="str">
        <f t="shared" si="2"/>
        <v>USA, California, North Coast, Napa Valley</v>
      </c>
      <c r="H22" s="37">
        <f>COUNTIF(Agibility!A:A,UniqueID!A22)</f>
        <v>1</v>
      </c>
      <c r="I22" s="37">
        <f>COUNTIF(Wine1!A:A,UniqueID!A22)</f>
        <v>0</v>
      </c>
      <c r="J22" s="37">
        <f>COUNTIF(Drank!A:A,UniqueID!A22)</f>
        <v>1</v>
      </c>
      <c r="K22" s="37">
        <f>IF(I22&lt;1,VLOOKUP(A22,Drank!A:S,19,FALSE),VLOOKUP(A22,Wine1!A:AI,26,FALSE))</f>
        <v>91</v>
      </c>
      <c r="L22" s="37">
        <f>IF(I22&lt;1,VLOOKUP(A22,Drank!A:Z,25,FALSE),VLOOKUP(A22,Wine1!A:AI,35,FALSE))</f>
        <v>37.97</v>
      </c>
      <c r="M22" s="37">
        <f t="shared" si="0"/>
        <v>2</v>
      </c>
      <c r="N22" s="37">
        <f t="shared" si="3"/>
        <v>1.098901098901099E-2</v>
      </c>
      <c r="O22" s="37">
        <f t="shared" si="4"/>
        <v>34.552700000000002</v>
      </c>
      <c r="P22" s="37">
        <f>IF(N22&gt;0,M22,IF(L22&gt;=64.99,4,IF(L22&gt;=Expenses!C51,3,IF(UniqueID!L22&gt;=Expenses!C50,2,1))))</f>
        <v>2</v>
      </c>
      <c r="Q22" s="37">
        <f>IF(O22&gt;=64.99,4,IF(N22&gt;0,M22,IF(L22&gt;=64.99,4,IF(L22&gt;=Expenses!C51,3,IF(UniqueID!L22&gt;=Expenses!C50,2,1)))))</f>
        <v>2</v>
      </c>
      <c r="R22" s="37"/>
      <c r="S22" s="37"/>
    </row>
    <row r="23" spans="1:19" x14ac:dyDescent="0.25">
      <c r="A23" t="s">
        <v>662</v>
      </c>
      <c r="C23" s="37" t="e">
        <f>IF(I23&gt;0,VLOOKUP(A23,Wine1!A:H,6,FALSE),VLOOKUP(A23,Drank!A:H,6,FALSE))</f>
        <v>#N/A</v>
      </c>
      <c r="D23" s="37" t="e">
        <f>IF(I23&gt;0,VLOOKUP(A23,Wine1!A:H,7,FALSE),VLOOKUP(A23,Drank!A:H,7,FALSE))</f>
        <v>#N/A</v>
      </c>
      <c r="E23" s="37" t="e">
        <f>IF(I23&gt;0,VLOOKUP(A23,Wine1!A:H,8,FALSE),VLOOKUP(A23,Drank!A:H,8,FALSE))</f>
        <v>#N/A</v>
      </c>
      <c r="F23" s="37" t="e">
        <f t="shared" si="1"/>
        <v>#N/A</v>
      </c>
      <c r="G23" s="37" t="e">
        <f t="shared" si="2"/>
        <v>#N/A</v>
      </c>
      <c r="H23" s="37">
        <f>COUNTIF(Agibility!A:A,UniqueID!A23)</f>
        <v>1</v>
      </c>
      <c r="I23" s="37">
        <f>COUNTIF(Wine1!A:A,UniqueID!A23)</f>
        <v>0</v>
      </c>
      <c r="J23" s="37">
        <f>COUNTIF(Drank!A:A,UniqueID!A23)</f>
        <v>0</v>
      </c>
      <c r="K23" s="37" t="e">
        <f>IF(I23&lt;1,VLOOKUP(A23,Drank!A:S,19,FALSE),VLOOKUP(A23,Wine1!A:AI,26,FALSE))</f>
        <v>#N/A</v>
      </c>
      <c r="L23" s="37" t="e">
        <f>IF(I23&lt;1,VLOOKUP(A23,Drank!A:Z,25,FALSE),VLOOKUP(A23,Wine1!A:AI,35,FALSE))</f>
        <v>#N/A</v>
      </c>
      <c r="M23" s="37" t="e">
        <f t="shared" si="0"/>
        <v>#N/A</v>
      </c>
      <c r="N23" s="37">
        <f t="shared" si="3"/>
        <v>0</v>
      </c>
      <c r="O23" s="37">
        <f t="shared" si="4"/>
        <v>0</v>
      </c>
      <c r="P23" s="37" t="e">
        <f>IF(N23&gt;0,M23,IF(L23&gt;=64.99,4,IF(L23&gt;=Expenses!C52,3,IF(UniqueID!L23&gt;=Expenses!C51,2,1))))</f>
        <v>#N/A</v>
      </c>
      <c r="Q23" s="37" t="e">
        <f>IF(O23&gt;=64.99,4,IF(N23&gt;0,M23,IF(L23&gt;=64.99,4,IF(L23&gt;=Expenses!C52,3,IF(UniqueID!L23&gt;=Expenses!C51,2,1)))))</f>
        <v>#N/A</v>
      </c>
      <c r="R23" s="37"/>
      <c r="S23" s="37"/>
    </row>
    <row r="24" spans="1:19" x14ac:dyDescent="0.25">
      <c r="A24" t="s">
        <v>424</v>
      </c>
      <c r="C24" s="37" t="str">
        <f>IF(I24&gt;0,VLOOKUP(A24,Wine1!A:H,6,FALSE),VLOOKUP(A24,Drank!A:H,6,FALSE))</f>
        <v>Spain</v>
      </c>
      <c r="D24" s="37" t="str">
        <f>IF(I24&gt;0,VLOOKUP(A24,Wine1!A:H,7,FALSE),VLOOKUP(A24,Drank!A:H,7,FALSE))</f>
        <v>Aragon</v>
      </c>
      <c r="E24" s="37" t="str">
        <f>IF(I24&gt;0,VLOOKUP(A24,Wine1!A:H,8,FALSE),VLOOKUP(A24,Drank!A:H,8,FALSE))</f>
        <v>Calatayud</v>
      </c>
      <c r="F24" s="37" t="str">
        <f t="shared" si="1"/>
        <v>Spain, Aragon</v>
      </c>
      <c r="G24" s="37" t="str">
        <f t="shared" si="2"/>
        <v>Spain, Aragon, Calatayud</v>
      </c>
      <c r="H24" s="37">
        <f>COUNTIF(Agibility!A:A,UniqueID!A24)</f>
        <v>1</v>
      </c>
      <c r="I24" s="37">
        <f>COUNTIF(Wine1!A:A,UniqueID!A24)</f>
        <v>4</v>
      </c>
      <c r="J24" s="37">
        <f>COUNTIF(Drank!A:A,UniqueID!A24)</f>
        <v>21</v>
      </c>
      <c r="K24" s="37">
        <f>IF(I24&lt;1,VLOOKUP(A24,Drank!A:S,19,FALSE),VLOOKUP(A24,Wine1!A:AI,26,FALSE))</f>
        <v>88.944444444444443</v>
      </c>
      <c r="L24" s="37">
        <f>IF(I24&lt;1,VLOOKUP(A24,Drank!A:Z,25,FALSE),VLOOKUP(A24,Wine1!A:AI,35,FALSE))</f>
        <v>8.99</v>
      </c>
      <c r="M24" s="37">
        <f t="shared" si="0"/>
        <v>1</v>
      </c>
      <c r="N24" s="37">
        <f t="shared" si="3"/>
        <v>1.1242973141786385E-2</v>
      </c>
      <c r="O24" s="37">
        <f t="shared" si="4"/>
        <v>7.9961055555555562</v>
      </c>
      <c r="P24" s="37">
        <f>IF(N24&gt;0,M24,IF(L24&gt;=64.99,4,IF(L24&gt;=Expenses!C53,3,IF(UniqueID!L24&gt;=Expenses!C52,2,1))))</f>
        <v>1</v>
      </c>
      <c r="Q24" s="37">
        <f>IF(O24&gt;=64.99,4,IF(N24&gt;0,M24,IF(L24&gt;=64.99,4,IF(L24&gt;=Expenses!C53,3,IF(UniqueID!L24&gt;=Expenses!C52,2,1)))))</f>
        <v>1</v>
      </c>
      <c r="R24" s="37"/>
      <c r="S24" s="37"/>
    </row>
    <row r="25" spans="1:19" x14ac:dyDescent="0.25">
      <c r="A25" t="s">
        <v>1219</v>
      </c>
      <c r="C25" s="37" t="str">
        <f>IF(I25&gt;0,VLOOKUP(A25,Wine1!A:H,6,FALSE),VLOOKUP(A25,Drank!A:H,6,FALSE))</f>
        <v>Spain</v>
      </c>
      <c r="D25" s="37" t="str">
        <f>IF(I25&gt;0,VLOOKUP(A25,Wine1!A:H,7,FALSE),VLOOKUP(A25,Drank!A:H,7,FALSE))</f>
        <v>Rioja</v>
      </c>
      <c r="E25" s="37">
        <f>IF(I25&gt;0,VLOOKUP(A25,Wine1!A:H,8,FALSE),VLOOKUP(A25,Drank!A:H,8,FALSE))</f>
        <v>0</v>
      </c>
      <c r="F25" s="37" t="str">
        <f t="shared" si="1"/>
        <v>Spain, Rioja</v>
      </c>
      <c r="G25" s="37" t="str">
        <f t="shared" si="2"/>
        <v>Spain, Rioja, 0</v>
      </c>
      <c r="H25" s="37">
        <f>COUNTIF(Agibility!A:A,UniqueID!A25)</f>
        <v>1</v>
      </c>
      <c r="I25" s="37">
        <f>COUNTIF(Wine1!A:A,UniqueID!A25)</f>
        <v>4</v>
      </c>
      <c r="J25" s="37">
        <f>COUNTIF(Drank!A:A,UniqueID!A25)</f>
        <v>18</v>
      </c>
      <c r="K25" s="37">
        <f>IF(I25&lt;1,VLOOKUP(A25,Drank!A:S,19,FALSE),VLOOKUP(A25,Wine1!A:AI,26,FALSE))</f>
        <v>91.235294117647058</v>
      </c>
      <c r="L25" s="37">
        <f>IF(I25&lt;1,VLOOKUP(A25,Drank!A:Z,25,FALSE),VLOOKUP(A25,Wine1!A:AI,35,FALSE))</f>
        <v>14.000000000000002</v>
      </c>
      <c r="M25" s="37">
        <f t="shared" si="0"/>
        <v>2</v>
      </c>
      <c r="N25" s="37">
        <f t="shared" si="3"/>
        <v>1.096067053513862E-2</v>
      </c>
      <c r="O25" s="37">
        <f t="shared" si="4"/>
        <v>12.77294117647059</v>
      </c>
      <c r="P25" s="37">
        <f>IF(N25&gt;0,M25,IF(L25&gt;=64.99,4,IF(L25&gt;=Expenses!C54,3,IF(UniqueID!L25&gt;=Expenses!C53,2,1))))</f>
        <v>2</v>
      </c>
      <c r="Q25" s="37">
        <f>IF(O25&gt;=64.99,4,IF(N25&gt;0,M25,IF(L25&gt;=64.99,4,IF(L25&gt;=Expenses!C54,3,IF(UniqueID!L25&gt;=Expenses!C53,2,1)))))</f>
        <v>2</v>
      </c>
      <c r="R25" s="37"/>
      <c r="S25" s="37"/>
    </row>
    <row r="26" spans="1:19" x14ac:dyDescent="0.25">
      <c r="A26" t="s">
        <v>471</v>
      </c>
      <c r="C26" s="37" t="str">
        <f>IF(I26&gt;0,VLOOKUP(A26,Wine1!A:H,6,FALSE),VLOOKUP(A26,Drank!A:H,6,FALSE))</f>
        <v>Spain</v>
      </c>
      <c r="D26" s="37" t="str">
        <f>IF(I26&gt;0,VLOOKUP(A26,Wine1!A:H,7,FALSE),VLOOKUP(A26,Drank!A:H,7,FALSE))</f>
        <v>Valencia</v>
      </c>
      <c r="E26" s="37">
        <f>IF(I26&gt;0,VLOOKUP(A26,Wine1!A:H,8,FALSE),VLOOKUP(A26,Drank!A:H,8,FALSE))</f>
        <v>0</v>
      </c>
      <c r="F26" s="37" t="str">
        <f t="shared" si="1"/>
        <v>Spain, Valencia</v>
      </c>
      <c r="G26" s="37" t="str">
        <f t="shared" si="2"/>
        <v>Spain, Valencia, 0</v>
      </c>
      <c r="H26" s="37">
        <f>COUNTIF(Agibility!A:A,UniqueID!A26)</f>
        <v>1</v>
      </c>
      <c r="I26" s="37">
        <f>COUNTIF(Wine1!A:A,UniqueID!A26)</f>
        <v>9</v>
      </c>
      <c r="J26" s="37">
        <f>COUNTIF(Drank!A:A,UniqueID!A26)</f>
        <v>5</v>
      </c>
      <c r="K26" s="37">
        <f>IF(I26&lt;1,VLOOKUP(A26,Drank!A:S,19,FALSE),VLOOKUP(A26,Wine1!A:AI,26,FALSE))</f>
        <v>92.4</v>
      </c>
      <c r="L26" s="37">
        <f>IF(I26&lt;1,VLOOKUP(A26,Drank!A:Z,25,FALSE),VLOOKUP(A26,Wine1!A:AI,35,FALSE))</f>
        <v>19.5</v>
      </c>
      <c r="M26" s="37">
        <f t="shared" si="0"/>
        <v>3</v>
      </c>
      <c r="N26" s="37">
        <f t="shared" si="3"/>
        <v>1.0822510822510822E-2</v>
      </c>
      <c r="O26" s="37">
        <f t="shared" si="4"/>
        <v>18.018000000000001</v>
      </c>
      <c r="P26" s="37">
        <f>IF(N26&gt;0,M26,IF(L26&gt;=64.99,4,IF(L26&gt;=Expenses!C55,3,IF(UniqueID!L26&gt;=Expenses!C54,2,1))))</f>
        <v>3</v>
      </c>
      <c r="Q26" s="37">
        <f>IF(O26&gt;=64.99,4,IF(N26&gt;0,M26,IF(L26&gt;=64.99,4,IF(L26&gt;=Expenses!C55,3,IF(UniqueID!L26&gt;=Expenses!C54,2,1)))))</f>
        <v>3</v>
      </c>
      <c r="R26" s="37"/>
      <c r="S26" s="37"/>
    </row>
    <row r="27" spans="1:19" x14ac:dyDescent="0.25">
      <c r="A27" t="s">
        <v>472</v>
      </c>
      <c r="C27" s="37" t="str">
        <f>IF(I27&gt;0,VLOOKUP(A27,Wine1!A:H,6,FALSE),VLOOKUP(A27,Drank!A:H,6,FALSE))</f>
        <v>Italy</v>
      </c>
      <c r="D27" s="37" t="str">
        <f>IF(I27&gt;0,VLOOKUP(A27,Wine1!A:H,7,FALSE),VLOOKUP(A27,Drank!A:H,7,FALSE))</f>
        <v>Veneto</v>
      </c>
      <c r="E27" s="37" t="str">
        <f>IF(I27&gt;0,VLOOKUP(A27,Wine1!A:H,8,FALSE),VLOOKUP(A27,Drank!A:H,8,FALSE))</f>
        <v>Valpolicella</v>
      </c>
      <c r="F27" s="37" t="str">
        <f t="shared" si="1"/>
        <v>Italy, Veneto</v>
      </c>
      <c r="G27" s="37" t="str">
        <f t="shared" si="2"/>
        <v>Italy, Veneto, Valpolicella</v>
      </c>
      <c r="H27" s="37">
        <f>COUNTIF(Agibility!A:A,UniqueID!A27)</f>
        <v>1</v>
      </c>
      <c r="I27" s="37">
        <f>COUNTIF(Wine1!A:A,UniqueID!A27)</f>
        <v>1</v>
      </c>
      <c r="J27" s="37">
        <f>COUNTIF(Drank!A:A,UniqueID!A27)</f>
        <v>2</v>
      </c>
      <c r="K27" s="37">
        <f>IF(I27&lt;1,VLOOKUP(A27,Drank!A:S,19,FALSE),VLOOKUP(A27,Wine1!A:AI,26,FALSE))</f>
        <v>91</v>
      </c>
      <c r="L27" s="37">
        <f>IF(I27&lt;1,VLOOKUP(A27,Drank!A:Z,25,FALSE),VLOOKUP(A27,Wine1!A:AI,35,FALSE))</f>
        <v>22.49</v>
      </c>
      <c r="M27" s="37">
        <f t="shared" si="0"/>
        <v>2</v>
      </c>
      <c r="N27" s="37">
        <f t="shared" si="3"/>
        <v>1.098901098901099E-2</v>
      </c>
      <c r="O27" s="37">
        <f t="shared" si="4"/>
        <v>20.465899999999998</v>
      </c>
      <c r="P27" s="37">
        <f>IF(N27&gt;0,M27,IF(L27&gt;=64.99,4,IF(L27&gt;=Expenses!C56,3,IF(UniqueID!L27&gt;=Expenses!C55,2,1))))</f>
        <v>2</v>
      </c>
      <c r="Q27" s="37">
        <f>IF(O27&gt;=64.99,4,IF(N27&gt;0,M27,IF(L27&gt;=64.99,4,IF(L27&gt;=Expenses!C56,3,IF(UniqueID!L27&gt;=Expenses!C55,2,1)))))</f>
        <v>2</v>
      </c>
      <c r="R27" s="37"/>
      <c r="S27" s="37"/>
    </row>
    <row r="28" spans="1:19" x14ac:dyDescent="0.25">
      <c r="A28" t="s">
        <v>700</v>
      </c>
      <c r="C28" s="37" t="str">
        <f>IF(I28&gt;0,VLOOKUP(A28,Wine1!A:H,6,FALSE),VLOOKUP(A28,Drank!A:H,6,FALSE))</f>
        <v>France</v>
      </c>
      <c r="D28" s="37" t="str">
        <f>IF(I28&gt;0,VLOOKUP(A28,Wine1!A:H,7,FALSE),VLOOKUP(A28,Drank!A:H,7,FALSE))</f>
        <v>Rhone</v>
      </c>
      <c r="E28" s="37" t="str">
        <f>IF(I28&gt;0,VLOOKUP(A28,Wine1!A:H,8,FALSE),VLOOKUP(A28,Drank!A:H,8,FALSE))</f>
        <v>Southern Rhone, Cotes du Ventoux</v>
      </c>
      <c r="F28" s="37" t="str">
        <f t="shared" si="1"/>
        <v>France, Rhone</v>
      </c>
      <c r="G28" s="37" t="str">
        <f t="shared" si="2"/>
        <v>France, Rhone, Southern Rhone, Cotes du Ventoux</v>
      </c>
      <c r="H28" s="37">
        <f>COUNTIF(Agibility!A:A,UniqueID!A28)</f>
        <v>1</v>
      </c>
      <c r="I28" s="37">
        <f>COUNTIF(Wine1!A:A,UniqueID!A28)</f>
        <v>3</v>
      </c>
      <c r="J28" s="37">
        <f>COUNTIF(Drank!A:A,UniqueID!A28)</f>
        <v>1</v>
      </c>
      <c r="K28" s="37">
        <f>IF(I28&lt;1,VLOOKUP(A28,Drank!A:S,19,FALSE),VLOOKUP(A28,Wine1!A:AI,26,FALSE))</f>
        <v>90</v>
      </c>
      <c r="L28" s="37">
        <f>IF(I28&lt;1,VLOOKUP(A28,Drank!A:Z,25,FALSE),VLOOKUP(A28,Wine1!A:AI,35,FALSE))</f>
        <v>9.99</v>
      </c>
      <c r="M28" s="37">
        <f t="shared" si="0"/>
        <v>2</v>
      </c>
      <c r="N28" s="37">
        <f t="shared" si="3"/>
        <v>1.1111111111111112E-2</v>
      </c>
      <c r="O28" s="37">
        <f t="shared" si="4"/>
        <v>8.9909999999999997</v>
      </c>
      <c r="P28" s="37">
        <f>IF(N28&gt;0,M28,IF(L28&gt;=64.99,4,IF(L28&gt;=Expenses!C57,3,IF(UniqueID!L28&gt;=Expenses!C56,2,1))))</f>
        <v>2</v>
      </c>
      <c r="Q28" s="37">
        <f>IF(O28&gt;=64.99,4,IF(N28&gt;0,M28,IF(L28&gt;=64.99,4,IF(L28&gt;=Expenses!C57,3,IF(UniqueID!L28&gt;=Expenses!C56,2,1)))))</f>
        <v>2</v>
      </c>
      <c r="R28" s="37"/>
      <c r="S28" s="37"/>
    </row>
    <row r="29" spans="1:19" x14ac:dyDescent="0.25">
      <c r="A29" t="s">
        <v>861</v>
      </c>
      <c r="C29" s="37" t="str">
        <f>IF(I29&gt;0,VLOOKUP(A29,Wine1!A:H,6,FALSE),VLOOKUP(A29,Drank!A:H,6,FALSE))</f>
        <v>Italy</v>
      </c>
      <c r="D29" s="37" t="str">
        <f>IF(I29&gt;0,VLOOKUP(A29,Wine1!A:H,7,FALSE),VLOOKUP(A29,Drank!A:H,7,FALSE))</f>
        <v>Puglia</v>
      </c>
      <c r="E29" s="37" t="str">
        <f>IF(I29&gt;0,VLOOKUP(A29,Wine1!A:H,8,FALSE),VLOOKUP(A29,Drank!A:H,8,FALSE))</f>
        <v>Salento</v>
      </c>
      <c r="F29" s="37" t="str">
        <f t="shared" si="1"/>
        <v>Italy, Puglia</v>
      </c>
      <c r="G29" s="37" t="str">
        <f t="shared" si="2"/>
        <v>Italy, Puglia, Salento</v>
      </c>
      <c r="H29" s="37">
        <f>COUNTIF(Agibility!A:A,UniqueID!A29)</f>
        <v>1</v>
      </c>
      <c r="I29" s="37">
        <f>COUNTIF(Wine1!A:A,UniqueID!A29)</f>
        <v>3</v>
      </c>
      <c r="J29" s="37">
        <f>COUNTIF(Drank!A:A,UniqueID!A29)</f>
        <v>9</v>
      </c>
      <c r="K29" s="37">
        <f>IF(I29&lt;1,VLOOKUP(A29,Drank!A:S,19,FALSE),VLOOKUP(A29,Wine1!A:AI,26,FALSE))</f>
        <v>88.555555555555557</v>
      </c>
      <c r="L29" s="37">
        <f>IF(I29&lt;1,VLOOKUP(A29,Drank!A:Z,25,FALSE),VLOOKUP(A29,Wine1!A:AI,35,FALSE))</f>
        <v>14.66</v>
      </c>
      <c r="M29" s="37">
        <f t="shared" si="0"/>
        <v>1</v>
      </c>
      <c r="N29" s="37">
        <f t="shared" si="3"/>
        <v>1.1292346298619823E-2</v>
      </c>
      <c r="O29" s="37">
        <f t="shared" si="4"/>
        <v>12.982244444444444</v>
      </c>
      <c r="P29" s="37">
        <f>IF(N29&gt;0,M29,IF(L29&gt;=64.99,4,IF(L29&gt;=Expenses!C58,3,IF(UniqueID!L29&gt;=Expenses!C57,2,1))))</f>
        <v>1</v>
      </c>
      <c r="Q29" s="37">
        <f>IF(O29&gt;=64.99,4,IF(N29&gt;0,M29,IF(L29&gt;=64.99,4,IF(L29&gt;=Expenses!C58,3,IF(UniqueID!L29&gt;=Expenses!C57,2,1)))))</f>
        <v>1</v>
      </c>
      <c r="R29" s="37"/>
      <c r="S29" s="37"/>
    </row>
    <row r="30" spans="1:19" x14ac:dyDescent="0.25">
      <c r="A30" t="s">
        <v>695</v>
      </c>
      <c r="C30" s="37" t="str">
        <f>IF(I30&gt;0,VLOOKUP(A30,Wine1!A:H,6,FALSE),VLOOKUP(A30,Drank!A:H,6,FALSE))</f>
        <v>France</v>
      </c>
      <c r="D30" s="37" t="str">
        <f>IF(I30&gt;0,VLOOKUP(A30,Wine1!A:H,7,FALSE),VLOOKUP(A30,Drank!A:H,7,FALSE))</f>
        <v>Roussillon</v>
      </c>
      <c r="E30" s="37" t="str">
        <f>IF(I30&gt;0,VLOOKUP(A30,Wine1!A:H,8,FALSE),VLOOKUP(A30,Drank!A:H,8,FALSE))</f>
        <v>Cotes Catalanes</v>
      </c>
      <c r="F30" s="37" t="str">
        <f t="shared" si="1"/>
        <v>France, Roussillon</v>
      </c>
      <c r="G30" s="37" t="str">
        <f t="shared" si="2"/>
        <v>France, Roussillon, Cotes Catalanes</v>
      </c>
      <c r="H30" s="37">
        <f>COUNTIF(Agibility!A:A,UniqueID!A30)</f>
        <v>1</v>
      </c>
      <c r="I30" s="37">
        <f>COUNTIF(Wine1!A:A,UniqueID!A30)</f>
        <v>8</v>
      </c>
      <c r="J30" s="37">
        <f>COUNTIF(Drank!A:A,UniqueID!A30)</f>
        <v>3</v>
      </c>
      <c r="K30" s="37">
        <f>IF(I30&lt;1,VLOOKUP(A30,Drank!A:S,19,FALSE),VLOOKUP(A30,Wine1!A:AI,26,FALSE))</f>
        <v>91.333333333333329</v>
      </c>
      <c r="L30" s="37">
        <f>IF(I30&lt;1,VLOOKUP(A30,Drank!A:Z,25,FALSE),VLOOKUP(A30,Wine1!A:AI,35,FALSE))</f>
        <v>14.99</v>
      </c>
      <c r="M30" s="37">
        <f t="shared" si="0"/>
        <v>2</v>
      </c>
      <c r="N30" s="37">
        <f t="shared" si="3"/>
        <v>1.0948905109489052E-2</v>
      </c>
      <c r="O30" s="37">
        <f t="shared" si="4"/>
        <v>13.690866666666667</v>
      </c>
      <c r="P30" s="37">
        <f>IF(N30&gt;0,M30,IF(L30&gt;=64.99,4,IF(L30&gt;=Expenses!C59,3,IF(UniqueID!L30&gt;=Expenses!C58,2,1))))</f>
        <v>2</v>
      </c>
      <c r="Q30" s="37">
        <f>IF(O30&gt;=64.99,4,IF(N30&gt;0,M30,IF(L30&gt;=64.99,4,IF(L30&gt;=Expenses!C59,3,IF(UniqueID!L30&gt;=Expenses!C58,2,1)))))</f>
        <v>2</v>
      </c>
      <c r="R30" s="37"/>
      <c r="S30" s="37"/>
    </row>
    <row r="31" spans="1:19" x14ac:dyDescent="0.25">
      <c r="A31" t="s">
        <v>686</v>
      </c>
      <c r="C31" s="37" t="str">
        <f>IF(I31&gt;0,VLOOKUP(A31,Wine1!A:H,6,FALSE),VLOOKUP(A31,Drank!A:H,6,FALSE))</f>
        <v>France</v>
      </c>
      <c r="D31" s="37" t="str">
        <f>IF(I31&gt;0,VLOOKUP(A31,Wine1!A:H,7,FALSE),VLOOKUP(A31,Drank!A:H,7,FALSE))</f>
        <v>Bordeaux</v>
      </c>
      <c r="E31" s="37">
        <f>IF(I31&gt;0,VLOOKUP(A31,Wine1!A:H,8,FALSE),VLOOKUP(A31,Drank!A:H,8,FALSE))</f>
        <v>0</v>
      </c>
      <c r="F31" s="37" t="str">
        <f t="shared" si="1"/>
        <v>France, Bordeaux</v>
      </c>
      <c r="G31" s="37" t="str">
        <f t="shared" si="2"/>
        <v>France, Bordeaux, 0</v>
      </c>
      <c r="H31" s="37">
        <f>COUNTIF(Agibility!A:A,UniqueID!A31)</f>
        <v>1</v>
      </c>
      <c r="I31" s="37">
        <f>COUNTIF(Wine1!A:A,UniqueID!A31)</f>
        <v>3</v>
      </c>
      <c r="J31" s="37">
        <f>COUNTIF(Drank!A:A,UniqueID!A31)</f>
        <v>1</v>
      </c>
      <c r="K31" s="37">
        <f>IF(I31&lt;1,VLOOKUP(A31,Drank!A:S,19,FALSE),VLOOKUP(A31,Wine1!A:AI,26,FALSE))</f>
        <v>88</v>
      </c>
      <c r="L31" s="37">
        <f>IF(I31&lt;1,VLOOKUP(A31,Drank!A:Z,25,FALSE),VLOOKUP(A31,Wine1!A:AI,35,FALSE))</f>
        <v>12.989999999999998</v>
      </c>
      <c r="M31" s="37">
        <f t="shared" si="0"/>
        <v>1</v>
      </c>
      <c r="N31" s="37">
        <f t="shared" si="3"/>
        <v>1.1363636363636364E-2</v>
      </c>
      <c r="O31" s="37">
        <f t="shared" si="4"/>
        <v>11.431199999999999</v>
      </c>
      <c r="P31" s="37">
        <f>IF(N31&gt;0,M31,IF(L31&gt;=64.99,4,IF(L31&gt;=Expenses!C60,3,IF(UniqueID!L31&gt;=Expenses!C59,2,1))))</f>
        <v>1</v>
      </c>
      <c r="Q31" s="37">
        <f>IF(O31&gt;=64.99,4,IF(N31&gt;0,M31,IF(L31&gt;=64.99,4,IF(L31&gt;=Expenses!C60,3,IF(UniqueID!L31&gt;=Expenses!C59,2,1)))))</f>
        <v>1</v>
      </c>
      <c r="R31" s="37"/>
      <c r="S31" s="37"/>
    </row>
    <row r="32" spans="1:19" x14ac:dyDescent="0.25">
      <c r="A32" t="s">
        <v>1211</v>
      </c>
      <c r="C32" s="37" t="str">
        <f>IF(I32&gt;0,VLOOKUP(A32,Wine1!A:H,6,FALSE),VLOOKUP(A32,Drank!A:H,6,FALSE))</f>
        <v>France</v>
      </c>
      <c r="D32" s="37" t="str">
        <f>IF(I32&gt;0,VLOOKUP(A32,Wine1!A:H,7,FALSE),VLOOKUP(A32,Drank!A:H,7,FALSE))</f>
        <v>Beaujolais</v>
      </c>
      <c r="E32" s="37" t="str">
        <f>IF(I32&gt;0,VLOOKUP(A32,Wine1!A:H,8,FALSE),VLOOKUP(A32,Drank!A:H,8,FALSE))</f>
        <v>Saint-Amour</v>
      </c>
      <c r="F32" s="37" t="str">
        <f t="shared" si="1"/>
        <v>France, Beaujolais</v>
      </c>
      <c r="G32" s="37" t="str">
        <f t="shared" si="2"/>
        <v>France, Beaujolais, Saint-Amour</v>
      </c>
      <c r="H32" s="37">
        <f>COUNTIF(Agibility!A:A,UniqueID!A32)</f>
        <v>1</v>
      </c>
      <c r="I32" s="37">
        <f>COUNTIF(Wine1!A:A,UniqueID!A32)</f>
        <v>2</v>
      </c>
      <c r="J32" s="37">
        <f>COUNTIF(Drank!A:A,UniqueID!A32)</f>
        <v>2</v>
      </c>
      <c r="K32" s="37">
        <f>IF(I32&lt;1,VLOOKUP(A32,Drank!A:S,19,FALSE),VLOOKUP(A32,Wine1!A:AI,26,FALSE))</f>
        <v>89.5</v>
      </c>
      <c r="L32" s="37">
        <f>IF(I32&lt;1,VLOOKUP(A32,Drank!A:Z,25,FALSE),VLOOKUP(A32,Wine1!A:AI,35,FALSE))</f>
        <v>17.989999999999998</v>
      </c>
      <c r="M32" s="37">
        <f t="shared" si="0"/>
        <v>1</v>
      </c>
      <c r="N32" s="37">
        <f t="shared" si="3"/>
        <v>1.11731843575419E-2</v>
      </c>
      <c r="O32" s="37">
        <f t="shared" si="4"/>
        <v>16.101049999999997</v>
      </c>
      <c r="P32" s="37">
        <f>IF(N32&gt;0,M32,IF(L32&gt;=64.99,4,IF(L32&gt;=Expenses!C61,3,IF(UniqueID!L32&gt;=Expenses!C60,2,1))))</f>
        <v>1</v>
      </c>
      <c r="Q32" s="37">
        <f>IF(O32&gt;=64.99,4,IF(N32&gt;0,M32,IF(L32&gt;=64.99,4,IF(L32&gt;=Expenses!C61,3,IF(UniqueID!L32&gt;=Expenses!C60,2,1)))))</f>
        <v>1</v>
      </c>
      <c r="R32" s="37"/>
      <c r="S32" s="37"/>
    </row>
    <row r="33" spans="1:19" x14ac:dyDescent="0.25">
      <c r="A33" t="s">
        <v>473</v>
      </c>
      <c r="C33" s="37" t="str">
        <f>IF(I33&gt;0,VLOOKUP(A33,Wine1!A:H,6,FALSE),VLOOKUP(A33,Drank!A:H,6,FALSE))</f>
        <v>Italy</v>
      </c>
      <c r="D33" s="37" t="str">
        <f>IF(I33&gt;0,VLOOKUP(A33,Wine1!A:H,7,FALSE),VLOOKUP(A33,Drank!A:H,7,FALSE))</f>
        <v>Tuscany</v>
      </c>
      <c r="E33" s="37" t="str">
        <f>IF(I33&gt;0,VLOOKUP(A33,Wine1!A:H,8,FALSE),VLOOKUP(A33,Drank!A:H,8,FALSE))</f>
        <v>Toscana</v>
      </c>
      <c r="F33" s="37" t="str">
        <f t="shared" si="1"/>
        <v>Italy, Tuscany</v>
      </c>
      <c r="G33" s="37" t="str">
        <f t="shared" si="2"/>
        <v>Italy, Tuscany, Toscana</v>
      </c>
      <c r="H33" s="37">
        <f>COUNTIF(Agibility!A:A,UniqueID!A33)</f>
        <v>1</v>
      </c>
      <c r="I33" s="37">
        <f>COUNTIF(Wine1!A:A,UniqueID!A33)</f>
        <v>3</v>
      </c>
      <c r="J33" s="37">
        <f>COUNTIF(Drank!A:A,UniqueID!A33)</f>
        <v>3</v>
      </c>
      <c r="K33" s="37">
        <f>IF(I33&lt;1,VLOOKUP(A33,Drank!A:S,19,FALSE),VLOOKUP(A33,Wine1!A:AI,26,FALSE))</f>
        <v>90.666666666666671</v>
      </c>
      <c r="L33" s="37">
        <f>IF(I33&lt;1,VLOOKUP(A33,Drank!A:Z,25,FALSE),VLOOKUP(A33,Wine1!A:AI,35,FALSE))</f>
        <v>29</v>
      </c>
      <c r="M33" s="37">
        <f t="shared" si="0"/>
        <v>2</v>
      </c>
      <c r="N33" s="37">
        <f t="shared" si="3"/>
        <v>1.1029411764705881E-2</v>
      </c>
      <c r="O33" s="37">
        <f t="shared" si="4"/>
        <v>26.293333333333337</v>
      </c>
      <c r="P33" s="37">
        <f>IF(N33&gt;0,M33,IF(L33&gt;=64.99,4,IF(L33&gt;=Expenses!C62,3,IF(UniqueID!L33&gt;=Expenses!C61,2,1))))</f>
        <v>2</v>
      </c>
      <c r="Q33" s="37">
        <f>IF(O33&gt;=64.99,4,IF(N33&gt;0,M33,IF(L33&gt;=64.99,4,IF(L33&gt;=Expenses!C62,3,IF(UniqueID!L33&gt;=Expenses!C61,2,1)))))</f>
        <v>2</v>
      </c>
      <c r="R33" s="37"/>
      <c r="S33" s="37"/>
    </row>
    <row r="34" spans="1:19" x14ac:dyDescent="0.25">
      <c r="A34" t="s">
        <v>474</v>
      </c>
      <c r="C34" s="37" t="str">
        <f>IF(I34&gt;0,VLOOKUP(A34,Wine1!A:H,6,FALSE),VLOOKUP(A34,Drank!A:H,6,FALSE))</f>
        <v>Spain</v>
      </c>
      <c r="D34" s="37" t="str">
        <f>IF(I34&gt;0,VLOOKUP(A34,Wine1!A:H,7,FALSE),VLOOKUP(A34,Drank!A:H,7,FALSE))</f>
        <v>Castilla Y Leon</v>
      </c>
      <c r="E34" s="37" t="str">
        <f>IF(I34&gt;0,VLOOKUP(A34,Wine1!A:H,8,FALSE),VLOOKUP(A34,Drank!A:H,8,FALSE))</f>
        <v>Ribera Del Duero</v>
      </c>
      <c r="F34" s="37" t="str">
        <f t="shared" si="1"/>
        <v>Spain, Castilla Y Leon</v>
      </c>
      <c r="G34" s="37" t="str">
        <f t="shared" si="2"/>
        <v>Spain, Castilla Y Leon, Ribera Del Duero</v>
      </c>
      <c r="H34" s="37">
        <f>COUNTIF(Agibility!A:A,UniqueID!A34)</f>
        <v>1</v>
      </c>
      <c r="I34" s="37">
        <f>COUNTIF(Wine1!A:A,UniqueID!A34)</f>
        <v>4</v>
      </c>
      <c r="J34" s="37">
        <f>COUNTIF(Drank!A:A,UniqueID!A34)</f>
        <v>6</v>
      </c>
      <c r="K34" s="37">
        <f>IF(I34&lt;1,VLOOKUP(A34,Drank!A:S,19,FALSE),VLOOKUP(A34,Wine1!A:AI,26,FALSE))</f>
        <v>92.166666666666671</v>
      </c>
      <c r="L34" s="37">
        <f>IF(I34&lt;1,VLOOKUP(A34,Drank!A:Z,25,FALSE),VLOOKUP(A34,Wine1!A:AI,35,FALSE))</f>
        <v>21.99</v>
      </c>
      <c r="M34" s="37">
        <f t="shared" si="0"/>
        <v>3</v>
      </c>
      <c r="N34" s="37">
        <f t="shared" si="3"/>
        <v>1.0849909584086799E-2</v>
      </c>
      <c r="O34" s="37">
        <f t="shared" si="4"/>
        <v>20.26745</v>
      </c>
      <c r="P34" s="37">
        <f>IF(N34&gt;0,M34,IF(L34&gt;=64.99,4,IF(L34&gt;=Expenses!C63,3,IF(UniqueID!L34&gt;=Expenses!C62,2,1))))</f>
        <v>3</v>
      </c>
      <c r="Q34" s="37">
        <f>IF(O34&gt;=64.99,4,IF(N34&gt;0,M34,IF(L34&gt;=64.99,4,IF(L34&gt;=Expenses!C63,3,IF(UniqueID!L34&gt;=Expenses!C62,2,1)))))</f>
        <v>3</v>
      </c>
      <c r="R34" s="37"/>
      <c r="S34" s="37"/>
    </row>
    <row r="35" spans="1:19" x14ac:dyDescent="0.25">
      <c r="A35" t="s">
        <v>663</v>
      </c>
      <c r="C35" s="37" t="str">
        <f>IF(I35&gt;0,VLOOKUP(A35,Wine1!A:H,6,FALSE),VLOOKUP(A35,Drank!A:H,6,FALSE))</f>
        <v>Italy</v>
      </c>
      <c r="D35" s="37" t="str">
        <f>IF(I35&gt;0,VLOOKUP(A35,Wine1!A:H,7,FALSE),VLOOKUP(A35,Drank!A:H,7,FALSE))</f>
        <v>Puglia</v>
      </c>
      <c r="E35" s="37" t="str">
        <f>IF(I35&gt;0,VLOOKUP(A35,Wine1!A:H,8,FALSE),VLOOKUP(A35,Drank!A:H,8,FALSE))</f>
        <v>Salento</v>
      </c>
      <c r="F35" s="37" t="str">
        <f t="shared" si="1"/>
        <v>Italy, Puglia</v>
      </c>
      <c r="G35" s="37" t="str">
        <f t="shared" si="2"/>
        <v>Italy, Puglia, Salento</v>
      </c>
      <c r="H35" s="37">
        <f>COUNTIF(Agibility!A:A,UniqueID!A35)</f>
        <v>1</v>
      </c>
      <c r="I35" s="37">
        <f>COUNTIF(Wine1!A:A,UniqueID!A35)</f>
        <v>1</v>
      </c>
      <c r="J35" s="37">
        <f>COUNTIF(Drank!A:A,UniqueID!A35)</f>
        <v>3</v>
      </c>
      <c r="K35" s="37">
        <f>IF(I35&lt;1,VLOOKUP(A35,Drank!A:S,19,FALSE),VLOOKUP(A35,Wine1!A:AI,26,FALSE))</f>
        <v>88.333333333333329</v>
      </c>
      <c r="L35" s="37">
        <f>IF(I35&lt;1,VLOOKUP(A35,Drank!A:Z,25,FALSE),VLOOKUP(A35,Wine1!A:AI,35,FALSE))</f>
        <v>9.99</v>
      </c>
      <c r="M35" s="37">
        <f t="shared" si="0"/>
        <v>1</v>
      </c>
      <c r="N35" s="37">
        <f t="shared" si="3"/>
        <v>1.1320754716981133E-2</v>
      </c>
      <c r="O35" s="37">
        <f t="shared" si="4"/>
        <v>8.8245000000000005</v>
      </c>
      <c r="P35" s="37">
        <f>IF(N35&gt;0,M35,IF(L35&gt;=64.99,4,IF(L35&gt;=Expenses!C64,3,IF(UniqueID!L35&gt;=Expenses!C63,2,1))))</f>
        <v>1</v>
      </c>
      <c r="Q35" s="37">
        <f>IF(O35&gt;=64.99,4,IF(N35&gt;0,M35,IF(L35&gt;=64.99,4,IF(L35&gt;=Expenses!C64,3,IF(UniqueID!L35&gt;=Expenses!C63,2,1)))))</f>
        <v>1</v>
      </c>
      <c r="R35" s="37"/>
      <c r="S35" s="37"/>
    </row>
    <row r="36" spans="1:19" x14ac:dyDescent="0.25">
      <c r="A36" t="s">
        <v>933</v>
      </c>
      <c r="C36" s="37" t="str">
        <f>IF(I36&gt;0,VLOOKUP(A36,Wine1!A:H,6,FALSE),VLOOKUP(A36,Drank!A:H,6,FALSE))</f>
        <v>Argentina</v>
      </c>
      <c r="D36" s="37" t="str">
        <f>IF(I36&gt;0,VLOOKUP(A36,Wine1!A:H,7,FALSE),VLOOKUP(A36,Drank!A:H,7,FALSE))</f>
        <v>Mendoza</v>
      </c>
      <c r="E36" s="37" t="str">
        <f>IF(I36&gt;0,VLOOKUP(A36,Wine1!A:H,8,FALSE),VLOOKUP(A36,Drank!A:H,8,FALSE))</f>
        <v>Lujan de Cuyo</v>
      </c>
      <c r="F36" s="37" t="str">
        <f t="shared" si="1"/>
        <v>Argentina, Mendoza</v>
      </c>
      <c r="G36" s="37" t="str">
        <f t="shared" si="2"/>
        <v>Argentina, Mendoza, Lujan de Cuyo</v>
      </c>
      <c r="H36" s="37">
        <f>COUNTIF(Agibility!A:A,UniqueID!A36)</f>
        <v>1</v>
      </c>
      <c r="I36" s="37">
        <f>COUNTIF(Wine1!A:A,UniqueID!A36)</f>
        <v>2</v>
      </c>
      <c r="J36" s="37">
        <f>COUNTIF(Drank!A:A,UniqueID!A36)</f>
        <v>1</v>
      </c>
      <c r="K36" s="37">
        <f>IF(I36&lt;1,VLOOKUP(A36,Drank!A:S,19,FALSE),VLOOKUP(A36,Wine1!A:AI,26,FALSE))</f>
        <v>93</v>
      </c>
      <c r="L36" s="37">
        <f>IF(I36&lt;1,VLOOKUP(A36,Drank!A:Z,25,FALSE),VLOOKUP(A36,Wine1!A:AI,35,FALSE))</f>
        <v>37.130000000000003</v>
      </c>
      <c r="M36" s="37">
        <f t="shared" si="0"/>
        <v>3</v>
      </c>
      <c r="N36" s="37">
        <f t="shared" si="3"/>
        <v>1.0752688172043012E-2</v>
      </c>
      <c r="O36" s="37">
        <f t="shared" si="4"/>
        <v>34.530900000000003</v>
      </c>
      <c r="P36" s="37">
        <f>IF(N36&gt;0,M36,IF(L36&gt;=64.99,4,IF(L36&gt;=Expenses!C65,3,IF(UniqueID!L36&gt;=Expenses!C64,2,1))))</f>
        <v>3</v>
      </c>
      <c r="Q36" s="37">
        <f>IF(O36&gt;=64.99,4,IF(N36&gt;0,M36,IF(L36&gt;=64.99,4,IF(L36&gt;=Expenses!C65,3,IF(UniqueID!L36&gt;=Expenses!C64,2,1)))))</f>
        <v>3</v>
      </c>
      <c r="R36" s="37"/>
      <c r="S36" s="37"/>
    </row>
    <row r="37" spans="1:19" x14ac:dyDescent="0.25">
      <c r="A37" t="s">
        <v>423</v>
      </c>
      <c r="C37" s="37" t="str">
        <f>IF(I37&gt;0,VLOOKUP(A37,Wine1!A:H,6,FALSE),VLOOKUP(A37,Drank!A:H,6,FALSE))</f>
        <v>France</v>
      </c>
      <c r="D37" s="37" t="str">
        <f>IF(I37&gt;0,VLOOKUP(A37,Wine1!A:H,7,FALSE),VLOOKUP(A37,Drank!A:H,7,FALSE))</f>
        <v>Rhone</v>
      </c>
      <c r="E37" s="37" t="str">
        <f>IF(I37&gt;0,VLOOKUP(A37,Wine1!A:H,8,FALSE),VLOOKUP(A37,Drank!A:H,8,FALSE))</f>
        <v>Cotes du Rhone Villages</v>
      </c>
      <c r="F37" s="37" t="str">
        <f t="shared" si="1"/>
        <v>France, Rhone</v>
      </c>
      <c r="G37" s="37" t="str">
        <f t="shared" si="2"/>
        <v>France, Rhone, Cotes du Rhone Villages</v>
      </c>
      <c r="H37" s="37">
        <f>COUNTIF(Agibility!A:A,UniqueID!A37)</f>
        <v>1</v>
      </c>
      <c r="I37" s="37">
        <f>COUNTIF(Wine1!A:A,UniqueID!A37)</f>
        <v>20</v>
      </c>
      <c r="J37" s="37">
        <f>COUNTIF(Drank!A:A,UniqueID!A37)</f>
        <v>17</v>
      </c>
      <c r="K37" s="37">
        <f>IF(I37&lt;1,VLOOKUP(A37,Drank!A:S,19,FALSE),VLOOKUP(A37,Wine1!A:AI,26,FALSE))</f>
        <v>92.470588235294116</v>
      </c>
      <c r="L37" s="37">
        <f>IF(I37&lt;1,VLOOKUP(A37,Drank!A:Z,25,FALSE),VLOOKUP(A37,Wine1!A:AI,35,FALSE))</f>
        <v>16.28</v>
      </c>
      <c r="M37" s="37">
        <f t="shared" si="0"/>
        <v>3</v>
      </c>
      <c r="N37" s="37">
        <f t="shared" si="3"/>
        <v>1.0814249363867684E-2</v>
      </c>
      <c r="O37" s="37">
        <f t="shared" si="4"/>
        <v>15.054211764705883</v>
      </c>
      <c r="P37" s="37">
        <f>IF(N37&gt;0,M37,IF(L37&gt;=64.99,4,IF(L37&gt;=Expenses!C66,3,IF(UniqueID!L37&gt;=Expenses!C65,2,1))))</f>
        <v>3</v>
      </c>
      <c r="Q37" s="37">
        <f>IF(O37&gt;=64.99,4,IF(N37&gt;0,M37,IF(L37&gt;=64.99,4,IF(L37&gt;=Expenses!C66,3,IF(UniqueID!L37&gt;=Expenses!C65,2,1)))))</f>
        <v>3</v>
      </c>
      <c r="R37" s="37"/>
      <c r="S37" s="37"/>
    </row>
    <row r="38" spans="1:19" x14ac:dyDescent="0.25">
      <c r="A38" t="s">
        <v>447</v>
      </c>
      <c r="C38" s="37" t="str">
        <f>IF(I38&gt;0,VLOOKUP(A38,Wine1!A:H,6,FALSE),VLOOKUP(A38,Drank!A:H,6,FALSE))</f>
        <v>Portugal</v>
      </c>
      <c r="D38" s="37" t="str">
        <f>IF(I38&gt;0,VLOOKUP(A38,Wine1!A:H,7,FALSE),VLOOKUP(A38,Drank!A:H,7,FALSE))</f>
        <v>Douro</v>
      </c>
      <c r="E38" s="37">
        <f>IF(I38&gt;0,VLOOKUP(A38,Wine1!A:H,8,FALSE),VLOOKUP(A38,Drank!A:H,8,FALSE))</f>
        <v>0</v>
      </c>
      <c r="F38" s="37" t="str">
        <f t="shared" si="1"/>
        <v>Portugal, Douro</v>
      </c>
      <c r="G38" s="37" t="str">
        <f t="shared" si="2"/>
        <v>Portugal, Douro, 0</v>
      </c>
      <c r="H38" s="37">
        <f>COUNTIF(Agibility!A:A,UniqueID!A38)</f>
        <v>1</v>
      </c>
      <c r="I38" s="37">
        <f>COUNTIF(Wine1!A:A,UniqueID!A38)</f>
        <v>7</v>
      </c>
      <c r="J38" s="37">
        <f>COUNTIF(Drank!A:A,UniqueID!A38)</f>
        <v>4</v>
      </c>
      <c r="K38" s="37">
        <f>IF(I38&lt;1,VLOOKUP(A38,Drank!A:S,19,FALSE),VLOOKUP(A38,Wine1!A:AI,26,FALSE))</f>
        <v>92</v>
      </c>
      <c r="L38" s="37">
        <f>IF(I38&lt;1,VLOOKUP(A38,Drank!A:Z,25,FALSE),VLOOKUP(A38,Wine1!A:AI,35,FALSE))</f>
        <v>24.989999999999995</v>
      </c>
      <c r="M38" s="37">
        <f t="shared" si="0"/>
        <v>2</v>
      </c>
      <c r="N38" s="37">
        <f t="shared" si="3"/>
        <v>1.0869565217391304E-2</v>
      </c>
      <c r="O38" s="37">
        <f t="shared" si="4"/>
        <v>22.990799999999997</v>
      </c>
      <c r="P38" s="37">
        <f>IF(N38&gt;0,M38,IF(L38&gt;=64.99,4,IF(L38&gt;=Expenses!C67,3,IF(UniqueID!L38&gt;=Expenses!C66,2,1))))</f>
        <v>2</v>
      </c>
      <c r="Q38" s="37">
        <f>IF(O38&gt;=64.99,4,IF(N38&gt;0,M38,IF(L38&gt;=64.99,4,IF(L38&gt;=Expenses!C67,3,IF(UniqueID!L38&gt;=Expenses!C66,2,1)))))</f>
        <v>2</v>
      </c>
      <c r="R38" s="37"/>
      <c r="S38" s="37"/>
    </row>
    <row r="39" spans="1:19" x14ac:dyDescent="0.25">
      <c r="A39" t="s">
        <v>433</v>
      </c>
      <c r="C39" s="37" t="str">
        <f>IF(I39&gt;0,VLOOKUP(A39,Wine1!A:H,6,FALSE),VLOOKUP(A39,Drank!A:H,6,FALSE))</f>
        <v>France</v>
      </c>
      <c r="D39" s="37" t="str">
        <f>IF(I39&gt;0,VLOOKUP(A39,Wine1!A:H,7,FALSE),VLOOKUP(A39,Drank!A:H,7,FALSE))</f>
        <v>Rhone</v>
      </c>
      <c r="E39" s="37" t="str">
        <f>IF(I39&gt;0,VLOOKUP(A39,Wine1!A:H,8,FALSE),VLOOKUP(A39,Drank!A:H,8,FALSE))</f>
        <v>Southern Rhone, Rasteau</v>
      </c>
      <c r="F39" s="37" t="str">
        <f t="shared" si="1"/>
        <v>France, Rhone</v>
      </c>
      <c r="G39" s="37" t="str">
        <f t="shared" si="2"/>
        <v>France, Rhone, Southern Rhone, Rasteau</v>
      </c>
      <c r="H39" s="37">
        <f>COUNTIF(Agibility!A:A,UniqueID!A39)</f>
        <v>1</v>
      </c>
      <c r="I39" s="37">
        <f>COUNTIF(Wine1!A:A,UniqueID!A39)</f>
        <v>15</v>
      </c>
      <c r="J39" s="37">
        <f>COUNTIF(Drank!A:A,UniqueID!A39)</f>
        <v>5</v>
      </c>
      <c r="K39" s="37">
        <f>IF(I39&lt;1,VLOOKUP(A39,Drank!A:S,19,FALSE),VLOOKUP(A39,Wine1!A:AI,26,FALSE))</f>
        <v>92.2</v>
      </c>
      <c r="L39" s="37">
        <f>IF(I39&lt;1,VLOOKUP(A39,Drank!A:Z,25,FALSE),VLOOKUP(A39,Wine1!A:AI,35,FALSE))</f>
        <v>13.99</v>
      </c>
      <c r="M39" s="37">
        <f t="shared" si="0"/>
        <v>3</v>
      </c>
      <c r="N39" s="37">
        <f t="shared" si="3"/>
        <v>1.0845986984815618E-2</v>
      </c>
      <c r="O39" s="37">
        <f t="shared" si="4"/>
        <v>12.89878</v>
      </c>
      <c r="P39" s="37">
        <f>IF(N39&gt;0,M39,IF(L39&gt;=64.99,4,IF(L39&gt;=Expenses!C68,3,IF(UniqueID!L39&gt;=Expenses!C67,2,1))))</f>
        <v>3</v>
      </c>
      <c r="Q39" s="37">
        <f>IF(O39&gt;=64.99,4,IF(N39&gt;0,M39,IF(L39&gt;=64.99,4,IF(L39&gt;=Expenses!C68,3,IF(UniqueID!L39&gt;=Expenses!C67,2,1)))))</f>
        <v>3</v>
      </c>
      <c r="R39" s="37"/>
      <c r="S39" s="37"/>
    </row>
    <row r="40" spans="1:19" x14ac:dyDescent="0.25">
      <c r="A40" t="s">
        <v>475</v>
      </c>
      <c r="C40" s="37" t="str">
        <f>IF(I40&gt;0,VLOOKUP(A40,Wine1!A:H,6,FALSE),VLOOKUP(A40,Drank!A:H,6,FALSE))</f>
        <v>USA</v>
      </c>
      <c r="D40" s="37" t="str">
        <f>IF(I40&gt;0,VLOOKUP(A40,Wine1!A:H,7,FALSE),VLOOKUP(A40,Drank!A:H,7,FALSE))</f>
        <v>California</v>
      </c>
      <c r="E40" s="37" t="str">
        <f>IF(I40&gt;0,VLOOKUP(A40,Wine1!A:H,8,FALSE),VLOOKUP(A40,Drank!A:H,8,FALSE))</f>
        <v>Central Coast, Santa Barbara</v>
      </c>
      <c r="F40" s="37" t="str">
        <f t="shared" si="1"/>
        <v>USA, California</v>
      </c>
      <c r="G40" s="37" t="str">
        <f t="shared" si="2"/>
        <v>USA, California, Central Coast, Santa Barbara</v>
      </c>
      <c r="H40" s="37">
        <f>COUNTIF(Agibility!A:A,UniqueID!A40)</f>
        <v>1</v>
      </c>
      <c r="I40" s="37">
        <f>COUNTIF(Wine1!A:A,UniqueID!A40)</f>
        <v>3</v>
      </c>
      <c r="J40" s="37">
        <f>COUNTIF(Drank!A:A,UniqueID!A40)</f>
        <v>1</v>
      </c>
      <c r="K40" s="37">
        <f>IF(I40&lt;1,VLOOKUP(A40,Drank!A:S,19,FALSE),VLOOKUP(A40,Wine1!A:AI,26,FALSE))</f>
        <v>93</v>
      </c>
      <c r="L40" s="37">
        <f>IF(I40&lt;1,VLOOKUP(A40,Drank!A:Z,25,FALSE),VLOOKUP(A40,Wine1!A:AI,35,FALSE))</f>
        <v>35</v>
      </c>
      <c r="M40" s="37">
        <f t="shared" si="0"/>
        <v>3</v>
      </c>
      <c r="N40" s="37">
        <f t="shared" si="3"/>
        <v>1.0752688172043012E-2</v>
      </c>
      <c r="O40" s="37">
        <f t="shared" si="4"/>
        <v>32.550000000000004</v>
      </c>
      <c r="P40" s="37">
        <f>IF(N40&gt;0,M40,IF(L40&gt;=64.99,4,IF(L40&gt;=Expenses!C69,3,IF(UniqueID!L40&gt;=Expenses!C68,2,1))))</f>
        <v>3</v>
      </c>
      <c r="Q40" s="37">
        <f>IF(O40&gt;=64.99,4,IF(N40&gt;0,M40,IF(L40&gt;=64.99,4,IF(L40&gt;=Expenses!C69,3,IF(UniqueID!L40&gt;=Expenses!C68,2,1)))))</f>
        <v>3</v>
      </c>
      <c r="R40" s="37"/>
      <c r="S40" s="37"/>
    </row>
    <row r="41" spans="1:19" x14ac:dyDescent="0.25">
      <c r="A41" t="s">
        <v>425</v>
      </c>
      <c r="C41" s="37" t="str">
        <f>IF(I41&gt;0,VLOOKUP(A41,Wine1!A:H,6,FALSE),VLOOKUP(A41,Drank!A:H,6,FALSE))</f>
        <v>France</v>
      </c>
      <c r="D41" s="37" t="str">
        <f>IF(I41&gt;0,VLOOKUP(A41,Wine1!A:H,7,FALSE),VLOOKUP(A41,Drank!A:H,7,FALSE))</f>
        <v>Bordeaux</v>
      </c>
      <c r="E41" s="37" t="str">
        <f>IF(I41&gt;0,VLOOKUP(A41,Wine1!A:H,8,FALSE),VLOOKUP(A41,Drank!A:H,8,FALSE))</f>
        <v>Sauternes</v>
      </c>
      <c r="F41" s="37" t="str">
        <f t="shared" si="1"/>
        <v>France, Bordeaux</v>
      </c>
      <c r="G41" s="37" t="str">
        <f t="shared" si="2"/>
        <v>France, Bordeaux, Sauternes</v>
      </c>
      <c r="H41" s="37">
        <f>COUNTIF(Agibility!A:A,UniqueID!A41)</f>
        <v>1</v>
      </c>
      <c r="I41" s="37">
        <f>COUNTIF(Wine1!A:A,UniqueID!A41)</f>
        <v>7</v>
      </c>
      <c r="J41" s="37">
        <f>COUNTIF(Drank!A:A,UniqueID!A41)</f>
        <v>3</v>
      </c>
      <c r="K41" s="37">
        <f>IF(I41&lt;1,VLOOKUP(A41,Drank!A:S,19,FALSE),VLOOKUP(A41,Wine1!A:AI,26,FALSE))</f>
        <v>92.666666666666671</v>
      </c>
      <c r="L41" s="37">
        <f>IF(I41&lt;1,VLOOKUP(A41,Drank!A:Z,25,FALSE),VLOOKUP(A41,Wine1!A:AI,35,FALSE))</f>
        <v>33.979999999999997</v>
      </c>
      <c r="M41" s="37">
        <f t="shared" si="0"/>
        <v>3</v>
      </c>
      <c r="N41" s="37">
        <f t="shared" si="3"/>
        <v>1.0791366906474819E-2</v>
      </c>
      <c r="O41" s="37">
        <f t="shared" si="4"/>
        <v>31.488133333333334</v>
      </c>
      <c r="P41" s="37">
        <f>IF(N41&gt;0,M41,IF(L41&gt;=64.99,4,IF(L41&gt;=Expenses!C70,3,IF(UniqueID!L41&gt;=Expenses!C69,2,1))))</f>
        <v>3</v>
      </c>
      <c r="Q41" s="37">
        <f>IF(O41&gt;=64.99,4,IF(N41&gt;0,M41,IF(L41&gt;=64.99,4,IF(L41&gt;=Expenses!C70,3,IF(UniqueID!L41&gt;=Expenses!C69,2,1)))))</f>
        <v>3</v>
      </c>
      <c r="R41" s="37"/>
      <c r="S41" s="37"/>
    </row>
    <row r="42" spans="1:19" x14ac:dyDescent="0.25">
      <c r="A42" t="s">
        <v>476</v>
      </c>
      <c r="C42" s="37" t="str">
        <f>IF(I42&gt;0,VLOOKUP(A42,Wine1!A:H,6,FALSE),VLOOKUP(A42,Drank!A:H,6,FALSE))</f>
        <v>Spain</v>
      </c>
      <c r="D42" s="37" t="str">
        <f>IF(I42&gt;0,VLOOKUP(A42,Wine1!A:H,7,FALSE),VLOOKUP(A42,Drank!A:H,7,FALSE))</f>
        <v>Rioja</v>
      </c>
      <c r="E42" s="37" t="str">
        <f>IF(I42&gt;0,VLOOKUP(A42,Wine1!A:H,8,FALSE),VLOOKUP(A42,Drank!A:H,8,FALSE))</f>
        <v>Alta</v>
      </c>
      <c r="F42" s="37" t="str">
        <f t="shared" si="1"/>
        <v>Spain, Rioja</v>
      </c>
      <c r="G42" s="37" t="str">
        <f t="shared" si="2"/>
        <v>Spain, Rioja, Alta</v>
      </c>
      <c r="H42" s="37">
        <f>COUNTIF(Agibility!A:A,UniqueID!A42)</f>
        <v>1</v>
      </c>
      <c r="I42" s="37">
        <f>COUNTIF(Wine1!A:A,UniqueID!A42)</f>
        <v>1</v>
      </c>
      <c r="J42" s="37">
        <f>COUNTIF(Drank!A:A,UniqueID!A42)</f>
        <v>2</v>
      </c>
      <c r="K42" s="37">
        <f>IF(I42&lt;1,VLOOKUP(A42,Drank!A:S,19,FALSE),VLOOKUP(A42,Wine1!A:AI,26,FALSE))</f>
        <v>94.5</v>
      </c>
      <c r="L42" s="37">
        <f>IF(I42&lt;1,VLOOKUP(A42,Drank!A:Z,25,FALSE),VLOOKUP(A42,Wine1!A:AI,35,FALSE))</f>
        <v>67.495000000000005</v>
      </c>
      <c r="M42" s="37">
        <f t="shared" si="0"/>
        <v>3</v>
      </c>
      <c r="N42" s="37">
        <f t="shared" si="3"/>
        <v>1.0582010582010581E-2</v>
      </c>
      <c r="O42" s="37">
        <f t="shared" si="4"/>
        <v>63.782775000000008</v>
      </c>
      <c r="P42" s="37">
        <f>IF(N42&gt;0,M42,IF(L42&gt;=64.99,4,IF(L42&gt;=Expenses!C71,3,IF(UniqueID!L42&gt;=Expenses!C70,2,1))))</f>
        <v>3</v>
      </c>
      <c r="Q42" s="37">
        <f>IF(O42&gt;=64.99,4,IF(N42&gt;0,M42,IF(L42&gt;=64.99,4,IF(L42&gt;=Expenses!C71,3,IF(UniqueID!L42&gt;=Expenses!C70,2,1)))))</f>
        <v>3</v>
      </c>
      <c r="R42" s="37"/>
      <c r="S42" s="37"/>
    </row>
    <row r="43" spans="1:19" x14ac:dyDescent="0.25">
      <c r="A43" t="s">
        <v>477</v>
      </c>
      <c r="C43" s="37" t="str">
        <f>IF(I43&gt;0,VLOOKUP(A43,Wine1!A:H,6,FALSE),VLOOKUP(A43,Drank!A:H,6,FALSE))</f>
        <v>Italy</v>
      </c>
      <c r="D43" s="37" t="str">
        <f>IF(I43&gt;0,VLOOKUP(A43,Wine1!A:H,7,FALSE),VLOOKUP(A43,Drank!A:H,7,FALSE))</f>
        <v>Veneto</v>
      </c>
      <c r="E43" s="37" t="str">
        <f>IF(I43&gt;0,VLOOKUP(A43,Wine1!A:H,8,FALSE),VLOOKUP(A43,Drank!A:H,8,FALSE))</f>
        <v>Valpolicella Classico</v>
      </c>
      <c r="F43" s="37" t="str">
        <f t="shared" si="1"/>
        <v>Italy, Veneto</v>
      </c>
      <c r="G43" s="37" t="str">
        <f t="shared" si="2"/>
        <v>Italy, Veneto, Valpolicella Classico</v>
      </c>
      <c r="H43" s="37">
        <f>COUNTIF(Agibility!A:A,UniqueID!A43)</f>
        <v>1</v>
      </c>
      <c r="I43" s="37">
        <f>COUNTIF(Wine1!A:A,UniqueID!A43)</f>
        <v>5</v>
      </c>
      <c r="J43" s="37">
        <f>COUNTIF(Drank!A:A,UniqueID!A43)</f>
        <v>1</v>
      </c>
      <c r="K43" s="37">
        <f>IF(I43&lt;1,VLOOKUP(A43,Drank!A:S,19,FALSE),VLOOKUP(A43,Wine1!A:AI,26,FALSE))</f>
        <v>91</v>
      </c>
      <c r="L43" s="37">
        <f>IF(I43&lt;1,VLOOKUP(A43,Drank!A:Z,25,FALSE),VLOOKUP(A43,Wine1!A:AI,35,FALSE))</f>
        <v>24.989999999999995</v>
      </c>
      <c r="M43" s="37">
        <f t="shared" si="0"/>
        <v>2</v>
      </c>
      <c r="N43" s="37">
        <f t="shared" si="3"/>
        <v>1.098901098901099E-2</v>
      </c>
      <c r="O43" s="37">
        <f t="shared" si="4"/>
        <v>22.740899999999996</v>
      </c>
      <c r="P43" s="37">
        <f>IF(N43&gt;0,M43,IF(L43&gt;=64.99,4,IF(L43&gt;=Expenses!C72,3,IF(UniqueID!L43&gt;=Expenses!C71,2,1))))</f>
        <v>2</v>
      </c>
      <c r="Q43" s="37">
        <f>IF(O43&gt;=64.99,4,IF(N43&gt;0,M43,IF(L43&gt;=64.99,4,IF(L43&gt;=Expenses!C72,3,IF(UniqueID!L43&gt;=Expenses!C71,2,1)))))</f>
        <v>2</v>
      </c>
      <c r="R43" s="37"/>
      <c r="S43" s="37"/>
    </row>
    <row r="44" spans="1:19" x14ac:dyDescent="0.25">
      <c r="A44" t="s">
        <v>702</v>
      </c>
      <c r="C44" s="37" t="str">
        <f>IF(I44&gt;0,VLOOKUP(A44,Wine1!A:H,6,FALSE),VLOOKUP(A44,Drank!A:H,6,FALSE))</f>
        <v>Italy</v>
      </c>
      <c r="D44" s="37" t="str">
        <f>IF(I44&gt;0,VLOOKUP(A44,Wine1!A:H,7,FALSE),VLOOKUP(A44,Drank!A:H,7,FALSE))</f>
        <v>Tuscany</v>
      </c>
      <c r="E44" s="37" t="str">
        <f>IF(I44&gt;0,VLOOKUP(A44,Wine1!A:H,8,FALSE),VLOOKUP(A44,Drank!A:H,8,FALSE))</f>
        <v>Chianti Classico</v>
      </c>
      <c r="F44" s="37" t="str">
        <f t="shared" si="1"/>
        <v>Italy, Tuscany</v>
      </c>
      <c r="G44" s="37" t="str">
        <f t="shared" si="2"/>
        <v>Italy, Tuscany, Chianti Classico</v>
      </c>
      <c r="H44" s="37">
        <f>COUNTIF(Agibility!A:A,UniqueID!A44)</f>
        <v>1</v>
      </c>
      <c r="I44" s="37">
        <f>COUNTIF(Wine1!A:A,UniqueID!A44)</f>
        <v>6</v>
      </c>
      <c r="J44" s="37">
        <f>COUNTIF(Drank!A:A,UniqueID!A44)</f>
        <v>3</v>
      </c>
      <c r="K44" s="37">
        <f>IF(I44&lt;1,VLOOKUP(A44,Drank!A:S,19,FALSE),VLOOKUP(A44,Wine1!A:AI,26,FALSE))</f>
        <v>91.333333333333329</v>
      </c>
      <c r="L44" s="37">
        <f>IF(I44&lt;1,VLOOKUP(A44,Drank!A:Z,25,FALSE),VLOOKUP(A44,Wine1!A:AI,35,FALSE))</f>
        <v>21.51</v>
      </c>
      <c r="M44" s="37">
        <f t="shared" si="0"/>
        <v>2</v>
      </c>
      <c r="N44" s="37">
        <f t="shared" si="3"/>
        <v>1.0948905109489052E-2</v>
      </c>
      <c r="O44" s="37">
        <f t="shared" si="4"/>
        <v>19.645800000000001</v>
      </c>
      <c r="P44" s="37">
        <f>IF(N44&gt;0,M44,IF(L44&gt;=64.99,4,IF(L44&gt;=Expenses!C73,3,IF(UniqueID!L44&gt;=Expenses!C72,2,1))))</f>
        <v>2</v>
      </c>
      <c r="Q44" s="37">
        <f>IF(O44&gt;=64.99,4,IF(N44&gt;0,M44,IF(L44&gt;=64.99,4,IF(L44&gt;=Expenses!C73,3,IF(UniqueID!L44&gt;=Expenses!C72,2,1)))))</f>
        <v>2</v>
      </c>
      <c r="R44" s="37"/>
      <c r="S44" s="37"/>
    </row>
    <row r="45" spans="1:19" x14ac:dyDescent="0.25">
      <c r="A45" t="s">
        <v>478</v>
      </c>
      <c r="C45" s="37" t="str">
        <f>IF(I45&gt;0,VLOOKUP(A45,Wine1!A:H,6,FALSE),VLOOKUP(A45,Drank!A:H,6,FALSE))</f>
        <v>France</v>
      </c>
      <c r="D45" s="37" t="str">
        <f>IF(I45&gt;0,VLOOKUP(A45,Wine1!A:H,7,FALSE),VLOOKUP(A45,Drank!A:H,7,FALSE))</f>
        <v>Rhone</v>
      </c>
      <c r="E45" s="37" t="str">
        <f>IF(I45&gt;0,VLOOKUP(A45,Wine1!A:H,8,FALSE),VLOOKUP(A45,Drank!A:H,8,FALSE))</f>
        <v>Southern Rhone, Gigondas</v>
      </c>
      <c r="F45" s="37" t="str">
        <f t="shared" si="1"/>
        <v>France, Rhone</v>
      </c>
      <c r="G45" s="37" t="str">
        <f t="shared" si="2"/>
        <v>France, Rhone, Southern Rhone, Gigondas</v>
      </c>
      <c r="H45" s="37">
        <f>COUNTIF(Agibility!A:A,UniqueID!A45)</f>
        <v>1</v>
      </c>
      <c r="I45" s="37">
        <f>COUNTIF(Wine1!A:A,UniqueID!A45)</f>
        <v>5</v>
      </c>
      <c r="J45" s="37">
        <f>COUNTIF(Drank!A:A,UniqueID!A45)</f>
        <v>1</v>
      </c>
      <c r="K45" s="37">
        <f>IF(I45&lt;1,VLOOKUP(A45,Drank!A:S,19,FALSE),VLOOKUP(A45,Wine1!A:AI,26,FALSE))</f>
        <v>92</v>
      </c>
      <c r="L45" s="37">
        <f>IF(I45&lt;1,VLOOKUP(A45,Drank!A:Z,25,FALSE),VLOOKUP(A45,Wine1!A:AI,35,FALSE))</f>
        <v>23</v>
      </c>
      <c r="M45" s="37">
        <f t="shared" si="0"/>
        <v>2</v>
      </c>
      <c r="N45" s="37">
        <f t="shared" si="3"/>
        <v>1.0869565217391304E-2</v>
      </c>
      <c r="O45" s="37">
        <f t="shared" si="4"/>
        <v>21.16</v>
      </c>
      <c r="P45" s="37">
        <f>IF(N45&gt;0,M45,IF(L45&gt;=64.99,4,IF(L45&gt;=Expenses!C74,3,IF(UniqueID!L45&gt;=Expenses!C73,2,1))))</f>
        <v>2</v>
      </c>
      <c r="Q45" s="37">
        <f>IF(O45&gt;=64.99,4,IF(N45&gt;0,M45,IF(L45&gt;=64.99,4,IF(L45&gt;=Expenses!C74,3,IF(UniqueID!L45&gt;=Expenses!C73,2,1)))))</f>
        <v>2</v>
      </c>
      <c r="R45" s="37"/>
      <c r="S45" s="37"/>
    </row>
    <row r="46" spans="1:19" x14ac:dyDescent="0.25">
      <c r="A46" t="s">
        <v>479</v>
      </c>
      <c r="C46" s="37" t="str">
        <f>IF(I46&gt;0,VLOOKUP(A46,Wine1!A:H,6,FALSE),VLOOKUP(A46,Drank!A:H,6,FALSE))</f>
        <v>Spain</v>
      </c>
      <c r="D46" s="37" t="str">
        <f>IF(I46&gt;0,VLOOKUP(A46,Wine1!A:H,7,FALSE),VLOOKUP(A46,Drank!A:H,7,FALSE))</f>
        <v>Aragon</v>
      </c>
      <c r="E46" s="37" t="str">
        <f>IF(I46&gt;0,VLOOKUP(A46,Wine1!A:H,8,FALSE),VLOOKUP(A46,Drank!A:H,8,FALSE))</f>
        <v>Carinena</v>
      </c>
      <c r="F46" s="37" t="str">
        <f t="shared" si="1"/>
        <v>Spain, Aragon</v>
      </c>
      <c r="G46" s="37" t="str">
        <f t="shared" si="2"/>
        <v>Spain, Aragon, Carinena</v>
      </c>
      <c r="H46" s="37">
        <f>COUNTIF(Agibility!A:A,UniqueID!A46)</f>
        <v>1</v>
      </c>
      <c r="I46" s="37">
        <f>COUNTIF(Wine1!A:A,UniqueID!A46)</f>
        <v>2</v>
      </c>
      <c r="J46" s="37">
        <f>COUNTIF(Drank!A:A,UniqueID!A46)</f>
        <v>2</v>
      </c>
      <c r="K46" s="37">
        <f>IF(I46&lt;1,VLOOKUP(A46,Drank!A:S,19,FALSE),VLOOKUP(A46,Wine1!A:AI,26,FALSE))</f>
        <v>91</v>
      </c>
      <c r="L46" s="37">
        <f>IF(I46&lt;1,VLOOKUP(A46,Drank!A:Z,25,FALSE),VLOOKUP(A46,Wine1!A:AI,35,FALSE))</f>
        <v>29.98</v>
      </c>
      <c r="M46" s="37">
        <f t="shared" si="0"/>
        <v>2</v>
      </c>
      <c r="N46" s="37">
        <f t="shared" si="3"/>
        <v>1.098901098901099E-2</v>
      </c>
      <c r="O46" s="37">
        <f t="shared" si="4"/>
        <v>27.2818</v>
      </c>
      <c r="P46" s="37">
        <f>IF(N46&gt;0,M46,IF(L46&gt;=64.99,4,IF(L46&gt;=Expenses!C75,3,IF(UniqueID!L46&gt;=Expenses!C74,2,1))))</f>
        <v>2</v>
      </c>
      <c r="Q46" s="37">
        <f>IF(O46&gt;=64.99,4,IF(N46&gt;0,M46,IF(L46&gt;=64.99,4,IF(L46&gt;=Expenses!C75,3,IF(UniqueID!L46&gt;=Expenses!C74,2,1)))))</f>
        <v>2</v>
      </c>
      <c r="R46" s="37"/>
      <c r="S46" s="37"/>
    </row>
    <row r="47" spans="1:19" x14ac:dyDescent="0.25">
      <c r="A47" t="s">
        <v>480</v>
      </c>
      <c r="C47" s="37" t="str">
        <f>IF(I47&gt;0,VLOOKUP(A47,Wine1!A:H,6,FALSE),VLOOKUP(A47,Drank!A:H,6,FALSE))</f>
        <v>Italy</v>
      </c>
      <c r="D47" s="37" t="str">
        <f>IF(I47&gt;0,VLOOKUP(A47,Wine1!A:H,7,FALSE),VLOOKUP(A47,Drank!A:H,7,FALSE))</f>
        <v>Tuscany</v>
      </c>
      <c r="E47" s="37" t="str">
        <f>IF(I47&gt;0,VLOOKUP(A47,Wine1!A:H,8,FALSE),VLOOKUP(A47,Drank!A:H,8,FALSE))</f>
        <v>Brunello di Montalcino</v>
      </c>
      <c r="F47" s="37" t="str">
        <f t="shared" si="1"/>
        <v>Italy, Tuscany</v>
      </c>
      <c r="G47" s="37" t="str">
        <f t="shared" si="2"/>
        <v>Italy, Tuscany, Brunello di Montalcino</v>
      </c>
      <c r="H47" s="37">
        <f>COUNTIF(Agibility!A:A,UniqueID!A47)</f>
        <v>1</v>
      </c>
      <c r="I47" s="37">
        <f>COUNTIF(Wine1!A:A,UniqueID!A47)</f>
        <v>2</v>
      </c>
      <c r="J47" s="37">
        <f>COUNTIF(Drank!A:A,UniqueID!A47)</f>
        <v>0</v>
      </c>
      <c r="K47" s="37">
        <f>IF(I47&lt;1,VLOOKUP(A47,Drank!A:S,19,FALSE),VLOOKUP(A47,Wine1!A:AI,26,FALSE))</f>
        <v>91</v>
      </c>
      <c r="L47" s="37">
        <f>IF(I47&lt;1,VLOOKUP(A47,Drank!A:Z,25,FALSE),VLOOKUP(A47,Wine1!A:AI,35,FALSE))</f>
        <v>54.989999999999995</v>
      </c>
      <c r="M47" s="37">
        <f t="shared" si="0"/>
        <v>2</v>
      </c>
      <c r="N47" s="37">
        <f t="shared" si="3"/>
        <v>1.098901098901099E-2</v>
      </c>
      <c r="O47" s="37">
        <f t="shared" si="4"/>
        <v>50.040900000000001</v>
      </c>
      <c r="P47" s="37">
        <f>IF(N47&gt;0,M47,IF(L47&gt;=64.99,4,IF(L47&gt;=Expenses!C76,3,IF(UniqueID!L47&gt;=Expenses!C75,2,1))))</f>
        <v>2</v>
      </c>
      <c r="Q47" s="37">
        <f>IF(O47&gt;=64.99,4,IF(N47&gt;0,M47,IF(L47&gt;=64.99,4,IF(L47&gt;=Expenses!C76,3,IF(UniqueID!L47&gt;=Expenses!C75,2,1)))))</f>
        <v>2</v>
      </c>
      <c r="R47" s="37"/>
      <c r="S47" s="37"/>
    </row>
    <row r="48" spans="1:19" x14ac:dyDescent="0.25">
      <c r="A48" t="s">
        <v>481</v>
      </c>
      <c r="C48" s="37" t="str">
        <f>IF(I48&gt;0,VLOOKUP(A48,Wine1!A:H,6,FALSE),VLOOKUP(A48,Drank!A:H,6,FALSE))</f>
        <v>France</v>
      </c>
      <c r="D48" s="37" t="str">
        <f>IF(I48&gt;0,VLOOKUP(A48,Wine1!A:H,7,FALSE),VLOOKUP(A48,Drank!A:H,7,FALSE))</f>
        <v>Rhone</v>
      </c>
      <c r="E48" s="37" t="str">
        <f>IF(I48&gt;0,VLOOKUP(A48,Wine1!A:H,8,FALSE),VLOOKUP(A48,Drank!A:H,8,FALSE))</f>
        <v>Southern Rhone, Gigondas</v>
      </c>
      <c r="F48" s="37" t="str">
        <f t="shared" si="1"/>
        <v>France, Rhone</v>
      </c>
      <c r="G48" s="37" t="str">
        <f t="shared" si="2"/>
        <v>France, Rhone, Southern Rhone, Gigondas</v>
      </c>
      <c r="H48" s="37">
        <f>COUNTIF(Agibility!A:A,UniqueID!A48)</f>
        <v>1</v>
      </c>
      <c r="I48" s="37">
        <f>COUNTIF(Wine1!A:A,UniqueID!A48)</f>
        <v>11</v>
      </c>
      <c r="J48" s="37">
        <f>COUNTIF(Drank!A:A,UniqueID!A48)</f>
        <v>1</v>
      </c>
      <c r="K48" s="37">
        <f>IF(I48&lt;1,VLOOKUP(A48,Drank!A:S,19,FALSE),VLOOKUP(A48,Wine1!A:AI,26,FALSE))</f>
        <v>92</v>
      </c>
      <c r="L48" s="37">
        <f>IF(I48&lt;1,VLOOKUP(A48,Drank!A:Z,25,FALSE),VLOOKUP(A48,Wine1!A:AI,35,FALSE))</f>
        <v>23</v>
      </c>
      <c r="M48" s="37">
        <f t="shared" si="0"/>
        <v>2</v>
      </c>
      <c r="N48" s="37">
        <f t="shared" si="3"/>
        <v>1.0869565217391304E-2</v>
      </c>
      <c r="O48" s="37">
        <f t="shared" si="4"/>
        <v>21.16</v>
      </c>
      <c r="P48" s="37">
        <f>IF(N48&gt;0,M48,IF(L48&gt;=64.99,4,IF(L48&gt;=Expenses!C77,3,IF(UniqueID!L48&gt;=Expenses!C76,2,1))))</f>
        <v>2</v>
      </c>
      <c r="Q48" s="37">
        <f>IF(O48&gt;=64.99,4,IF(N48&gt;0,M48,IF(L48&gt;=64.99,4,IF(L48&gt;=Expenses!C77,3,IF(UniqueID!L48&gt;=Expenses!C76,2,1)))))</f>
        <v>2</v>
      </c>
      <c r="R48" s="37"/>
      <c r="S48" s="37"/>
    </row>
    <row r="49" spans="1:19" x14ac:dyDescent="0.25">
      <c r="A49" t="s">
        <v>482</v>
      </c>
      <c r="C49" s="37" t="str">
        <f>IF(I49&gt;0,VLOOKUP(A49,Wine1!A:H,6,FALSE),VLOOKUP(A49,Drank!A:H,6,FALSE))</f>
        <v>Italy</v>
      </c>
      <c r="D49" s="37" t="str">
        <f>IF(I49&gt;0,VLOOKUP(A49,Wine1!A:H,7,FALSE),VLOOKUP(A49,Drank!A:H,7,FALSE))</f>
        <v>Piedmont</v>
      </c>
      <c r="E49" s="37" t="str">
        <f>IF(I49&gt;0,VLOOKUP(A49,Wine1!A:H,8,FALSE),VLOOKUP(A49,Drank!A:H,8,FALSE))</f>
        <v>Roero</v>
      </c>
      <c r="F49" s="37" t="str">
        <f t="shared" si="1"/>
        <v>Italy, Piedmont</v>
      </c>
      <c r="G49" s="37" t="str">
        <f t="shared" si="2"/>
        <v>Italy, Piedmont, Roero</v>
      </c>
      <c r="H49" s="37">
        <f>COUNTIF(Agibility!A:A,UniqueID!A49)</f>
        <v>1</v>
      </c>
      <c r="I49" s="37">
        <f>COUNTIF(Wine1!A:A,UniqueID!A49)</f>
        <v>5</v>
      </c>
      <c r="J49" s="37">
        <f>COUNTIF(Drank!A:A,UniqueID!A49)</f>
        <v>1</v>
      </c>
      <c r="K49" s="37">
        <f>IF(I49&lt;1,VLOOKUP(A49,Drank!A:S,19,FALSE),VLOOKUP(A49,Wine1!A:AI,26,FALSE))</f>
        <v>94</v>
      </c>
      <c r="L49" s="37">
        <f>IF(I49&lt;1,VLOOKUP(A49,Drank!A:Z,25,FALSE),VLOOKUP(A49,Wine1!A:AI,35,FALSE))</f>
        <v>26</v>
      </c>
      <c r="M49" s="37">
        <f t="shared" si="0"/>
        <v>3</v>
      </c>
      <c r="N49" s="37">
        <f t="shared" si="3"/>
        <v>1.0638297872340425E-2</v>
      </c>
      <c r="O49" s="37">
        <f t="shared" si="4"/>
        <v>24.44</v>
      </c>
      <c r="P49" s="37">
        <f>IF(N49&gt;0,M49,IF(L49&gt;=64.99,4,IF(L49&gt;=Expenses!C78,3,IF(UniqueID!L49&gt;=Expenses!C77,2,1))))</f>
        <v>3</v>
      </c>
      <c r="Q49" s="37">
        <f>IF(O49&gt;=64.99,4,IF(N49&gt;0,M49,IF(L49&gt;=64.99,4,IF(L49&gt;=Expenses!C78,3,IF(UniqueID!L49&gt;=Expenses!C77,2,1)))))</f>
        <v>3</v>
      </c>
      <c r="R49" s="37"/>
      <c r="S49" s="37"/>
    </row>
    <row r="50" spans="1:19" x14ac:dyDescent="0.25">
      <c r="A50" t="s">
        <v>459</v>
      </c>
      <c r="C50" s="37" t="str">
        <f>IF(I50&gt;0,VLOOKUP(A50,Wine1!A:H,6,FALSE),VLOOKUP(A50,Drank!A:H,6,FALSE))</f>
        <v>France</v>
      </c>
      <c r="D50" s="37" t="str">
        <f>IF(I50&gt;0,VLOOKUP(A50,Wine1!A:H,7,FALSE),VLOOKUP(A50,Drank!A:H,7,FALSE))</f>
        <v>Beaujolais</v>
      </c>
      <c r="E50" s="37" t="str">
        <f>IF(I50&gt;0,VLOOKUP(A50,Wine1!A:H,8,FALSE),VLOOKUP(A50,Drank!A:H,8,FALSE))</f>
        <v>Moulin-a-Vent</v>
      </c>
      <c r="F50" s="37" t="str">
        <f t="shared" si="1"/>
        <v>France, Beaujolais</v>
      </c>
      <c r="G50" s="37" t="str">
        <f t="shared" si="2"/>
        <v>France, Beaujolais, Moulin-a-Vent</v>
      </c>
      <c r="H50" s="37">
        <f>COUNTIF(Agibility!A:A,UniqueID!A50)</f>
        <v>1</v>
      </c>
      <c r="I50" s="37">
        <f>COUNTIF(Wine1!A:A,UniqueID!A50)</f>
        <v>10</v>
      </c>
      <c r="J50" s="37">
        <f>COUNTIF(Drank!A:A,UniqueID!A50)</f>
        <v>2</v>
      </c>
      <c r="K50" s="37">
        <f>IF(I50&lt;1,VLOOKUP(A50,Drank!A:S,19,FALSE),VLOOKUP(A50,Wine1!A:AI,26,FALSE))</f>
        <v>90</v>
      </c>
      <c r="L50" s="37">
        <f>IF(I50&lt;1,VLOOKUP(A50,Drank!A:Z,25,FALSE),VLOOKUP(A50,Wine1!A:AI,35,FALSE))</f>
        <v>14.99</v>
      </c>
      <c r="M50" s="37">
        <f t="shared" si="0"/>
        <v>2</v>
      </c>
      <c r="N50" s="37">
        <f t="shared" si="3"/>
        <v>1.1111111111111112E-2</v>
      </c>
      <c r="O50" s="37">
        <f t="shared" si="4"/>
        <v>13.491</v>
      </c>
      <c r="P50" s="37">
        <f>IF(N50&gt;0,M50,IF(L50&gt;=64.99,4,IF(L50&gt;=Expenses!C79,3,IF(UniqueID!L50&gt;=Expenses!C78,2,1))))</f>
        <v>2</v>
      </c>
      <c r="Q50" s="37">
        <f>IF(O50&gt;=64.99,4,IF(N50&gt;0,M50,IF(L50&gt;=64.99,4,IF(L50&gt;=Expenses!C79,3,IF(UniqueID!L50&gt;=Expenses!C78,2,1)))))</f>
        <v>2</v>
      </c>
      <c r="R50" s="37"/>
      <c r="S50" s="37"/>
    </row>
    <row r="51" spans="1:19" x14ac:dyDescent="0.25">
      <c r="A51" t="s">
        <v>703</v>
      </c>
      <c r="C51" s="37" t="str">
        <f>IF(I51&gt;0,VLOOKUP(A51,Wine1!A:H,6,FALSE),VLOOKUP(A51,Drank!A:H,6,FALSE))</f>
        <v>Italy</v>
      </c>
      <c r="D51" s="37" t="str">
        <f>IF(I51&gt;0,VLOOKUP(A51,Wine1!A:H,7,FALSE),VLOOKUP(A51,Drank!A:H,7,FALSE))</f>
        <v>Veneto</v>
      </c>
      <c r="E51" s="37" t="str">
        <f>IF(I51&gt;0,VLOOKUP(A51,Wine1!A:H,8,FALSE),VLOOKUP(A51,Drank!A:H,8,FALSE))</f>
        <v>Valpolicella Classico</v>
      </c>
      <c r="F51" s="37" t="str">
        <f t="shared" si="1"/>
        <v>Italy, Veneto</v>
      </c>
      <c r="G51" s="37" t="str">
        <f t="shared" si="2"/>
        <v>Italy, Veneto, Valpolicella Classico</v>
      </c>
      <c r="H51" s="37">
        <f>COUNTIF(Agibility!A:A,UniqueID!A51)</f>
        <v>1</v>
      </c>
      <c r="I51" s="37">
        <f>COUNTIF(Wine1!A:A,UniqueID!A51)</f>
        <v>8</v>
      </c>
      <c r="J51" s="37">
        <f>COUNTIF(Drank!A:A,UniqueID!A51)</f>
        <v>1</v>
      </c>
      <c r="K51" s="37">
        <f>IF(I51&lt;1,VLOOKUP(A51,Drank!A:S,19,FALSE),VLOOKUP(A51,Wine1!A:AI,26,FALSE))</f>
        <v>92</v>
      </c>
      <c r="L51" s="37">
        <f>IF(I51&lt;1,VLOOKUP(A51,Drank!A:Z,25,FALSE),VLOOKUP(A51,Wine1!A:AI,35,FALSE))</f>
        <v>32.58</v>
      </c>
      <c r="M51" s="37">
        <f t="shared" si="0"/>
        <v>2</v>
      </c>
      <c r="N51" s="37">
        <f t="shared" si="3"/>
        <v>1.0869565217391304E-2</v>
      </c>
      <c r="O51" s="37">
        <f t="shared" si="4"/>
        <v>29.973600000000001</v>
      </c>
      <c r="P51" s="37">
        <f>IF(N51&gt;0,M51,IF(L51&gt;=64.99,4,IF(L51&gt;=Expenses!C80,3,IF(UniqueID!L51&gt;=Expenses!C79,2,1))))</f>
        <v>2</v>
      </c>
      <c r="Q51" s="37">
        <f>IF(O51&gt;=64.99,4,IF(N51&gt;0,M51,IF(L51&gt;=64.99,4,IF(L51&gt;=Expenses!C80,3,IF(UniqueID!L51&gt;=Expenses!C79,2,1)))))</f>
        <v>2</v>
      </c>
      <c r="R51" s="37"/>
      <c r="S51" s="37"/>
    </row>
    <row r="52" spans="1:19" x14ac:dyDescent="0.25">
      <c r="A52" t="s">
        <v>934</v>
      </c>
      <c r="C52" s="37" t="str">
        <f>IF(I52&gt;0,VLOOKUP(A52,Wine1!A:H,6,FALSE),VLOOKUP(A52,Drank!A:H,6,FALSE))</f>
        <v>France</v>
      </c>
      <c r="D52" s="37" t="str">
        <f>IF(I52&gt;0,VLOOKUP(A52,Wine1!A:H,7,FALSE),VLOOKUP(A52,Drank!A:H,7,FALSE))</f>
        <v>Rhone</v>
      </c>
      <c r="E52" s="37" t="str">
        <f>IF(I52&gt;0,VLOOKUP(A52,Wine1!A:H,8,FALSE),VLOOKUP(A52,Drank!A:H,8,FALSE))</f>
        <v>Southern Rhone, Chateauneuf du Pape</v>
      </c>
      <c r="F52" s="37" t="str">
        <f t="shared" si="1"/>
        <v>France, Rhone</v>
      </c>
      <c r="G52" s="37" t="str">
        <f t="shared" si="2"/>
        <v>France, Rhone, Southern Rhone, Chateauneuf du Pape</v>
      </c>
      <c r="H52" s="37">
        <f>COUNTIF(Agibility!A:A,UniqueID!A52)</f>
        <v>1</v>
      </c>
      <c r="I52" s="37">
        <f>COUNTIF(Wine1!A:A,UniqueID!A52)</f>
        <v>3</v>
      </c>
      <c r="J52" s="37">
        <f>COUNTIF(Drank!A:A,UniqueID!A52)</f>
        <v>1</v>
      </c>
      <c r="K52" s="37">
        <f>IF(I52&lt;1,VLOOKUP(A52,Drank!A:S,19,FALSE),VLOOKUP(A52,Wine1!A:AI,26,FALSE))</f>
        <v>92</v>
      </c>
      <c r="L52" s="37">
        <f>IF(I52&lt;1,VLOOKUP(A52,Drank!A:Z,25,FALSE),VLOOKUP(A52,Wine1!A:AI,35,FALSE))</f>
        <v>24.989999999999995</v>
      </c>
      <c r="M52" s="37">
        <f t="shared" si="0"/>
        <v>2</v>
      </c>
      <c r="N52" s="37">
        <f t="shared" si="3"/>
        <v>1.0869565217391304E-2</v>
      </c>
      <c r="O52" s="37">
        <f t="shared" si="4"/>
        <v>22.990799999999997</v>
      </c>
      <c r="P52" s="37">
        <f>IF(N52&gt;0,M52,IF(L52&gt;=64.99,4,IF(L52&gt;=Expenses!C81,3,IF(UniqueID!L52&gt;=Expenses!C80,2,1))))</f>
        <v>2</v>
      </c>
      <c r="Q52" s="37">
        <f>IF(O52&gt;=64.99,4,IF(N52&gt;0,M52,IF(L52&gt;=64.99,4,IF(L52&gt;=Expenses!C81,3,IF(UniqueID!L52&gt;=Expenses!C80,2,1)))))</f>
        <v>2</v>
      </c>
      <c r="R52" s="37"/>
      <c r="S52" s="37"/>
    </row>
    <row r="53" spans="1:19" x14ac:dyDescent="0.25">
      <c r="A53" t="s">
        <v>935</v>
      </c>
      <c r="C53" s="37" t="str">
        <f>IF(I53&gt;0,VLOOKUP(A53,Wine1!A:H,6,FALSE),VLOOKUP(A53,Drank!A:H,6,FALSE))</f>
        <v>Italy</v>
      </c>
      <c r="D53" s="37" t="str">
        <f>IF(I53&gt;0,VLOOKUP(A53,Wine1!A:H,7,FALSE),VLOOKUP(A53,Drank!A:H,7,FALSE))</f>
        <v>Tuscany</v>
      </c>
      <c r="E53" s="37" t="str">
        <f>IF(I53&gt;0,VLOOKUP(A53,Wine1!A:H,8,FALSE),VLOOKUP(A53,Drank!A:H,8,FALSE))</f>
        <v>Toscana</v>
      </c>
      <c r="F53" s="37" t="str">
        <f t="shared" si="1"/>
        <v>Italy, Tuscany</v>
      </c>
      <c r="G53" s="37" t="str">
        <f t="shared" si="2"/>
        <v>Italy, Tuscany, Toscana</v>
      </c>
      <c r="H53" s="37">
        <f>COUNTIF(Agibility!A:A,UniqueID!A53)</f>
        <v>1</v>
      </c>
      <c r="I53" s="37">
        <f>COUNTIF(Wine1!A:A,UniqueID!A53)</f>
        <v>3</v>
      </c>
      <c r="J53" s="37">
        <f>COUNTIF(Drank!A:A,UniqueID!A53)</f>
        <v>1</v>
      </c>
      <c r="K53" s="37">
        <f>IF(I53&lt;1,VLOOKUP(A53,Drank!A:S,19,FALSE),VLOOKUP(A53,Wine1!A:AI,26,FALSE))</f>
        <v>93</v>
      </c>
      <c r="L53" s="37">
        <f>IF(I53&lt;1,VLOOKUP(A53,Drank!A:Z,25,FALSE),VLOOKUP(A53,Wine1!A:AI,35,FALSE))</f>
        <v>24.989999999999995</v>
      </c>
      <c r="M53" s="37">
        <f t="shared" si="0"/>
        <v>3</v>
      </c>
      <c r="N53" s="37">
        <f t="shared" si="3"/>
        <v>1.0752688172043012E-2</v>
      </c>
      <c r="O53" s="37">
        <f t="shared" si="4"/>
        <v>23.240699999999997</v>
      </c>
      <c r="P53" s="37">
        <f>IF(N53&gt;0,M53,IF(L53&gt;=64.99,4,IF(L53&gt;=Expenses!C82,3,IF(UniqueID!L53&gt;=Expenses!C81,2,1))))</f>
        <v>3</v>
      </c>
      <c r="Q53" s="37">
        <f>IF(O53&gt;=64.99,4,IF(N53&gt;0,M53,IF(L53&gt;=64.99,4,IF(L53&gt;=Expenses!C82,3,IF(UniqueID!L53&gt;=Expenses!C81,2,1)))))</f>
        <v>3</v>
      </c>
      <c r="R53" s="37"/>
      <c r="S53" s="37"/>
    </row>
    <row r="54" spans="1:19" x14ac:dyDescent="0.25">
      <c r="A54" t="s">
        <v>483</v>
      </c>
      <c r="C54" s="37" t="e">
        <f>IF(I54&gt;0,VLOOKUP(A54,Wine1!A:H,6,FALSE),VLOOKUP(A54,Drank!A:H,6,FALSE))</f>
        <v>#N/A</v>
      </c>
      <c r="D54" s="37" t="e">
        <f>IF(I54&gt;0,VLOOKUP(A54,Wine1!A:H,7,FALSE),VLOOKUP(A54,Drank!A:H,7,FALSE))</f>
        <v>#N/A</v>
      </c>
      <c r="E54" s="37" t="e">
        <f>IF(I54&gt;0,VLOOKUP(A54,Wine1!A:H,8,FALSE),VLOOKUP(A54,Drank!A:H,8,FALSE))</f>
        <v>#N/A</v>
      </c>
      <c r="F54" s="37" t="e">
        <f t="shared" si="1"/>
        <v>#N/A</v>
      </c>
      <c r="G54" s="37" t="e">
        <f t="shared" si="2"/>
        <v>#N/A</v>
      </c>
      <c r="H54" s="37">
        <f>COUNTIF(Agibility!A:A,UniqueID!A54)</f>
        <v>1</v>
      </c>
      <c r="I54" s="37">
        <f>COUNTIF(Wine1!A:A,UniqueID!A54)</f>
        <v>0</v>
      </c>
      <c r="J54" s="37">
        <f>COUNTIF(Drank!A:A,UniqueID!A54)</f>
        <v>0</v>
      </c>
      <c r="K54" s="37" t="e">
        <f>IF(I54&lt;1,VLOOKUP(A54,Drank!A:S,19,FALSE),VLOOKUP(A54,Wine1!A:AI,26,FALSE))</f>
        <v>#N/A</v>
      </c>
      <c r="L54" s="37" t="e">
        <f>IF(I54&lt;1,VLOOKUP(A54,Drank!A:Z,25,FALSE),VLOOKUP(A54,Wine1!A:AI,35,FALSE))</f>
        <v>#N/A</v>
      </c>
      <c r="M54" s="37" t="e">
        <f t="shared" si="0"/>
        <v>#N/A</v>
      </c>
      <c r="N54" s="37">
        <f t="shared" si="3"/>
        <v>0</v>
      </c>
      <c r="O54" s="37">
        <f t="shared" si="4"/>
        <v>0</v>
      </c>
      <c r="P54" s="37" t="e">
        <f>IF(N54&gt;0,M54,IF(L54&gt;=64.99,4,IF(L54&gt;=Expenses!C83,3,IF(UniqueID!L54&gt;=Expenses!C82,2,1))))</f>
        <v>#N/A</v>
      </c>
      <c r="Q54" s="37" t="e">
        <f>IF(O54&gt;=64.99,4,IF(N54&gt;0,M54,IF(L54&gt;=64.99,4,IF(L54&gt;=Expenses!C83,3,IF(UniqueID!L54&gt;=Expenses!C82,2,1)))))</f>
        <v>#N/A</v>
      </c>
      <c r="R54" s="37"/>
      <c r="S54" s="37"/>
    </row>
    <row r="55" spans="1:19" x14ac:dyDescent="0.25">
      <c r="A55" t="s">
        <v>484</v>
      </c>
      <c r="C55" s="37" t="str">
        <f>IF(I55&gt;0,VLOOKUP(A55,Wine1!A:H,6,FALSE),VLOOKUP(A55,Drank!A:H,6,FALSE))</f>
        <v>France</v>
      </c>
      <c r="D55" s="37" t="str">
        <f>IF(I55&gt;0,VLOOKUP(A55,Wine1!A:H,7,FALSE),VLOOKUP(A55,Drank!A:H,7,FALSE))</f>
        <v>Rhone</v>
      </c>
      <c r="E55" s="37" t="str">
        <f>IF(I55&gt;0,VLOOKUP(A55,Wine1!A:H,8,FALSE),VLOOKUP(A55,Drank!A:H,8,FALSE))</f>
        <v>Southern Rhone, Gigondas</v>
      </c>
      <c r="F55" s="37" t="str">
        <f t="shared" si="1"/>
        <v>France, Rhone</v>
      </c>
      <c r="G55" s="37" t="str">
        <f t="shared" si="2"/>
        <v>France, Rhone, Southern Rhone, Gigondas</v>
      </c>
      <c r="H55" s="37">
        <f>COUNTIF(Agibility!A:A,UniqueID!A55)</f>
        <v>1</v>
      </c>
      <c r="I55" s="37">
        <f>COUNTIF(Wine1!A:A,UniqueID!A55)</f>
        <v>4</v>
      </c>
      <c r="J55" s="37">
        <f>COUNTIF(Drank!A:A,UniqueID!A55)</f>
        <v>0</v>
      </c>
      <c r="K55" s="37">
        <f>IF(I55&lt;1,VLOOKUP(A55,Drank!A:S,19,FALSE),VLOOKUP(A55,Wine1!A:AI,26,FALSE))</f>
        <v>95</v>
      </c>
      <c r="L55" s="37">
        <f>IF(I55&lt;1,VLOOKUP(A55,Drank!A:Z,25,FALSE),VLOOKUP(A55,Wine1!A:AI,35,FALSE))</f>
        <v>28.000000000000004</v>
      </c>
      <c r="M55" s="37">
        <f t="shared" si="0"/>
        <v>3</v>
      </c>
      <c r="N55" s="37">
        <f t="shared" si="3"/>
        <v>1.0526315789473684E-2</v>
      </c>
      <c r="O55" s="37">
        <f t="shared" si="4"/>
        <v>26.600000000000005</v>
      </c>
      <c r="P55" s="37">
        <f>IF(N55&gt;0,M55,IF(L55&gt;=64.99,4,IF(L55&gt;=Expenses!C84,3,IF(UniqueID!L55&gt;=Expenses!C83,2,1))))</f>
        <v>3</v>
      </c>
      <c r="Q55" s="37">
        <f>IF(O55&gt;=64.99,4,IF(N55&gt;0,M55,IF(L55&gt;=64.99,4,IF(L55&gt;=Expenses!C84,3,IF(UniqueID!L55&gt;=Expenses!C83,2,1)))))</f>
        <v>3</v>
      </c>
      <c r="R55" s="37"/>
      <c r="S55" s="37"/>
    </row>
    <row r="56" spans="1:19" x14ac:dyDescent="0.25">
      <c r="A56" t="s">
        <v>485</v>
      </c>
      <c r="C56" s="37" t="str">
        <f>IF(I56&gt;0,VLOOKUP(A56,Wine1!A:H,6,FALSE),VLOOKUP(A56,Drank!A:H,6,FALSE))</f>
        <v>France</v>
      </c>
      <c r="D56" s="37" t="str">
        <f>IF(I56&gt;0,VLOOKUP(A56,Wine1!A:H,7,FALSE),VLOOKUP(A56,Drank!A:H,7,FALSE))</f>
        <v>Champagne</v>
      </c>
      <c r="E56" s="37">
        <f>IF(I56&gt;0,VLOOKUP(A56,Wine1!A:H,8,FALSE),VLOOKUP(A56,Drank!A:H,8,FALSE))</f>
        <v>0</v>
      </c>
      <c r="F56" s="37" t="str">
        <f t="shared" si="1"/>
        <v>France, Champagne</v>
      </c>
      <c r="G56" s="37" t="str">
        <f t="shared" si="2"/>
        <v>France, Champagne, 0</v>
      </c>
      <c r="H56" s="37">
        <f>COUNTIF(Agibility!A:A,UniqueID!A56)</f>
        <v>1</v>
      </c>
      <c r="I56" s="37">
        <f>COUNTIF(Wine1!A:A,UniqueID!A56)</f>
        <v>1</v>
      </c>
      <c r="J56" s="37">
        <f>COUNTIF(Drank!A:A,UniqueID!A56)</f>
        <v>1</v>
      </c>
      <c r="K56" s="37">
        <f>IF(I56&lt;1,VLOOKUP(A56,Drank!A:S,19,FALSE),VLOOKUP(A56,Wine1!A:AI,26,FALSE))</f>
        <v>94</v>
      </c>
      <c r="L56" s="37">
        <f>IF(I56&lt;1,VLOOKUP(A56,Drank!A:Z,25,FALSE),VLOOKUP(A56,Wine1!A:AI,35,FALSE))</f>
        <v>60</v>
      </c>
      <c r="M56" s="37">
        <f t="shared" si="0"/>
        <v>3</v>
      </c>
      <c r="N56" s="37">
        <f t="shared" si="3"/>
        <v>1.0638297872340425E-2</v>
      </c>
      <c r="O56" s="37">
        <f t="shared" si="4"/>
        <v>56.400000000000006</v>
      </c>
      <c r="P56" s="37">
        <f>IF(N56&gt;0,M56,IF(L56&gt;=64.99,4,IF(L56&gt;=Expenses!C85,3,IF(UniqueID!L56&gt;=Expenses!C84,2,1))))</f>
        <v>3</v>
      </c>
      <c r="Q56" s="37">
        <f>IF(O56&gt;=64.99,4,IF(N56&gt;0,M56,IF(L56&gt;=64.99,4,IF(L56&gt;=Expenses!C85,3,IF(UniqueID!L56&gt;=Expenses!C84,2,1)))))</f>
        <v>3</v>
      </c>
      <c r="R56" s="37"/>
      <c r="S56" s="37"/>
    </row>
    <row r="57" spans="1:19" x14ac:dyDescent="0.25">
      <c r="A57" t="s">
        <v>426</v>
      </c>
      <c r="C57" s="37" t="str">
        <f>IF(I57&gt;0,VLOOKUP(A57,Wine1!A:H,6,FALSE),VLOOKUP(A57,Drank!A:H,6,FALSE))</f>
        <v>Italy</v>
      </c>
      <c r="D57" s="37" t="str">
        <f>IF(I57&gt;0,VLOOKUP(A57,Wine1!A:H,7,FALSE),VLOOKUP(A57,Drank!A:H,7,FALSE))</f>
        <v>Tuscany</v>
      </c>
      <c r="E57" s="37" t="str">
        <f>IF(I57&gt;0,VLOOKUP(A57,Wine1!A:H,8,FALSE),VLOOKUP(A57,Drank!A:H,8,FALSE))</f>
        <v>Chianti Classico</v>
      </c>
      <c r="F57" s="37" t="str">
        <f t="shared" si="1"/>
        <v>Italy, Tuscany</v>
      </c>
      <c r="G57" s="37" t="str">
        <f t="shared" si="2"/>
        <v>Italy, Tuscany, Chianti Classico</v>
      </c>
      <c r="H57" s="37">
        <f>COUNTIF(Agibility!A:A,UniqueID!A57)</f>
        <v>1</v>
      </c>
      <c r="I57" s="37">
        <f>COUNTIF(Wine1!A:A,UniqueID!A57)</f>
        <v>4</v>
      </c>
      <c r="J57" s="37">
        <f>COUNTIF(Drank!A:A,UniqueID!A57)</f>
        <v>6</v>
      </c>
      <c r="K57" s="37">
        <f>IF(I57&lt;1,VLOOKUP(A57,Drank!A:S,19,FALSE),VLOOKUP(A57,Wine1!A:AI,26,FALSE))</f>
        <v>91</v>
      </c>
      <c r="L57" s="37">
        <f>IF(I57&lt;1,VLOOKUP(A57,Drank!A:Z,25,FALSE),VLOOKUP(A57,Wine1!A:AI,35,FALSE))</f>
        <v>19.79</v>
      </c>
      <c r="M57" s="37">
        <f t="shared" si="0"/>
        <v>2</v>
      </c>
      <c r="N57" s="37">
        <f t="shared" si="3"/>
        <v>1.098901098901099E-2</v>
      </c>
      <c r="O57" s="37">
        <f t="shared" si="4"/>
        <v>18.008900000000001</v>
      </c>
      <c r="P57" s="37">
        <f>IF(N57&gt;0,M57,IF(L57&gt;=64.99,4,IF(L57&gt;=Expenses!C86,3,IF(UniqueID!L57&gt;=Expenses!C85,2,1))))</f>
        <v>2</v>
      </c>
      <c r="Q57" s="37">
        <f>IF(O57&gt;=64.99,4,IF(N57&gt;0,M57,IF(L57&gt;=64.99,4,IF(L57&gt;=Expenses!C86,3,IF(UniqueID!L57&gt;=Expenses!C85,2,1)))))</f>
        <v>2</v>
      </c>
      <c r="R57" s="37"/>
      <c r="S57" s="37"/>
    </row>
    <row r="58" spans="1:19" x14ac:dyDescent="0.25">
      <c r="A58" t="s">
        <v>487</v>
      </c>
      <c r="C58" s="37" t="str">
        <f>IF(I58&gt;0,VLOOKUP(A58,Wine1!A:H,6,FALSE),VLOOKUP(A58,Drank!A:H,6,FALSE))</f>
        <v>Italy</v>
      </c>
      <c r="D58" s="37" t="str">
        <f>IF(I58&gt;0,VLOOKUP(A58,Wine1!A:H,7,FALSE),VLOOKUP(A58,Drank!A:H,7,FALSE))</f>
        <v>Tuscany</v>
      </c>
      <c r="E58" s="37" t="str">
        <f>IF(I58&gt;0,VLOOKUP(A58,Wine1!A:H,8,FALSE),VLOOKUP(A58,Drank!A:H,8,FALSE))</f>
        <v>Brunello di Montalcino</v>
      </c>
      <c r="F58" s="37" t="str">
        <f t="shared" si="1"/>
        <v>Italy, Tuscany</v>
      </c>
      <c r="G58" s="37" t="str">
        <f t="shared" si="2"/>
        <v>Italy, Tuscany, Brunello di Montalcino</v>
      </c>
      <c r="H58" s="37">
        <f>COUNTIF(Agibility!A:A,UniqueID!A58)</f>
        <v>1</v>
      </c>
      <c r="I58" s="37">
        <f>COUNTIF(Wine1!A:A,UniqueID!A58)</f>
        <v>3</v>
      </c>
      <c r="J58" s="37">
        <f>COUNTIF(Drank!A:A,UniqueID!A58)</f>
        <v>1</v>
      </c>
      <c r="K58" s="37">
        <f>IF(I58&lt;1,VLOOKUP(A58,Drank!A:S,19,FALSE),VLOOKUP(A58,Wine1!A:AI,26,FALSE))</f>
        <v>89</v>
      </c>
      <c r="L58" s="37">
        <f>IF(I58&lt;1,VLOOKUP(A58,Drank!A:Z,25,FALSE),VLOOKUP(A58,Wine1!A:AI,35,FALSE))</f>
        <v>29.99</v>
      </c>
      <c r="M58" s="37">
        <f t="shared" si="0"/>
        <v>1</v>
      </c>
      <c r="N58" s="37">
        <f t="shared" si="3"/>
        <v>1.1235955056179775E-2</v>
      </c>
      <c r="O58" s="37">
        <f t="shared" si="4"/>
        <v>26.691099999999999</v>
      </c>
      <c r="P58" s="37">
        <f>IF(N58&gt;0,M58,IF(L58&gt;=64.99,4,IF(L58&gt;=Expenses!C87,3,IF(UniqueID!L58&gt;=Expenses!C86,2,1))))</f>
        <v>1</v>
      </c>
      <c r="Q58" s="37">
        <f>IF(O58&gt;=64.99,4,IF(N58&gt;0,M58,IF(L58&gt;=64.99,4,IF(L58&gt;=Expenses!C87,3,IF(UniqueID!L58&gt;=Expenses!C86,2,1)))))</f>
        <v>1</v>
      </c>
      <c r="R58" s="37"/>
      <c r="S58" s="37"/>
    </row>
    <row r="59" spans="1:19" x14ac:dyDescent="0.25">
      <c r="A59" t="s">
        <v>704</v>
      </c>
      <c r="C59" s="37" t="str">
        <f>IF(I59&gt;0,VLOOKUP(A59,Wine1!A:H,6,FALSE),VLOOKUP(A59,Drank!A:H,6,FALSE))</f>
        <v>Italy</v>
      </c>
      <c r="D59" s="37" t="str">
        <f>IF(I59&gt;0,VLOOKUP(A59,Wine1!A:H,7,FALSE),VLOOKUP(A59,Drank!A:H,7,FALSE))</f>
        <v>Tuscany</v>
      </c>
      <c r="E59" s="37" t="str">
        <f>IF(I59&gt;0,VLOOKUP(A59,Wine1!A:H,8,FALSE),VLOOKUP(A59,Drank!A:H,8,FALSE))</f>
        <v>Brunello di Montalcino</v>
      </c>
      <c r="F59" s="37" t="str">
        <f t="shared" si="1"/>
        <v>Italy, Tuscany</v>
      </c>
      <c r="G59" s="37" t="str">
        <f t="shared" si="2"/>
        <v>Italy, Tuscany, Brunello di Montalcino</v>
      </c>
      <c r="H59" s="37">
        <f>COUNTIF(Agibility!A:A,UniqueID!A59)</f>
        <v>1</v>
      </c>
      <c r="I59" s="37">
        <f>COUNTIF(Wine1!A:A,UniqueID!A59)</f>
        <v>2</v>
      </c>
      <c r="J59" s="37">
        <f>COUNTIF(Drank!A:A,UniqueID!A59)</f>
        <v>1</v>
      </c>
      <c r="K59" s="37">
        <f>IF(I59&lt;1,VLOOKUP(A59,Drank!A:S,19,FALSE),VLOOKUP(A59,Wine1!A:AI,26,FALSE))</f>
        <v>92</v>
      </c>
      <c r="L59" s="37">
        <f>IF(I59&lt;1,VLOOKUP(A59,Drank!A:Z,25,FALSE),VLOOKUP(A59,Wine1!A:AI,35,FALSE))</f>
        <v>42.99</v>
      </c>
      <c r="M59" s="37">
        <f t="shared" si="0"/>
        <v>2</v>
      </c>
      <c r="N59" s="37">
        <f t="shared" si="3"/>
        <v>1.0869565217391304E-2</v>
      </c>
      <c r="O59" s="37">
        <f t="shared" si="4"/>
        <v>39.550800000000002</v>
      </c>
      <c r="P59" s="37">
        <f>IF(N59&gt;0,M59,IF(L59&gt;=64.99,4,IF(L59&gt;=Expenses!C88,3,IF(UniqueID!L59&gt;=Expenses!C87,2,1))))</f>
        <v>2</v>
      </c>
      <c r="Q59" s="37">
        <f>IF(O59&gt;=64.99,4,IF(N59&gt;0,M59,IF(L59&gt;=64.99,4,IF(L59&gt;=Expenses!C88,3,IF(UniqueID!L59&gt;=Expenses!C87,2,1)))))</f>
        <v>2</v>
      </c>
      <c r="R59" s="37"/>
      <c r="S59" s="37"/>
    </row>
    <row r="60" spans="1:19" x14ac:dyDescent="0.25">
      <c r="A60" t="s">
        <v>488</v>
      </c>
      <c r="C60" s="37" t="str">
        <f>IF(I60&gt;0,VLOOKUP(A60,Wine1!A:H,6,FALSE),VLOOKUP(A60,Drank!A:H,6,FALSE))</f>
        <v>Italy</v>
      </c>
      <c r="D60" s="37" t="str">
        <f>IF(I60&gt;0,VLOOKUP(A60,Wine1!A:H,7,FALSE),VLOOKUP(A60,Drank!A:H,7,FALSE))</f>
        <v>Tuscany</v>
      </c>
      <c r="E60" s="37" t="str">
        <f>IF(I60&gt;0,VLOOKUP(A60,Wine1!A:H,8,FALSE),VLOOKUP(A60,Drank!A:H,8,FALSE))</f>
        <v>Brunello di Montalcino</v>
      </c>
      <c r="F60" s="37" t="str">
        <f t="shared" si="1"/>
        <v>Italy, Tuscany</v>
      </c>
      <c r="G60" s="37" t="str">
        <f t="shared" si="2"/>
        <v>Italy, Tuscany, Brunello di Montalcino</v>
      </c>
      <c r="H60" s="37">
        <f>COUNTIF(Agibility!A:A,UniqueID!A60)</f>
        <v>1</v>
      </c>
      <c r="I60" s="37">
        <f>COUNTIF(Wine1!A:A,UniqueID!A60)</f>
        <v>5</v>
      </c>
      <c r="J60" s="37">
        <f>COUNTIF(Drank!A:A,UniqueID!A60)</f>
        <v>1</v>
      </c>
      <c r="K60" s="37">
        <f>IF(I60&lt;1,VLOOKUP(A60,Drank!A:S,19,FALSE),VLOOKUP(A60,Wine1!A:AI,26,FALSE))</f>
        <v>93</v>
      </c>
      <c r="L60" s="37">
        <f>IF(I60&lt;1,VLOOKUP(A60,Drank!A:Z,25,FALSE),VLOOKUP(A60,Wine1!A:AI,35,FALSE))</f>
        <v>33.99</v>
      </c>
      <c r="M60" s="37">
        <f t="shared" si="0"/>
        <v>3</v>
      </c>
      <c r="N60" s="37">
        <f t="shared" si="3"/>
        <v>1.0752688172043012E-2</v>
      </c>
      <c r="O60" s="37">
        <f t="shared" si="4"/>
        <v>31.610700000000005</v>
      </c>
      <c r="P60" s="37">
        <f>IF(N60&gt;0,M60,IF(L60&gt;=64.99,4,IF(L60&gt;=Expenses!C89,3,IF(UniqueID!L60&gt;=Expenses!C88,2,1))))</f>
        <v>3</v>
      </c>
      <c r="Q60" s="37">
        <f>IF(O60&gt;=64.99,4,IF(N60&gt;0,M60,IF(L60&gt;=64.99,4,IF(L60&gt;=Expenses!C89,3,IF(UniqueID!L60&gt;=Expenses!C88,2,1)))))</f>
        <v>3</v>
      </c>
      <c r="R60" s="37"/>
      <c r="S60" s="37"/>
    </row>
    <row r="61" spans="1:19" x14ac:dyDescent="0.25">
      <c r="A61" t="s">
        <v>705</v>
      </c>
      <c r="C61" s="37" t="str">
        <f>IF(I61&gt;0,VLOOKUP(A61,Wine1!A:H,6,FALSE),VLOOKUP(A61,Drank!A:H,6,FALSE))</f>
        <v>Italy</v>
      </c>
      <c r="D61" s="37" t="str">
        <f>IF(I61&gt;0,VLOOKUP(A61,Wine1!A:H,7,FALSE),VLOOKUP(A61,Drank!A:H,7,FALSE))</f>
        <v>Tuscany</v>
      </c>
      <c r="E61" s="37" t="str">
        <f>IF(I61&gt;0,VLOOKUP(A61,Wine1!A:H,8,FALSE),VLOOKUP(A61,Drank!A:H,8,FALSE))</f>
        <v>Brunello di Montalcino</v>
      </c>
      <c r="F61" s="37" t="str">
        <f t="shared" si="1"/>
        <v>Italy, Tuscany</v>
      </c>
      <c r="G61" s="37" t="str">
        <f t="shared" si="2"/>
        <v>Italy, Tuscany, Brunello di Montalcino</v>
      </c>
      <c r="H61" s="37">
        <f>COUNTIF(Agibility!A:A,UniqueID!A61)</f>
        <v>1</v>
      </c>
      <c r="I61" s="37">
        <f>COUNTIF(Wine1!A:A,UniqueID!A61)</f>
        <v>4</v>
      </c>
      <c r="J61" s="37">
        <f>COUNTIF(Drank!A:A,UniqueID!A61)</f>
        <v>0</v>
      </c>
      <c r="K61" s="37">
        <f>IF(I61&lt;1,VLOOKUP(A61,Drank!A:S,19,FALSE),VLOOKUP(A61,Wine1!A:AI,26,FALSE))</f>
        <v>92</v>
      </c>
      <c r="L61" s="37">
        <f>IF(I61&lt;1,VLOOKUP(A61,Drank!A:Z,25,FALSE),VLOOKUP(A61,Wine1!A:AI,35,FALSE))</f>
        <v>53.99</v>
      </c>
      <c r="M61" s="37">
        <f t="shared" si="0"/>
        <v>2</v>
      </c>
      <c r="N61" s="37">
        <f t="shared" si="3"/>
        <v>1.0869565217391304E-2</v>
      </c>
      <c r="O61" s="37">
        <f t="shared" si="4"/>
        <v>49.670800000000007</v>
      </c>
      <c r="P61" s="37">
        <f>IF(N61&gt;0,M61,IF(L61&gt;=64.99,4,IF(L61&gt;=Expenses!C90,3,IF(UniqueID!L61&gt;=Expenses!C89,2,1))))</f>
        <v>2</v>
      </c>
      <c r="Q61" s="37">
        <f>IF(O61&gt;=64.99,4,IF(N61&gt;0,M61,IF(L61&gt;=64.99,4,IF(L61&gt;=Expenses!C90,3,IF(UniqueID!L61&gt;=Expenses!C89,2,1)))))</f>
        <v>2</v>
      </c>
      <c r="R61" s="37"/>
      <c r="S61" s="37"/>
    </row>
    <row r="62" spans="1:19" x14ac:dyDescent="0.25">
      <c r="A62" t="s">
        <v>456</v>
      </c>
      <c r="C62" s="37" t="str">
        <f>IF(I62&gt;0,VLOOKUP(A62,Wine1!A:H,6,FALSE),VLOOKUP(A62,Drank!A:H,6,FALSE))</f>
        <v>France</v>
      </c>
      <c r="D62" s="37" t="str">
        <f>IF(I62&gt;0,VLOOKUP(A62,Wine1!A:H,7,FALSE),VLOOKUP(A62,Drank!A:H,7,FALSE))</f>
        <v>Bordeaux</v>
      </c>
      <c r="E62" s="37" t="str">
        <f>IF(I62&gt;0,VLOOKUP(A62,Wine1!A:H,8,FALSE),VLOOKUP(A62,Drank!A:H,8,FALSE))</f>
        <v>Sauternes</v>
      </c>
      <c r="F62" s="37" t="str">
        <f t="shared" si="1"/>
        <v>France, Bordeaux</v>
      </c>
      <c r="G62" s="37" t="str">
        <f t="shared" si="2"/>
        <v>France, Bordeaux, Sauternes</v>
      </c>
      <c r="H62" s="37">
        <f>COUNTIF(Agibility!A:A,UniqueID!A62)</f>
        <v>1</v>
      </c>
      <c r="I62" s="37">
        <f>COUNTIF(Wine1!A:A,UniqueID!A62)</f>
        <v>20</v>
      </c>
      <c r="J62" s="37">
        <f>COUNTIF(Drank!A:A,UniqueID!A62)</f>
        <v>10</v>
      </c>
      <c r="K62" s="37">
        <f>IF(I62&lt;1,VLOOKUP(A62,Drank!A:S,19,FALSE),VLOOKUP(A62,Wine1!A:AI,26,FALSE))</f>
        <v>89.7</v>
      </c>
      <c r="L62" s="37">
        <f>IF(I62&lt;1,VLOOKUP(A62,Drank!A:Z,25,FALSE),VLOOKUP(A62,Wine1!A:AI,35,FALSE))</f>
        <v>24</v>
      </c>
      <c r="M62" s="37">
        <f t="shared" si="0"/>
        <v>1</v>
      </c>
      <c r="N62" s="37">
        <f t="shared" si="3"/>
        <v>1.1148272017837234E-2</v>
      </c>
      <c r="O62" s="37">
        <f t="shared" si="4"/>
        <v>21.527999999999999</v>
      </c>
      <c r="P62" s="37">
        <f>IF(N62&gt;0,M62,IF(L62&gt;=64.99,4,IF(L62&gt;=Expenses!C91,3,IF(UniqueID!L62&gt;=Expenses!C90,2,1))))</f>
        <v>1</v>
      </c>
      <c r="Q62" s="37">
        <f>IF(O62&gt;=64.99,4,IF(N62&gt;0,M62,IF(L62&gt;=64.99,4,IF(L62&gt;=Expenses!C91,3,IF(UniqueID!L62&gt;=Expenses!C90,2,1)))))</f>
        <v>1</v>
      </c>
      <c r="R62" s="37"/>
      <c r="S62" s="37"/>
    </row>
    <row r="63" spans="1:19" x14ac:dyDescent="0.25">
      <c r="A63" t="s">
        <v>489</v>
      </c>
      <c r="C63" s="37" t="str">
        <f>IF(I63&gt;0,VLOOKUP(A63,Wine1!A:H,6,FALSE),VLOOKUP(A63,Drank!A:H,6,FALSE))</f>
        <v>Italy</v>
      </c>
      <c r="D63" s="37" t="str">
        <f>IF(I63&gt;0,VLOOKUP(A63,Wine1!A:H,7,FALSE),VLOOKUP(A63,Drank!A:H,7,FALSE))</f>
        <v>Veneto</v>
      </c>
      <c r="E63" s="37" t="str">
        <f>IF(I63&gt;0,VLOOKUP(A63,Wine1!A:H,8,FALSE),VLOOKUP(A63,Drank!A:H,8,FALSE))</f>
        <v>Valpolicella Classico</v>
      </c>
      <c r="F63" s="37" t="str">
        <f t="shared" si="1"/>
        <v>Italy, Veneto</v>
      </c>
      <c r="G63" s="37" t="str">
        <f t="shared" si="2"/>
        <v>Italy, Veneto, Valpolicella Classico</v>
      </c>
      <c r="H63" s="37">
        <f>COUNTIF(Agibility!A:A,UniqueID!A63)</f>
        <v>1</v>
      </c>
      <c r="I63" s="37">
        <f>COUNTIF(Wine1!A:A,UniqueID!A63)</f>
        <v>2</v>
      </c>
      <c r="J63" s="37">
        <f>COUNTIF(Drank!A:A,UniqueID!A63)</f>
        <v>0</v>
      </c>
      <c r="K63" s="37">
        <f>IF(I63&lt;1,VLOOKUP(A63,Drank!A:S,19,FALSE),VLOOKUP(A63,Wine1!A:AI,26,FALSE))</f>
        <v>97</v>
      </c>
      <c r="L63" s="37">
        <f>IF(I63&lt;1,VLOOKUP(A63,Drank!A:Z,25,FALSE),VLOOKUP(A63,Wine1!A:AI,35,FALSE))</f>
        <v>130</v>
      </c>
      <c r="M63" s="37">
        <f t="shared" si="0"/>
        <v>4</v>
      </c>
      <c r="N63" s="37">
        <f t="shared" si="3"/>
        <v>1.0309278350515464E-2</v>
      </c>
      <c r="O63" s="37">
        <f t="shared" si="4"/>
        <v>126.1</v>
      </c>
      <c r="P63" s="37">
        <f>IF(N63&gt;0,M63,IF(L63&gt;=64.99,4,IF(L63&gt;=Expenses!C92,3,IF(UniqueID!L63&gt;=Expenses!C91,2,1))))</f>
        <v>4</v>
      </c>
      <c r="Q63" s="37">
        <f>IF(O63&gt;=64.99,4,IF(N63&gt;0,M63,IF(L63&gt;=64.99,4,IF(L63&gt;=Expenses!C92,3,IF(UniqueID!L63&gt;=Expenses!C91,2,1)))))</f>
        <v>4</v>
      </c>
      <c r="R63" s="37"/>
      <c r="S63" s="37"/>
    </row>
    <row r="64" spans="1:19" x14ac:dyDescent="0.25">
      <c r="A64" t="s">
        <v>1277</v>
      </c>
      <c r="C64" s="37" t="str">
        <f>IF(I64&gt;0,VLOOKUP(A64,Wine1!A:H,6,FALSE),VLOOKUP(A64,Drank!A:H,6,FALSE))</f>
        <v>Spain</v>
      </c>
      <c r="D64" s="37" t="str">
        <f>IF(I64&gt;0,VLOOKUP(A64,Wine1!A:H,7,FALSE),VLOOKUP(A64,Drank!A:H,7,FALSE))</f>
        <v>Rioja</v>
      </c>
      <c r="E64" s="37">
        <f>IF(I64&gt;0,VLOOKUP(A64,Wine1!A:H,8,FALSE),VLOOKUP(A64,Drank!A:H,8,FALSE))</f>
        <v>0</v>
      </c>
      <c r="F64" s="37" t="str">
        <f t="shared" si="1"/>
        <v>Spain, Rioja</v>
      </c>
      <c r="G64" s="37" t="str">
        <f t="shared" si="2"/>
        <v>Spain, Rioja, 0</v>
      </c>
      <c r="H64" s="37">
        <f>COUNTIF(Agibility!A:A,UniqueID!A64)</f>
        <v>1</v>
      </c>
      <c r="I64" s="37">
        <f>COUNTIF(Wine1!A:A,UniqueID!A64)</f>
        <v>3</v>
      </c>
      <c r="J64" s="37">
        <f>COUNTIF(Drank!A:A,UniqueID!A64)</f>
        <v>1</v>
      </c>
      <c r="K64" s="37">
        <f>IF(I64&lt;1,VLOOKUP(A64,Drank!A:S,19,FALSE),VLOOKUP(A64,Wine1!A:AI,26,FALSE))</f>
        <v>91</v>
      </c>
      <c r="L64" s="37">
        <f>IF(I64&lt;1,VLOOKUP(A64,Drank!A:Z,25,FALSE),VLOOKUP(A64,Wine1!A:AI,35,FALSE))</f>
        <v>32.99</v>
      </c>
      <c r="M64" s="37">
        <f t="shared" si="0"/>
        <v>2</v>
      </c>
      <c r="N64" s="37">
        <f t="shared" si="3"/>
        <v>1.098901098901099E-2</v>
      </c>
      <c r="O64" s="37">
        <f t="shared" si="4"/>
        <v>30.020900000000005</v>
      </c>
      <c r="P64" s="37">
        <f>IF(N64&gt;0,M64,IF(L64&gt;=64.99,4,IF(L64&gt;=Expenses!C93,3,IF(UniqueID!L64&gt;=Expenses!C92,2,1))))</f>
        <v>2</v>
      </c>
      <c r="Q64" s="37">
        <f>IF(O64&gt;=64.99,4,IF(N64&gt;0,M64,IF(L64&gt;=64.99,4,IF(L64&gt;=Expenses!C93,3,IF(UniqueID!L64&gt;=Expenses!C92,2,1)))))</f>
        <v>2</v>
      </c>
      <c r="R64" s="37"/>
      <c r="S64" s="37"/>
    </row>
    <row r="65" spans="1:19" x14ac:dyDescent="0.25">
      <c r="A65" t="s">
        <v>936</v>
      </c>
      <c r="C65" s="37" t="str">
        <f>IF(I65&gt;0,VLOOKUP(A65,Wine1!A:H,6,FALSE),VLOOKUP(A65,Drank!A:H,6,FALSE))</f>
        <v>France</v>
      </c>
      <c r="D65" s="37" t="str">
        <f>IF(I65&gt;0,VLOOKUP(A65,Wine1!A:H,7,FALSE),VLOOKUP(A65,Drank!A:H,7,FALSE))</f>
        <v>Bordeaux</v>
      </c>
      <c r="E65" s="37" t="str">
        <f>IF(I65&gt;0,VLOOKUP(A65,Wine1!A:H,8,FALSE),VLOOKUP(A65,Drank!A:H,8,FALSE))</f>
        <v>Fronsac</v>
      </c>
      <c r="F65" s="37" t="str">
        <f t="shared" si="1"/>
        <v>France, Bordeaux</v>
      </c>
      <c r="G65" s="37" t="str">
        <f t="shared" si="2"/>
        <v>France, Bordeaux, Fronsac</v>
      </c>
      <c r="H65" s="37">
        <f>COUNTIF(Agibility!A:A,UniqueID!A65)</f>
        <v>1</v>
      </c>
      <c r="I65" s="37">
        <f>COUNTIF(Wine1!A:A,UniqueID!A65)</f>
        <v>15</v>
      </c>
      <c r="J65" s="37">
        <f>COUNTIF(Drank!A:A,UniqueID!A65)</f>
        <v>1</v>
      </c>
      <c r="K65" s="37">
        <f>IF(I65&lt;1,VLOOKUP(A65,Drank!A:S,19,FALSE),VLOOKUP(A65,Wine1!A:AI,26,FALSE))</f>
        <v>91</v>
      </c>
      <c r="L65" s="37">
        <f>IF(I65&lt;1,VLOOKUP(A65,Drank!A:Z,25,FALSE),VLOOKUP(A65,Wine1!A:AI,35,FALSE))</f>
        <v>16.989999999999998</v>
      </c>
      <c r="M65" s="37">
        <f t="shared" si="0"/>
        <v>2</v>
      </c>
      <c r="N65" s="37">
        <f t="shared" si="3"/>
        <v>1.098901098901099E-2</v>
      </c>
      <c r="O65" s="37">
        <f t="shared" si="4"/>
        <v>15.460899999999999</v>
      </c>
      <c r="P65" s="37">
        <f>IF(N65&gt;0,M65,IF(L65&gt;=64.99,4,IF(L65&gt;=Expenses!C94,3,IF(UniqueID!L65&gt;=Expenses!C93,2,1))))</f>
        <v>2</v>
      </c>
      <c r="Q65" s="37">
        <f>IF(O65&gt;=64.99,4,IF(N65&gt;0,M65,IF(L65&gt;=64.99,4,IF(L65&gt;=Expenses!C94,3,IF(UniqueID!L65&gt;=Expenses!C93,2,1)))))</f>
        <v>2</v>
      </c>
      <c r="R65" s="37"/>
      <c r="S65" s="37"/>
    </row>
    <row r="66" spans="1:19" x14ac:dyDescent="0.25">
      <c r="A66" t="s">
        <v>937</v>
      </c>
      <c r="C66" s="37" t="e">
        <f>IF(I66&gt;0,VLOOKUP(A66,Wine1!A:H,6,FALSE),VLOOKUP(A66,Drank!A:H,6,FALSE))</f>
        <v>#N/A</v>
      </c>
      <c r="D66" s="37" t="e">
        <f>IF(I66&gt;0,VLOOKUP(A66,Wine1!A:H,7,FALSE),VLOOKUP(A66,Drank!A:H,7,FALSE))</f>
        <v>#N/A</v>
      </c>
      <c r="E66" s="37" t="e">
        <f>IF(I66&gt;0,VLOOKUP(A66,Wine1!A:H,8,FALSE),VLOOKUP(A66,Drank!A:H,8,FALSE))</f>
        <v>#N/A</v>
      </c>
      <c r="F66" s="37" t="e">
        <f t="shared" si="1"/>
        <v>#N/A</v>
      </c>
      <c r="G66" s="37" t="e">
        <f t="shared" si="2"/>
        <v>#N/A</v>
      </c>
      <c r="H66" s="37">
        <f>COUNTIF(Agibility!A:A,UniqueID!A66)</f>
        <v>1</v>
      </c>
      <c r="I66" s="37">
        <f>COUNTIF(Wine1!A:A,UniqueID!A66)</f>
        <v>0</v>
      </c>
      <c r="J66" s="37">
        <f>COUNTIF(Drank!A:A,UniqueID!A66)</f>
        <v>0</v>
      </c>
      <c r="K66" s="37" t="e">
        <f>IF(I66&lt;1,VLOOKUP(A66,Drank!A:S,19,FALSE),VLOOKUP(A66,Wine1!A:AI,26,FALSE))</f>
        <v>#N/A</v>
      </c>
      <c r="L66" s="37" t="e">
        <f>IF(I66&lt;1,VLOOKUP(A66,Drank!A:Z,25,FALSE),VLOOKUP(A66,Wine1!A:AI,35,FALSE))</f>
        <v>#N/A</v>
      </c>
      <c r="M66" s="37" t="e">
        <f t="shared" ref="M66:M129" si="5">IF(K66&gt;96,4,IF(K66&gt;92,3,IF(K66&gt;=90,2,1)))</f>
        <v>#N/A</v>
      </c>
      <c r="N66" s="37">
        <f t="shared" si="3"/>
        <v>0</v>
      </c>
      <c r="O66" s="37">
        <f t="shared" si="4"/>
        <v>0</v>
      </c>
      <c r="P66" s="37" t="e">
        <f>IF(N66&gt;0,M66,IF(L66&gt;=64.99,4,IF(L66&gt;=Expenses!C95,3,IF(UniqueID!L66&gt;=Expenses!C94,2,1))))</f>
        <v>#N/A</v>
      </c>
      <c r="Q66" s="37" t="e">
        <f>IF(O66&gt;=64.99,4,IF(N66&gt;0,M66,IF(L66&gt;=64.99,4,IF(L66&gt;=Expenses!C95,3,IF(UniqueID!L66&gt;=Expenses!C94,2,1)))))</f>
        <v>#N/A</v>
      </c>
      <c r="R66" s="37"/>
      <c r="S66" s="37"/>
    </row>
    <row r="67" spans="1:19" x14ac:dyDescent="0.25">
      <c r="A67" t="s">
        <v>490</v>
      </c>
      <c r="C67" s="37" t="str">
        <f>IF(I67&gt;0,VLOOKUP(A67,Wine1!A:H,6,FALSE),VLOOKUP(A67,Drank!A:H,6,FALSE))</f>
        <v>Portugal</v>
      </c>
      <c r="D67" s="37" t="str">
        <f>IF(I67&gt;0,VLOOKUP(A67,Wine1!A:H,7,FALSE),VLOOKUP(A67,Drank!A:H,7,FALSE))</f>
        <v>Douro</v>
      </c>
      <c r="E67" s="37">
        <f>IF(I67&gt;0,VLOOKUP(A67,Wine1!A:H,8,FALSE),VLOOKUP(A67,Drank!A:H,8,FALSE))</f>
        <v>0</v>
      </c>
      <c r="F67" s="37" t="str">
        <f t="shared" ref="F67:F130" si="6">CONCATENATE(C67,", ",D67)</f>
        <v>Portugal, Douro</v>
      </c>
      <c r="G67" s="37" t="str">
        <f t="shared" ref="G67:G130" si="7">CONCATENATE(C67,", ",D67,", ",E67)</f>
        <v>Portugal, Douro, 0</v>
      </c>
      <c r="H67" s="37">
        <f>COUNTIF(Agibility!A:A,UniqueID!A67)</f>
        <v>1</v>
      </c>
      <c r="I67" s="37">
        <f>COUNTIF(Wine1!A:A,UniqueID!A67)</f>
        <v>1</v>
      </c>
      <c r="J67" s="37">
        <f>COUNTIF(Drank!A:A,UniqueID!A67)</f>
        <v>0</v>
      </c>
      <c r="K67" s="37">
        <f>IF(I67&lt;1,VLOOKUP(A67,Drank!A:S,19,FALSE),VLOOKUP(A67,Wine1!A:AI,26,FALSE))</f>
        <v>96</v>
      </c>
      <c r="L67" s="37">
        <f>IF(I67&lt;1,VLOOKUP(A67,Drank!A:Z,25,FALSE),VLOOKUP(A67,Wine1!A:AI,35,FALSE))</f>
        <v>80.989999999999995</v>
      </c>
      <c r="M67" s="37">
        <f t="shared" si="5"/>
        <v>3</v>
      </c>
      <c r="N67" s="37">
        <f t="shared" si="3"/>
        <v>1.0416666666666666E-2</v>
      </c>
      <c r="O67" s="37">
        <f t="shared" si="4"/>
        <v>77.750399999999999</v>
      </c>
      <c r="P67" s="37">
        <f>IF(N67&gt;0,M67,IF(L67&gt;=64.99,4,IF(L67&gt;=Expenses!C96,3,IF(UniqueID!L67&gt;=Expenses!C95,2,1))))</f>
        <v>3</v>
      </c>
      <c r="Q67" s="37">
        <f>IF(O67&gt;=64.99,4,IF(N67&gt;0,M67,IF(L67&gt;=64.99,4,IF(L67&gt;=Expenses!C96,3,IF(UniqueID!L67&gt;=Expenses!C95,2,1)))))</f>
        <v>4</v>
      </c>
      <c r="R67" s="37"/>
      <c r="S67" s="37"/>
    </row>
    <row r="68" spans="1:19" x14ac:dyDescent="0.25">
      <c r="A68" t="s">
        <v>492</v>
      </c>
      <c r="C68" s="37" t="str">
        <f>IF(I68&gt;0,VLOOKUP(A68,Wine1!A:H,6,FALSE),VLOOKUP(A68,Drank!A:H,6,FALSE))</f>
        <v>Italy</v>
      </c>
      <c r="D68" s="37" t="str">
        <f>IF(I68&gt;0,VLOOKUP(A68,Wine1!A:H,7,FALSE),VLOOKUP(A68,Drank!A:H,7,FALSE))</f>
        <v>Tuscany</v>
      </c>
      <c r="E68" s="37" t="str">
        <f>IF(I68&gt;0,VLOOKUP(A68,Wine1!A:H,8,FALSE),VLOOKUP(A68,Drank!A:H,8,FALSE))</f>
        <v>Brunello di Montalcino</v>
      </c>
      <c r="F68" s="37" t="str">
        <f t="shared" si="6"/>
        <v>Italy, Tuscany</v>
      </c>
      <c r="G68" s="37" t="str">
        <f t="shared" si="7"/>
        <v>Italy, Tuscany, Brunello di Montalcino</v>
      </c>
      <c r="H68" s="37">
        <f>COUNTIF(Agibility!A:A,UniqueID!A68)</f>
        <v>1</v>
      </c>
      <c r="I68" s="37">
        <f>COUNTIF(Wine1!A:A,UniqueID!A68)</f>
        <v>1</v>
      </c>
      <c r="J68" s="37">
        <f>COUNTIF(Drank!A:A,UniqueID!A68)</f>
        <v>0</v>
      </c>
      <c r="K68" s="37">
        <f>IF(I68&lt;1,VLOOKUP(A68,Drank!A:S,19,FALSE),VLOOKUP(A68,Wine1!A:AI,26,FALSE))</f>
        <v>91</v>
      </c>
      <c r="L68" s="37">
        <f>IF(I68&lt;1,VLOOKUP(A68,Drank!A:Z,25,FALSE),VLOOKUP(A68,Wine1!A:AI,35,FALSE))</f>
        <v>34.99</v>
      </c>
      <c r="M68" s="37">
        <f t="shared" si="5"/>
        <v>2</v>
      </c>
      <c r="N68" s="37">
        <f t="shared" ref="N68:N131" si="8">IFERROR(1/K68,0)</f>
        <v>1.098901098901099E-2</v>
      </c>
      <c r="O68" s="37">
        <f t="shared" ref="O68:O131" si="9">IF(N68&gt;0,K68*0.01*L68,0)</f>
        <v>31.840900000000001</v>
      </c>
      <c r="P68" s="37">
        <f>IF(N68&gt;0,M68,IF(L68&gt;=64.99,4,IF(L68&gt;=Expenses!C97,3,IF(UniqueID!L68&gt;=Expenses!C96,2,1))))</f>
        <v>2</v>
      </c>
      <c r="Q68" s="37">
        <f>IF(O68&gt;=64.99,4,IF(N68&gt;0,M68,IF(L68&gt;=64.99,4,IF(L68&gt;=Expenses!C97,3,IF(UniqueID!L68&gt;=Expenses!C96,2,1)))))</f>
        <v>2</v>
      </c>
      <c r="R68" s="37"/>
      <c r="S68" s="37"/>
    </row>
    <row r="69" spans="1:19" x14ac:dyDescent="0.25">
      <c r="A69" t="s">
        <v>706</v>
      </c>
      <c r="C69" s="37" t="str">
        <f>IF(I69&gt;0,VLOOKUP(A69,Wine1!A:H,6,FALSE),VLOOKUP(A69,Drank!A:H,6,FALSE))</f>
        <v>Italy</v>
      </c>
      <c r="D69" s="37" t="str">
        <f>IF(I69&gt;0,VLOOKUP(A69,Wine1!A:H,7,FALSE),VLOOKUP(A69,Drank!A:H,7,FALSE))</f>
        <v>Veneto</v>
      </c>
      <c r="E69" s="37" t="str">
        <f>IF(I69&gt;0,VLOOKUP(A69,Wine1!A:H,8,FALSE),VLOOKUP(A69,Drank!A:H,8,FALSE))</f>
        <v>Valpolicella Classico</v>
      </c>
      <c r="F69" s="37" t="str">
        <f t="shared" si="6"/>
        <v>Italy, Veneto</v>
      </c>
      <c r="G69" s="37" t="str">
        <f t="shared" si="7"/>
        <v>Italy, Veneto, Valpolicella Classico</v>
      </c>
      <c r="H69" s="37">
        <f>COUNTIF(Agibility!A:A,UniqueID!A69)</f>
        <v>1</v>
      </c>
      <c r="I69" s="37">
        <f>COUNTIF(Wine1!A:A,UniqueID!A69)</f>
        <v>1</v>
      </c>
      <c r="J69" s="37">
        <f>COUNTIF(Drank!A:A,UniqueID!A69)</f>
        <v>0</v>
      </c>
      <c r="K69" s="37">
        <f>IF(I69&lt;1,VLOOKUP(A69,Drank!A:S,19,FALSE),VLOOKUP(A69,Wine1!A:AI,26,FALSE))</f>
        <v>92</v>
      </c>
      <c r="L69" s="37">
        <f>IF(I69&lt;1,VLOOKUP(A69,Drank!A:Z,25,FALSE),VLOOKUP(A69,Wine1!A:AI,35,FALSE))</f>
        <v>53.59</v>
      </c>
      <c r="M69" s="37">
        <f t="shared" si="5"/>
        <v>2</v>
      </c>
      <c r="N69" s="37">
        <f t="shared" si="8"/>
        <v>1.0869565217391304E-2</v>
      </c>
      <c r="O69" s="37">
        <f t="shared" si="9"/>
        <v>49.302800000000005</v>
      </c>
      <c r="P69" s="37">
        <f>IF(N69&gt;0,M69,IF(L69&gt;=64.99,4,IF(L69&gt;=Expenses!C98,3,IF(UniqueID!L69&gt;=Expenses!C97,2,1))))</f>
        <v>2</v>
      </c>
      <c r="Q69" s="37">
        <f>IF(O69&gt;=64.99,4,IF(N69&gt;0,M69,IF(L69&gt;=64.99,4,IF(L69&gt;=Expenses!C98,3,IF(UniqueID!L69&gt;=Expenses!C97,2,1)))))</f>
        <v>2</v>
      </c>
      <c r="R69" s="37"/>
      <c r="S69" s="37"/>
    </row>
    <row r="70" spans="1:19" x14ac:dyDescent="0.25">
      <c r="A70" t="s">
        <v>1217</v>
      </c>
      <c r="C70" s="37" t="str">
        <f>IF(I70&gt;0,VLOOKUP(A70,Wine1!A:H,6,FALSE),VLOOKUP(A70,Drank!A:H,6,FALSE))</f>
        <v>Spain</v>
      </c>
      <c r="D70" s="37" t="str">
        <f>IF(I70&gt;0,VLOOKUP(A70,Wine1!A:H,7,FALSE),VLOOKUP(A70,Drank!A:H,7,FALSE))</f>
        <v>Rioja</v>
      </c>
      <c r="E70" s="37">
        <f>IF(I70&gt;0,VLOOKUP(A70,Wine1!A:H,8,FALSE),VLOOKUP(A70,Drank!A:H,8,FALSE))</f>
        <v>0</v>
      </c>
      <c r="F70" s="37" t="str">
        <f t="shared" si="6"/>
        <v>Spain, Rioja</v>
      </c>
      <c r="G70" s="37" t="str">
        <f t="shared" si="7"/>
        <v>Spain, Rioja, 0</v>
      </c>
      <c r="H70" s="37">
        <f>COUNTIF(Agibility!A:A,UniqueID!A70)</f>
        <v>1</v>
      </c>
      <c r="I70" s="37">
        <f>COUNTIF(Wine1!A:A,UniqueID!A70)</f>
        <v>3</v>
      </c>
      <c r="J70" s="37">
        <f>COUNTIF(Drank!A:A,UniqueID!A70)</f>
        <v>1</v>
      </c>
      <c r="K70" s="37">
        <f>IF(I70&lt;1,VLOOKUP(A70,Drank!A:S,19,FALSE),VLOOKUP(A70,Wine1!A:AI,26,FALSE))</f>
        <v>90</v>
      </c>
      <c r="L70" s="37">
        <f>IF(I70&lt;1,VLOOKUP(A70,Drank!A:Z,25,FALSE),VLOOKUP(A70,Wine1!A:AI,35,FALSE))</f>
        <v>13.99</v>
      </c>
      <c r="M70" s="37">
        <f t="shared" si="5"/>
        <v>2</v>
      </c>
      <c r="N70" s="37">
        <f t="shared" si="8"/>
        <v>1.1111111111111112E-2</v>
      </c>
      <c r="O70" s="37">
        <f t="shared" si="9"/>
        <v>12.591000000000001</v>
      </c>
      <c r="P70" s="37">
        <f>IF(N70&gt;0,M70,IF(L70&gt;=64.99,4,IF(L70&gt;=Expenses!C99,3,IF(UniqueID!L70&gt;=Expenses!C98,2,1))))</f>
        <v>2</v>
      </c>
      <c r="Q70" s="37">
        <f>IF(O70&gt;=64.99,4,IF(N70&gt;0,M70,IF(L70&gt;=64.99,4,IF(L70&gt;=Expenses!C99,3,IF(UniqueID!L70&gt;=Expenses!C98,2,1)))))</f>
        <v>2</v>
      </c>
      <c r="R70" s="37"/>
      <c r="S70" s="37"/>
    </row>
    <row r="71" spans="1:19" x14ac:dyDescent="0.25">
      <c r="A71" t="s">
        <v>493</v>
      </c>
      <c r="C71" s="37" t="str">
        <f>IF(I71&gt;0,VLOOKUP(A71,Wine1!A:H,6,FALSE),VLOOKUP(A71,Drank!A:H,6,FALSE))</f>
        <v>Spain</v>
      </c>
      <c r="D71" s="37" t="str">
        <f>IF(I71&gt;0,VLOOKUP(A71,Wine1!A:H,7,FALSE),VLOOKUP(A71,Drank!A:H,7,FALSE))</f>
        <v>Rioja</v>
      </c>
      <c r="E71" s="37">
        <f>IF(I71&gt;0,VLOOKUP(A71,Wine1!A:H,8,FALSE),VLOOKUP(A71,Drank!A:H,8,FALSE))</f>
        <v>0</v>
      </c>
      <c r="F71" s="37" t="str">
        <f t="shared" si="6"/>
        <v>Spain, Rioja</v>
      </c>
      <c r="G71" s="37" t="str">
        <f t="shared" si="7"/>
        <v>Spain, Rioja, 0</v>
      </c>
      <c r="H71" s="37">
        <f>COUNTIF(Agibility!A:A,UniqueID!A71)</f>
        <v>1</v>
      </c>
      <c r="I71" s="37">
        <f>COUNTIF(Wine1!A:A,UniqueID!A71)</f>
        <v>1</v>
      </c>
      <c r="J71" s="37">
        <f>COUNTIF(Drank!A:A,UniqueID!A71)</f>
        <v>0</v>
      </c>
      <c r="K71" s="37">
        <f>IF(I71&lt;1,VLOOKUP(A71,Drank!A:S,19,FALSE),VLOOKUP(A71,Wine1!A:AI,26,FALSE))</f>
        <v>91</v>
      </c>
      <c r="L71" s="37">
        <f>IF(I71&lt;1,VLOOKUP(A71,Drank!A:Z,25,FALSE),VLOOKUP(A71,Wine1!A:AI,35,FALSE))</f>
        <v>26</v>
      </c>
      <c r="M71" s="37">
        <f t="shared" si="5"/>
        <v>2</v>
      </c>
      <c r="N71" s="37">
        <f t="shared" si="8"/>
        <v>1.098901098901099E-2</v>
      </c>
      <c r="O71" s="37">
        <f t="shared" si="9"/>
        <v>23.66</v>
      </c>
      <c r="P71" s="37">
        <f>IF(N71&gt;0,M71,IF(L71&gt;=64.99,4,IF(L71&gt;=Expenses!C100,3,IF(UniqueID!L71&gt;=Expenses!C99,2,1))))</f>
        <v>2</v>
      </c>
      <c r="Q71" s="37">
        <f>IF(O71&gt;=64.99,4,IF(N71&gt;0,M71,IF(L71&gt;=64.99,4,IF(L71&gt;=Expenses!C100,3,IF(UniqueID!L71&gt;=Expenses!C99,2,1)))))</f>
        <v>2</v>
      </c>
      <c r="R71" s="37"/>
      <c r="S71" s="37"/>
    </row>
    <row r="72" spans="1:19" x14ac:dyDescent="0.25">
      <c r="A72" t="s">
        <v>495</v>
      </c>
      <c r="C72" s="37" t="str">
        <f>IF(I72&gt;0,VLOOKUP(A72,Wine1!A:H,6,FALSE),VLOOKUP(A72,Drank!A:H,6,FALSE))</f>
        <v>Spain</v>
      </c>
      <c r="D72" s="37" t="str">
        <f>IF(I72&gt;0,VLOOKUP(A72,Wine1!A:H,7,FALSE),VLOOKUP(A72,Drank!A:H,7,FALSE))</f>
        <v>Valencia</v>
      </c>
      <c r="E72" s="37" t="str">
        <f>IF(I72&gt;0,VLOOKUP(A72,Wine1!A:H,8,FALSE),VLOOKUP(A72,Drank!A:H,8,FALSE))</f>
        <v>Alicante</v>
      </c>
      <c r="F72" s="37" t="str">
        <f t="shared" si="6"/>
        <v>Spain, Valencia</v>
      </c>
      <c r="G72" s="37" t="str">
        <f t="shared" si="7"/>
        <v>Spain, Valencia, Alicante</v>
      </c>
      <c r="H72" s="37">
        <f>COUNTIF(Agibility!A:A,UniqueID!A72)</f>
        <v>1</v>
      </c>
      <c r="I72" s="37">
        <f>COUNTIF(Wine1!A:A,UniqueID!A72)</f>
        <v>1</v>
      </c>
      <c r="J72" s="37">
        <f>COUNTIF(Drank!A:A,UniqueID!A72)</f>
        <v>0</v>
      </c>
      <c r="K72" s="37">
        <f>IF(I72&lt;1,VLOOKUP(A72,Drank!A:S,19,FALSE),VLOOKUP(A72,Wine1!A:AI,26,FALSE))</f>
        <v>91</v>
      </c>
      <c r="L72" s="37">
        <f>IF(I72&lt;1,VLOOKUP(A72,Drank!A:Z,25,FALSE),VLOOKUP(A72,Wine1!A:AI,35,FALSE))</f>
        <v>35</v>
      </c>
      <c r="M72" s="37">
        <f t="shared" si="5"/>
        <v>2</v>
      </c>
      <c r="N72" s="37">
        <f t="shared" si="8"/>
        <v>1.098901098901099E-2</v>
      </c>
      <c r="O72" s="37">
        <f t="shared" si="9"/>
        <v>31.85</v>
      </c>
      <c r="P72" s="37">
        <f>IF(N72&gt;0,M72,IF(L72&gt;=64.99,4,IF(L72&gt;=Expenses!C101,3,IF(UniqueID!L72&gt;=Expenses!C100,2,1))))</f>
        <v>2</v>
      </c>
      <c r="Q72" s="37">
        <f>IF(O72&gt;=64.99,4,IF(N72&gt;0,M72,IF(L72&gt;=64.99,4,IF(L72&gt;=Expenses!C101,3,IF(UniqueID!L72&gt;=Expenses!C100,2,1)))))</f>
        <v>2</v>
      </c>
      <c r="R72" s="37"/>
      <c r="S72" s="37"/>
    </row>
    <row r="73" spans="1:19" x14ac:dyDescent="0.25">
      <c r="A73" t="s">
        <v>496</v>
      </c>
      <c r="C73" s="37" t="str">
        <f>IF(I73&gt;0,VLOOKUP(A73,Wine1!A:H,6,FALSE),VLOOKUP(A73,Drank!A:H,6,FALSE))</f>
        <v>Spain</v>
      </c>
      <c r="D73" s="37" t="str">
        <f>IF(I73&gt;0,VLOOKUP(A73,Wine1!A:H,7,FALSE),VLOOKUP(A73,Drank!A:H,7,FALSE))</f>
        <v>Rioja</v>
      </c>
      <c r="E73" s="37" t="str">
        <f>IF(I73&gt;0,VLOOKUP(A73,Wine1!A:H,8,FALSE),VLOOKUP(A73,Drank!A:H,8,FALSE))</f>
        <v>Alavesa</v>
      </c>
      <c r="F73" s="37" t="str">
        <f t="shared" si="6"/>
        <v>Spain, Rioja</v>
      </c>
      <c r="G73" s="37" t="str">
        <f t="shared" si="7"/>
        <v>Spain, Rioja, Alavesa</v>
      </c>
      <c r="H73" s="37">
        <f>COUNTIF(Agibility!A:A,UniqueID!A73)</f>
        <v>1</v>
      </c>
      <c r="I73" s="37">
        <f>COUNTIF(Wine1!A:A,UniqueID!A73)</f>
        <v>3</v>
      </c>
      <c r="J73" s="37">
        <f>COUNTIF(Drank!A:A,UniqueID!A73)</f>
        <v>2</v>
      </c>
      <c r="K73" s="37">
        <f>IF(I73&lt;1,VLOOKUP(A73,Drank!A:S,19,FALSE),VLOOKUP(A73,Wine1!A:AI,26,FALSE))</f>
        <v>94.5</v>
      </c>
      <c r="L73" s="37">
        <f>IF(I73&lt;1,VLOOKUP(A73,Drank!A:Z,25,FALSE),VLOOKUP(A73,Wine1!A:AI,35,FALSE))</f>
        <v>39.99</v>
      </c>
      <c r="M73" s="37">
        <f t="shared" si="5"/>
        <v>3</v>
      </c>
      <c r="N73" s="37">
        <f t="shared" si="8"/>
        <v>1.0582010582010581E-2</v>
      </c>
      <c r="O73" s="37">
        <f t="shared" si="9"/>
        <v>37.790550000000003</v>
      </c>
      <c r="P73" s="37">
        <f>IF(N73&gt;0,M73,IF(L73&gt;=64.99,4,IF(L73&gt;=Expenses!C102,3,IF(UniqueID!L73&gt;=Expenses!C101,2,1))))</f>
        <v>3</v>
      </c>
      <c r="Q73" s="37">
        <f>IF(O73&gt;=64.99,4,IF(N73&gt;0,M73,IF(L73&gt;=64.99,4,IF(L73&gt;=Expenses!C102,3,IF(UniqueID!L73&gt;=Expenses!C101,2,1)))))</f>
        <v>3</v>
      </c>
      <c r="R73" s="37"/>
      <c r="S73" s="37"/>
    </row>
    <row r="74" spans="1:19" x14ac:dyDescent="0.25">
      <c r="A74" t="s">
        <v>497</v>
      </c>
      <c r="C74" s="37" t="str">
        <f>IF(I74&gt;0,VLOOKUP(A74,Wine1!A:H,6,FALSE),VLOOKUP(A74,Drank!A:H,6,FALSE))</f>
        <v>France</v>
      </c>
      <c r="D74" s="37" t="str">
        <f>IF(I74&gt;0,VLOOKUP(A74,Wine1!A:H,7,FALSE),VLOOKUP(A74,Drank!A:H,7,FALSE))</f>
        <v>Rhone</v>
      </c>
      <c r="E74" s="37" t="str">
        <f>IF(I74&gt;0,VLOOKUP(A74,Wine1!A:H,8,FALSE),VLOOKUP(A74,Drank!A:H,8,FALSE))</f>
        <v>Southern Rhone, Chateauneuf du Pape</v>
      </c>
      <c r="F74" s="37" t="str">
        <f t="shared" si="6"/>
        <v>France, Rhone</v>
      </c>
      <c r="G74" s="37" t="str">
        <f t="shared" si="7"/>
        <v>France, Rhone, Southern Rhone, Chateauneuf du Pape</v>
      </c>
      <c r="H74" s="37">
        <f>COUNTIF(Agibility!A:A,UniqueID!A74)</f>
        <v>1</v>
      </c>
      <c r="I74" s="37">
        <f>COUNTIF(Wine1!A:A,UniqueID!A74)</f>
        <v>2</v>
      </c>
      <c r="J74" s="37">
        <f>COUNTIF(Drank!A:A,UniqueID!A74)</f>
        <v>0</v>
      </c>
      <c r="K74" s="37">
        <f>IF(I74&lt;1,VLOOKUP(A74,Drank!A:S,19,FALSE),VLOOKUP(A74,Wine1!A:AI,26,FALSE))</f>
        <v>96</v>
      </c>
      <c r="L74" s="37">
        <f>IF(I74&lt;1,VLOOKUP(A74,Drank!A:Z,25,FALSE),VLOOKUP(A74,Wine1!A:AI,35,FALSE))</f>
        <v>65</v>
      </c>
      <c r="M74" s="37">
        <f t="shared" si="5"/>
        <v>3</v>
      </c>
      <c r="N74" s="37">
        <f t="shared" si="8"/>
        <v>1.0416666666666666E-2</v>
      </c>
      <c r="O74" s="37">
        <f t="shared" si="9"/>
        <v>62.4</v>
      </c>
      <c r="P74" s="37">
        <f>IF(N74&gt;0,M74,IF(L74&gt;=64.99,4,IF(L74&gt;=Expenses!C103,3,IF(UniqueID!L74&gt;=Expenses!C102,2,1))))</f>
        <v>3</v>
      </c>
      <c r="Q74" s="37">
        <f>IF(O74&gt;=64.99,4,IF(N74&gt;0,M74,IF(L74&gt;=64.99,4,IF(L74&gt;=Expenses!C103,3,IF(UniqueID!L74&gt;=Expenses!C102,2,1)))))</f>
        <v>3</v>
      </c>
      <c r="R74" s="37"/>
      <c r="S74" s="37"/>
    </row>
    <row r="75" spans="1:19" x14ac:dyDescent="0.25">
      <c r="A75" t="s">
        <v>498</v>
      </c>
      <c r="C75" s="37" t="str">
        <f>IF(I75&gt;0,VLOOKUP(A75,Wine1!A:H,6,FALSE),VLOOKUP(A75,Drank!A:H,6,FALSE))</f>
        <v>Australia</v>
      </c>
      <c r="D75" s="37" t="str">
        <f>IF(I75&gt;0,VLOOKUP(A75,Wine1!A:H,7,FALSE),VLOOKUP(A75,Drank!A:H,7,FALSE))</f>
        <v>Western Australia</v>
      </c>
      <c r="E75" s="37" t="str">
        <f>IF(I75&gt;0,VLOOKUP(A75,Wine1!A:H,8,FALSE),VLOOKUP(A75,Drank!A:H,8,FALSE))</f>
        <v>South West Australia, Margaret</v>
      </c>
      <c r="F75" s="37" t="str">
        <f t="shared" si="6"/>
        <v>Australia, Western Australia</v>
      </c>
      <c r="G75" s="37" t="str">
        <f t="shared" si="7"/>
        <v>Australia, Western Australia, South West Australia, Margaret</v>
      </c>
      <c r="H75" s="37">
        <f>COUNTIF(Agibility!A:A,UniqueID!A75)</f>
        <v>1</v>
      </c>
      <c r="I75" s="37">
        <f>COUNTIF(Wine1!A:A,UniqueID!A75)</f>
        <v>2</v>
      </c>
      <c r="J75" s="37">
        <f>COUNTIF(Drank!A:A,UniqueID!A75)</f>
        <v>1</v>
      </c>
      <c r="K75" s="37">
        <f>IF(I75&lt;1,VLOOKUP(A75,Drank!A:S,19,FALSE),VLOOKUP(A75,Wine1!A:AI,26,FALSE))</f>
        <v>94</v>
      </c>
      <c r="L75" s="37">
        <f>IF(I75&lt;1,VLOOKUP(A75,Drank!A:Z,25,FALSE),VLOOKUP(A75,Wine1!A:AI,35,FALSE))</f>
        <v>65</v>
      </c>
      <c r="M75" s="37">
        <f t="shared" si="5"/>
        <v>3</v>
      </c>
      <c r="N75" s="37">
        <f t="shared" si="8"/>
        <v>1.0638297872340425E-2</v>
      </c>
      <c r="O75" s="37">
        <f t="shared" si="9"/>
        <v>61.1</v>
      </c>
      <c r="P75" s="37">
        <f>IF(N75&gt;0,M75,IF(L75&gt;=64.99,4,IF(L75&gt;=Expenses!C104,3,IF(UniqueID!L75&gt;=Expenses!C103,2,1))))</f>
        <v>3</v>
      </c>
      <c r="Q75" s="37">
        <f>IF(O75&gt;=64.99,4,IF(N75&gt;0,M75,IF(L75&gt;=64.99,4,IF(L75&gt;=Expenses!C104,3,IF(UniqueID!L75&gt;=Expenses!C103,2,1)))))</f>
        <v>3</v>
      </c>
      <c r="R75" s="37"/>
      <c r="S75" s="37"/>
    </row>
    <row r="76" spans="1:19" x14ac:dyDescent="0.25">
      <c r="A76" t="s">
        <v>443</v>
      </c>
      <c r="C76" s="37" t="str">
        <f>IF(I76&gt;0,VLOOKUP(A76,Wine1!A:H,6,FALSE),VLOOKUP(A76,Drank!A:H,6,FALSE))</f>
        <v>USA</v>
      </c>
      <c r="D76" s="37" t="str">
        <f>IF(I76&gt;0,VLOOKUP(A76,Wine1!A:H,7,FALSE),VLOOKUP(A76,Drank!A:H,7,FALSE))</f>
        <v>Washington</v>
      </c>
      <c r="E76" s="37" t="str">
        <f>IF(I76&gt;0,VLOOKUP(A76,Wine1!A:H,8,FALSE),VLOOKUP(A76,Drank!A:H,8,FALSE))</f>
        <v>Columbia Valley, Walla Walla Valley</v>
      </c>
      <c r="F76" s="37" t="str">
        <f t="shared" si="6"/>
        <v>USA, Washington</v>
      </c>
      <c r="G76" s="37" t="str">
        <f t="shared" si="7"/>
        <v>USA, Washington, Columbia Valley, Walla Walla Valley</v>
      </c>
      <c r="H76" s="37">
        <f>COUNTIF(Agibility!A:A,UniqueID!A76)</f>
        <v>1</v>
      </c>
      <c r="I76" s="37">
        <f>COUNTIF(Wine1!A:A,UniqueID!A76)</f>
        <v>3</v>
      </c>
      <c r="J76" s="37">
        <f>COUNTIF(Drank!A:A,UniqueID!A76)</f>
        <v>1</v>
      </c>
      <c r="K76" s="37">
        <f>IF(I76&lt;1,VLOOKUP(A76,Drank!A:S,19,FALSE),VLOOKUP(A76,Wine1!A:AI,26,FALSE))</f>
        <v>92</v>
      </c>
      <c r="L76" s="37">
        <f>IF(I76&lt;1,VLOOKUP(A76,Drank!A:Z,25,FALSE),VLOOKUP(A76,Wine1!A:AI,35,FALSE))</f>
        <v>22.99</v>
      </c>
      <c r="M76" s="37">
        <f t="shared" si="5"/>
        <v>2</v>
      </c>
      <c r="N76" s="37">
        <f t="shared" si="8"/>
        <v>1.0869565217391304E-2</v>
      </c>
      <c r="O76" s="37">
        <f t="shared" si="9"/>
        <v>21.1508</v>
      </c>
      <c r="P76" s="37">
        <f>IF(N76&gt;0,M76,IF(L76&gt;=64.99,4,IF(L76&gt;=Expenses!C105,3,IF(UniqueID!L76&gt;=Expenses!C104,2,1))))</f>
        <v>2</v>
      </c>
      <c r="Q76" s="37">
        <f>IF(O76&gt;=64.99,4,IF(N76&gt;0,M76,IF(L76&gt;=64.99,4,IF(L76&gt;=Expenses!C105,3,IF(UniqueID!L76&gt;=Expenses!C104,2,1)))))</f>
        <v>2</v>
      </c>
      <c r="R76" s="37"/>
      <c r="S76" s="37"/>
    </row>
    <row r="77" spans="1:19" x14ac:dyDescent="0.25">
      <c r="A77" t="s">
        <v>499</v>
      </c>
      <c r="C77" s="37" t="str">
        <f>IF(I77&gt;0,VLOOKUP(A77,Wine1!A:H,6,FALSE),VLOOKUP(A77,Drank!A:H,6,FALSE))</f>
        <v>France</v>
      </c>
      <c r="D77" s="37" t="str">
        <f>IF(I77&gt;0,VLOOKUP(A77,Wine1!A:H,7,FALSE),VLOOKUP(A77,Drank!A:H,7,FALSE))</f>
        <v>Rhone</v>
      </c>
      <c r="E77" s="37" t="str">
        <f>IF(I77&gt;0,VLOOKUP(A77,Wine1!A:H,8,FALSE),VLOOKUP(A77,Drank!A:H,8,FALSE))</f>
        <v>Southern Rhone, Gigondas</v>
      </c>
      <c r="F77" s="37" t="str">
        <f t="shared" si="6"/>
        <v>France, Rhone</v>
      </c>
      <c r="G77" s="37" t="str">
        <f t="shared" si="7"/>
        <v>France, Rhone, Southern Rhone, Gigondas</v>
      </c>
      <c r="H77" s="37">
        <f>COUNTIF(Agibility!A:A,UniqueID!A77)</f>
        <v>1</v>
      </c>
      <c r="I77" s="37">
        <f>COUNTIF(Wine1!A:A,UniqueID!A77)</f>
        <v>3</v>
      </c>
      <c r="J77" s="37">
        <f>COUNTIF(Drank!A:A,UniqueID!A77)</f>
        <v>1</v>
      </c>
      <c r="K77" s="37">
        <f>IF(I77&lt;1,VLOOKUP(A77,Drank!A:S,19,FALSE),VLOOKUP(A77,Wine1!A:AI,26,FALSE))</f>
        <v>93</v>
      </c>
      <c r="L77" s="37">
        <f>IF(I77&lt;1,VLOOKUP(A77,Drank!A:Z,25,FALSE),VLOOKUP(A77,Wine1!A:AI,35,FALSE))</f>
        <v>21.99</v>
      </c>
      <c r="M77" s="37">
        <f t="shared" si="5"/>
        <v>3</v>
      </c>
      <c r="N77" s="37">
        <f t="shared" si="8"/>
        <v>1.0752688172043012E-2</v>
      </c>
      <c r="O77" s="37">
        <f t="shared" si="9"/>
        <v>20.450700000000001</v>
      </c>
      <c r="P77" s="37">
        <f>IF(N77&gt;0,M77,IF(L77&gt;=64.99,4,IF(L77&gt;=Expenses!C106,3,IF(UniqueID!L77&gt;=Expenses!C105,2,1))))</f>
        <v>3</v>
      </c>
      <c r="Q77" s="37">
        <f>IF(O77&gt;=64.99,4,IF(N77&gt;0,M77,IF(L77&gt;=64.99,4,IF(L77&gt;=Expenses!C106,3,IF(UniqueID!L77&gt;=Expenses!C105,2,1)))))</f>
        <v>3</v>
      </c>
      <c r="R77" s="37"/>
      <c r="S77" s="37"/>
    </row>
    <row r="78" spans="1:19" x14ac:dyDescent="0.25">
      <c r="A78" t="s">
        <v>500</v>
      </c>
      <c r="C78" s="37" t="str">
        <f>IF(I78&gt;0,VLOOKUP(A78,Wine1!A:H,6,FALSE),VLOOKUP(A78,Drank!A:H,6,FALSE))</f>
        <v>Italy</v>
      </c>
      <c r="D78" s="37" t="str">
        <f>IF(I78&gt;0,VLOOKUP(A78,Wine1!A:H,7,FALSE),VLOOKUP(A78,Drank!A:H,7,FALSE))</f>
        <v>Tuscany</v>
      </c>
      <c r="E78" s="37" t="str">
        <f>IF(I78&gt;0,VLOOKUP(A78,Wine1!A:H,8,FALSE),VLOOKUP(A78,Drank!A:H,8,FALSE))</f>
        <v>Brunello di Montalcino</v>
      </c>
      <c r="F78" s="37" t="str">
        <f t="shared" si="6"/>
        <v>Italy, Tuscany</v>
      </c>
      <c r="G78" s="37" t="str">
        <f t="shared" si="7"/>
        <v>Italy, Tuscany, Brunello di Montalcino</v>
      </c>
      <c r="H78" s="37">
        <f>COUNTIF(Agibility!A:A,UniqueID!A78)</f>
        <v>1</v>
      </c>
      <c r="I78" s="37">
        <f>COUNTIF(Wine1!A:A,UniqueID!A78)</f>
        <v>2</v>
      </c>
      <c r="J78" s="37">
        <f>COUNTIF(Drank!A:A,UniqueID!A78)</f>
        <v>0</v>
      </c>
      <c r="K78" s="37">
        <f>IF(I78&lt;1,VLOOKUP(A78,Drank!A:S,19,FALSE),VLOOKUP(A78,Wine1!A:AI,26,FALSE))</f>
        <v>92</v>
      </c>
      <c r="L78" s="37">
        <f>IF(I78&lt;1,VLOOKUP(A78,Drank!A:Z,25,FALSE),VLOOKUP(A78,Wine1!A:AI,35,FALSE))</f>
        <v>39.99</v>
      </c>
      <c r="M78" s="37">
        <f t="shared" si="5"/>
        <v>2</v>
      </c>
      <c r="N78" s="37">
        <f t="shared" si="8"/>
        <v>1.0869565217391304E-2</v>
      </c>
      <c r="O78" s="37">
        <f t="shared" si="9"/>
        <v>36.790800000000004</v>
      </c>
      <c r="P78" s="37">
        <f>IF(N78&gt;0,M78,IF(L78&gt;=64.99,4,IF(L78&gt;=Expenses!C107,3,IF(UniqueID!L78&gt;=Expenses!C106,2,1))))</f>
        <v>2</v>
      </c>
      <c r="Q78" s="37">
        <f>IF(O78&gt;=64.99,4,IF(N78&gt;0,M78,IF(L78&gt;=64.99,4,IF(L78&gt;=Expenses!C107,3,IF(UniqueID!L78&gt;=Expenses!C106,2,1)))))</f>
        <v>2</v>
      </c>
      <c r="R78" s="37"/>
      <c r="S78" s="37"/>
    </row>
    <row r="79" spans="1:19" x14ac:dyDescent="0.25">
      <c r="A79" t="s">
        <v>422</v>
      </c>
      <c r="C79" s="37" t="str">
        <f>IF(I79&gt;0,VLOOKUP(A79,Wine1!A:H,6,FALSE),VLOOKUP(A79,Drank!A:H,6,FALSE))</f>
        <v>Italy</v>
      </c>
      <c r="D79" s="37" t="str">
        <f>IF(I79&gt;0,VLOOKUP(A79,Wine1!A:H,7,FALSE),VLOOKUP(A79,Drank!A:H,7,FALSE))</f>
        <v>Veneto</v>
      </c>
      <c r="E79" s="37" t="str">
        <f>IF(I79&gt;0,VLOOKUP(A79,Wine1!A:H,8,FALSE),VLOOKUP(A79,Drank!A:H,8,FALSE))</f>
        <v>Valpolicella Classico</v>
      </c>
      <c r="F79" s="37" t="str">
        <f t="shared" si="6"/>
        <v>Italy, Veneto</v>
      </c>
      <c r="G79" s="37" t="str">
        <f t="shared" si="7"/>
        <v>Italy, Veneto, Valpolicella Classico</v>
      </c>
      <c r="H79" s="37">
        <f>COUNTIF(Agibility!A:A,UniqueID!A79)</f>
        <v>1</v>
      </c>
      <c r="I79" s="37">
        <f>COUNTIF(Wine1!A:A,UniqueID!A79)</f>
        <v>6</v>
      </c>
      <c r="J79" s="37">
        <f>COUNTIF(Drank!A:A,UniqueID!A79)</f>
        <v>11</v>
      </c>
      <c r="K79" s="37">
        <f>IF(I79&lt;1,VLOOKUP(A79,Drank!A:S,19,FALSE),VLOOKUP(A79,Wine1!A:AI,26,FALSE))</f>
        <v>90.909090909090907</v>
      </c>
      <c r="L79" s="37">
        <f>IF(I79&lt;1,VLOOKUP(A79,Drank!A:Z,25,FALSE),VLOOKUP(A79,Wine1!A:AI,35,FALSE))</f>
        <v>19.55</v>
      </c>
      <c r="M79" s="37">
        <f t="shared" si="5"/>
        <v>2</v>
      </c>
      <c r="N79" s="37">
        <f t="shared" si="8"/>
        <v>1.1000000000000001E-2</v>
      </c>
      <c r="O79" s="37">
        <f t="shared" si="9"/>
        <v>17.772727272727273</v>
      </c>
      <c r="P79" s="37">
        <f>IF(N79&gt;0,M79,IF(L79&gt;=64.99,4,IF(L79&gt;=Expenses!C108,3,IF(UniqueID!L79&gt;=Expenses!C107,2,1))))</f>
        <v>2</v>
      </c>
      <c r="Q79" s="37">
        <f>IF(O79&gt;=64.99,4,IF(N79&gt;0,M79,IF(L79&gt;=64.99,4,IF(L79&gt;=Expenses!C108,3,IF(UniqueID!L79&gt;=Expenses!C107,2,1)))))</f>
        <v>2</v>
      </c>
      <c r="R79" s="37"/>
      <c r="S79" s="37"/>
    </row>
    <row r="80" spans="1:19" x14ac:dyDescent="0.25">
      <c r="A80" t="s">
        <v>938</v>
      </c>
      <c r="C80" s="37" t="e">
        <f>IF(I80&gt;0,VLOOKUP(A80,Wine1!A:H,6,FALSE),VLOOKUP(A80,Drank!A:H,6,FALSE))</f>
        <v>#N/A</v>
      </c>
      <c r="D80" s="37" t="e">
        <f>IF(I80&gt;0,VLOOKUP(A80,Wine1!A:H,7,FALSE),VLOOKUP(A80,Drank!A:H,7,FALSE))</f>
        <v>#N/A</v>
      </c>
      <c r="E80" s="37" t="e">
        <f>IF(I80&gt;0,VLOOKUP(A80,Wine1!A:H,8,FALSE),VLOOKUP(A80,Drank!A:H,8,FALSE))</f>
        <v>#N/A</v>
      </c>
      <c r="F80" s="37" t="e">
        <f t="shared" si="6"/>
        <v>#N/A</v>
      </c>
      <c r="G80" s="37" t="e">
        <f t="shared" si="7"/>
        <v>#N/A</v>
      </c>
      <c r="H80" s="37">
        <f>COUNTIF(Agibility!A:A,UniqueID!A80)</f>
        <v>1</v>
      </c>
      <c r="I80" s="37">
        <f>COUNTIF(Wine1!A:A,UniqueID!A80)</f>
        <v>0</v>
      </c>
      <c r="J80" s="37">
        <f>COUNTIF(Drank!A:A,UniqueID!A80)</f>
        <v>0</v>
      </c>
      <c r="K80" s="37" t="e">
        <f>IF(I80&lt;1,VLOOKUP(A80,Drank!A:S,19,FALSE),VLOOKUP(A80,Wine1!A:AI,26,FALSE))</f>
        <v>#N/A</v>
      </c>
      <c r="L80" s="37" t="e">
        <f>IF(I80&lt;1,VLOOKUP(A80,Drank!A:Z,25,FALSE),VLOOKUP(A80,Wine1!A:AI,35,FALSE))</f>
        <v>#N/A</v>
      </c>
      <c r="M80" s="37" t="e">
        <f t="shared" si="5"/>
        <v>#N/A</v>
      </c>
      <c r="N80" s="37">
        <f t="shared" si="8"/>
        <v>0</v>
      </c>
      <c r="O80" s="37">
        <f t="shared" si="9"/>
        <v>0</v>
      </c>
      <c r="P80" s="37" t="e">
        <f>IF(N80&gt;0,M80,IF(L80&gt;=64.99,4,IF(L80&gt;=Expenses!C109,3,IF(UniqueID!L80&gt;=Expenses!C108,2,1))))</f>
        <v>#N/A</v>
      </c>
      <c r="Q80" s="37" t="e">
        <f>IF(O80&gt;=64.99,4,IF(N80&gt;0,M80,IF(L80&gt;=64.99,4,IF(L80&gt;=Expenses!C109,3,IF(UniqueID!L80&gt;=Expenses!C108,2,1)))))</f>
        <v>#N/A</v>
      </c>
      <c r="R80" s="37"/>
      <c r="S80" s="37"/>
    </row>
    <row r="81" spans="1:19" x14ac:dyDescent="0.25">
      <c r="A81" t="s">
        <v>939</v>
      </c>
      <c r="C81" s="37" t="str">
        <f>IF(I81&gt;0,VLOOKUP(A81,Wine1!A:H,6,FALSE),VLOOKUP(A81,Drank!A:H,6,FALSE))</f>
        <v>Spain</v>
      </c>
      <c r="D81" s="37" t="str">
        <f>IF(I81&gt;0,VLOOKUP(A81,Wine1!A:H,7,FALSE),VLOOKUP(A81,Drank!A:H,7,FALSE))</f>
        <v>Castilla Y Leon</v>
      </c>
      <c r="E81" s="37" t="str">
        <f>IF(I81&gt;0,VLOOKUP(A81,Wine1!A:H,8,FALSE),VLOOKUP(A81,Drank!A:H,8,FALSE))</f>
        <v>Gredos</v>
      </c>
      <c r="F81" s="37" t="str">
        <f t="shared" si="6"/>
        <v>Spain, Castilla Y Leon</v>
      </c>
      <c r="G81" s="37" t="str">
        <f t="shared" si="7"/>
        <v>Spain, Castilla Y Leon, Gredos</v>
      </c>
      <c r="H81" s="37">
        <f>COUNTIF(Agibility!A:A,UniqueID!A81)</f>
        <v>1</v>
      </c>
      <c r="I81" s="37">
        <f>COUNTIF(Wine1!A:A,UniqueID!A81)</f>
        <v>6</v>
      </c>
      <c r="J81" s="37">
        <f>COUNTIF(Drank!A:A,UniqueID!A81)</f>
        <v>0</v>
      </c>
      <c r="K81" s="37">
        <f>IF(I81&lt;1,VLOOKUP(A81,Drank!A:S,19,FALSE),VLOOKUP(A81,Wine1!A:AI,26,FALSE))</f>
        <v>95</v>
      </c>
      <c r="L81" s="37">
        <f>IF(I81&lt;1,VLOOKUP(A81,Drank!A:Z,25,FALSE),VLOOKUP(A81,Wine1!A:AI,35,FALSE))</f>
        <v>25</v>
      </c>
      <c r="M81" s="37">
        <f t="shared" si="5"/>
        <v>3</v>
      </c>
      <c r="N81" s="37">
        <f t="shared" si="8"/>
        <v>1.0526315789473684E-2</v>
      </c>
      <c r="O81" s="37">
        <f t="shared" si="9"/>
        <v>23.75</v>
      </c>
      <c r="P81" s="37">
        <f>IF(N81&gt;0,M81,IF(L81&gt;=64.99,4,IF(L81&gt;=Expenses!C110,3,IF(UniqueID!L81&gt;=Expenses!C109,2,1))))</f>
        <v>3</v>
      </c>
      <c r="Q81" s="37">
        <f>IF(O81&gt;=64.99,4,IF(N81&gt;0,M81,IF(L81&gt;=64.99,4,IF(L81&gt;=Expenses!C110,3,IF(UniqueID!L81&gt;=Expenses!C109,2,1)))))</f>
        <v>3</v>
      </c>
      <c r="R81" s="37"/>
      <c r="S81" s="37"/>
    </row>
    <row r="82" spans="1:19" x14ac:dyDescent="0.25">
      <c r="A82" t="s">
        <v>1278</v>
      </c>
      <c r="C82" s="37" t="str">
        <f>IF(I82&gt;0,VLOOKUP(A82,Wine1!A:H,6,FALSE),VLOOKUP(A82,Drank!A:H,6,FALSE))</f>
        <v>Spain</v>
      </c>
      <c r="D82" s="37" t="str">
        <f>IF(I82&gt;0,VLOOKUP(A82,Wine1!A:H,7,FALSE),VLOOKUP(A82,Drank!A:H,7,FALSE))</f>
        <v>Rioja</v>
      </c>
      <c r="E82" s="37">
        <f>IF(I82&gt;0,VLOOKUP(A82,Wine1!A:H,8,FALSE),VLOOKUP(A82,Drank!A:H,8,FALSE))</f>
        <v>0</v>
      </c>
      <c r="F82" s="37" t="str">
        <f t="shared" si="6"/>
        <v>Spain, Rioja</v>
      </c>
      <c r="G82" s="37" t="str">
        <f t="shared" si="7"/>
        <v>Spain, Rioja, 0</v>
      </c>
      <c r="H82" s="37">
        <f>COUNTIF(Agibility!A:A,UniqueID!A82)</f>
        <v>1</v>
      </c>
      <c r="I82" s="37">
        <f>COUNTIF(Wine1!A:A,UniqueID!A82)</f>
        <v>4</v>
      </c>
      <c r="J82" s="37">
        <f>COUNTIF(Drank!A:A,UniqueID!A82)</f>
        <v>0</v>
      </c>
      <c r="K82" s="37">
        <f>IF(I82&lt;1,VLOOKUP(A82,Drank!A:S,19,FALSE),VLOOKUP(A82,Wine1!A:AI,26,FALSE))</f>
        <v>96</v>
      </c>
      <c r="L82" s="37">
        <f>IF(I82&lt;1,VLOOKUP(A82,Drank!A:Z,25,FALSE),VLOOKUP(A82,Wine1!A:AI,35,FALSE))</f>
        <v>43.99</v>
      </c>
      <c r="M82" s="37">
        <f t="shared" si="5"/>
        <v>3</v>
      </c>
      <c r="N82" s="37">
        <f t="shared" si="8"/>
        <v>1.0416666666666666E-2</v>
      </c>
      <c r="O82" s="37">
        <f t="shared" si="9"/>
        <v>42.230400000000003</v>
      </c>
      <c r="P82" s="37">
        <f>IF(N82&gt;0,M82,IF(L82&gt;=64.99,4,IF(L82&gt;=Expenses!C111,3,IF(UniqueID!L82&gt;=Expenses!C110,2,1))))</f>
        <v>3</v>
      </c>
      <c r="Q82" s="37">
        <f>IF(O82&gt;=64.99,4,IF(N82&gt;0,M82,IF(L82&gt;=64.99,4,IF(L82&gt;=Expenses!C111,3,IF(UniqueID!L82&gt;=Expenses!C110,2,1)))))</f>
        <v>3</v>
      </c>
      <c r="R82" s="37"/>
      <c r="S82" s="37"/>
    </row>
    <row r="83" spans="1:19" x14ac:dyDescent="0.25">
      <c r="A83" t="s">
        <v>491</v>
      </c>
      <c r="C83" s="37" t="str">
        <f>IF(I83&gt;0,VLOOKUP(A83,Wine1!A:H,6,FALSE),VLOOKUP(A83,Drank!A:H,6,FALSE))</f>
        <v>USA</v>
      </c>
      <c r="D83" s="37" t="str">
        <f>IF(I83&gt;0,VLOOKUP(A83,Wine1!A:H,7,FALSE),VLOOKUP(A83,Drank!A:H,7,FALSE))</f>
        <v>California</v>
      </c>
      <c r="E83" s="37" t="str">
        <f>IF(I83&gt;0,VLOOKUP(A83,Wine1!A:H,8,FALSE),VLOOKUP(A83,Drank!A:H,8,FALSE))</f>
        <v>North Coast, Sonoma</v>
      </c>
      <c r="F83" s="37" t="str">
        <f t="shared" si="6"/>
        <v>USA, California</v>
      </c>
      <c r="G83" s="37" t="str">
        <f t="shared" si="7"/>
        <v>USA, California, North Coast, Sonoma</v>
      </c>
      <c r="H83" s="37">
        <f>COUNTIF(Agibility!A:A,UniqueID!A83)</f>
        <v>1</v>
      </c>
      <c r="I83" s="37">
        <f>COUNTIF(Wine1!A:A,UniqueID!A83)</f>
        <v>1</v>
      </c>
      <c r="J83" s="37">
        <f>COUNTIF(Drank!A:A,UniqueID!A83)</f>
        <v>0</v>
      </c>
      <c r="K83" s="37" t="str">
        <f>IF(I83&lt;1,VLOOKUP(A83,Drank!A:S,19,FALSE),VLOOKUP(A83,Wine1!A:AI,26,FALSE))</f>
        <v/>
      </c>
      <c r="L83" s="37">
        <f>IF(I83&lt;1,VLOOKUP(A83,Drank!A:Z,25,FALSE),VLOOKUP(A83,Wine1!A:AI,35,FALSE))</f>
        <v>69</v>
      </c>
      <c r="M83" s="37">
        <f t="shared" si="5"/>
        <v>4</v>
      </c>
      <c r="N83" s="37">
        <f t="shared" si="8"/>
        <v>0</v>
      </c>
      <c r="O83" s="37">
        <f t="shared" si="9"/>
        <v>0</v>
      </c>
      <c r="P83" s="37">
        <f>IF(N83&gt;0,M83,IF(L83&gt;=64.99,4,IF(L83&gt;=Expenses!C112,3,IF(UniqueID!L83&gt;=Expenses!C111,2,1))))</f>
        <v>4</v>
      </c>
      <c r="Q83" s="37">
        <f>IF(O83&gt;=64.99,4,IF(N83&gt;0,M83,IF(L83&gt;=64.99,4,IF(L83&gt;=Expenses!C112,3,IF(UniqueID!L83&gt;=Expenses!C111,2,1)))))</f>
        <v>4</v>
      </c>
      <c r="R83" s="37"/>
      <c r="S83" s="37"/>
    </row>
    <row r="84" spans="1:19" x14ac:dyDescent="0.25">
      <c r="A84" t="s">
        <v>502</v>
      </c>
      <c r="C84" s="37" t="str">
        <f>IF(I84&gt;0,VLOOKUP(A84,Wine1!A:H,6,FALSE),VLOOKUP(A84,Drank!A:H,6,FALSE))</f>
        <v>Italy</v>
      </c>
      <c r="D84" s="37" t="str">
        <f>IF(I84&gt;0,VLOOKUP(A84,Wine1!A:H,7,FALSE),VLOOKUP(A84,Drank!A:H,7,FALSE))</f>
        <v>Tuscany</v>
      </c>
      <c r="E84" s="37" t="str">
        <f>IF(I84&gt;0,VLOOKUP(A84,Wine1!A:H,8,FALSE),VLOOKUP(A84,Drank!A:H,8,FALSE))</f>
        <v>Toscana</v>
      </c>
      <c r="F84" s="37" t="str">
        <f t="shared" si="6"/>
        <v>Italy, Tuscany</v>
      </c>
      <c r="G84" s="37" t="str">
        <f t="shared" si="7"/>
        <v>Italy, Tuscany, Toscana</v>
      </c>
      <c r="H84" s="37">
        <f>COUNTIF(Agibility!A:A,UniqueID!A84)</f>
        <v>1</v>
      </c>
      <c r="I84" s="37">
        <f>COUNTIF(Wine1!A:A,UniqueID!A84)</f>
        <v>4</v>
      </c>
      <c r="J84" s="37">
        <f>COUNTIF(Drank!A:A,UniqueID!A84)</f>
        <v>0</v>
      </c>
      <c r="K84" s="37">
        <f>IF(I84&lt;1,VLOOKUP(A84,Drank!A:S,19,FALSE),VLOOKUP(A84,Wine1!A:AI,26,FALSE))</f>
        <v>94</v>
      </c>
      <c r="L84" s="37">
        <f>IF(I84&lt;1,VLOOKUP(A84,Drank!A:Z,25,FALSE),VLOOKUP(A84,Wine1!A:AI,35,FALSE))</f>
        <v>52</v>
      </c>
      <c r="M84" s="37">
        <f t="shared" si="5"/>
        <v>3</v>
      </c>
      <c r="N84" s="37">
        <f t="shared" si="8"/>
        <v>1.0638297872340425E-2</v>
      </c>
      <c r="O84" s="37">
        <f t="shared" si="9"/>
        <v>48.88</v>
      </c>
      <c r="P84" s="37">
        <f>IF(N84&gt;0,M84,IF(L84&gt;=64.99,4,IF(L84&gt;=Expenses!C113,3,IF(UniqueID!L84&gt;=Expenses!C112,2,1))))</f>
        <v>3</v>
      </c>
      <c r="Q84" s="37">
        <f>IF(O84&gt;=64.99,4,IF(N84&gt;0,M84,IF(L84&gt;=64.99,4,IF(L84&gt;=Expenses!C113,3,IF(UniqueID!L84&gt;=Expenses!C112,2,1)))))</f>
        <v>3</v>
      </c>
      <c r="R84" s="37"/>
      <c r="S84" s="37"/>
    </row>
    <row r="85" spans="1:19" x14ac:dyDescent="0.25">
      <c r="A85" t="s">
        <v>503</v>
      </c>
      <c r="C85" s="37" t="str">
        <f>IF(I85&gt;0,VLOOKUP(A85,Wine1!A:H,6,FALSE),VLOOKUP(A85,Drank!A:H,6,FALSE))</f>
        <v>France</v>
      </c>
      <c r="D85" s="37" t="str">
        <f>IF(I85&gt;0,VLOOKUP(A85,Wine1!A:H,7,FALSE),VLOOKUP(A85,Drank!A:H,7,FALSE))</f>
        <v>Bordeaux</v>
      </c>
      <c r="E85" s="37" t="str">
        <f>IF(I85&gt;0,VLOOKUP(A85,Wine1!A:H,8,FALSE),VLOOKUP(A85,Drank!A:H,8,FALSE))</f>
        <v>Sauternes</v>
      </c>
      <c r="F85" s="37" t="str">
        <f t="shared" si="6"/>
        <v>France, Bordeaux</v>
      </c>
      <c r="G85" s="37" t="str">
        <f t="shared" si="7"/>
        <v>France, Bordeaux, Sauternes</v>
      </c>
      <c r="H85" s="37">
        <f>COUNTIF(Agibility!A:A,UniqueID!A85)</f>
        <v>1</v>
      </c>
      <c r="I85" s="37">
        <f>COUNTIF(Wine1!A:A,UniqueID!A85)</f>
        <v>4</v>
      </c>
      <c r="J85" s="37">
        <f>COUNTIF(Drank!A:A,UniqueID!A85)</f>
        <v>5</v>
      </c>
      <c r="K85" s="37">
        <f>IF(I85&lt;1,VLOOKUP(A85,Drank!A:S,19,FALSE),VLOOKUP(A85,Wine1!A:AI,26,FALSE))</f>
        <v>92.8</v>
      </c>
      <c r="L85" s="37">
        <f>IF(I85&lt;1,VLOOKUP(A85,Drank!A:Z,25,FALSE),VLOOKUP(A85,Wine1!A:AI,35,FALSE))</f>
        <v>45.98</v>
      </c>
      <c r="M85" s="37">
        <f t="shared" si="5"/>
        <v>3</v>
      </c>
      <c r="N85" s="37">
        <f t="shared" si="8"/>
        <v>1.0775862068965518E-2</v>
      </c>
      <c r="O85" s="37">
        <f t="shared" si="9"/>
        <v>42.669439999999994</v>
      </c>
      <c r="P85" s="37">
        <f>IF(N85&gt;0,M85,IF(L85&gt;=64.99,4,IF(L85&gt;=Expenses!C114,3,IF(UniqueID!L85&gt;=Expenses!C113,2,1))))</f>
        <v>3</v>
      </c>
      <c r="Q85" s="37">
        <f>IF(O85&gt;=64.99,4,IF(N85&gt;0,M85,IF(L85&gt;=64.99,4,IF(L85&gt;=Expenses!C114,3,IF(UniqueID!L85&gt;=Expenses!C113,2,1)))))</f>
        <v>3</v>
      </c>
      <c r="R85" s="37"/>
      <c r="S85" s="37"/>
    </row>
    <row r="86" spans="1:19" x14ac:dyDescent="0.25">
      <c r="A86" t="s">
        <v>1212</v>
      </c>
      <c r="C86" s="37" t="str">
        <f>IF(I86&gt;0,VLOOKUP(A86,Wine1!A:H,6,FALSE),VLOOKUP(A86,Drank!A:H,6,FALSE))</f>
        <v>France</v>
      </c>
      <c r="D86" s="37" t="str">
        <f>IF(I86&gt;0,VLOOKUP(A86,Wine1!A:H,7,FALSE),VLOOKUP(A86,Drank!A:H,7,FALSE))</f>
        <v>Bordeaux</v>
      </c>
      <c r="E86" s="37" t="str">
        <f>IF(I86&gt;0,VLOOKUP(A86,Wine1!A:H,8,FALSE),VLOOKUP(A86,Drank!A:H,8,FALSE))</f>
        <v>Sauternes</v>
      </c>
      <c r="F86" s="37" t="str">
        <f t="shared" si="6"/>
        <v>France, Bordeaux</v>
      </c>
      <c r="G86" s="37" t="str">
        <f t="shared" si="7"/>
        <v>France, Bordeaux, Sauternes</v>
      </c>
      <c r="H86" s="37">
        <f>COUNTIF(Agibility!A:A,UniqueID!A86)</f>
        <v>1</v>
      </c>
      <c r="I86" s="37">
        <f>COUNTIF(Wine1!A:A,UniqueID!A86)</f>
        <v>9</v>
      </c>
      <c r="J86" s="37">
        <f>COUNTIF(Drank!A:A,UniqueID!A86)</f>
        <v>4</v>
      </c>
      <c r="K86" s="37">
        <f>IF(I86&lt;1,VLOOKUP(A86,Drank!A:S,19,FALSE),VLOOKUP(A86,Wine1!A:AI,26,FALSE))</f>
        <v>92.25</v>
      </c>
      <c r="L86" s="37">
        <f>IF(I86&lt;1,VLOOKUP(A86,Drank!A:Z,25,FALSE),VLOOKUP(A86,Wine1!A:AI,35,FALSE))</f>
        <v>41.98</v>
      </c>
      <c r="M86" s="37">
        <f t="shared" si="5"/>
        <v>3</v>
      </c>
      <c r="N86" s="37">
        <f t="shared" si="8"/>
        <v>1.0840108401084011E-2</v>
      </c>
      <c r="O86" s="37">
        <f t="shared" si="9"/>
        <v>38.726549999999996</v>
      </c>
      <c r="P86" s="37">
        <f>IF(N86&gt;0,M86,IF(L86&gt;=64.99,4,IF(L86&gt;=Expenses!C115,3,IF(UniqueID!L86&gt;=Expenses!C114,2,1))))</f>
        <v>3</v>
      </c>
      <c r="Q86" s="37">
        <f>IF(O86&gt;=64.99,4,IF(N86&gt;0,M86,IF(L86&gt;=64.99,4,IF(L86&gt;=Expenses!C115,3,IF(UniqueID!L86&gt;=Expenses!C114,2,1)))))</f>
        <v>3</v>
      </c>
      <c r="R86" s="37"/>
      <c r="S86" s="37"/>
    </row>
    <row r="87" spans="1:19" x14ac:dyDescent="0.25">
      <c r="A87" t="s">
        <v>504</v>
      </c>
      <c r="C87" s="37" t="str">
        <f>IF(I87&gt;0,VLOOKUP(A87,Wine1!A:H,6,FALSE),VLOOKUP(A87,Drank!A:H,6,FALSE))</f>
        <v>France</v>
      </c>
      <c r="D87" s="37" t="str">
        <f>IF(I87&gt;0,VLOOKUP(A87,Wine1!A:H,7,FALSE),VLOOKUP(A87,Drank!A:H,7,FALSE))</f>
        <v>Bordeaux</v>
      </c>
      <c r="E87" s="37" t="str">
        <f>IF(I87&gt;0,VLOOKUP(A87,Wine1!A:H,8,FALSE),VLOOKUP(A87,Drank!A:H,8,FALSE))</f>
        <v>Sauternes</v>
      </c>
      <c r="F87" s="37" t="str">
        <f t="shared" si="6"/>
        <v>France, Bordeaux</v>
      </c>
      <c r="G87" s="37" t="str">
        <f t="shared" si="7"/>
        <v>France, Bordeaux, Sauternes</v>
      </c>
      <c r="H87" s="37">
        <f>COUNTIF(Agibility!A:A,UniqueID!A87)</f>
        <v>1</v>
      </c>
      <c r="I87" s="37">
        <f>COUNTIF(Wine1!A:A,UniqueID!A87)</f>
        <v>12</v>
      </c>
      <c r="J87" s="37">
        <f>COUNTIF(Drank!A:A,UniqueID!A87)</f>
        <v>0</v>
      </c>
      <c r="K87" s="37">
        <f>IF(I87&lt;1,VLOOKUP(A87,Drank!A:S,19,FALSE),VLOOKUP(A87,Wine1!A:AI,26,FALSE))</f>
        <v>95</v>
      </c>
      <c r="L87" s="37">
        <f>IF(I87&lt;1,VLOOKUP(A87,Drank!A:Z,25,FALSE),VLOOKUP(A87,Wine1!A:AI,35,FALSE))</f>
        <v>32</v>
      </c>
      <c r="M87" s="37">
        <f t="shared" si="5"/>
        <v>3</v>
      </c>
      <c r="N87" s="37">
        <f t="shared" si="8"/>
        <v>1.0526315789473684E-2</v>
      </c>
      <c r="O87" s="37">
        <f t="shared" si="9"/>
        <v>30.400000000000002</v>
      </c>
      <c r="P87" s="37">
        <f>IF(N87&gt;0,M87,IF(L87&gt;=64.99,4,IF(L87&gt;=Expenses!C116,3,IF(UniqueID!L87&gt;=Expenses!C115,2,1))))</f>
        <v>3</v>
      </c>
      <c r="Q87" s="37">
        <f>IF(O87&gt;=64.99,4,IF(N87&gt;0,M87,IF(L87&gt;=64.99,4,IF(L87&gt;=Expenses!C116,3,IF(UniqueID!L87&gt;=Expenses!C115,2,1)))))</f>
        <v>3</v>
      </c>
      <c r="R87" s="37"/>
      <c r="S87" s="37"/>
    </row>
    <row r="88" spans="1:19" x14ac:dyDescent="0.25">
      <c r="A88" t="s">
        <v>506</v>
      </c>
      <c r="C88" s="37" t="str">
        <f>IF(I88&gt;0,VLOOKUP(A88,Wine1!A:H,6,FALSE),VLOOKUP(A88,Drank!A:H,6,FALSE))</f>
        <v>Italy</v>
      </c>
      <c r="D88" s="37" t="str">
        <f>IF(I88&gt;0,VLOOKUP(A88,Wine1!A:H,7,FALSE),VLOOKUP(A88,Drank!A:H,7,FALSE))</f>
        <v>Tuscany</v>
      </c>
      <c r="E88" s="37" t="str">
        <f>IF(I88&gt;0,VLOOKUP(A88,Wine1!A:H,8,FALSE),VLOOKUP(A88,Drank!A:H,8,FALSE))</f>
        <v>Brunello di Montalcino</v>
      </c>
      <c r="F88" s="37" t="str">
        <f t="shared" si="6"/>
        <v>Italy, Tuscany</v>
      </c>
      <c r="G88" s="37" t="str">
        <f t="shared" si="7"/>
        <v>Italy, Tuscany, Brunello di Montalcino</v>
      </c>
      <c r="H88" s="37">
        <f>COUNTIF(Agibility!A:A,UniqueID!A88)</f>
        <v>1</v>
      </c>
      <c r="I88" s="37">
        <f>COUNTIF(Wine1!A:A,UniqueID!A88)</f>
        <v>2</v>
      </c>
      <c r="J88" s="37">
        <f>COUNTIF(Drank!A:A,UniqueID!A88)</f>
        <v>1</v>
      </c>
      <c r="K88" s="37">
        <f>IF(I88&lt;1,VLOOKUP(A88,Drank!A:S,19,FALSE),VLOOKUP(A88,Wine1!A:AI,26,FALSE))</f>
        <v>90</v>
      </c>
      <c r="L88" s="37">
        <f>IF(I88&lt;1,VLOOKUP(A88,Drank!A:Z,25,FALSE),VLOOKUP(A88,Wine1!A:AI,35,FALSE))</f>
        <v>27.99</v>
      </c>
      <c r="M88" s="37">
        <f t="shared" si="5"/>
        <v>2</v>
      </c>
      <c r="N88" s="37">
        <f t="shared" si="8"/>
        <v>1.1111111111111112E-2</v>
      </c>
      <c r="O88" s="37">
        <f t="shared" si="9"/>
        <v>25.190999999999999</v>
      </c>
      <c r="P88" s="37">
        <f>IF(N88&gt;0,M88,IF(L88&gt;=64.99,4,IF(L88&gt;=Expenses!C117,3,IF(UniqueID!L88&gt;=Expenses!C116,2,1))))</f>
        <v>2</v>
      </c>
      <c r="Q88" s="37">
        <f>IF(O88&gt;=64.99,4,IF(N88&gt;0,M88,IF(L88&gt;=64.99,4,IF(L88&gt;=Expenses!C117,3,IF(UniqueID!L88&gt;=Expenses!C116,2,1)))))</f>
        <v>2</v>
      </c>
      <c r="R88" s="37"/>
      <c r="S88" s="37"/>
    </row>
    <row r="89" spans="1:19" x14ac:dyDescent="0.25">
      <c r="A89" t="s">
        <v>507</v>
      </c>
      <c r="C89" s="37" t="str">
        <f>IF(I89&gt;0,VLOOKUP(A89,Wine1!A:H,6,FALSE),VLOOKUP(A89,Drank!A:H,6,FALSE))</f>
        <v>USA</v>
      </c>
      <c r="D89" s="37" t="str">
        <f>IF(I89&gt;0,VLOOKUP(A89,Wine1!A:H,7,FALSE),VLOOKUP(A89,Drank!A:H,7,FALSE))</f>
        <v>California</v>
      </c>
      <c r="E89" s="37" t="str">
        <f>IF(I89&gt;0,VLOOKUP(A89,Wine1!A:H,8,FALSE),VLOOKUP(A89,Drank!A:H,8,FALSE))</f>
        <v>North Coast, Sonoma</v>
      </c>
      <c r="F89" s="37" t="str">
        <f t="shared" si="6"/>
        <v>USA, California</v>
      </c>
      <c r="G89" s="37" t="str">
        <f t="shared" si="7"/>
        <v>USA, California, North Coast, Sonoma</v>
      </c>
      <c r="H89" s="37">
        <f>COUNTIF(Agibility!A:A,UniqueID!A89)</f>
        <v>1</v>
      </c>
      <c r="I89" s="37">
        <f>COUNTIF(Wine1!A:A,UniqueID!A89)</f>
        <v>1</v>
      </c>
      <c r="J89" s="37">
        <f>COUNTIF(Drank!A:A,UniqueID!A89)</f>
        <v>1</v>
      </c>
      <c r="K89" s="37">
        <f>IF(I89&lt;1,VLOOKUP(A89,Drank!A:S,19,FALSE),VLOOKUP(A89,Wine1!A:AI,26,FALSE))</f>
        <v>94</v>
      </c>
      <c r="L89" s="37">
        <f>IF(I89&lt;1,VLOOKUP(A89,Drank!A:Z,25,FALSE),VLOOKUP(A89,Wine1!A:AI,35,FALSE))</f>
        <v>35</v>
      </c>
      <c r="M89" s="37">
        <f t="shared" si="5"/>
        <v>3</v>
      </c>
      <c r="N89" s="37">
        <f t="shared" si="8"/>
        <v>1.0638297872340425E-2</v>
      </c>
      <c r="O89" s="37">
        <f t="shared" si="9"/>
        <v>32.9</v>
      </c>
      <c r="P89" s="37">
        <f>IF(N89&gt;0,M89,IF(L89&gt;=64.99,4,IF(L89&gt;=Expenses!C118,3,IF(UniqueID!L89&gt;=Expenses!C117,2,1))))</f>
        <v>3</v>
      </c>
      <c r="Q89" s="37">
        <f>IF(O89&gt;=64.99,4,IF(N89&gt;0,M89,IF(L89&gt;=64.99,4,IF(L89&gt;=Expenses!C118,3,IF(UniqueID!L89&gt;=Expenses!C117,2,1)))))</f>
        <v>3</v>
      </c>
      <c r="R89" s="37"/>
      <c r="S89" s="37"/>
    </row>
    <row r="90" spans="1:19" x14ac:dyDescent="0.25">
      <c r="A90" t="s">
        <v>701</v>
      </c>
      <c r="C90" s="37" t="str">
        <f>IF(I90&gt;0,VLOOKUP(A90,Wine1!A:H,6,FALSE),VLOOKUP(A90,Drank!A:H,6,FALSE))</f>
        <v>Italy</v>
      </c>
      <c r="D90" s="37" t="str">
        <f>IF(I90&gt;0,VLOOKUP(A90,Wine1!A:H,7,FALSE),VLOOKUP(A90,Drank!A:H,7,FALSE))</f>
        <v>Puglia</v>
      </c>
      <c r="E90" s="37">
        <f>IF(I90&gt;0,VLOOKUP(A90,Wine1!A:H,8,FALSE),VLOOKUP(A90,Drank!A:H,8,FALSE))</f>
        <v>0</v>
      </c>
      <c r="F90" s="37" t="str">
        <f t="shared" si="6"/>
        <v>Italy, Puglia</v>
      </c>
      <c r="G90" s="37" t="str">
        <f t="shared" si="7"/>
        <v>Italy, Puglia, 0</v>
      </c>
      <c r="H90" s="37">
        <f>COUNTIF(Agibility!A:A,UniqueID!A90)</f>
        <v>1</v>
      </c>
      <c r="I90" s="37">
        <f>COUNTIF(Wine1!A:A,UniqueID!A90)</f>
        <v>1</v>
      </c>
      <c r="J90" s="37">
        <f>COUNTIF(Drank!A:A,UniqueID!A90)</f>
        <v>1</v>
      </c>
      <c r="K90" s="37">
        <f>IF(I90&lt;1,VLOOKUP(A90,Drank!A:S,19,FALSE),VLOOKUP(A90,Wine1!A:AI,26,FALSE))</f>
        <v>90</v>
      </c>
      <c r="L90" s="37">
        <f>IF(I90&lt;1,VLOOKUP(A90,Drank!A:Z,25,FALSE),VLOOKUP(A90,Wine1!A:AI,35,FALSE))</f>
        <v>28.59</v>
      </c>
      <c r="M90" s="37">
        <f t="shared" si="5"/>
        <v>2</v>
      </c>
      <c r="N90" s="37">
        <f t="shared" si="8"/>
        <v>1.1111111111111112E-2</v>
      </c>
      <c r="O90" s="37">
        <f t="shared" si="9"/>
        <v>25.731000000000002</v>
      </c>
      <c r="P90" s="37">
        <f>IF(N90&gt;0,M90,IF(L90&gt;=64.99,4,IF(L90&gt;=Expenses!C119,3,IF(UniqueID!L90&gt;=Expenses!C118,2,1))))</f>
        <v>2</v>
      </c>
      <c r="Q90" s="37">
        <f>IF(O90&gt;=64.99,4,IF(N90&gt;0,M90,IF(L90&gt;=64.99,4,IF(L90&gt;=Expenses!C119,3,IF(UniqueID!L90&gt;=Expenses!C118,2,1)))))</f>
        <v>2</v>
      </c>
      <c r="R90" s="37"/>
      <c r="S90" s="37"/>
    </row>
    <row r="91" spans="1:19" x14ac:dyDescent="0.25">
      <c r="A91" t="s">
        <v>508</v>
      </c>
      <c r="C91" s="37" t="str">
        <f>IF(I91&gt;0,VLOOKUP(A91,Wine1!A:H,6,FALSE),VLOOKUP(A91,Drank!A:H,6,FALSE))</f>
        <v>Spain</v>
      </c>
      <c r="D91" s="37" t="str">
        <f>IF(I91&gt;0,VLOOKUP(A91,Wine1!A:H,7,FALSE),VLOOKUP(A91,Drank!A:H,7,FALSE))</f>
        <v>Rioja</v>
      </c>
      <c r="E91" s="37">
        <f>IF(I91&gt;0,VLOOKUP(A91,Wine1!A:H,8,FALSE),VLOOKUP(A91,Drank!A:H,8,FALSE))</f>
        <v>0</v>
      </c>
      <c r="F91" s="37" t="str">
        <f t="shared" si="6"/>
        <v>Spain, Rioja</v>
      </c>
      <c r="G91" s="37" t="str">
        <f t="shared" si="7"/>
        <v>Spain, Rioja, 0</v>
      </c>
      <c r="H91" s="37">
        <f>COUNTIF(Agibility!A:A,UniqueID!A91)</f>
        <v>1</v>
      </c>
      <c r="I91" s="37">
        <f>COUNTIF(Wine1!A:A,UniqueID!A91)</f>
        <v>2</v>
      </c>
      <c r="J91" s="37">
        <f>COUNTIF(Drank!A:A,UniqueID!A91)</f>
        <v>1</v>
      </c>
      <c r="K91" s="37">
        <f>IF(I91&lt;1,VLOOKUP(A91,Drank!A:S,19,FALSE),VLOOKUP(A91,Wine1!A:AI,26,FALSE))</f>
        <v>93</v>
      </c>
      <c r="L91" s="37">
        <f>IF(I91&lt;1,VLOOKUP(A91,Drank!A:Z,25,FALSE),VLOOKUP(A91,Wine1!A:AI,35,FALSE))</f>
        <v>27.99</v>
      </c>
      <c r="M91" s="37">
        <f t="shared" si="5"/>
        <v>3</v>
      </c>
      <c r="N91" s="37">
        <f t="shared" si="8"/>
        <v>1.0752688172043012E-2</v>
      </c>
      <c r="O91" s="37">
        <f t="shared" si="9"/>
        <v>26.0307</v>
      </c>
      <c r="P91" s="37">
        <f>IF(N91&gt;0,M91,IF(L91&gt;=64.99,4,IF(L91&gt;=Expenses!C120,3,IF(UniqueID!L91&gt;=Expenses!C119,2,1))))</f>
        <v>3</v>
      </c>
      <c r="Q91" s="37">
        <f>IF(O91&gt;=64.99,4,IF(N91&gt;0,M91,IF(L91&gt;=64.99,4,IF(L91&gt;=Expenses!C120,3,IF(UniqueID!L91&gt;=Expenses!C119,2,1)))))</f>
        <v>3</v>
      </c>
      <c r="R91" s="37"/>
      <c r="S91" s="37"/>
    </row>
    <row r="92" spans="1:19" x14ac:dyDescent="0.25">
      <c r="A92" t="s">
        <v>505</v>
      </c>
      <c r="C92" s="37" t="str">
        <f>IF(I92&gt;0,VLOOKUP(A92,Wine1!A:H,6,FALSE),VLOOKUP(A92,Drank!A:H,6,FALSE))</f>
        <v>Italy</v>
      </c>
      <c r="D92" s="37" t="str">
        <f>IF(I92&gt;0,VLOOKUP(A92,Wine1!A:H,7,FALSE),VLOOKUP(A92,Drank!A:H,7,FALSE))</f>
        <v>Piedmont</v>
      </c>
      <c r="E92" s="37" t="str">
        <f>IF(I92&gt;0,VLOOKUP(A92,Wine1!A:H,8,FALSE),VLOOKUP(A92,Drank!A:H,8,FALSE))</f>
        <v>Barolo</v>
      </c>
      <c r="F92" s="37" t="str">
        <f t="shared" si="6"/>
        <v>Italy, Piedmont</v>
      </c>
      <c r="G92" s="37" t="str">
        <f t="shared" si="7"/>
        <v>Italy, Piedmont, Barolo</v>
      </c>
      <c r="H92" s="37">
        <f>COUNTIF(Agibility!A:A,UniqueID!A92)</f>
        <v>1</v>
      </c>
      <c r="I92" s="37">
        <f>COUNTIF(Wine1!A:A,UniqueID!A92)</f>
        <v>2</v>
      </c>
      <c r="J92" s="37">
        <f>COUNTIF(Drank!A:A,UniqueID!A92)</f>
        <v>1</v>
      </c>
      <c r="K92" s="37">
        <f>IF(I92&lt;1,VLOOKUP(A92,Drank!A:S,19,FALSE),VLOOKUP(A92,Wine1!A:AI,26,FALSE))</f>
        <v>89</v>
      </c>
      <c r="L92" s="37">
        <f>IF(I92&lt;1,VLOOKUP(A92,Drank!A:Z,25,FALSE),VLOOKUP(A92,Wine1!A:AI,35,FALSE))</f>
        <v>28.99</v>
      </c>
      <c r="M92" s="37">
        <f t="shared" si="5"/>
        <v>1</v>
      </c>
      <c r="N92" s="37">
        <f t="shared" si="8"/>
        <v>1.1235955056179775E-2</v>
      </c>
      <c r="O92" s="37">
        <f t="shared" si="9"/>
        <v>25.801099999999998</v>
      </c>
      <c r="P92" s="37">
        <f>IF(N92&gt;0,M92,IF(L92&gt;=64.99,4,IF(L92&gt;=Expenses!C121,3,IF(UniqueID!L92&gt;=Expenses!C120,2,1))))</f>
        <v>1</v>
      </c>
      <c r="Q92" s="37">
        <f>IF(O92&gt;=64.99,4,IF(N92&gt;0,M92,IF(L92&gt;=64.99,4,IF(L92&gt;=Expenses!C121,3,IF(UniqueID!L92&gt;=Expenses!C120,2,1)))))</f>
        <v>1</v>
      </c>
      <c r="R92" s="37"/>
      <c r="S92" s="37"/>
    </row>
    <row r="93" spans="1:19" x14ac:dyDescent="0.25">
      <c r="A93" t="s">
        <v>509</v>
      </c>
      <c r="C93" s="37" t="str">
        <f>IF(I93&gt;0,VLOOKUP(A93,Wine1!A:H,6,FALSE),VLOOKUP(A93,Drank!A:H,6,FALSE))</f>
        <v>Italy</v>
      </c>
      <c r="D93" s="37" t="str">
        <f>IF(I93&gt;0,VLOOKUP(A93,Wine1!A:H,7,FALSE),VLOOKUP(A93,Drank!A:H,7,FALSE))</f>
        <v>Umbria</v>
      </c>
      <c r="E93" s="37" t="str">
        <f>IF(I93&gt;0,VLOOKUP(A93,Wine1!A:H,8,FALSE),VLOOKUP(A93,Drank!A:H,8,FALSE))</f>
        <v>Montefalco Sagrantino</v>
      </c>
      <c r="F93" s="37" t="str">
        <f t="shared" si="6"/>
        <v>Italy, Umbria</v>
      </c>
      <c r="G93" s="37" t="str">
        <f t="shared" si="7"/>
        <v>Italy, Umbria, Montefalco Sagrantino</v>
      </c>
      <c r="H93" s="37">
        <f>COUNTIF(Agibility!A:A,UniqueID!A93)</f>
        <v>1</v>
      </c>
      <c r="I93" s="37">
        <f>COUNTIF(Wine1!A:A,UniqueID!A93)</f>
        <v>2</v>
      </c>
      <c r="J93" s="37">
        <f>COUNTIF(Drank!A:A,UniqueID!A93)</f>
        <v>1</v>
      </c>
      <c r="K93" s="37">
        <f>IF(I93&lt;1,VLOOKUP(A93,Drank!A:S,19,FALSE),VLOOKUP(A93,Wine1!A:AI,26,FALSE))</f>
        <v>90</v>
      </c>
      <c r="L93" s="37">
        <f>IF(I93&lt;1,VLOOKUP(A93,Drank!A:Z,25,FALSE),VLOOKUP(A93,Wine1!A:AI,35,FALSE))</f>
        <v>24.989999999999995</v>
      </c>
      <c r="M93" s="37">
        <f t="shared" si="5"/>
        <v>2</v>
      </c>
      <c r="N93" s="37">
        <f t="shared" si="8"/>
        <v>1.1111111111111112E-2</v>
      </c>
      <c r="O93" s="37">
        <f t="shared" si="9"/>
        <v>22.490999999999996</v>
      </c>
      <c r="P93" s="37">
        <f>IF(N93&gt;0,M93,IF(L93&gt;=64.99,4,IF(L93&gt;=Expenses!C122,3,IF(UniqueID!L93&gt;=Expenses!C121,2,1))))</f>
        <v>2</v>
      </c>
      <c r="Q93" s="37">
        <f>IF(O93&gt;=64.99,4,IF(N93&gt;0,M93,IF(L93&gt;=64.99,4,IF(L93&gt;=Expenses!C122,3,IF(UniqueID!L93&gt;=Expenses!C121,2,1)))))</f>
        <v>2</v>
      </c>
      <c r="R93" s="37"/>
      <c r="S93" s="37"/>
    </row>
    <row r="94" spans="1:19" x14ac:dyDescent="0.25">
      <c r="A94" t="s">
        <v>510</v>
      </c>
      <c r="C94" s="37" t="str">
        <f>IF(I94&gt;0,VLOOKUP(A94,Wine1!A:H,6,FALSE),VLOOKUP(A94,Drank!A:H,6,FALSE))</f>
        <v>USA</v>
      </c>
      <c r="D94" s="37" t="str">
        <f>IF(I94&gt;0,VLOOKUP(A94,Wine1!A:H,7,FALSE),VLOOKUP(A94,Drank!A:H,7,FALSE))</f>
        <v>California</v>
      </c>
      <c r="E94" s="37" t="str">
        <f>IF(I94&gt;0,VLOOKUP(A94,Wine1!A:H,8,FALSE),VLOOKUP(A94,Drank!A:H,8,FALSE))</f>
        <v>North Coast, Napa Valley</v>
      </c>
      <c r="F94" s="37" t="str">
        <f t="shared" si="6"/>
        <v>USA, California</v>
      </c>
      <c r="G94" s="37" t="str">
        <f t="shared" si="7"/>
        <v>USA, California, North Coast, Napa Valley</v>
      </c>
      <c r="H94" s="37">
        <f>COUNTIF(Agibility!A:A,UniqueID!A94)</f>
        <v>1</v>
      </c>
      <c r="I94" s="37">
        <f>COUNTIF(Wine1!A:A,UniqueID!A94)</f>
        <v>1</v>
      </c>
      <c r="J94" s="37">
        <f>COUNTIF(Drank!A:A,UniqueID!A94)</f>
        <v>0</v>
      </c>
      <c r="K94" s="37">
        <f>IF(I94&lt;1,VLOOKUP(A94,Drank!A:S,19,FALSE),VLOOKUP(A94,Wine1!A:AI,26,FALSE))</f>
        <v>92</v>
      </c>
      <c r="L94" s="37">
        <f>IF(I94&lt;1,VLOOKUP(A94,Drank!A:Z,25,FALSE),VLOOKUP(A94,Wine1!A:AI,35,FALSE))</f>
        <v>53</v>
      </c>
      <c r="M94" s="37">
        <f t="shared" si="5"/>
        <v>2</v>
      </c>
      <c r="N94" s="37">
        <f t="shared" si="8"/>
        <v>1.0869565217391304E-2</v>
      </c>
      <c r="O94" s="37">
        <f t="shared" si="9"/>
        <v>48.760000000000005</v>
      </c>
      <c r="P94" s="37">
        <f>IF(N94&gt;0,M94,IF(L94&gt;=64.99,4,IF(L94&gt;=Expenses!C123,3,IF(UniqueID!L94&gt;=Expenses!C122,2,1))))</f>
        <v>2</v>
      </c>
      <c r="Q94" s="37">
        <f>IF(O94&gt;=64.99,4,IF(N94&gt;0,M94,IF(L94&gt;=64.99,4,IF(L94&gt;=Expenses!C123,3,IF(UniqueID!L94&gt;=Expenses!C122,2,1)))))</f>
        <v>2</v>
      </c>
      <c r="R94" s="37"/>
      <c r="S94" s="37"/>
    </row>
    <row r="95" spans="1:19" x14ac:dyDescent="0.25">
      <c r="A95" t="s">
        <v>512</v>
      </c>
      <c r="C95" s="37" t="str">
        <f>IF(I95&gt;0,VLOOKUP(A95,Wine1!A:H,6,FALSE),VLOOKUP(A95,Drank!A:H,6,FALSE))</f>
        <v>Argentina</v>
      </c>
      <c r="D95" s="37" t="str">
        <f>IF(I95&gt;0,VLOOKUP(A95,Wine1!A:H,7,FALSE),VLOOKUP(A95,Drank!A:H,7,FALSE))</f>
        <v>Mendoza</v>
      </c>
      <c r="E95" s="37" t="str">
        <f>IF(I95&gt;0,VLOOKUP(A95,Wine1!A:H,8,FALSE),VLOOKUP(A95,Drank!A:H,8,FALSE))</f>
        <v>Valle de Uco, Tupungato</v>
      </c>
      <c r="F95" s="37" t="str">
        <f t="shared" si="6"/>
        <v>Argentina, Mendoza</v>
      </c>
      <c r="G95" s="37" t="str">
        <f t="shared" si="7"/>
        <v>Argentina, Mendoza, Valle de Uco, Tupungato</v>
      </c>
      <c r="H95" s="37">
        <f>COUNTIF(Agibility!A:A,UniqueID!A95)</f>
        <v>1</v>
      </c>
      <c r="I95" s="37">
        <f>COUNTIF(Wine1!A:A,UniqueID!A95)</f>
        <v>4</v>
      </c>
      <c r="J95" s="37">
        <f>COUNTIF(Drank!A:A,UniqueID!A95)</f>
        <v>2</v>
      </c>
      <c r="K95" s="37">
        <f>IF(I95&lt;1,VLOOKUP(A95,Drank!A:S,19,FALSE),VLOOKUP(A95,Wine1!A:AI,26,FALSE))</f>
        <v>95.5</v>
      </c>
      <c r="L95" s="37">
        <f>IF(I95&lt;1,VLOOKUP(A95,Drank!A:Z,25,FALSE),VLOOKUP(A95,Wine1!A:AI,35,FALSE))</f>
        <v>39.99</v>
      </c>
      <c r="M95" s="37">
        <f t="shared" si="5"/>
        <v>3</v>
      </c>
      <c r="N95" s="37">
        <f t="shared" si="8"/>
        <v>1.0471204188481676E-2</v>
      </c>
      <c r="O95" s="37">
        <f t="shared" si="9"/>
        <v>38.190450000000006</v>
      </c>
      <c r="P95" s="37">
        <f>IF(N95&gt;0,M95,IF(L95&gt;=64.99,4,IF(L95&gt;=Expenses!C124,3,IF(UniqueID!L95&gt;=Expenses!C123,2,1))))</f>
        <v>3</v>
      </c>
      <c r="Q95" s="37">
        <f>IF(O95&gt;=64.99,4,IF(N95&gt;0,M95,IF(L95&gt;=64.99,4,IF(L95&gt;=Expenses!C124,3,IF(UniqueID!L95&gt;=Expenses!C123,2,1)))))</f>
        <v>3</v>
      </c>
      <c r="R95" s="37"/>
      <c r="S95" s="37"/>
    </row>
    <row r="96" spans="1:19" x14ac:dyDescent="0.25">
      <c r="A96" t="s">
        <v>513</v>
      </c>
      <c r="C96" s="37" t="str">
        <f>IF(I96&gt;0,VLOOKUP(A96,Wine1!A:H,6,FALSE),VLOOKUP(A96,Drank!A:H,6,FALSE))</f>
        <v>France</v>
      </c>
      <c r="D96" s="37" t="str">
        <f>IF(I96&gt;0,VLOOKUP(A96,Wine1!A:H,7,FALSE),VLOOKUP(A96,Drank!A:H,7,FALSE))</f>
        <v>Rhone</v>
      </c>
      <c r="E96" s="37" t="str">
        <f>IF(I96&gt;0,VLOOKUP(A96,Wine1!A:H,8,FALSE),VLOOKUP(A96,Drank!A:H,8,FALSE))</f>
        <v>Southern Rhone, Chateauneuf du Pape</v>
      </c>
      <c r="F96" s="37" t="str">
        <f t="shared" si="6"/>
        <v>France, Rhone</v>
      </c>
      <c r="G96" s="37" t="str">
        <f t="shared" si="7"/>
        <v>France, Rhone, Southern Rhone, Chateauneuf du Pape</v>
      </c>
      <c r="H96" s="37">
        <f>COUNTIF(Agibility!A:A,UniqueID!A96)</f>
        <v>1</v>
      </c>
      <c r="I96" s="37">
        <f>COUNTIF(Wine1!A:A,UniqueID!A96)</f>
        <v>4</v>
      </c>
      <c r="J96" s="37">
        <f>COUNTIF(Drank!A:A,UniqueID!A96)</f>
        <v>0</v>
      </c>
      <c r="K96" s="37">
        <f>IF(I96&lt;1,VLOOKUP(A96,Drank!A:S,19,FALSE),VLOOKUP(A96,Wine1!A:AI,26,FALSE))</f>
        <v>95</v>
      </c>
      <c r="L96" s="37">
        <f>IF(I96&lt;1,VLOOKUP(A96,Drank!A:Z,25,FALSE),VLOOKUP(A96,Wine1!A:AI,35,FALSE))</f>
        <v>39.99</v>
      </c>
      <c r="M96" s="37">
        <f t="shared" si="5"/>
        <v>3</v>
      </c>
      <c r="N96" s="37">
        <f t="shared" si="8"/>
        <v>1.0526315789473684E-2</v>
      </c>
      <c r="O96" s="37">
        <f t="shared" si="9"/>
        <v>37.990500000000004</v>
      </c>
      <c r="P96" s="37">
        <f>IF(N96&gt;0,M96,IF(L96&gt;=64.99,4,IF(L96&gt;=Expenses!C125,3,IF(UniqueID!L96&gt;=Expenses!C124,2,1))))</f>
        <v>3</v>
      </c>
      <c r="Q96" s="37">
        <f>IF(O96&gt;=64.99,4,IF(N96&gt;0,M96,IF(L96&gt;=64.99,4,IF(L96&gt;=Expenses!C125,3,IF(UniqueID!L96&gt;=Expenses!C124,2,1)))))</f>
        <v>3</v>
      </c>
      <c r="R96" s="37"/>
      <c r="S96" s="37"/>
    </row>
    <row r="97" spans="1:19" x14ac:dyDescent="0.25">
      <c r="A97" t="s">
        <v>514</v>
      </c>
      <c r="C97" s="37" t="str">
        <f>IF(I97&gt;0,VLOOKUP(A97,Wine1!A:H,6,FALSE),VLOOKUP(A97,Drank!A:H,6,FALSE))</f>
        <v>France</v>
      </c>
      <c r="D97" s="37" t="str">
        <f>IF(I97&gt;0,VLOOKUP(A97,Wine1!A:H,7,FALSE),VLOOKUP(A97,Drank!A:H,7,FALSE))</f>
        <v>Rhone</v>
      </c>
      <c r="E97" s="37" t="str">
        <f>IF(I97&gt;0,VLOOKUP(A97,Wine1!A:H,8,FALSE),VLOOKUP(A97,Drank!A:H,8,FALSE))</f>
        <v>Southern Rhone, Chateauneuf du Pape</v>
      </c>
      <c r="F97" s="37" t="str">
        <f t="shared" si="6"/>
        <v>France, Rhone</v>
      </c>
      <c r="G97" s="37" t="str">
        <f t="shared" si="7"/>
        <v>France, Rhone, Southern Rhone, Chateauneuf du Pape</v>
      </c>
      <c r="H97" s="37">
        <f>COUNTIF(Agibility!A:A,UniqueID!A97)</f>
        <v>1</v>
      </c>
      <c r="I97" s="37">
        <f>COUNTIF(Wine1!A:A,UniqueID!A97)</f>
        <v>4</v>
      </c>
      <c r="J97" s="37">
        <f>COUNTIF(Drank!A:A,UniqueID!A97)</f>
        <v>0</v>
      </c>
      <c r="K97" s="37">
        <f>IF(I97&lt;1,VLOOKUP(A97,Drank!A:S,19,FALSE),VLOOKUP(A97,Wine1!A:AI,26,FALSE))</f>
        <v>95</v>
      </c>
      <c r="L97" s="37">
        <f>IF(I97&lt;1,VLOOKUP(A97,Drank!A:Z,25,FALSE),VLOOKUP(A97,Wine1!A:AI,35,FALSE))</f>
        <v>39.99</v>
      </c>
      <c r="M97" s="37">
        <f t="shared" si="5"/>
        <v>3</v>
      </c>
      <c r="N97" s="37">
        <f t="shared" si="8"/>
        <v>1.0526315789473684E-2</v>
      </c>
      <c r="O97" s="37">
        <f t="shared" si="9"/>
        <v>37.990500000000004</v>
      </c>
      <c r="P97" s="37">
        <f>IF(N97&gt;0,M97,IF(L97&gt;=64.99,4,IF(L97&gt;=Expenses!C126,3,IF(UniqueID!L97&gt;=Expenses!C125,2,1))))</f>
        <v>3</v>
      </c>
      <c r="Q97" s="37">
        <f>IF(O97&gt;=64.99,4,IF(N97&gt;0,M97,IF(L97&gt;=64.99,4,IF(L97&gt;=Expenses!C126,3,IF(UniqueID!L97&gt;=Expenses!C125,2,1)))))</f>
        <v>3</v>
      </c>
      <c r="R97" s="37"/>
      <c r="S97" s="37"/>
    </row>
    <row r="98" spans="1:19" x14ac:dyDescent="0.25">
      <c r="A98" t="s">
        <v>940</v>
      </c>
      <c r="C98" s="37" t="str">
        <f>IF(I98&gt;0,VLOOKUP(A98,Wine1!A:H,6,FALSE),VLOOKUP(A98,Drank!A:H,6,FALSE))</f>
        <v>France</v>
      </c>
      <c r="D98" s="37" t="str">
        <f>IF(I98&gt;0,VLOOKUP(A98,Wine1!A:H,7,FALSE),VLOOKUP(A98,Drank!A:H,7,FALSE))</f>
        <v>Bordeaux</v>
      </c>
      <c r="E98" s="37" t="str">
        <f>IF(I98&gt;0,VLOOKUP(A98,Wine1!A:H,8,FALSE),VLOOKUP(A98,Drank!A:H,8,FALSE))</f>
        <v>Sauternes, Barsac</v>
      </c>
      <c r="F98" s="37" t="str">
        <f t="shared" si="6"/>
        <v>France, Bordeaux</v>
      </c>
      <c r="G98" s="37" t="str">
        <f t="shared" si="7"/>
        <v>France, Bordeaux, Sauternes, Barsac</v>
      </c>
      <c r="H98" s="37">
        <f>COUNTIF(Agibility!A:A,UniqueID!A98)</f>
        <v>1</v>
      </c>
      <c r="I98" s="37">
        <f>COUNTIF(Wine1!A:A,UniqueID!A98)</f>
        <v>4</v>
      </c>
      <c r="J98" s="37">
        <f>COUNTIF(Drank!A:A,UniqueID!A98)</f>
        <v>0</v>
      </c>
      <c r="K98" s="37">
        <f>IF(I98&lt;1,VLOOKUP(A98,Drank!A:S,19,FALSE),VLOOKUP(A98,Wine1!A:AI,26,FALSE))</f>
        <v>94</v>
      </c>
      <c r="L98" s="37">
        <f>IF(I98&lt;1,VLOOKUP(A98,Drank!A:Z,25,FALSE),VLOOKUP(A98,Wine1!A:AI,35,FALSE))</f>
        <v>45.98</v>
      </c>
      <c r="M98" s="37">
        <f t="shared" si="5"/>
        <v>3</v>
      </c>
      <c r="N98" s="37">
        <f t="shared" si="8"/>
        <v>1.0638297872340425E-2</v>
      </c>
      <c r="O98" s="37">
        <f t="shared" si="9"/>
        <v>43.221200000000003</v>
      </c>
      <c r="P98" s="37">
        <f>IF(N98&gt;0,M98,IF(L98&gt;=64.99,4,IF(L98&gt;=Expenses!C127,3,IF(UniqueID!L98&gt;=Expenses!C126,2,1))))</f>
        <v>3</v>
      </c>
      <c r="Q98" s="37">
        <f>IF(O98&gt;=64.99,4,IF(N98&gt;0,M98,IF(L98&gt;=64.99,4,IF(L98&gt;=Expenses!C127,3,IF(UniqueID!L98&gt;=Expenses!C126,2,1)))))</f>
        <v>3</v>
      </c>
      <c r="R98" s="37"/>
      <c r="S98" s="37"/>
    </row>
    <row r="99" spans="1:19" x14ac:dyDescent="0.25">
      <c r="A99" t="s">
        <v>515</v>
      </c>
      <c r="C99" s="37" t="str">
        <f>IF(I99&gt;0,VLOOKUP(A99,Wine1!A:H,6,FALSE),VLOOKUP(A99,Drank!A:H,6,FALSE))</f>
        <v>Italy</v>
      </c>
      <c r="D99" s="37" t="str">
        <f>IF(I99&gt;0,VLOOKUP(A99,Wine1!A:H,7,FALSE),VLOOKUP(A99,Drank!A:H,7,FALSE))</f>
        <v>Tuscany</v>
      </c>
      <c r="E99" s="37" t="str">
        <f>IF(I99&gt;0,VLOOKUP(A99,Wine1!A:H,8,FALSE),VLOOKUP(A99,Drank!A:H,8,FALSE))</f>
        <v>Brunello di Montalcino</v>
      </c>
      <c r="F99" s="37" t="str">
        <f t="shared" si="6"/>
        <v>Italy, Tuscany</v>
      </c>
      <c r="G99" s="37" t="str">
        <f t="shared" si="7"/>
        <v>Italy, Tuscany, Brunello di Montalcino</v>
      </c>
      <c r="H99" s="37">
        <f>COUNTIF(Agibility!A:A,UniqueID!A99)</f>
        <v>1</v>
      </c>
      <c r="I99" s="37">
        <f>COUNTIF(Wine1!A:A,UniqueID!A99)</f>
        <v>0</v>
      </c>
      <c r="J99" s="37">
        <f>COUNTIF(Drank!A:A,UniqueID!A99)</f>
        <v>1</v>
      </c>
      <c r="K99" s="37">
        <f>IF(I99&lt;1,VLOOKUP(A99,Drank!A:S,19,FALSE),VLOOKUP(A99,Wine1!A:AI,26,FALSE))</f>
        <v>93</v>
      </c>
      <c r="L99" s="37">
        <f>IF(I99&lt;1,VLOOKUP(A99,Drank!A:Z,25,FALSE),VLOOKUP(A99,Wine1!A:AI,35,FALSE))</f>
        <v>85</v>
      </c>
      <c r="M99" s="37">
        <f t="shared" si="5"/>
        <v>3</v>
      </c>
      <c r="N99" s="37">
        <f t="shared" si="8"/>
        <v>1.0752688172043012E-2</v>
      </c>
      <c r="O99" s="37">
        <f t="shared" si="9"/>
        <v>79.05</v>
      </c>
      <c r="P99" s="37">
        <f>IF(N99&gt;0,M99,IF(L99&gt;=64.99,4,IF(L99&gt;=Expenses!C128,3,IF(UniqueID!L99&gt;=Expenses!C127,2,1))))</f>
        <v>3</v>
      </c>
      <c r="Q99" s="37">
        <f>IF(O99&gt;=64.99,4,IF(N99&gt;0,M99,IF(L99&gt;=64.99,4,IF(L99&gt;=Expenses!C128,3,IF(UniqueID!L99&gt;=Expenses!C127,2,1)))))</f>
        <v>4</v>
      </c>
      <c r="R99" s="37"/>
      <c r="S99" s="37"/>
    </row>
    <row r="100" spans="1:19" x14ac:dyDescent="0.25">
      <c r="A100" t="s">
        <v>525</v>
      </c>
      <c r="C100" s="37" t="str">
        <f>IF(I100&gt;0,VLOOKUP(A100,Wine1!A:H,6,FALSE),VLOOKUP(A100,Drank!A:H,6,FALSE))</f>
        <v>Italy</v>
      </c>
      <c r="D100" s="37" t="str">
        <f>IF(I100&gt;0,VLOOKUP(A100,Wine1!A:H,7,FALSE),VLOOKUP(A100,Drank!A:H,7,FALSE))</f>
        <v>Piedmont</v>
      </c>
      <c r="E100" s="37" t="str">
        <f>IF(I100&gt;0,VLOOKUP(A100,Wine1!A:H,8,FALSE),VLOOKUP(A100,Drank!A:H,8,FALSE))</f>
        <v>Barolo</v>
      </c>
      <c r="F100" s="37" t="str">
        <f t="shared" si="6"/>
        <v>Italy, Piedmont</v>
      </c>
      <c r="G100" s="37" t="str">
        <f t="shared" si="7"/>
        <v>Italy, Piedmont, Barolo</v>
      </c>
      <c r="H100" s="37">
        <f>COUNTIF(Agibility!A:A,UniqueID!A100)</f>
        <v>1</v>
      </c>
      <c r="I100" s="37">
        <f>COUNTIF(Wine1!A:A,UniqueID!A100)</f>
        <v>1</v>
      </c>
      <c r="J100" s="37">
        <f>COUNTIF(Drank!A:A,UniqueID!A100)</f>
        <v>0</v>
      </c>
      <c r="K100" s="37" t="str">
        <f>IF(I100&lt;1,VLOOKUP(A100,Drank!A:S,19,FALSE),VLOOKUP(A100,Wine1!A:AI,26,FALSE))</f>
        <v/>
      </c>
      <c r="L100" s="37">
        <f>IF(I100&lt;1,VLOOKUP(A100,Drank!A:Z,25,FALSE),VLOOKUP(A100,Wine1!A:AI,35,FALSE))</f>
        <v>53.999999999999993</v>
      </c>
      <c r="M100" s="37">
        <f t="shared" si="5"/>
        <v>4</v>
      </c>
      <c r="N100" s="37">
        <f t="shared" si="8"/>
        <v>0</v>
      </c>
      <c r="O100" s="37">
        <f t="shared" si="9"/>
        <v>0</v>
      </c>
      <c r="P100" s="37">
        <f>IF(N100&gt;0,M100,IF(L100&gt;=64.99,4,IF(L100&gt;=Expenses!C129,3,IF(UniqueID!L100&gt;=Expenses!C128,2,1))))</f>
        <v>3</v>
      </c>
      <c r="Q100" s="37">
        <f>IF(O100&gt;=64.99,4,IF(N100&gt;0,M100,IF(L100&gt;=64.99,4,IF(L100&gt;=Expenses!C129,3,IF(UniqueID!L100&gt;=Expenses!C128,2,1)))))</f>
        <v>3</v>
      </c>
      <c r="R100" s="37"/>
      <c r="S100" s="37"/>
    </row>
    <row r="101" spans="1:19" x14ac:dyDescent="0.25">
      <c r="A101" t="s">
        <v>516</v>
      </c>
      <c r="C101" s="37" t="str">
        <f>IF(I101&gt;0,VLOOKUP(A101,Wine1!A:H,6,FALSE),VLOOKUP(A101,Drank!A:H,6,FALSE))</f>
        <v>Italy</v>
      </c>
      <c r="D101" s="37" t="str">
        <f>IF(I101&gt;0,VLOOKUP(A101,Wine1!A:H,7,FALSE),VLOOKUP(A101,Drank!A:H,7,FALSE))</f>
        <v>Tuscany</v>
      </c>
      <c r="E101" s="37" t="str">
        <f>IF(I101&gt;0,VLOOKUP(A101,Wine1!A:H,8,FALSE),VLOOKUP(A101,Drank!A:H,8,FALSE))</f>
        <v>Brunello di Montalcino</v>
      </c>
      <c r="F101" s="37" t="str">
        <f t="shared" si="6"/>
        <v>Italy, Tuscany</v>
      </c>
      <c r="G101" s="37" t="str">
        <f t="shared" si="7"/>
        <v>Italy, Tuscany, Brunello di Montalcino</v>
      </c>
      <c r="H101" s="37">
        <f>COUNTIF(Agibility!A:A,UniqueID!A101)</f>
        <v>1</v>
      </c>
      <c r="I101" s="37">
        <f>COUNTIF(Wine1!A:A,UniqueID!A101)</f>
        <v>1</v>
      </c>
      <c r="J101" s="37">
        <f>COUNTIF(Drank!A:A,UniqueID!A101)</f>
        <v>1</v>
      </c>
      <c r="K101" s="37">
        <f>IF(I101&lt;1,VLOOKUP(A101,Drank!A:S,19,FALSE),VLOOKUP(A101,Wine1!A:AI,26,FALSE))</f>
        <v>88</v>
      </c>
      <c r="L101" s="37">
        <f>IF(I101&lt;1,VLOOKUP(A101,Drank!A:Z,25,FALSE),VLOOKUP(A101,Wine1!A:AI,35,FALSE))</f>
        <v>39.99</v>
      </c>
      <c r="M101" s="37">
        <f t="shared" si="5"/>
        <v>1</v>
      </c>
      <c r="N101" s="37">
        <f t="shared" si="8"/>
        <v>1.1363636363636364E-2</v>
      </c>
      <c r="O101" s="37">
        <f t="shared" si="9"/>
        <v>35.191200000000002</v>
      </c>
      <c r="P101" s="37">
        <f>IF(N101&gt;0,M101,IF(L101&gt;=64.99,4,IF(L101&gt;=Expenses!C130,3,IF(UniqueID!L101&gt;=Expenses!C129,2,1))))</f>
        <v>1</v>
      </c>
      <c r="Q101" s="37">
        <f>IF(O101&gt;=64.99,4,IF(N101&gt;0,M101,IF(L101&gt;=64.99,4,IF(L101&gt;=Expenses!C130,3,IF(UniqueID!L101&gt;=Expenses!C129,2,1)))))</f>
        <v>1</v>
      </c>
      <c r="R101" s="37"/>
      <c r="S101" s="37"/>
    </row>
    <row r="102" spans="1:19" x14ac:dyDescent="0.25">
      <c r="A102" t="s">
        <v>517</v>
      </c>
      <c r="C102" s="37" t="str">
        <f>IF(I102&gt;0,VLOOKUP(A102,Wine1!A:H,6,FALSE),VLOOKUP(A102,Drank!A:H,6,FALSE))</f>
        <v>USA</v>
      </c>
      <c r="D102" s="37" t="str">
        <f>IF(I102&gt;0,VLOOKUP(A102,Wine1!A:H,7,FALSE),VLOOKUP(A102,Drank!A:H,7,FALSE))</f>
        <v>California</v>
      </c>
      <c r="E102" s="37" t="str">
        <f>IF(I102&gt;0,VLOOKUP(A102,Wine1!A:H,8,FALSE),VLOOKUP(A102,Drank!A:H,8,FALSE))</f>
        <v>North Coast, Napa Valley</v>
      </c>
      <c r="F102" s="37" t="str">
        <f t="shared" si="6"/>
        <v>USA, California</v>
      </c>
      <c r="G102" s="37" t="str">
        <f t="shared" si="7"/>
        <v>USA, California, North Coast, Napa Valley</v>
      </c>
      <c r="H102" s="37">
        <f>COUNTIF(Agibility!A:A,UniqueID!A102)</f>
        <v>1</v>
      </c>
      <c r="I102" s="37">
        <f>COUNTIF(Wine1!A:A,UniqueID!A102)</f>
        <v>3</v>
      </c>
      <c r="J102" s="37">
        <f>COUNTIF(Drank!A:A,UniqueID!A102)</f>
        <v>1</v>
      </c>
      <c r="K102" s="37">
        <f>IF(I102&lt;1,VLOOKUP(A102,Drank!A:S,19,FALSE),VLOOKUP(A102,Wine1!A:AI,26,FALSE))</f>
        <v>91</v>
      </c>
      <c r="L102" s="37">
        <f>IF(I102&lt;1,VLOOKUP(A102,Drank!A:Z,25,FALSE),VLOOKUP(A102,Wine1!A:AI,35,FALSE))</f>
        <v>49.990000000000009</v>
      </c>
      <c r="M102" s="37">
        <f t="shared" si="5"/>
        <v>2</v>
      </c>
      <c r="N102" s="37">
        <f t="shared" si="8"/>
        <v>1.098901098901099E-2</v>
      </c>
      <c r="O102" s="37">
        <f t="shared" si="9"/>
        <v>45.490900000000011</v>
      </c>
      <c r="P102" s="37">
        <f>IF(N102&gt;0,M102,IF(L102&gt;=64.99,4,IF(L102&gt;=Expenses!C131,3,IF(UniqueID!L102&gt;=Expenses!C130,2,1))))</f>
        <v>2</v>
      </c>
      <c r="Q102" s="37">
        <f>IF(O102&gt;=64.99,4,IF(N102&gt;0,M102,IF(L102&gt;=64.99,4,IF(L102&gt;=Expenses!C131,3,IF(UniqueID!L102&gt;=Expenses!C130,2,1)))))</f>
        <v>2</v>
      </c>
      <c r="R102" s="37"/>
      <c r="S102" s="37"/>
    </row>
    <row r="103" spans="1:19" x14ac:dyDescent="0.25">
      <c r="A103" t="s">
        <v>518</v>
      </c>
      <c r="C103" s="37" t="str">
        <f>IF(I103&gt;0,VLOOKUP(A103,Wine1!A:H,6,FALSE),VLOOKUP(A103,Drank!A:H,6,FALSE))</f>
        <v>Italy</v>
      </c>
      <c r="D103" s="37" t="str">
        <f>IF(I103&gt;0,VLOOKUP(A103,Wine1!A:H,7,FALSE),VLOOKUP(A103,Drank!A:H,7,FALSE))</f>
        <v>Tuscany</v>
      </c>
      <c r="E103" s="37" t="str">
        <f>IF(I103&gt;0,VLOOKUP(A103,Wine1!A:H,8,FALSE),VLOOKUP(A103,Drank!A:H,8,FALSE))</f>
        <v>Brunello di Montalcino</v>
      </c>
      <c r="F103" s="37" t="str">
        <f t="shared" si="6"/>
        <v>Italy, Tuscany</v>
      </c>
      <c r="G103" s="37" t="str">
        <f t="shared" si="7"/>
        <v>Italy, Tuscany, Brunello di Montalcino</v>
      </c>
      <c r="H103" s="37">
        <f>COUNTIF(Agibility!A:A,UniqueID!A103)</f>
        <v>1</v>
      </c>
      <c r="I103" s="37">
        <f>COUNTIF(Wine1!A:A,UniqueID!A103)</f>
        <v>2</v>
      </c>
      <c r="J103" s="37">
        <f>COUNTIF(Drank!A:A,UniqueID!A103)</f>
        <v>1</v>
      </c>
      <c r="K103" s="37">
        <f>IF(I103&lt;1,VLOOKUP(A103,Drank!A:S,19,FALSE),VLOOKUP(A103,Wine1!A:AI,26,FALSE))</f>
        <v>90</v>
      </c>
      <c r="L103" s="37">
        <f>IF(I103&lt;1,VLOOKUP(A103,Drank!A:Z,25,FALSE),VLOOKUP(A103,Wine1!A:AI,35,FALSE))</f>
        <v>32.99</v>
      </c>
      <c r="M103" s="37">
        <f t="shared" si="5"/>
        <v>2</v>
      </c>
      <c r="N103" s="37">
        <f t="shared" si="8"/>
        <v>1.1111111111111112E-2</v>
      </c>
      <c r="O103" s="37">
        <f t="shared" si="9"/>
        <v>29.691000000000003</v>
      </c>
      <c r="P103" s="37">
        <f>IF(N103&gt;0,M103,IF(L103&gt;=64.99,4,IF(L103&gt;=Expenses!C132,3,IF(UniqueID!L103&gt;=Expenses!C131,2,1))))</f>
        <v>2</v>
      </c>
      <c r="Q103" s="37">
        <f>IF(O103&gt;=64.99,4,IF(N103&gt;0,M103,IF(L103&gt;=64.99,4,IF(L103&gt;=Expenses!C132,3,IF(UniqueID!L103&gt;=Expenses!C131,2,1)))))</f>
        <v>2</v>
      </c>
      <c r="R103" s="37"/>
      <c r="S103" s="37"/>
    </row>
    <row r="104" spans="1:19" x14ac:dyDescent="0.25">
      <c r="A104" t="s">
        <v>707</v>
      </c>
      <c r="C104" s="37" t="str">
        <f>IF(I104&gt;0,VLOOKUP(A104,Wine1!A:H,6,FALSE),VLOOKUP(A104,Drank!A:H,6,FALSE))</f>
        <v>Italy</v>
      </c>
      <c r="D104" s="37" t="str">
        <f>IF(I104&gt;0,VLOOKUP(A104,Wine1!A:H,7,FALSE),VLOOKUP(A104,Drank!A:H,7,FALSE))</f>
        <v>Piedmont</v>
      </c>
      <c r="E104" s="37" t="str">
        <f>IF(I104&gt;0,VLOOKUP(A104,Wine1!A:H,8,FALSE),VLOOKUP(A104,Drank!A:H,8,FALSE))</f>
        <v>Barolo, Serralunga d'Alba</v>
      </c>
      <c r="F104" s="37" t="str">
        <f t="shared" si="6"/>
        <v>Italy, Piedmont</v>
      </c>
      <c r="G104" s="37" t="str">
        <f t="shared" si="7"/>
        <v>Italy, Piedmont, Barolo, Serralunga d'Alba</v>
      </c>
      <c r="H104" s="37">
        <f>COUNTIF(Agibility!A:A,UniqueID!A104)</f>
        <v>1</v>
      </c>
      <c r="I104" s="37">
        <f>COUNTIF(Wine1!A:A,UniqueID!A104)</f>
        <v>2</v>
      </c>
      <c r="J104" s="37">
        <f>COUNTIF(Drank!A:A,UniqueID!A104)</f>
        <v>0</v>
      </c>
      <c r="K104" s="37">
        <f>IF(I104&lt;1,VLOOKUP(A104,Drank!A:S,19,FALSE),VLOOKUP(A104,Wine1!A:AI,26,FALSE))</f>
        <v>89</v>
      </c>
      <c r="L104" s="37">
        <f>IF(I104&lt;1,VLOOKUP(A104,Drank!A:Z,25,FALSE),VLOOKUP(A104,Wine1!A:AI,35,FALSE))</f>
        <v>32.994999999999997</v>
      </c>
      <c r="M104" s="37">
        <f t="shared" si="5"/>
        <v>1</v>
      </c>
      <c r="N104" s="37">
        <f t="shared" si="8"/>
        <v>1.1235955056179775E-2</v>
      </c>
      <c r="O104" s="37">
        <f t="shared" si="9"/>
        <v>29.365549999999999</v>
      </c>
      <c r="P104" s="37">
        <f>IF(N104&gt;0,M104,IF(L104&gt;=64.99,4,IF(L104&gt;=Expenses!C133,3,IF(UniqueID!L104&gt;=Expenses!C132,2,1))))</f>
        <v>1</v>
      </c>
      <c r="Q104" s="37">
        <f>IF(O104&gt;=64.99,4,IF(N104&gt;0,M104,IF(L104&gt;=64.99,4,IF(L104&gt;=Expenses!C133,3,IF(UniqueID!L104&gt;=Expenses!C132,2,1)))))</f>
        <v>1</v>
      </c>
      <c r="R104" s="37"/>
      <c r="S104" s="37"/>
    </row>
    <row r="105" spans="1:19" x14ac:dyDescent="0.25">
      <c r="A105" t="s">
        <v>519</v>
      </c>
      <c r="C105" s="37" t="str">
        <f>IF(I105&gt;0,VLOOKUP(A105,Wine1!A:H,6,FALSE),VLOOKUP(A105,Drank!A:H,6,FALSE))</f>
        <v>France</v>
      </c>
      <c r="D105" s="37" t="str">
        <f>IF(I105&gt;0,VLOOKUP(A105,Wine1!A:H,7,FALSE),VLOOKUP(A105,Drank!A:H,7,FALSE))</f>
        <v>Bordeaux</v>
      </c>
      <c r="E105" s="37" t="str">
        <f>IF(I105&gt;0,VLOOKUP(A105,Wine1!A:H,8,FALSE),VLOOKUP(A105,Drank!A:H,8,FALSE))</f>
        <v>Margaux</v>
      </c>
      <c r="F105" s="37" t="str">
        <f t="shared" si="6"/>
        <v>France, Bordeaux</v>
      </c>
      <c r="G105" s="37" t="str">
        <f t="shared" si="7"/>
        <v>France, Bordeaux, Margaux</v>
      </c>
      <c r="H105" s="37">
        <f>COUNTIF(Agibility!A:A,UniqueID!A105)</f>
        <v>1</v>
      </c>
      <c r="I105" s="37">
        <f>COUNTIF(Wine1!A:A,UniqueID!A105)</f>
        <v>4</v>
      </c>
      <c r="J105" s="37">
        <f>COUNTIF(Drank!A:A,UniqueID!A105)</f>
        <v>1</v>
      </c>
      <c r="K105" s="37">
        <f>IF(I105&lt;1,VLOOKUP(A105,Drank!A:S,19,FALSE),VLOOKUP(A105,Wine1!A:AI,26,FALSE))</f>
        <v>91</v>
      </c>
      <c r="L105" s="37">
        <f>IF(I105&lt;1,VLOOKUP(A105,Drank!A:Z,25,FALSE),VLOOKUP(A105,Wine1!A:AI,35,FALSE))</f>
        <v>70</v>
      </c>
      <c r="M105" s="37">
        <f t="shared" si="5"/>
        <v>2</v>
      </c>
      <c r="N105" s="37">
        <f t="shared" si="8"/>
        <v>1.098901098901099E-2</v>
      </c>
      <c r="O105" s="37">
        <f t="shared" si="9"/>
        <v>63.7</v>
      </c>
      <c r="P105" s="37">
        <f>IF(N105&gt;0,M105,IF(L105&gt;=64.99,4,IF(L105&gt;=Expenses!C134,3,IF(UniqueID!L105&gt;=Expenses!C133,2,1))))</f>
        <v>2</v>
      </c>
      <c r="Q105" s="37">
        <f>IF(O105&gt;=64.99,4,IF(N105&gt;0,M105,IF(L105&gt;=64.99,4,IF(L105&gt;=Expenses!C134,3,IF(UniqueID!L105&gt;=Expenses!C133,2,1)))))</f>
        <v>2</v>
      </c>
      <c r="R105" s="37"/>
      <c r="S105" s="37"/>
    </row>
    <row r="106" spans="1:19" x14ac:dyDescent="0.25">
      <c r="A106" t="s">
        <v>520</v>
      </c>
      <c r="C106" s="37" t="str">
        <f>IF(I106&gt;0,VLOOKUP(A106,Wine1!A:H,6,FALSE),VLOOKUP(A106,Drank!A:H,6,FALSE))</f>
        <v>Italy</v>
      </c>
      <c r="D106" s="37" t="str">
        <f>IF(I106&gt;0,VLOOKUP(A106,Wine1!A:H,7,FALSE),VLOOKUP(A106,Drank!A:H,7,FALSE))</f>
        <v>Tuscany</v>
      </c>
      <c r="E106" s="37" t="str">
        <f>IF(I106&gt;0,VLOOKUP(A106,Wine1!A:H,8,FALSE),VLOOKUP(A106,Drank!A:H,8,FALSE))</f>
        <v>Toscana IGT</v>
      </c>
      <c r="F106" s="37" t="str">
        <f t="shared" si="6"/>
        <v>Italy, Tuscany</v>
      </c>
      <c r="G106" s="37" t="str">
        <f t="shared" si="7"/>
        <v>Italy, Tuscany, Toscana IGT</v>
      </c>
      <c r="H106" s="37">
        <f>COUNTIF(Agibility!A:A,UniqueID!A106)</f>
        <v>1</v>
      </c>
      <c r="I106" s="37">
        <f>COUNTIF(Wine1!A:A,UniqueID!A106)</f>
        <v>8</v>
      </c>
      <c r="J106" s="37">
        <f>COUNTIF(Drank!A:A,UniqueID!A106)</f>
        <v>1</v>
      </c>
      <c r="K106" s="37">
        <f>IF(I106&lt;1,VLOOKUP(A106,Drank!A:S,19,FALSE),VLOOKUP(A106,Wine1!A:AI,26,FALSE))</f>
        <v>92</v>
      </c>
      <c r="L106" s="37">
        <f>IF(I106&lt;1,VLOOKUP(A106,Drank!A:Z,25,FALSE),VLOOKUP(A106,Wine1!A:AI,35,FALSE))</f>
        <v>50.690000000000005</v>
      </c>
      <c r="M106" s="37">
        <f t="shared" si="5"/>
        <v>2</v>
      </c>
      <c r="N106" s="37">
        <f t="shared" si="8"/>
        <v>1.0869565217391304E-2</v>
      </c>
      <c r="O106" s="37">
        <f t="shared" si="9"/>
        <v>46.634800000000006</v>
      </c>
      <c r="P106" s="37">
        <f>IF(N106&gt;0,M106,IF(L106&gt;=64.99,4,IF(L106&gt;=Expenses!C135,3,IF(UniqueID!L106&gt;=Expenses!C134,2,1))))</f>
        <v>2</v>
      </c>
      <c r="Q106" s="37">
        <f>IF(O106&gt;=64.99,4,IF(N106&gt;0,M106,IF(L106&gt;=64.99,4,IF(L106&gt;=Expenses!C135,3,IF(UniqueID!L106&gt;=Expenses!C134,2,1)))))</f>
        <v>2</v>
      </c>
      <c r="R106" s="37"/>
      <c r="S106" s="37"/>
    </row>
    <row r="107" spans="1:19" x14ac:dyDescent="0.25">
      <c r="A107" t="s">
        <v>522</v>
      </c>
      <c r="C107" s="37" t="str">
        <f>IF(I107&gt;0,VLOOKUP(A107,Wine1!A:H,6,FALSE),VLOOKUP(A107,Drank!A:H,6,FALSE))</f>
        <v>France</v>
      </c>
      <c r="D107" s="37" t="str">
        <f>IF(I107&gt;0,VLOOKUP(A107,Wine1!A:H,7,FALSE),VLOOKUP(A107,Drank!A:H,7,FALSE))</f>
        <v>Alsace</v>
      </c>
      <c r="E107" s="37" t="str">
        <f>IF(I107&gt;0,VLOOKUP(A107,Wine1!A:H,8,FALSE),VLOOKUP(A107,Drank!A:H,8,FALSE))</f>
        <v>Haut-Rhin, Ribeauville</v>
      </c>
      <c r="F107" s="37" t="str">
        <f t="shared" si="6"/>
        <v>France, Alsace</v>
      </c>
      <c r="G107" s="37" t="str">
        <f t="shared" si="7"/>
        <v>France, Alsace, Haut-Rhin, Ribeauville</v>
      </c>
      <c r="H107" s="37">
        <f>COUNTIF(Agibility!A:A,UniqueID!A107)</f>
        <v>1</v>
      </c>
      <c r="I107" s="37">
        <f>COUNTIF(Wine1!A:A,UniqueID!A107)</f>
        <v>1</v>
      </c>
      <c r="J107" s="37">
        <f>COUNTIF(Drank!A:A,UniqueID!A107)</f>
        <v>0</v>
      </c>
      <c r="K107" s="37">
        <f>IF(I107&lt;1,VLOOKUP(A107,Drank!A:S,19,FALSE),VLOOKUP(A107,Wine1!A:AI,26,FALSE))</f>
        <v>88</v>
      </c>
      <c r="L107" s="37">
        <f>IF(I107&lt;1,VLOOKUP(A107,Drank!A:Z,25,FALSE),VLOOKUP(A107,Wine1!A:AI,35,FALSE))</f>
        <v>22</v>
      </c>
      <c r="M107" s="37">
        <f t="shared" si="5"/>
        <v>1</v>
      </c>
      <c r="N107" s="37">
        <f t="shared" si="8"/>
        <v>1.1363636363636364E-2</v>
      </c>
      <c r="O107" s="37">
        <f t="shared" si="9"/>
        <v>19.36</v>
      </c>
      <c r="P107" s="37">
        <f>IF(N107&gt;0,M107,IF(L107&gt;=64.99,4,IF(L107&gt;=Expenses!C136,3,IF(UniqueID!L107&gt;=Expenses!C135,2,1))))</f>
        <v>1</v>
      </c>
      <c r="Q107" s="37">
        <f>IF(O107&gt;=64.99,4,IF(N107&gt;0,M107,IF(L107&gt;=64.99,4,IF(L107&gt;=Expenses!C136,3,IF(UniqueID!L107&gt;=Expenses!C135,2,1)))))</f>
        <v>1</v>
      </c>
      <c r="R107" s="37"/>
      <c r="S107" s="37"/>
    </row>
    <row r="108" spans="1:19" x14ac:dyDescent="0.25">
      <c r="A108" t="s">
        <v>523</v>
      </c>
      <c r="C108" s="37" t="str">
        <f>IF(I108&gt;0,VLOOKUP(A108,Wine1!A:H,6,FALSE),VLOOKUP(A108,Drank!A:H,6,FALSE))</f>
        <v>USA</v>
      </c>
      <c r="D108" s="37" t="str">
        <f>IF(I108&gt;0,VLOOKUP(A108,Wine1!A:H,7,FALSE),VLOOKUP(A108,Drank!A:H,7,FALSE))</f>
        <v>California</v>
      </c>
      <c r="E108" s="37" t="str">
        <f>IF(I108&gt;0,VLOOKUP(A108,Wine1!A:H,8,FALSE),VLOOKUP(A108,Drank!A:H,8,FALSE))</f>
        <v>North Coast, Napa Valley</v>
      </c>
      <c r="F108" s="37" t="str">
        <f t="shared" si="6"/>
        <v>USA, California</v>
      </c>
      <c r="G108" s="37" t="str">
        <f t="shared" si="7"/>
        <v>USA, California, North Coast, Napa Valley</v>
      </c>
      <c r="H108" s="37">
        <f>COUNTIF(Agibility!A:A,UniqueID!A108)</f>
        <v>1</v>
      </c>
      <c r="I108" s="37">
        <f>COUNTIF(Wine1!A:A,UniqueID!A108)</f>
        <v>2</v>
      </c>
      <c r="J108" s="37">
        <f>COUNTIF(Drank!A:A,UniqueID!A108)</f>
        <v>0</v>
      </c>
      <c r="K108" s="37">
        <f>IF(I108&lt;1,VLOOKUP(A108,Drank!A:S,19,FALSE),VLOOKUP(A108,Wine1!A:AI,26,FALSE))</f>
        <v>92</v>
      </c>
      <c r="L108" s="37">
        <f>IF(I108&lt;1,VLOOKUP(A108,Drank!A:Z,25,FALSE),VLOOKUP(A108,Wine1!A:AI,35,FALSE))</f>
        <v>44.99</v>
      </c>
      <c r="M108" s="37">
        <f t="shared" si="5"/>
        <v>2</v>
      </c>
      <c r="N108" s="37">
        <f t="shared" si="8"/>
        <v>1.0869565217391304E-2</v>
      </c>
      <c r="O108" s="37">
        <f t="shared" si="9"/>
        <v>41.390800000000006</v>
      </c>
      <c r="P108" s="37">
        <f>IF(N108&gt;0,M108,IF(L108&gt;=64.99,4,IF(L108&gt;=Expenses!C137,3,IF(UniqueID!L108&gt;=Expenses!C136,2,1))))</f>
        <v>2</v>
      </c>
      <c r="Q108" s="37">
        <f>IF(O108&gt;=64.99,4,IF(N108&gt;0,M108,IF(L108&gt;=64.99,4,IF(L108&gt;=Expenses!C137,3,IF(UniqueID!L108&gt;=Expenses!C136,2,1)))))</f>
        <v>2</v>
      </c>
      <c r="R108" s="37"/>
      <c r="S108" s="37"/>
    </row>
    <row r="109" spans="1:19" x14ac:dyDescent="0.25">
      <c r="A109" t="s">
        <v>427</v>
      </c>
      <c r="C109" s="37" t="str">
        <f>IF(I109&gt;0,VLOOKUP(A109,Wine1!A:H,6,FALSE),VLOOKUP(A109,Drank!A:H,6,FALSE))</f>
        <v>Italy</v>
      </c>
      <c r="D109" s="37" t="str">
        <f>IF(I109&gt;0,VLOOKUP(A109,Wine1!A:H,7,FALSE),VLOOKUP(A109,Drank!A:H,7,FALSE))</f>
        <v>Piedmont</v>
      </c>
      <c r="E109" s="37" t="str">
        <f>IF(I109&gt;0,VLOOKUP(A109,Wine1!A:H,8,FALSE),VLOOKUP(A109,Drank!A:H,8,FALSE))</f>
        <v>Barbaresco</v>
      </c>
      <c r="F109" s="37" t="str">
        <f t="shared" si="6"/>
        <v>Italy, Piedmont</v>
      </c>
      <c r="G109" s="37" t="str">
        <f t="shared" si="7"/>
        <v>Italy, Piedmont, Barbaresco</v>
      </c>
      <c r="H109" s="37">
        <f>COUNTIF(Agibility!A:A,UniqueID!A109)</f>
        <v>1</v>
      </c>
      <c r="I109" s="37">
        <f>COUNTIF(Wine1!A:A,UniqueID!A109)</f>
        <v>5</v>
      </c>
      <c r="J109" s="37">
        <f>COUNTIF(Drank!A:A,UniqueID!A109)</f>
        <v>2</v>
      </c>
      <c r="K109" s="37">
        <f>IF(I109&lt;1,VLOOKUP(A109,Drank!A:S,19,FALSE),VLOOKUP(A109,Wine1!A:AI,26,FALSE))</f>
        <v>93.5</v>
      </c>
      <c r="L109" s="37">
        <f>IF(I109&lt;1,VLOOKUP(A109,Drank!A:Z,25,FALSE),VLOOKUP(A109,Wine1!A:AI,35,FALSE))</f>
        <v>35.99</v>
      </c>
      <c r="M109" s="37">
        <f t="shared" si="5"/>
        <v>3</v>
      </c>
      <c r="N109" s="37">
        <f t="shared" si="8"/>
        <v>1.06951871657754E-2</v>
      </c>
      <c r="O109" s="37">
        <f t="shared" si="9"/>
        <v>33.650650000000006</v>
      </c>
      <c r="P109" s="37">
        <f>IF(N109&gt;0,M109,IF(L109&gt;=64.99,4,IF(L109&gt;=Expenses!C138,3,IF(UniqueID!L109&gt;=Expenses!C137,2,1))))</f>
        <v>3</v>
      </c>
      <c r="Q109" s="37">
        <f>IF(O109&gt;=64.99,4,IF(N109&gt;0,M109,IF(L109&gt;=64.99,4,IF(L109&gt;=Expenses!C138,3,IF(UniqueID!L109&gt;=Expenses!C137,2,1)))))</f>
        <v>3</v>
      </c>
      <c r="R109" s="37"/>
      <c r="S109" s="37"/>
    </row>
    <row r="110" spans="1:19" x14ac:dyDescent="0.25">
      <c r="A110" t="s">
        <v>524</v>
      </c>
      <c r="C110" s="37" t="str">
        <f>IF(I110&gt;0,VLOOKUP(A110,Wine1!A:H,6,FALSE),VLOOKUP(A110,Drank!A:H,6,FALSE))</f>
        <v>Italy</v>
      </c>
      <c r="D110" s="37" t="str">
        <f>IF(I110&gt;0,VLOOKUP(A110,Wine1!A:H,7,FALSE),VLOOKUP(A110,Drank!A:H,7,FALSE))</f>
        <v>Veneto</v>
      </c>
      <c r="E110" s="37" t="str">
        <f>IF(I110&gt;0,VLOOKUP(A110,Wine1!A:H,8,FALSE),VLOOKUP(A110,Drank!A:H,8,FALSE))</f>
        <v>Valpolicella Classico</v>
      </c>
      <c r="F110" s="37" t="str">
        <f t="shared" si="6"/>
        <v>Italy, Veneto</v>
      </c>
      <c r="G110" s="37" t="str">
        <f t="shared" si="7"/>
        <v>Italy, Veneto, Valpolicella Classico</v>
      </c>
      <c r="H110" s="37">
        <f>COUNTIF(Agibility!A:A,UniqueID!A110)</f>
        <v>1</v>
      </c>
      <c r="I110" s="37">
        <f>COUNTIF(Wine1!A:A,UniqueID!A110)</f>
        <v>2</v>
      </c>
      <c r="J110" s="37">
        <f>COUNTIF(Drank!A:A,UniqueID!A110)</f>
        <v>1</v>
      </c>
      <c r="K110" s="37">
        <f>IF(I110&lt;1,VLOOKUP(A110,Drank!A:S,19,FALSE),VLOOKUP(A110,Wine1!A:AI,26,FALSE))</f>
        <v>94</v>
      </c>
      <c r="L110" s="37">
        <f>IF(I110&lt;1,VLOOKUP(A110,Drank!A:Z,25,FALSE),VLOOKUP(A110,Wine1!A:AI,35,FALSE))</f>
        <v>67.489999999999995</v>
      </c>
      <c r="M110" s="37">
        <f t="shared" si="5"/>
        <v>3</v>
      </c>
      <c r="N110" s="37">
        <f t="shared" si="8"/>
        <v>1.0638297872340425E-2</v>
      </c>
      <c r="O110" s="37">
        <f t="shared" si="9"/>
        <v>63.440599999999996</v>
      </c>
      <c r="P110" s="37">
        <f>IF(N110&gt;0,M110,IF(L110&gt;=64.99,4,IF(L110&gt;=Expenses!C139,3,IF(UniqueID!L110&gt;=Expenses!C138,2,1))))</f>
        <v>3</v>
      </c>
      <c r="Q110" s="37">
        <f>IF(O110&gt;=64.99,4,IF(N110&gt;0,M110,IF(L110&gt;=64.99,4,IF(L110&gt;=Expenses!C139,3,IF(UniqueID!L110&gt;=Expenses!C138,2,1)))))</f>
        <v>3</v>
      </c>
      <c r="R110" s="37"/>
      <c r="S110" s="37"/>
    </row>
    <row r="111" spans="1:19" x14ac:dyDescent="0.25">
      <c r="A111" t="s">
        <v>1160</v>
      </c>
      <c r="C111" s="37" t="str">
        <f>IF(I111&gt;0,VLOOKUP(A111,Wine1!A:H,6,FALSE),VLOOKUP(A111,Drank!A:H,6,FALSE))</f>
        <v>USA</v>
      </c>
      <c r="D111" s="37" t="str">
        <f>IF(I111&gt;0,VLOOKUP(A111,Wine1!A:H,7,FALSE),VLOOKUP(A111,Drank!A:H,7,FALSE))</f>
        <v>California</v>
      </c>
      <c r="E111" s="37">
        <f>IF(I111&gt;0,VLOOKUP(A111,Wine1!A:H,8,FALSE),VLOOKUP(A111,Drank!A:H,8,FALSE))</f>
        <v>0</v>
      </c>
      <c r="F111" s="37" t="str">
        <f t="shared" si="6"/>
        <v>USA, California</v>
      </c>
      <c r="G111" s="37" t="str">
        <f t="shared" si="7"/>
        <v>USA, California, 0</v>
      </c>
      <c r="H111" s="37">
        <f>COUNTIF(Agibility!A:A,UniqueID!A111)</f>
        <v>1</v>
      </c>
      <c r="I111" s="37">
        <f>COUNTIF(Wine1!A:A,UniqueID!A111)</f>
        <v>2</v>
      </c>
      <c r="J111" s="37">
        <f>COUNTIF(Drank!A:A,UniqueID!A111)</f>
        <v>0</v>
      </c>
      <c r="K111" s="37" t="str">
        <f>IF(I111&lt;1,VLOOKUP(A111,Drank!A:S,19,FALSE),VLOOKUP(A111,Wine1!A:AI,26,FALSE))</f>
        <v/>
      </c>
      <c r="L111" s="37">
        <f>IF(I111&lt;1,VLOOKUP(A111,Drank!A:Z,25,FALSE),VLOOKUP(A111,Wine1!A:AI,35,FALSE))</f>
        <v>65</v>
      </c>
      <c r="M111" s="37">
        <f t="shared" si="5"/>
        <v>4</v>
      </c>
      <c r="N111" s="37">
        <f t="shared" si="8"/>
        <v>0</v>
      </c>
      <c r="O111" s="37">
        <f t="shared" si="9"/>
        <v>0</v>
      </c>
      <c r="P111" s="37">
        <f>IF(N111&gt;0,M111,IF(L111&gt;=64.99,4,IF(L111&gt;=Expenses!C140,3,IF(UniqueID!L111&gt;=Expenses!C139,2,1))))</f>
        <v>4</v>
      </c>
      <c r="Q111" s="37">
        <f>IF(O111&gt;=64.99,4,IF(N111&gt;0,M111,IF(L111&gt;=64.99,4,IF(L111&gt;=Expenses!C140,3,IF(UniqueID!L111&gt;=Expenses!C139,2,1)))))</f>
        <v>4</v>
      </c>
      <c r="R111" s="37"/>
      <c r="S111" s="37"/>
    </row>
    <row r="112" spans="1:19" x14ac:dyDescent="0.25">
      <c r="A112" t="s">
        <v>941</v>
      </c>
      <c r="C112" s="37" t="str">
        <f>IF(I112&gt;0,VLOOKUP(A112,Wine1!A:H,6,FALSE),VLOOKUP(A112,Drank!A:H,6,FALSE))</f>
        <v>Italy</v>
      </c>
      <c r="D112" s="37" t="str">
        <f>IF(I112&gt;0,VLOOKUP(A112,Wine1!A:H,7,FALSE),VLOOKUP(A112,Drank!A:H,7,FALSE))</f>
        <v>Tuscany</v>
      </c>
      <c r="E112" s="37" t="str">
        <f>IF(I112&gt;0,VLOOKUP(A112,Wine1!A:H,8,FALSE),VLOOKUP(A112,Drank!A:H,8,FALSE))</f>
        <v>Toscana</v>
      </c>
      <c r="F112" s="37" t="str">
        <f t="shared" si="6"/>
        <v>Italy, Tuscany</v>
      </c>
      <c r="G112" s="37" t="str">
        <f t="shared" si="7"/>
        <v>Italy, Tuscany, Toscana</v>
      </c>
      <c r="H112" s="37">
        <f>COUNTIF(Agibility!A:A,UniqueID!A112)</f>
        <v>1</v>
      </c>
      <c r="I112" s="37">
        <f>COUNTIF(Wine1!A:A,UniqueID!A112)</f>
        <v>4</v>
      </c>
      <c r="J112" s="37">
        <f>COUNTIF(Drank!A:A,UniqueID!A112)</f>
        <v>0</v>
      </c>
      <c r="K112" s="37">
        <f>IF(I112&lt;1,VLOOKUP(A112,Drank!A:S,19,FALSE),VLOOKUP(A112,Wine1!A:AI,26,FALSE))</f>
        <v>97</v>
      </c>
      <c r="L112" s="37">
        <f>IF(I112&lt;1,VLOOKUP(A112,Drank!A:Z,25,FALSE),VLOOKUP(A112,Wine1!A:AI,35,FALSE))</f>
        <v>59.989999999999995</v>
      </c>
      <c r="M112" s="37">
        <f t="shared" si="5"/>
        <v>4</v>
      </c>
      <c r="N112" s="37">
        <f t="shared" si="8"/>
        <v>1.0309278350515464E-2</v>
      </c>
      <c r="O112" s="37">
        <f t="shared" si="9"/>
        <v>58.190299999999993</v>
      </c>
      <c r="P112" s="37">
        <f>IF(N112&gt;0,M112,IF(L112&gt;=64.99,4,IF(L112&gt;=Expenses!C141,3,IF(UniqueID!L112&gt;=Expenses!C140,2,1))))</f>
        <v>4</v>
      </c>
      <c r="Q112" s="37">
        <f>IF(O112&gt;=64.99,4,IF(N112&gt;0,M112,IF(L112&gt;=64.99,4,IF(L112&gt;=Expenses!C141,3,IF(UniqueID!L112&gt;=Expenses!C140,2,1)))))</f>
        <v>4</v>
      </c>
      <c r="R112" s="37"/>
      <c r="S112" s="37"/>
    </row>
    <row r="113" spans="1:19" x14ac:dyDescent="0.25">
      <c r="A113" t="s">
        <v>573</v>
      </c>
      <c r="C113" s="37" t="str">
        <f>IF(I113&gt;0,VLOOKUP(A113,Wine1!A:H,6,FALSE),VLOOKUP(A113,Drank!A:H,6,FALSE))</f>
        <v>Portugal</v>
      </c>
      <c r="D113" s="37" t="str">
        <f>IF(I113&gt;0,VLOOKUP(A113,Wine1!A:H,7,FALSE),VLOOKUP(A113,Drank!A:H,7,FALSE))</f>
        <v>Douro</v>
      </c>
      <c r="E113" s="37">
        <f>IF(I113&gt;0,VLOOKUP(A113,Wine1!A:H,8,FALSE),VLOOKUP(A113,Drank!A:H,8,FALSE))</f>
        <v>0</v>
      </c>
      <c r="F113" s="37" t="str">
        <f t="shared" si="6"/>
        <v>Portugal, Douro</v>
      </c>
      <c r="G113" s="37" t="str">
        <f t="shared" si="7"/>
        <v>Portugal, Douro, 0</v>
      </c>
      <c r="H113" s="37">
        <f>COUNTIF(Agibility!A:A,UniqueID!A113)</f>
        <v>1</v>
      </c>
      <c r="I113" s="37">
        <f>COUNTIF(Wine1!A:A,UniqueID!A113)</f>
        <v>1</v>
      </c>
      <c r="J113" s="37">
        <f>COUNTIF(Drank!A:A,UniqueID!A113)</f>
        <v>0</v>
      </c>
      <c r="K113" s="37" t="str">
        <f>IF(I113&lt;1,VLOOKUP(A113,Drank!A:S,19,FALSE),VLOOKUP(A113,Wine1!A:AI,26,FALSE))</f>
        <v/>
      </c>
      <c r="L113" s="37">
        <f>IF(I113&lt;1,VLOOKUP(A113,Drank!A:Z,25,FALSE),VLOOKUP(A113,Wine1!A:AI,35,FALSE))</f>
        <v>50</v>
      </c>
      <c r="M113" s="37">
        <f t="shared" si="5"/>
        <v>4</v>
      </c>
      <c r="N113" s="37">
        <f t="shared" si="8"/>
        <v>0</v>
      </c>
      <c r="O113" s="37">
        <f t="shared" si="9"/>
        <v>0</v>
      </c>
      <c r="P113" s="37">
        <f>IF(N113&gt;0,M113,IF(L113&gt;=64.99,4,IF(L113&gt;=Expenses!C142,3,IF(UniqueID!L113&gt;=Expenses!C141,2,1))))</f>
        <v>3</v>
      </c>
      <c r="Q113" s="37">
        <f>IF(O113&gt;=64.99,4,IF(N113&gt;0,M113,IF(L113&gt;=64.99,4,IF(L113&gt;=Expenses!C142,3,IF(UniqueID!L113&gt;=Expenses!C141,2,1)))))</f>
        <v>3</v>
      </c>
      <c r="R113" s="37"/>
      <c r="S113" s="37"/>
    </row>
    <row r="114" spans="1:19" x14ac:dyDescent="0.25">
      <c r="A114" t="s">
        <v>528</v>
      </c>
      <c r="C114" s="37" t="str">
        <f>IF(I114&gt;0,VLOOKUP(A114,Wine1!A:H,6,FALSE),VLOOKUP(A114,Drank!A:H,6,FALSE))</f>
        <v>Italy</v>
      </c>
      <c r="D114" s="37" t="str">
        <f>IF(I114&gt;0,VLOOKUP(A114,Wine1!A:H,7,FALSE),VLOOKUP(A114,Drank!A:H,7,FALSE))</f>
        <v>Veneto</v>
      </c>
      <c r="E114" s="37" t="str">
        <f>IF(I114&gt;0,VLOOKUP(A114,Wine1!A:H,8,FALSE),VLOOKUP(A114,Drank!A:H,8,FALSE))</f>
        <v>Valpolicella Classico</v>
      </c>
      <c r="F114" s="37" t="str">
        <f t="shared" si="6"/>
        <v>Italy, Veneto</v>
      </c>
      <c r="G114" s="37" t="str">
        <f t="shared" si="7"/>
        <v>Italy, Veneto, Valpolicella Classico</v>
      </c>
      <c r="H114" s="37">
        <f>COUNTIF(Agibility!A:A,UniqueID!A114)</f>
        <v>1</v>
      </c>
      <c r="I114" s="37">
        <f>COUNTIF(Wine1!A:A,UniqueID!A114)</f>
        <v>1</v>
      </c>
      <c r="J114" s="37">
        <f>COUNTIF(Drank!A:A,UniqueID!A114)</f>
        <v>0</v>
      </c>
      <c r="K114" s="37">
        <f>IF(I114&lt;1,VLOOKUP(A114,Drank!A:S,19,FALSE),VLOOKUP(A114,Wine1!A:AI,26,FALSE))</f>
        <v>91</v>
      </c>
      <c r="L114" s="37">
        <f>IF(I114&lt;1,VLOOKUP(A114,Drank!A:Z,25,FALSE),VLOOKUP(A114,Wine1!A:AI,35,FALSE))</f>
        <v>53</v>
      </c>
      <c r="M114" s="37">
        <f t="shared" si="5"/>
        <v>2</v>
      </c>
      <c r="N114" s="37">
        <f t="shared" si="8"/>
        <v>1.098901098901099E-2</v>
      </c>
      <c r="O114" s="37">
        <f t="shared" si="9"/>
        <v>48.230000000000004</v>
      </c>
      <c r="P114" s="37">
        <f>IF(N114&gt;0,M114,IF(L114&gt;=64.99,4,IF(L114&gt;=Expenses!C143,3,IF(UniqueID!L114&gt;=Expenses!C142,2,1))))</f>
        <v>2</v>
      </c>
      <c r="Q114" s="37">
        <f>IF(O114&gt;=64.99,4,IF(N114&gt;0,M114,IF(L114&gt;=64.99,4,IF(L114&gt;=Expenses!C143,3,IF(UniqueID!L114&gt;=Expenses!C142,2,1)))))</f>
        <v>2</v>
      </c>
      <c r="R114" s="37"/>
      <c r="S114" s="37"/>
    </row>
    <row r="115" spans="1:19" x14ac:dyDescent="0.25">
      <c r="A115" t="s">
        <v>458</v>
      </c>
      <c r="C115" s="37" t="str">
        <f>IF(I115&gt;0,VLOOKUP(A115,Wine1!A:H,6,FALSE),VLOOKUP(A115,Drank!A:H,6,FALSE))</f>
        <v>Italy</v>
      </c>
      <c r="D115" s="37" t="str">
        <f>IF(I115&gt;0,VLOOKUP(A115,Wine1!A:H,7,FALSE),VLOOKUP(A115,Drank!A:H,7,FALSE))</f>
        <v>Tuscany</v>
      </c>
      <c r="E115" s="37" t="str">
        <f>IF(I115&gt;0,VLOOKUP(A115,Wine1!A:H,8,FALSE),VLOOKUP(A115,Drank!A:H,8,FALSE))</f>
        <v>Brunello di Montalcino</v>
      </c>
      <c r="F115" s="37" t="str">
        <f t="shared" si="6"/>
        <v>Italy, Tuscany</v>
      </c>
      <c r="G115" s="37" t="str">
        <f t="shared" si="7"/>
        <v>Italy, Tuscany, Brunello di Montalcino</v>
      </c>
      <c r="H115" s="37">
        <f>COUNTIF(Agibility!A:A,UniqueID!A115)</f>
        <v>1</v>
      </c>
      <c r="I115" s="37">
        <f>COUNTIF(Wine1!A:A,UniqueID!A115)</f>
        <v>2</v>
      </c>
      <c r="J115" s="37">
        <f>COUNTIF(Drank!A:A,UniqueID!A115)</f>
        <v>1</v>
      </c>
      <c r="K115" s="37">
        <f>IF(I115&lt;1,VLOOKUP(A115,Drank!A:S,19,FALSE),VLOOKUP(A115,Wine1!A:AI,26,FALSE))</f>
        <v>92</v>
      </c>
      <c r="L115" s="37">
        <f>IF(I115&lt;1,VLOOKUP(A115,Drank!A:Z,25,FALSE),VLOOKUP(A115,Wine1!A:AI,35,FALSE))</f>
        <v>50</v>
      </c>
      <c r="M115" s="37">
        <f t="shared" si="5"/>
        <v>2</v>
      </c>
      <c r="N115" s="37">
        <f t="shared" si="8"/>
        <v>1.0869565217391304E-2</v>
      </c>
      <c r="O115" s="37">
        <f t="shared" si="9"/>
        <v>46</v>
      </c>
      <c r="P115" s="37">
        <f>IF(N115&gt;0,M115,IF(L115&gt;=64.99,4,IF(L115&gt;=Expenses!C144,3,IF(UniqueID!L115&gt;=Expenses!C143,2,1))))</f>
        <v>2</v>
      </c>
      <c r="Q115" s="37">
        <f>IF(O115&gt;=64.99,4,IF(N115&gt;0,M115,IF(L115&gt;=64.99,4,IF(L115&gt;=Expenses!C144,3,IF(UniqueID!L115&gt;=Expenses!C143,2,1)))))</f>
        <v>2</v>
      </c>
      <c r="R115" s="37"/>
      <c r="S115" s="37"/>
    </row>
    <row r="116" spans="1:19" x14ac:dyDescent="0.25">
      <c r="A116" t="s">
        <v>529</v>
      </c>
      <c r="C116" s="37" t="str">
        <f>IF(I116&gt;0,VLOOKUP(A116,Wine1!A:H,6,FALSE),VLOOKUP(A116,Drank!A:H,6,FALSE))</f>
        <v>Italy</v>
      </c>
      <c r="D116" s="37" t="str">
        <f>IF(I116&gt;0,VLOOKUP(A116,Wine1!A:H,7,FALSE),VLOOKUP(A116,Drank!A:H,7,FALSE))</f>
        <v>Veneto</v>
      </c>
      <c r="E116" s="37" t="str">
        <f>IF(I116&gt;0,VLOOKUP(A116,Wine1!A:H,8,FALSE),VLOOKUP(A116,Drank!A:H,8,FALSE))</f>
        <v>Valpolicella Classico</v>
      </c>
      <c r="F116" s="37" t="str">
        <f t="shared" si="6"/>
        <v>Italy, Veneto</v>
      </c>
      <c r="G116" s="37" t="str">
        <f t="shared" si="7"/>
        <v>Italy, Veneto, Valpolicella Classico</v>
      </c>
      <c r="H116" s="37">
        <f>COUNTIF(Agibility!A:A,UniqueID!A116)</f>
        <v>1</v>
      </c>
      <c r="I116" s="37">
        <f>COUNTIF(Wine1!A:A,UniqueID!A116)</f>
        <v>2</v>
      </c>
      <c r="J116" s="37">
        <f>COUNTIF(Drank!A:A,UniqueID!A116)</f>
        <v>0</v>
      </c>
      <c r="K116" s="37">
        <f>IF(I116&lt;1,VLOOKUP(A116,Drank!A:S,19,FALSE),VLOOKUP(A116,Wine1!A:AI,26,FALSE))</f>
        <v>93</v>
      </c>
      <c r="L116" s="37">
        <f>IF(I116&lt;1,VLOOKUP(A116,Drank!A:Z,25,FALSE),VLOOKUP(A116,Wine1!A:AI,35,FALSE))</f>
        <v>39.979999999999997</v>
      </c>
      <c r="M116" s="37">
        <f t="shared" si="5"/>
        <v>3</v>
      </c>
      <c r="N116" s="37">
        <f t="shared" si="8"/>
        <v>1.0752688172043012E-2</v>
      </c>
      <c r="O116" s="37">
        <f t="shared" si="9"/>
        <v>37.181399999999996</v>
      </c>
      <c r="P116" s="37">
        <f>IF(N116&gt;0,M116,IF(L116&gt;=64.99,4,IF(L116&gt;=Expenses!C145,3,IF(UniqueID!L116&gt;=Expenses!C144,2,1))))</f>
        <v>3</v>
      </c>
      <c r="Q116" s="37">
        <f>IF(O116&gt;=64.99,4,IF(N116&gt;0,M116,IF(L116&gt;=64.99,4,IF(L116&gt;=Expenses!C145,3,IF(UniqueID!L116&gt;=Expenses!C144,2,1)))))</f>
        <v>3</v>
      </c>
      <c r="R116" s="37"/>
      <c r="S116" s="37"/>
    </row>
    <row r="117" spans="1:19" x14ac:dyDescent="0.25">
      <c r="A117" t="s">
        <v>530</v>
      </c>
      <c r="C117" s="37" t="str">
        <f>IF(I117&gt;0,VLOOKUP(A117,Wine1!A:H,6,FALSE),VLOOKUP(A117,Drank!A:H,6,FALSE))</f>
        <v>France</v>
      </c>
      <c r="D117" s="37" t="str">
        <f>IF(I117&gt;0,VLOOKUP(A117,Wine1!A:H,7,FALSE),VLOOKUP(A117,Drank!A:H,7,FALSE))</f>
        <v>Bordeaux</v>
      </c>
      <c r="E117" s="37" t="str">
        <f>IF(I117&gt;0,VLOOKUP(A117,Wine1!A:H,8,FALSE),VLOOKUP(A117,Drank!A:H,8,FALSE))</f>
        <v>Saint-Julien</v>
      </c>
      <c r="F117" s="37" t="str">
        <f t="shared" si="6"/>
        <v>France, Bordeaux</v>
      </c>
      <c r="G117" s="37" t="str">
        <f t="shared" si="7"/>
        <v>France, Bordeaux, Saint-Julien</v>
      </c>
      <c r="H117" s="37">
        <f>COUNTIF(Agibility!A:A,UniqueID!A117)</f>
        <v>1</v>
      </c>
      <c r="I117" s="37">
        <f>COUNTIF(Wine1!A:A,UniqueID!A117)</f>
        <v>1</v>
      </c>
      <c r="J117" s="37">
        <f>COUNTIF(Drank!A:A,UniqueID!A117)</f>
        <v>0</v>
      </c>
      <c r="K117" s="37">
        <f>IF(I117&lt;1,VLOOKUP(A117,Drank!A:S,19,FALSE),VLOOKUP(A117,Wine1!A:AI,26,FALSE))</f>
        <v>88</v>
      </c>
      <c r="L117" s="37">
        <f>IF(I117&lt;1,VLOOKUP(A117,Drank!A:Z,25,FALSE),VLOOKUP(A117,Wine1!A:AI,35,FALSE))</f>
        <v>31.989999999999995</v>
      </c>
      <c r="M117" s="37">
        <f t="shared" si="5"/>
        <v>1</v>
      </c>
      <c r="N117" s="37">
        <f t="shared" si="8"/>
        <v>1.1363636363636364E-2</v>
      </c>
      <c r="O117" s="37">
        <f t="shared" si="9"/>
        <v>28.151199999999996</v>
      </c>
      <c r="P117" s="37">
        <f>IF(N117&gt;0,M117,IF(L117&gt;=64.99,4,IF(L117&gt;=Expenses!C146,3,IF(UniqueID!L117&gt;=Expenses!C145,2,1))))</f>
        <v>1</v>
      </c>
      <c r="Q117" s="37">
        <f>IF(O117&gt;=64.99,4,IF(N117&gt;0,M117,IF(L117&gt;=64.99,4,IF(L117&gt;=Expenses!C146,3,IF(UniqueID!L117&gt;=Expenses!C145,2,1)))))</f>
        <v>1</v>
      </c>
      <c r="R117" s="37"/>
      <c r="S117" s="37"/>
    </row>
    <row r="118" spans="1:19" x14ac:dyDescent="0.25">
      <c r="A118" t="s">
        <v>531</v>
      </c>
      <c r="C118" s="37" t="str">
        <f>IF(I118&gt;0,VLOOKUP(A118,Wine1!A:H,6,FALSE),VLOOKUP(A118,Drank!A:H,6,FALSE))</f>
        <v>Italy</v>
      </c>
      <c r="D118" s="37" t="str">
        <f>IF(I118&gt;0,VLOOKUP(A118,Wine1!A:H,7,FALSE),VLOOKUP(A118,Drank!A:H,7,FALSE))</f>
        <v>Piedmont</v>
      </c>
      <c r="E118" s="37" t="str">
        <f>IF(I118&gt;0,VLOOKUP(A118,Wine1!A:H,8,FALSE),VLOOKUP(A118,Drank!A:H,8,FALSE))</f>
        <v>Barbaresco</v>
      </c>
      <c r="F118" s="37" t="str">
        <f t="shared" si="6"/>
        <v>Italy, Piedmont</v>
      </c>
      <c r="G118" s="37" t="str">
        <f t="shared" si="7"/>
        <v>Italy, Piedmont, Barbaresco</v>
      </c>
      <c r="H118" s="37">
        <f>COUNTIF(Agibility!A:A,UniqueID!A118)</f>
        <v>1</v>
      </c>
      <c r="I118" s="37">
        <f>COUNTIF(Wine1!A:A,UniqueID!A118)</f>
        <v>2</v>
      </c>
      <c r="J118" s="37">
        <f>COUNTIF(Drank!A:A,UniqueID!A118)</f>
        <v>2</v>
      </c>
      <c r="K118" s="37">
        <f>IF(I118&lt;1,VLOOKUP(A118,Drank!A:S,19,FALSE),VLOOKUP(A118,Wine1!A:AI,26,FALSE))</f>
        <v>93</v>
      </c>
      <c r="L118" s="37">
        <f>IF(I118&lt;1,VLOOKUP(A118,Drank!A:Z,25,FALSE),VLOOKUP(A118,Wine1!A:AI,35,FALSE))</f>
        <v>39.99</v>
      </c>
      <c r="M118" s="37">
        <f t="shared" si="5"/>
        <v>3</v>
      </c>
      <c r="N118" s="37">
        <f t="shared" si="8"/>
        <v>1.0752688172043012E-2</v>
      </c>
      <c r="O118" s="37">
        <f t="shared" si="9"/>
        <v>37.190700000000007</v>
      </c>
      <c r="P118" s="37">
        <f>IF(N118&gt;0,M118,IF(L118&gt;=64.99,4,IF(L118&gt;=Expenses!C147,3,IF(UniqueID!L118&gt;=Expenses!C146,2,1))))</f>
        <v>3</v>
      </c>
      <c r="Q118" s="37">
        <f>IF(O118&gt;=64.99,4,IF(N118&gt;0,M118,IF(L118&gt;=64.99,4,IF(L118&gt;=Expenses!C147,3,IF(UniqueID!L118&gt;=Expenses!C146,2,1)))))</f>
        <v>3</v>
      </c>
      <c r="R118" s="37"/>
      <c r="S118" s="37"/>
    </row>
    <row r="119" spans="1:19" x14ac:dyDescent="0.25">
      <c r="A119" t="s">
        <v>1279</v>
      </c>
      <c r="C119" s="37" t="str">
        <f>IF(I119&gt;0,VLOOKUP(A119,Wine1!A:H,6,FALSE),VLOOKUP(A119,Drank!A:H,6,FALSE))</f>
        <v>Portugal</v>
      </c>
      <c r="D119" s="37" t="str">
        <f>IF(I119&gt;0,VLOOKUP(A119,Wine1!A:H,7,FALSE),VLOOKUP(A119,Drank!A:H,7,FALSE))</f>
        <v>Douro</v>
      </c>
      <c r="E119" s="37">
        <f>IF(I119&gt;0,VLOOKUP(A119,Wine1!A:H,8,FALSE),VLOOKUP(A119,Drank!A:H,8,FALSE))</f>
        <v>0</v>
      </c>
      <c r="F119" s="37" t="str">
        <f t="shared" si="6"/>
        <v>Portugal, Douro</v>
      </c>
      <c r="G119" s="37" t="str">
        <f t="shared" si="7"/>
        <v>Portugal, Douro, 0</v>
      </c>
      <c r="H119" s="37">
        <f>COUNTIF(Agibility!A:A,UniqueID!A119)</f>
        <v>1</v>
      </c>
      <c r="I119" s="37">
        <f>COUNTIF(Wine1!A:A,UniqueID!A119)</f>
        <v>3</v>
      </c>
      <c r="J119" s="37">
        <f>COUNTIF(Drank!A:A,UniqueID!A119)</f>
        <v>1</v>
      </c>
      <c r="K119" s="37">
        <f>IF(I119&lt;1,VLOOKUP(A119,Drank!A:S,19,FALSE),VLOOKUP(A119,Wine1!A:AI,26,FALSE))</f>
        <v>95</v>
      </c>
      <c r="L119" s="37">
        <f>IF(I119&lt;1,VLOOKUP(A119,Drank!A:Z,25,FALSE),VLOOKUP(A119,Wine1!A:AI,35,FALSE))</f>
        <v>45</v>
      </c>
      <c r="M119" s="37">
        <f t="shared" si="5"/>
        <v>3</v>
      </c>
      <c r="N119" s="37">
        <f t="shared" si="8"/>
        <v>1.0526315789473684E-2</v>
      </c>
      <c r="O119" s="37">
        <f t="shared" si="9"/>
        <v>42.75</v>
      </c>
      <c r="P119" s="37">
        <f>IF(N119&gt;0,M119,IF(L119&gt;=64.99,4,IF(L119&gt;=Expenses!C148,3,IF(UniqueID!L119&gt;=Expenses!C147,2,1))))</f>
        <v>3</v>
      </c>
      <c r="Q119" s="37">
        <f>IF(O119&gt;=64.99,4,IF(N119&gt;0,M119,IF(L119&gt;=64.99,4,IF(L119&gt;=Expenses!C148,3,IF(UniqueID!L119&gt;=Expenses!C147,2,1)))))</f>
        <v>3</v>
      </c>
      <c r="R119" s="37"/>
      <c r="S119" s="37"/>
    </row>
    <row r="120" spans="1:19" x14ac:dyDescent="0.25">
      <c r="A120" t="s">
        <v>533</v>
      </c>
      <c r="C120" s="37" t="str">
        <f>IF(I120&gt;0,VLOOKUP(A120,Wine1!A:H,6,FALSE),VLOOKUP(A120,Drank!A:H,6,FALSE))</f>
        <v>France</v>
      </c>
      <c r="D120" s="37" t="str">
        <f>IF(I120&gt;0,VLOOKUP(A120,Wine1!A:H,7,FALSE),VLOOKUP(A120,Drank!A:H,7,FALSE))</f>
        <v>Burgundy</v>
      </c>
      <c r="E120" s="37" t="str">
        <f>IF(I120&gt;0,VLOOKUP(A120,Wine1!A:H,8,FALSE),VLOOKUP(A120,Drank!A:H,8,FALSE))</f>
        <v>North Burgundy, Chablis</v>
      </c>
      <c r="F120" s="37" t="str">
        <f t="shared" si="6"/>
        <v>France, Burgundy</v>
      </c>
      <c r="G120" s="37" t="str">
        <f t="shared" si="7"/>
        <v>France, Burgundy, North Burgundy, Chablis</v>
      </c>
      <c r="H120" s="37">
        <f>COUNTIF(Agibility!A:A,UniqueID!A120)</f>
        <v>1</v>
      </c>
      <c r="I120" s="37">
        <f>COUNTIF(Wine1!A:A,UniqueID!A120)</f>
        <v>1</v>
      </c>
      <c r="J120" s="37">
        <f>COUNTIF(Drank!A:A,UniqueID!A120)</f>
        <v>0</v>
      </c>
      <c r="K120" s="37">
        <f>IF(I120&lt;1,VLOOKUP(A120,Drank!A:S,19,FALSE),VLOOKUP(A120,Wine1!A:AI,26,FALSE))</f>
        <v>89</v>
      </c>
      <c r="L120" s="37">
        <f>IF(I120&lt;1,VLOOKUP(A120,Drank!A:Z,25,FALSE),VLOOKUP(A120,Wine1!A:AI,35,FALSE))</f>
        <v>65</v>
      </c>
      <c r="M120" s="37">
        <f t="shared" si="5"/>
        <v>1</v>
      </c>
      <c r="N120" s="37">
        <f t="shared" si="8"/>
        <v>1.1235955056179775E-2</v>
      </c>
      <c r="O120" s="37">
        <f t="shared" si="9"/>
        <v>57.85</v>
      </c>
      <c r="P120" s="37">
        <f>IF(N120&gt;0,M120,IF(L120&gt;=64.99,4,IF(L120&gt;=Expenses!C149,3,IF(UniqueID!L120&gt;=Expenses!C148,2,1))))</f>
        <v>1</v>
      </c>
      <c r="Q120" s="37">
        <f>IF(O120&gt;=64.99,4,IF(N120&gt;0,M120,IF(L120&gt;=64.99,4,IF(L120&gt;=Expenses!C149,3,IF(UniqueID!L120&gt;=Expenses!C148,2,1)))))</f>
        <v>1</v>
      </c>
      <c r="R120" s="37"/>
      <c r="S120" s="37"/>
    </row>
    <row r="121" spans="1:19" x14ac:dyDescent="0.25">
      <c r="A121" t="s">
        <v>534</v>
      </c>
      <c r="C121" s="37" t="str">
        <f>IF(I121&gt;0,VLOOKUP(A121,Wine1!A:H,6,FALSE),VLOOKUP(A121,Drank!A:H,6,FALSE))</f>
        <v>Spain</v>
      </c>
      <c r="D121" s="37" t="str">
        <f>IF(I121&gt;0,VLOOKUP(A121,Wine1!A:H,7,FALSE),VLOOKUP(A121,Drank!A:H,7,FALSE))</f>
        <v>Castilla Y Leon</v>
      </c>
      <c r="E121" s="37" t="str">
        <f>IF(I121&gt;0,VLOOKUP(A121,Wine1!A:H,8,FALSE),VLOOKUP(A121,Drank!A:H,8,FALSE))</f>
        <v>Bierzo</v>
      </c>
      <c r="F121" s="37" t="str">
        <f t="shared" si="6"/>
        <v>Spain, Castilla Y Leon</v>
      </c>
      <c r="G121" s="37" t="str">
        <f t="shared" si="7"/>
        <v>Spain, Castilla Y Leon, Bierzo</v>
      </c>
      <c r="H121" s="37">
        <f>COUNTIF(Agibility!A:A,UniqueID!A121)</f>
        <v>1</v>
      </c>
      <c r="I121" s="37">
        <f>COUNTIF(Wine1!A:A,UniqueID!A121)</f>
        <v>3</v>
      </c>
      <c r="J121" s="37">
        <f>COUNTIF(Drank!A:A,UniqueID!A121)</f>
        <v>1</v>
      </c>
      <c r="K121" s="37">
        <f>IF(I121&lt;1,VLOOKUP(A121,Drank!A:S,19,FALSE),VLOOKUP(A121,Wine1!A:AI,26,FALSE))</f>
        <v>94</v>
      </c>
      <c r="L121" s="37">
        <f>IF(I121&lt;1,VLOOKUP(A121,Drank!A:Z,25,FALSE),VLOOKUP(A121,Wine1!A:AI,35,FALSE))</f>
        <v>37.99</v>
      </c>
      <c r="M121" s="37">
        <f t="shared" si="5"/>
        <v>3</v>
      </c>
      <c r="N121" s="37">
        <f t="shared" si="8"/>
        <v>1.0638297872340425E-2</v>
      </c>
      <c r="O121" s="37">
        <f t="shared" si="9"/>
        <v>35.710600000000007</v>
      </c>
      <c r="P121" s="37">
        <f>IF(N121&gt;0,M121,IF(L121&gt;=64.99,4,IF(L121&gt;=Expenses!C150,3,IF(UniqueID!L121&gt;=Expenses!C149,2,1))))</f>
        <v>3</v>
      </c>
      <c r="Q121" s="37">
        <f>IF(O121&gt;=64.99,4,IF(N121&gt;0,M121,IF(L121&gt;=64.99,4,IF(L121&gt;=Expenses!C150,3,IF(UniqueID!L121&gt;=Expenses!C149,2,1)))))</f>
        <v>3</v>
      </c>
      <c r="R121" s="37"/>
      <c r="S121" s="37"/>
    </row>
    <row r="122" spans="1:19" x14ac:dyDescent="0.25">
      <c r="A122" t="s">
        <v>708</v>
      </c>
      <c r="C122" s="37" t="str">
        <f>IF(I122&gt;0,VLOOKUP(A122,Wine1!A:H,6,FALSE),VLOOKUP(A122,Drank!A:H,6,FALSE))</f>
        <v>France</v>
      </c>
      <c r="D122" s="37" t="str">
        <f>IF(I122&gt;0,VLOOKUP(A122,Wine1!A:H,7,FALSE),VLOOKUP(A122,Drank!A:H,7,FALSE))</f>
        <v>Bordeaux</v>
      </c>
      <c r="E122" s="37" t="str">
        <f>IF(I122&gt;0,VLOOKUP(A122,Wine1!A:H,8,FALSE),VLOOKUP(A122,Drank!A:H,8,FALSE))</f>
        <v>Saint-Emilion</v>
      </c>
      <c r="F122" s="37" t="str">
        <f t="shared" si="6"/>
        <v>France, Bordeaux</v>
      </c>
      <c r="G122" s="37" t="str">
        <f t="shared" si="7"/>
        <v>France, Bordeaux, Saint-Emilion</v>
      </c>
      <c r="H122" s="37">
        <f>COUNTIF(Agibility!A:A,UniqueID!A122)</f>
        <v>1</v>
      </c>
      <c r="I122" s="37">
        <f>COUNTIF(Wine1!A:A,UniqueID!A122)</f>
        <v>2</v>
      </c>
      <c r="J122" s="37">
        <f>COUNTIF(Drank!A:A,UniqueID!A122)</f>
        <v>0</v>
      </c>
      <c r="K122" s="37">
        <f>IF(I122&lt;1,VLOOKUP(A122,Drank!A:S,19,FALSE),VLOOKUP(A122,Wine1!A:AI,26,FALSE))</f>
        <v>92</v>
      </c>
      <c r="L122" s="37">
        <f>IF(I122&lt;1,VLOOKUP(A122,Drank!A:Z,25,FALSE),VLOOKUP(A122,Wine1!A:AI,35,FALSE))</f>
        <v>43.99</v>
      </c>
      <c r="M122" s="37">
        <f t="shared" si="5"/>
        <v>2</v>
      </c>
      <c r="N122" s="37">
        <f t="shared" si="8"/>
        <v>1.0869565217391304E-2</v>
      </c>
      <c r="O122" s="37">
        <f t="shared" si="9"/>
        <v>40.470800000000004</v>
      </c>
      <c r="P122" s="37">
        <f>IF(N122&gt;0,M122,IF(L122&gt;=64.99,4,IF(L122&gt;=Expenses!C151,3,IF(UniqueID!L122&gt;=Expenses!C150,2,1))))</f>
        <v>2</v>
      </c>
      <c r="Q122" s="37">
        <f>IF(O122&gt;=64.99,4,IF(N122&gt;0,M122,IF(L122&gt;=64.99,4,IF(L122&gt;=Expenses!C151,3,IF(UniqueID!L122&gt;=Expenses!C150,2,1)))))</f>
        <v>2</v>
      </c>
      <c r="R122" s="37"/>
      <c r="S122" s="37"/>
    </row>
    <row r="123" spans="1:19" x14ac:dyDescent="0.25">
      <c r="A123" t="s">
        <v>527</v>
      </c>
      <c r="C123" s="37" t="str">
        <f>IF(I123&gt;0,VLOOKUP(A123,Wine1!A:H,6,FALSE),VLOOKUP(A123,Drank!A:H,6,FALSE))</f>
        <v>Italy</v>
      </c>
      <c r="D123" s="37" t="str">
        <f>IF(I123&gt;0,VLOOKUP(A123,Wine1!A:H,7,FALSE),VLOOKUP(A123,Drank!A:H,7,FALSE))</f>
        <v>Tuscany</v>
      </c>
      <c r="E123" s="37" t="str">
        <f>IF(I123&gt;0,VLOOKUP(A123,Wine1!A:H,8,FALSE),VLOOKUP(A123,Drank!A:H,8,FALSE))</f>
        <v>Brunello di Montalcino</v>
      </c>
      <c r="F123" s="37" t="str">
        <f t="shared" si="6"/>
        <v>Italy, Tuscany</v>
      </c>
      <c r="G123" s="37" t="str">
        <f t="shared" si="7"/>
        <v>Italy, Tuscany, Brunello di Montalcino</v>
      </c>
      <c r="H123" s="37">
        <f>COUNTIF(Agibility!A:A,UniqueID!A123)</f>
        <v>1</v>
      </c>
      <c r="I123" s="37">
        <f>COUNTIF(Wine1!A:A,UniqueID!A123)</f>
        <v>2</v>
      </c>
      <c r="J123" s="37">
        <f>COUNTIF(Drank!A:A,UniqueID!A123)</f>
        <v>0</v>
      </c>
      <c r="K123" s="37" t="str">
        <f>IF(I123&lt;1,VLOOKUP(A123,Drank!A:S,19,FALSE),VLOOKUP(A123,Wine1!A:AI,26,FALSE))</f>
        <v/>
      </c>
      <c r="L123" s="37">
        <f>IF(I123&lt;1,VLOOKUP(A123,Drank!A:Z,25,FALSE),VLOOKUP(A123,Wine1!A:AI,35,FALSE))</f>
        <v>73.78</v>
      </c>
      <c r="M123" s="37">
        <f t="shared" si="5"/>
        <v>4</v>
      </c>
      <c r="N123" s="37">
        <f t="shared" si="8"/>
        <v>0</v>
      </c>
      <c r="O123" s="37">
        <f t="shared" si="9"/>
        <v>0</v>
      </c>
      <c r="P123" s="37">
        <f>IF(N123&gt;0,M123,IF(L123&gt;=64.99,4,IF(L123&gt;=Expenses!C152,3,IF(UniqueID!L123&gt;=Expenses!C151,2,1))))</f>
        <v>4</v>
      </c>
      <c r="Q123" s="37">
        <f>IF(O123&gt;=64.99,4,IF(N123&gt;0,M123,IF(L123&gt;=64.99,4,IF(L123&gt;=Expenses!C152,3,IF(UniqueID!L123&gt;=Expenses!C151,2,1)))))</f>
        <v>4</v>
      </c>
      <c r="R123" s="37"/>
      <c r="S123" s="37"/>
    </row>
    <row r="124" spans="1:19" x14ac:dyDescent="0.25">
      <c r="A124" t="s">
        <v>535</v>
      </c>
      <c r="C124" s="37" t="str">
        <f>IF(I124&gt;0,VLOOKUP(A124,Wine1!A:H,6,FALSE),VLOOKUP(A124,Drank!A:H,6,FALSE))</f>
        <v>Spain</v>
      </c>
      <c r="D124" s="37" t="str">
        <f>IF(I124&gt;0,VLOOKUP(A124,Wine1!A:H,7,FALSE),VLOOKUP(A124,Drank!A:H,7,FALSE))</f>
        <v>Rioja</v>
      </c>
      <c r="E124" s="37" t="str">
        <f>IF(I124&gt;0,VLOOKUP(A124,Wine1!A:H,8,FALSE),VLOOKUP(A124,Drank!A:H,8,FALSE))</f>
        <v>Alta</v>
      </c>
      <c r="F124" s="37" t="str">
        <f t="shared" si="6"/>
        <v>Spain, Rioja</v>
      </c>
      <c r="G124" s="37" t="str">
        <f t="shared" si="7"/>
        <v>Spain, Rioja, Alta</v>
      </c>
      <c r="H124" s="37">
        <f>COUNTIF(Agibility!A:A,UniqueID!A124)</f>
        <v>1</v>
      </c>
      <c r="I124" s="37">
        <f>COUNTIF(Wine1!A:A,UniqueID!A124)</f>
        <v>2</v>
      </c>
      <c r="J124" s="37">
        <f>COUNTIF(Drank!A:A,UniqueID!A124)</f>
        <v>0</v>
      </c>
      <c r="K124" s="37">
        <f>IF(I124&lt;1,VLOOKUP(A124,Drank!A:S,19,FALSE),VLOOKUP(A124,Wine1!A:AI,26,FALSE))</f>
        <v>97</v>
      </c>
      <c r="L124" s="37">
        <f>IF(I124&lt;1,VLOOKUP(A124,Drank!A:Z,25,FALSE),VLOOKUP(A124,Wine1!A:AI,35,FALSE))</f>
        <v>205</v>
      </c>
      <c r="M124" s="37">
        <f t="shared" si="5"/>
        <v>4</v>
      </c>
      <c r="N124" s="37">
        <f t="shared" si="8"/>
        <v>1.0309278350515464E-2</v>
      </c>
      <c r="O124" s="37">
        <f t="shared" si="9"/>
        <v>198.85</v>
      </c>
      <c r="P124" s="37">
        <f>IF(N124&gt;0,M124,IF(L124&gt;=64.99,4,IF(L124&gt;=Expenses!C153,3,IF(UniqueID!L124&gt;=Expenses!C152,2,1))))</f>
        <v>4</v>
      </c>
      <c r="Q124" s="37">
        <f>IF(O124&gt;=64.99,4,IF(N124&gt;0,M124,IF(L124&gt;=64.99,4,IF(L124&gt;=Expenses!C153,3,IF(UniqueID!L124&gt;=Expenses!C152,2,1)))))</f>
        <v>4</v>
      </c>
      <c r="R124" s="37"/>
      <c r="S124" s="37"/>
    </row>
    <row r="125" spans="1:19" x14ac:dyDescent="0.25">
      <c r="A125" t="s">
        <v>536</v>
      </c>
      <c r="C125" s="37" t="str">
        <f>IF(I125&gt;0,VLOOKUP(A125,Wine1!A:H,6,FALSE),VLOOKUP(A125,Drank!A:H,6,FALSE))</f>
        <v>USA</v>
      </c>
      <c r="D125" s="37" t="str">
        <f>IF(I125&gt;0,VLOOKUP(A125,Wine1!A:H,7,FALSE),VLOOKUP(A125,Drank!A:H,7,FALSE))</f>
        <v>California</v>
      </c>
      <c r="E125" s="37" t="str">
        <f>IF(I125&gt;0,VLOOKUP(A125,Wine1!A:H,8,FALSE),VLOOKUP(A125,Drank!A:H,8,FALSE))</f>
        <v>North Coast, Napa Valley</v>
      </c>
      <c r="F125" s="37" t="str">
        <f t="shared" si="6"/>
        <v>USA, California</v>
      </c>
      <c r="G125" s="37" t="str">
        <f t="shared" si="7"/>
        <v>USA, California, North Coast, Napa Valley</v>
      </c>
      <c r="H125" s="37">
        <f>COUNTIF(Agibility!A:A,UniqueID!A125)</f>
        <v>1</v>
      </c>
      <c r="I125" s="37">
        <f>COUNTIF(Wine1!A:A,UniqueID!A125)</f>
        <v>3</v>
      </c>
      <c r="J125" s="37">
        <f>COUNTIF(Drank!A:A,UniqueID!A125)</f>
        <v>1</v>
      </c>
      <c r="K125" s="37">
        <f>IF(I125&lt;1,VLOOKUP(A125,Drank!A:S,19,FALSE),VLOOKUP(A125,Wine1!A:AI,26,FALSE))</f>
        <v>93</v>
      </c>
      <c r="L125" s="37">
        <f>IF(I125&lt;1,VLOOKUP(A125,Drank!A:Z,25,FALSE),VLOOKUP(A125,Wine1!A:AI,35,FALSE))</f>
        <v>33</v>
      </c>
      <c r="M125" s="37">
        <f t="shared" si="5"/>
        <v>3</v>
      </c>
      <c r="N125" s="37">
        <f t="shared" si="8"/>
        <v>1.0752688172043012E-2</v>
      </c>
      <c r="O125" s="37">
        <f t="shared" si="9"/>
        <v>30.69</v>
      </c>
      <c r="P125" s="37">
        <f>IF(N125&gt;0,M125,IF(L125&gt;=64.99,4,IF(L125&gt;=Expenses!C154,3,IF(UniqueID!L125&gt;=Expenses!C153,2,1))))</f>
        <v>3</v>
      </c>
      <c r="Q125" s="37">
        <f>IF(O125&gt;=64.99,4,IF(N125&gt;0,M125,IF(L125&gt;=64.99,4,IF(L125&gt;=Expenses!C154,3,IF(UniqueID!L125&gt;=Expenses!C153,2,1)))))</f>
        <v>3</v>
      </c>
      <c r="R125" s="37"/>
      <c r="S125" s="37"/>
    </row>
    <row r="126" spans="1:19" x14ac:dyDescent="0.25">
      <c r="A126" t="s">
        <v>537</v>
      </c>
      <c r="C126" s="37" t="str">
        <f>IF(I126&gt;0,VLOOKUP(A126,Wine1!A:H,6,FALSE),VLOOKUP(A126,Drank!A:H,6,FALSE))</f>
        <v>Italy</v>
      </c>
      <c r="D126" s="37" t="str">
        <f>IF(I126&gt;0,VLOOKUP(A126,Wine1!A:H,7,FALSE),VLOOKUP(A126,Drank!A:H,7,FALSE))</f>
        <v>Piedmont</v>
      </c>
      <c r="E126" s="37" t="str">
        <f>IF(I126&gt;0,VLOOKUP(A126,Wine1!A:H,8,FALSE),VLOOKUP(A126,Drank!A:H,8,FALSE))</f>
        <v>Barolo, Monforte d'Alba</v>
      </c>
      <c r="F126" s="37" t="str">
        <f t="shared" si="6"/>
        <v>Italy, Piedmont</v>
      </c>
      <c r="G126" s="37" t="str">
        <f t="shared" si="7"/>
        <v>Italy, Piedmont, Barolo, Monforte d'Alba</v>
      </c>
      <c r="H126" s="37">
        <f>COUNTIF(Agibility!A:A,UniqueID!A126)</f>
        <v>1</v>
      </c>
      <c r="I126" s="37">
        <f>COUNTIF(Wine1!A:A,UniqueID!A126)</f>
        <v>3</v>
      </c>
      <c r="J126" s="37">
        <f>COUNTIF(Drank!A:A,UniqueID!A126)</f>
        <v>1</v>
      </c>
      <c r="K126" s="37">
        <f>IF(I126&lt;1,VLOOKUP(A126,Drank!A:S,19,FALSE),VLOOKUP(A126,Wine1!A:AI,26,FALSE))</f>
        <v>94</v>
      </c>
      <c r="L126" s="37">
        <f>IF(I126&lt;1,VLOOKUP(A126,Drank!A:Z,25,FALSE),VLOOKUP(A126,Wine1!A:AI,35,FALSE))</f>
        <v>45</v>
      </c>
      <c r="M126" s="37">
        <f t="shared" si="5"/>
        <v>3</v>
      </c>
      <c r="N126" s="37">
        <f t="shared" si="8"/>
        <v>1.0638297872340425E-2</v>
      </c>
      <c r="O126" s="37">
        <f t="shared" si="9"/>
        <v>42.300000000000004</v>
      </c>
      <c r="P126" s="37">
        <f>IF(N126&gt;0,M126,IF(L126&gt;=64.99,4,IF(L126&gt;=Expenses!C155,3,IF(UniqueID!L126&gt;=Expenses!C154,2,1))))</f>
        <v>3</v>
      </c>
      <c r="Q126" s="37">
        <f>IF(O126&gt;=64.99,4,IF(N126&gt;0,M126,IF(L126&gt;=64.99,4,IF(L126&gt;=Expenses!C155,3,IF(UniqueID!L126&gt;=Expenses!C154,2,1)))))</f>
        <v>3</v>
      </c>
      <c r="R126" s="37"/>
      <c r="S126" s="37"/>
    </row>
    <row r="127" spans="1:19" x14ac:dyDescent="0.25">
      <c r="A127" t="s">
        <v>538</v>
      </c>
      <c r="C127" s="37" t="str">
        <f>IF(I127&gt;0,VLOOKUP(A127,Wine1!A:H,6,FALSE),VLOOKUP(A127,Drank!A:H,6,FALSE))</f>
        <v>USA</v>
      </c>
      <c r="D127" s="37" t="str">
        <f>IF(I127&gt;0,VLOOKUP(A127,Wine1!A:H,7,FALSE),VLOOKUP(A127,Drank!A:H,7,FALSE))</f>
        <v>California</v>
      </c>
      <c r="E127" s="37" t="str">
        <f>IF(I127&gt;0,VLOOKUP(A127,Wine1!A:H,8,FALSE),VLOOKUP(A127,Drank!A:H,8,FALSE))</f>
        <v>North Coast, Napa Valley</v>
      </c>
      <c r="F127" s="37" t="str">
        <f t="shared" si="6"/>
        <v>USA, California</v>
      </c>
      <c r="G127" s="37" t="str">
        <f t="shared" si="7"/>
        <v>USA, California, North Coast, Napa Valley</v>
      </c>
      <c r="H127" s="37">
        <f>COUNTIF(Agibility!A:A,UniqueID!A127)</f>
        <v>1</v>
      </c>
      <c r="I127" s="37">
        <f>COUNTIF(Wine1!A:A,UniqueID!A127)</f>
        <v>3</v>
      </c>
      <c r="J127" s="37">
        <f>COUNTIF(Drank!A:A,UniqueID!A127)</f>
        <v>1</v>
      </c>
      <c r="K127" s="37">
        <f>IF(I127&lt;1,VLOOKUP(A127,Drank!A:S,19,FALSE),VLOOKUP(A127,Wine1!A:AI,26,FALSE))</f>
        <v>90</v>
      </c>
      <c r="L127" s="37">
        <f>IF(I127&lt;1,VLOOKUP(A127,Drank!A:Z,25,FALSE),VLOOKUP(A127,Wine1!A:AI,35,FALSE))</f>
        <v>30.299999999999997</v>
      </c>
      <c r="M127" s="37">
        <f t="shared" si="5"/>
        <v>2</v>
      </c>
      <c r="N127" s="37">
        <f t="shared" si="8"/>
        <v>1.1111111111111112E-2</v>
      </c>
      <c r="O127" s="37">
        <f t="shared" si="9"/>
        <v>27.27</v>
      </c>
      <c r="P127" s="37">
        <f>IF(N127&gt;0,M127,IF(L127&gt;=64.99,4,IF(L127&gt;=Expenses!C156,3,IF(UniqueID!L127&gt;=Expenses!C155,2,1))))</f>
        <v>2</v>
      </c>
      <c r="Q127" s="37">
        <f>IF(O127&gt;=64.99,4,IF(N127&gt;0,M127,IF(L127&gt;=64.99,4,IF(L127&gt;=Expenses!C156,3,IF(UniqueID!L127&gt;=Expenses!C155,2,1)))))</f>
        <v>2</v>
      </c>
      <c r="R127" s="37"/>
      <c r="S127" s="37"/>
    </row>
    <row r="128" spans="1:19" x14ac:dyDescent="0.25">
      <c r="A128" t="s">
        <v>539</v>
      </c>
      <c r="C128" s="37" t="str">
        <f>IF(I128&gt;0,VLOOKUP(A128,Wine1!A:H,6,FALSE),VLOOKUP(A128,Drank!A:H,6,FALSE))</f>
        <v>Italy</v>
      </c>
      <c r="D128" s="37" t="str">
        <f>IF(I128&gt;0,VLOOKUP(A128,Wine1!A:H,7,FALSE),VLOOKUP(A128,Drank!A:H,7,FALSE))</f>
        <v>Piedmont</v>
      </c>
      <c r="E128" s="37" t="str">
        <f>IF(I128&gt;0,VLOOKUP(A128,Wine1!A:H,8,FALSE),VLOOKUP(A128,Drank!A:H,8,FALSE))</f>
        <v>Barolo</v>
      </c>
      <c r="F128" s="37" t="str">
        <f t="shared" si="6"/>
        <v>Italy, Piedmont</v>
      </c>
      <c r="G128" s="37" t="str">
        <f t="shared" si="7"/>
        <v>Italy, Piedmont, Barolo</v>
      </c>
      <c r="H128" s="37">
        <f>COUNTIF(Agibility!A:A,UniqueID!A128)</f>
        <v>1</v>
      </c>
      <c r="I128" s="37">
        <f>COUNTIF(Wine1!A:A,UniqueID!A128)</f>
        <v>3</v>
      </c>
      <c r="J128" s="37">
        <f>COUNTIF(Drank!A:A,UniqueID!A128)</f>
        <v>1</v>
      </c>
      <c r="K128" s="37">
        <f>IF(I128&lt;1,VLOOKUP(A128,Drank!A:S,19,FALSE),VLOOKUP(A128,Wine1!A:AI,26,FALSE))</f>
        <v>91</v>
      </c>
      <c r="L128" s="37">
        <f>IF(I128&lt;1,VLOOKUP(A128,Drank!A:Z,25,FALSE),VLOOKUP(A128,Wine1!A:AI,35,FALSE))</f>
        <v>45</v>
      </c>
      <c r="M128" s="37">
        <f t="shared" si="5"/>
        <v>2</v>
      </c>
      <c r="N128" s="37">
        <f t="shared" si="8"/>
        <v>1.098901098901099E-2</v>
      </c>
      <c r="O128" s="37">
        <f t="shared" si="9"/>
        <v>40.950000000000003</v>
      </c>
      <c r="P128" s="37">
        <f>IF(N128&gt;0,M128,IF(L128&gt;=64.99,4,IF(L128&gt;=Expenses!C157,3,IF(UniqueID!L128&gt;=Expenses!C156,2,1))))</f>
        <v>2</v>
      </c>
      <c r="Q128" s="37">
        <f>IF(O128&gt;=64.99,4,IF(N128&gt;0,M128,IF(L128&gt;=64.99,4,IF(L128&gt;=Expenses!C157,3,IF(UniqueID!L128&gt;=Expenses!C156,2,1)))))</f>
        <v>2</v>
      </c>
      <c r="R128" s="37"/>
      <c r="S128" s="37"/>
    </row>
    <row r="129" spans="1:19" x14ac:dyDescent="0.25">
      <c r="A129" t="s">
        <v>540</v>
      </c>
      <c r="C129" s="37" t="str">
        <f>IF(I129&gt;0,VLOOKUP(A129,Wine1!A:H,6,FALSE),VLOOKUP(A129,Drank!A:H,6,FALSE))</f>
        <v>USA</v>
      </c>
      <c r="D129" s="37" t="str">
        <f>IF(I129&gt;0,VLOOKUP(A129,Wine1!A:H,7,FALSE),VLOOKUP(A129,Drank!A:H,7,FALSE))</f>
        <v>California</v>
      </c>
      <c r="E129" s="37" t="str">
        <f>IF(I129&gt;0,VLOOKUP(A129,Wine1!A:H,8,FALSE),VLOOKUP(A129,Drank!A:H,8,FALSE))</f>
        <v>North Coast, Napa Valley</v>
      </c>
      <c r="F129" s="37" t="str">
        <f t="shared" si="6"/>
        <v>USA, California</v>
      </c>
      <c r="G129" s="37" t="str">
        <f t="shared" si="7"/>
        <v>USA, California, North Coast, Napa Valley</v>
      </c>
      <c r="H129" s="37">
        <f>COUNTIF(Agibility!A:A,UniqueID!A129)</f>
        <v>1</v>
      </c>
      <c r="I129" s="37">
        <f>COUNTIF(Wine1!A:A,UniqueID!A129)</f>
        <v>2</v>
      </c>
      <c r="J129" s="37">
        <f>COUNTIF(Drank!A:A,UniqueID!A129)</f>
        <v>0</v>
      </c>
      <c r="K129" s="37">
        <f>IF(I129&lt;1,VLOOKUP(A129,Drank!A:S,19,FALSE),VLOOKUP(A129,Wine1!A:AI,26,FALSE))</f>
        <v>94</v>
      </c>
      <c r="L129" s="37">
        <f>IF(I129&lt;1,VLOOKUP(A129,Drank!A:Z,25,FALSE),VLOOKUP(A129,Wine1!A:AI,35,FALSE))</f>
        <v>67</v>
      </c>
      <c r="M129" s="37">
        <f t="shared" si="5"/>
        <v>3</v>
      </c>
      <c r="N129" s="37">
        <f t="shared" si="8"/>
        <v>1.0638297872340425E-2</v>
      </c>
      <c r="O129" s="37">
        <f t="shared" si="9"/>
        <v>62.980000000000004</v>
      </c>
      <c r="P129" s="37">
        <f>IF(N129&gt;0,M129,IF(L129&gt;=64.99,4,IF(L129&gt;=Expenses!C158,3,IF(UniqueID!L129&gt;=Expenses!C157,2,1))))</f>
        <v>3</v>
      </c>
      <c r="Q129" s="37">
        <f>IF(O129&gt;=64.99,4,IF(N129&gt;0,M129,IF(L129&gt;=64.99,4,IF(L129&gt;=Expenses!C158,3,IF(UniqueID!L129&gt;=Expenses!C157,2,1)))))</f>
        <v>3</v>
      </c>
      <c r="R129" s="37"/>
      <c r="S129" s="37"/>
    </row>
    <row r="130" spans="1:19" x14ac:dyDescent="0.25">
      <c r="A130" t="s">
        <v>942</v>
      </c>
      <c r="C130" s="37" t="str">
        <f>IF(I130&gt;0,VLOOKUP(A130,Wine1!A:H,6,FALSE),VLOOKUP(A130,Drank!A:H,6,FALSE))</f>
        <v>Italy</v>
      </c>
      <c r="D130" s="37" t="str">
        <f>IF(I130&gt;0,VLOOKUP(A130,Wine1!A:H,7,FALSE),VLOOKUP(A130,Drank!A:H,7,FALSE))</f>
        <v>Tuscany</v>
      </c>
      <c r="E130" s="37" t="str">
        <f>IF(I130&gt;0,VLOOKUP(A130,Wine1!A:H,8,FALSE),VLOOKUP(A130,Drank!A:H,8,FALSE))</f>
        <v>Toscana IGT</v>
      </c>
      <c r="F130" s="37" t="str">
        <f t="shared" si="6"/>
        <v>Italy, Tuscany</v>
      </c>
      <c r="G130" s="37" t="str">
        <f t="shared" si="7"/>
        <v>Italy, Tuscany, Toscana IGT</v>
      </c>
      <c r="H130" s="37">
        <f>COUNTIF(Agibility!A:A,UniqueID!A130)</f>
        <v>1</v>
      </c>
      <c r="I130" s="37">
        <f>COUNTIF(Wine1!A:A,UniqueID!A130)</f>
        <v>3</v>
      </c>
      <c r="J130" s="37">
        <f>COUNTIF(Drank!A:A,UniqueID!A130)</f>
        <v>0</v>
      </c>
      <c r="K130" s="37">
        <f>IF(I130&lt;1,VLOOKUP(A130,Drank!A:S,19,FALSE),VLOOKUP(A130,Wine1!A:AI,26,FALSE))</f>
        <v>96</v>
      </c>
      <c r="L130" s="37">
        <f>IF(I130&lt;1,VLOOKUP(A130,Drank!A:Z,25,FALSE),VLOOKUP(A130,Wine1!A:AI,35,FALSE))</f>
        <v>45</v>
      </c>
      <c r="M130" s="37">
        <f t="shared" ref="M130:M193" si="10">IF(K130&gt;96,4,IF(K130&gt;92,3,IF(K130&gt;=90,2,1)))</f>
        <v>3</v>
      </c>
      <c r="N130" s="37">
        <f t="shared" si="8"/>
        <v>1.0416666666666666E-2</v>
      </c>
      <c r="O130" s="37">
        <f t="shared" si="9"/>
        <v>43.199999999999996</v>
      </c>
      <c r="P130" s="37">
        <f>IF(N130&gt;0,M130,IF(L130&gt;=64.99,4,IF(L130&gt;=Expenses!C159,3,IF(UniqueID!L130&gt;=Expenses!C158,2,1))))</f>
        <v>3</v>
      </c>
      <c r="Q130" s="37">
        <f>IF(O130&gt;=64.99,4,IF(N130&gt;0,M130,IF(L130&gt;=64.99,4,IF(L130&gt;=Expenses!C159,3,IF(UniqueID!L130&gt;=Expenses!C158,2,1)))))</f>
        <v>3</v>
      </c>
      <c r="R130" s="37"/>
      <c r="S130" s="37"/>
    </row>
    <row r="131" spans="1:19" x14ac:dyDescent="0.25">
      <c r="A131" t="s">
        <v>542</v>
      </c>
      <c r="C131" s="37" t="str">
        <f>IF(I131&gt;0,VLOOKUP(A131,Wine1!A:H,6,FALSE),VLOOKUP(A131,Drank!A:H,6,FALSE))</f>
        <v>Australia</v>
      </c>
      <c r="D131" s="37" t="str">
        <f>IF(I131&gt;0,VLOOKUP(A131,Wine1!A:H,7,FALSE),VLOOKUP(A131,Drank!A:H,7,FALSE))</f>
        <v>South Australia</v>
      </c>
      <c r="E131" s="37" t="str">
        <f>IF(I131&gt;0,VLOOKUP(A131,Wine1!A:H,8,FALSE),VLOOKUP(A131,Drank!A:H,8,FALSE))</f>
        <v>Fleurie, McLaren Vale</v>
      </c>
      <c r="F131" s="37" t="str">
        <f t="shared" ref="F131:F194" si="11">CONCATENATE(C131,", ",D131)</f>
        <v>Australia, South Australia</v>
      </c>
      <c r="G131" s="37" t="str">
        <f t="shared" ref="G131:G194" si="12">CONCATENATE(C131,", ",D131,", ",E131)</f>
        <v>Australia, South Australia, Fleurie, McLaren Vale</v>
      </c>
      <c r="H131" s="37">
        <f>COUNTIF(Agibility!A:A,UniqueID!A131)</f>
        <v>1</v>
      </c>
      <c r="I131" s="37">
        <f>COUNTIF(Wine1!A:A,UniqueID!A131)</f>
        <v>3</v>
      </c>
      <c r="J131" s="37">
        <f>COUNTIF(Drank!A:A,UniqueID!A131)</f>
        <v>0</v>
      </c>
      <c r="K131" s="37">
        <f>IF(I131&lt;1,VLOOKUP(A131,Drank!A:S,19,FALSE),VLOOKUP(A131,Wine1!A:AI,26,FALSE))</f>
        <v>96</v>
      </c>
      <c r="L131" s="37">
        <f>IF(I131&lt;1,VLOOKUP(A131,Drank!A:Z,25,FALSE),VLOOKUP(A131,Wine1!A:AI,35,FALSE))</f>
        <v>59</v>
      </c>
      <c r="M131" s="37">
        <f t="shared" si="10"/>
        <v>3</v>
      </c>
      <c r="N131" s="37">
        <f t="shared" si="8"/>
        <v>1.0416666666666666E-2</v>
      </c>
      <c r="O131" s="37">
        <f t="shared" si="9"/>
        <v>56.64</v>
      </c>
      <c r="P131" s="37">
        <f>IF(N131&gt;0,M131,IF(L131&gt;=64.99,4,IF(L131&gt;=Expenses!C160,3,IF(UniqueID!L131&gt;=Expenses!C159,2,1))))</f>
        <v>3</v>
      </c>
      <c r="Q131" s="37">
        <f>IF(O131&gt;=64.99,4,IF(N131&gt;0,M131,IF(L131&gt;=64.99,4,IF(L131&gt;=Expenses!C160,3,IF(UniqueID!L131&gt;=Expenses!C159,2,1)))))</f>
        <v>3</v>
      </c>
      <c r="R131" s="37"/>
      <c r="S131" s="37"/>
    </row>
    <row r="132" spans="1:19" x14ac:dyDescent="0.25">
      <c r="A132" t="s">
        <v>543</v>
      </c>
      <c r="C132" s="37" t="str">
        <f>IF(I132&gt;0,VLOOKUP(A132,Wine1!A:H,6,FALSE),VLOOKUP(A132,Drank!A:H,6,FALSE))</f>
        <v>Italy</v>
      </c>
      <c r="D132" s="37" t="str">
        <f>IF(I132&gt;0,VLOOKUP(A132,Wine1!A:H,7,FALSE),VLOOKUP(A132,Drank!A:H,7,FALSE))</f>
        <v>Piedmont</v>
      </c>
      <c r="E132" s="37" t="str">
        <f>IF(I132&gt;0,VLOOKUP(A132,Wine1!A:H,8,FALSE),VLOOKUP(A132,Drank!A:H,8,FALSE))</f>
        <v>Barbaresco</v>
      </c>
      <c r="F132" s="37" t="str">
        <f t="shared" si="11"/>
        <v>Italy, Piedmont</v>
      </c>
      <c r="G132" s="37" t="str">
        <f t="shared" si="12"/>
        <v>Italy, Piedmont, Barbaresco</v>
      </c>
      <c r="H132" s="37">
        <f>COUNTIF(Agibility!A:A,UniqueID!A132)</f>
        <v>1</v>
      </c>
      <c r="I132" s="37">
        <f>COUNTIF(Wine1!A:A,UniqueID!A132)</f>
        <v>41</v>
      </c>
      <c r="J132" s="37">
        <f>COUNTIF(Drank!A:A,UniqueID!A132)</f>
        <v>2</v>
      </c>
      <c r="K132" s="37">
        <f>IF(I132&lt;1,VLOOKUP(A132,Drank!A:S,19,FALSE),VLOOKUP(A132,Wine1!A:AI,26,FALSE))</f>
        <v>95.5</v>
      </c>
      <c r="L132" s="37">
        <f>IF(I132&lt;1,VLOOKUP(A132,Drank!A:Z,25,FALSE),VLOOKUP(A132,Wine1!A:AI,35,FALSE))</f>
        <v>42.36</v>
      </c>
      <c r="M132" s="37">
        <f t="shared" si="10"/>
        <v>3</v>
      </c>
      <c r="N132" s="37">
        <f t="shared" ref="N132:N195" si="13">IFERROR(1/K132,0)</f>
        <v>1.0471204188481676E-2</v>
      </c>
      <c r="O132" s="37">
        <f t="shared" ref="O132:O195" si="14">IF(N132&gt;0,K132*0.01*L132,0)</f>
        <v>40.453800000000001</v>
      </c>
      <c r="P132" s="37">
        <f>IF(N132&gt;0,M132,IF(L132&gt;=64.99,4,IF(L132&gt;=Expenses!C161,3,IF(UniqueID!L132&gt;=Expenses!C160,2,1))))</f>
        <v>3</v>
      </c>
      <c r="Q132" s="37">
        <f>IF(O132&gt;=64.99,4,IF(N132&gt;0,M132,IF(L132&gt;=64.99,4,IF(L132&gt;=Expenses!C161,3,IF(UniqueID!L132&gt;=Expenses!C160,2,1)))))</f>
        <v>3</v>
      </c>
      <c r="R132" s="37"/>
      <c r="S132" s="37"/>
    </row>
    <row r="133" spans="1:19" x14ac:dyDescent="0.25">
      <c r="A133" t="s">
        <v>544</v>
      </c>
      <c r="C133" s="37" t="str">
        <f>IF(I133&gt;0,VLOOKUP(A133,Wine1!A:H,6,FALSE),VLOOKUP(A133,Drank!A:H,6,FALSE))</f>
        <v>USA</v>
      </c>
      <c r="D133" s="37" t="str">
        <f>IF(I133&gt;0,VLOOKUP(A133,Wine1!A:H,7,FALSE),VLOOKUP(A133,Drank!A:H,7,FALSE))</f>
        <v>California</v>
      </c>
      <c r="E133" s="37" t="str">
        <f>IF(I133&gt;0,VLOOKUP(A133,Wine1!A:H,8,FALSE),VLOOKUP(A133,Drank!A:H,8,FALSE))</f>
        <v>North Coast, Napa Valley</v>
      </c>
      <c r="F133" s="37" t="str">
        <f t="shared" si="11"/>
        <v>USA, California</v>
      </c>
      <c r="G133" s="37" t="str">
        <f t="shared" si="12"/>
        <v>USA, California, North Coast, Napa Valley</v>
      </c>
      <c r="H133" s="37">
        <f>COUNTIF(Agibility!A:A,UniqueID!A133)</f>
        <v>1</v>
      </c>
      <c r="I133" s="37">
        <f>COUNTIF(Wine1!A:A,UniqueID!A133)</f>
        <v>4</v>
      </c>
      <c r="J133" s="37">
        <f>COUNTIF(Drank!A:A,UniqueID!A133)</f>
        <v>0</v>
      </c>
      <c r="K133" s="37">
        <f>IF(I133&lt;1,VLOOKUP(A133,Drank!A:S,19,FALSE),VLOOKUP(A133,Wine1!A:AI,26,FALSE))</f>
        <v>95</v>
      </c>
      <c r="L133" s="37">
        <f>IF(I133&lt;1,VLOOKUP(A133,Drank!A:Z,25,FALSE),VLOOKUP(A133,Wine1!A:AI,35,FALSE))</f>
        <v>60</v>
      </c>
      <c r="M133" s="37">
        <f t="shared" si="10"/>
        <v>3</v>
      </c>
      <c r="N133" s="37">
        <f t="shared" si="13"/>
        <v>1.0526315789473684E-2</v>
      </c>
      <c r="O133" s="37">
        <f t="shared" si="14"/>
        <v>57.000000000000007</v>
      </c>
      <c r="P133" s="37">
        <f>IF(N133&gt;0,M133,IF(L133&gt;=64.99,4,IF(L133&gt;=Expenses!C162,3,IF(UniqueID!L133&gt;=Expenses!C161,2,1))))</f>
        <v>3</v>
      </c>
      <c r="Q133" s="37">
        <f>IF(O133&gt;=64.99,4,IF(N133&gt;0,M133,IF(L133&gt;=64.99,4,IF(L133&gt;=Expenses!C162,3,IF(UniqueID!L133&gt;=Expenses!C161,2,1)))))</f>
        <v>3</v>
      </c>
      <c r="R133" s="37"/>
      <c r="S133" s="37"/>
    </row>
    <row r="134" spans="1:19" x14ac:dyDescent="0.25">
      <c r="A134" t="s">
        <v>545</v>
      </c>
      <c r="C134" s="37" t="str">
        <f>IF(I134&gt;0,VLOOKUP(A134,Wine1!A:H,6,FALSE),VLOOKUP(A134,Drank!A:H,6,FALSE))</f>
        <v>Italy</v>
      </c>
      <c r="D134" s="37" t="str">
        <f>IF(I134&gt;0,VLOOKUP(A134,Wine1!A:H,7,FALSE),VLOOKUP(A134,Drank!A:H,7,FALSE))</f>
        <v>Tuscany</v>
      </c>
      <c r="E134" s="37" t="str">
        <f>IF(I134&gt;0,VLOOKUP(A134,Wine1!A:H,8,FALSE),VLOOKUP(A134,Drank!A:H,8,FALSE))</f>
        <v>Bolgheri</v>
      </c>
      <c r="F134" s="37" t="str">
        <f t="shared" si="11"/>
        <v>Italy, Tuscany</v>
      </c>
      <c r="G134" s="37" t="str">
        <f t="shared" si="12"/>
        <v>Italy, Tuscany, Bolgheri</v>
      </c>
      <c r="H134" s="37">
        <f>COUNTIF(Agibility!A:A,UniqueID!A134)</f>
        <v>1</v>
      </c>
      <c r="I134" s="37">
        <f>COUNTIF(Wine1!A:A,UniqueID!A134)</f>
        <v>6</v>
      </c>
      <c r="J134" s="37">
        <f>COUNTIF(Drank!A:A,UniqueID!A134)</f>
        <v>0</v>
      </c>
      <c r="K134" s="37">
        <f>IF(I134&lt;1,VLOOKUP(A134,Drank!A:S,19,FALSE),VLOOKUP(A134,Wine1!A:AI,26,FALSE))</f>
        <v>100</v>
      </c>
      <c r="L134" s="37">
        <f>IF(I134&lt;1,VLOOKUP(A134,Drank!A:Z,25,FALSE),VLOOKUP(A134,Wine1!A:AI,35,FALSE))</f>
        <v>225.32</v>
      </c>
      <c r="M134" s="37">
        <f t="shared" si="10"/>
        <v>4</v>
      </c>
      <c r="N134" s="37">
        <f t="shared" si="13"/>
        <v>0.01</v>
      </c>
      <c r="O134" s="37">
        <f t="shared" si="14"/>
        <v>225.32</v>
      </c>
      <c r="P134" s="37">
        <f>IF(N134&gt;0,M134,IF(L134&gt;=64.99,4,IF(L134&gt;=Expenses!C163,3,IF(UniqueID!L134&gt;=Expenses!C162,2,1))))</f>
        <v>4</v>
      </c>
      <c r="Q134" s="37">
        <f>IF(O134&gt;=64.99,4,IF(N134&gt;0,M134,IF(L134&gt;=64.99,4,IF(L134&gt;=Expenses!C163,3,IF(UniqueID!L134&gt;=Expenses!C162,2,1)))))</f>
        <v>4</v>
      </c>
      <c r="R134" s="37"/>
      <c r="S134" s="37"/>
    </row>
    <row r="135" spans="1:19" x14ac:dyDescent="0.25">
      <c r="A135" t="s">
        <v>547</v>
      </c>
      <c r="C135" s="37" t="str">
        <f>IF(I135&gt;0,VLOOKUP(A135,Wine1!A:H,6,FALSE),VLOOKUP(A135,Drank!A:H,6,FALSE))</f>
        <v>USA</v>
      </c>
      <c r="D135" s="37" t="str">
        <f>IF(I135&gt;0,VLOOKUP(A135,Wine1!A:H,7,FALSE),VLOOKUP(A135,Drank!A:H,7,FALSE))</f>
        <v>California</v>
      </c>
      <c r="E135" s="37" t="str">
        <f>IF(I135&gt;0,VLOOKUP(A135,Wine1!A:H,8,FALSE),VLOOKUP(A135,Drank!A:H,8,FALSE))</f>
        <v>North Coast, Napa Valley</v>
      </c>
      <c r="F135" s="37" t="str">
        <f t="shared" si="11"/>
        <v>USA, California</v>
      </c>
      <c r="G135" s="37" t="str">
        <f t="shared" si="12"/>
        <v>USA, California, North Coast, Napa Valley</v>
      </c>
      <c r="H135" s="37">
        <f>COUNTIF(Agibility!A:A,UniqueID!A135)</f>
        <v>1</v>
      </c>
      <c r="I135" s="37">
        <f>COUNTIF(Wine1!A:A,UniqueID!A135)</f>
        <v>1</v>
      </c>
      <c r="J135" s="37">
        <f>COUNTIF(Drank!A:A,UniqueID!A135)</f>
        <v>1</v>
      </c>
      <c r="K135" s="37">
        <f>IF(I135&lt;1,VLOOKUP(A135,Drank!A:S,19,FALSE),VLOOKUP(A135,Wine1!A:AI,26,FALSE))</f>
        <v>93</v>
      </c>
      <c r="L135" s="37">
        <f>IF(I135&lt;1,VLOOKUP(A135,Drank!A:Z,25,FALSE),VLOOKUP(A135,Wine1!A:AI,35,FALSE))</f>
        <v>65</v>
      </c>
      <c r="M135" s="37">
        <f t="shared" si="10"/>
        <v>3</v>
      </c>
      <c r="N135" s="37">
        <f t="shared" si="13"/>
        <v>1.0752688172043012E-2</v>
      </c>
      <c r="O135" s="37">
        <f t="shared" si="14"/>
        <v>60.45</v>
      </c>
      <c r="P135" s="37">
        <f>IF(N135&gt;0,M135,IF(L135&gt;=64.99,4,IF(L135&gt;=Expenses!C164,3,IF(UniqueID!L135&gt;=Expenses!C163,2,1))))</f>
        <v>3</v>
      </c>
      <c r="Q135" s="37">
        <f>IF(O135&gt;=64.99,4,IF(N135&gt;0,M135,IF(L135&gt;=64.99,4,IF(L135&gt;=Expenses!C164,3,IF(UniqueID!L135&gt;=Expenses!C163,2,1)))))</f>
        <v>3</v>
      </c>
      <c r="R135" s="37"/>
      <c r="S135" s="37"/>
    </row>
    <row r="136" spans="1:19" x14ac:dyDescent="0.25">
      <c r="A136" t="s">
        <v>548</v>
      </c>
      <c r="C136" s="37" t="str">
        <f>IF(I136&gt;0,VLOOKUP(A136,Wine1!A:H,6,FALSE),VLOOKUP(A136,Drank!A:H,6,FALSE))</f>
        <v>Italy</v>
      </c>
      <c r="D136" s="37" t="str">
        <f>IF(I136&gt;0,VLOOKUP(A136,Wine1!A:H,7,FALSE),VLOOKUP(A136,Drank!A:H,7,FALSE))</f>
        <v>Sardinia</v>
      </c>
      <c r="E136" s="37">
        <f>IF(I136&gt;0,VLOOKUP(A136,Wine1!A:H,8,FALSE),VLOOKUP(A136,Drank!A:H,8,FALSE))</f>
        <v>0</v>
      </c>
      <c r="F136" s="37" t="str">
        <f t="shared" si="11"/>
        <v>Italy, Sardinia</v>
      </c>
      <c r="G136" s="37" t="str">
        <f t="shared" si="12"/>
        <v>Italy, Sardinia, 0</v>
      </c>
      <c r="H136" s="37">
        <f>COUNTIF(Agibility!A:A,UniqueID!A136)</f>
        <v>1</v>
      </c>
      <c r="I136" s="37">
        <f>COUNTIF(Wine1!A:A,UniqueID!A136)</f>
        <v>0</v>
      </c>
      <c r="J136" s="37">
        <f>COUNTIF(Drank!A:A,UniqueID!A136)</f>
        <v>1</v>
      </c>
      <c r="K136" s="37">
        <f>IF(I136&lt;1,VLOOKUP(A136,Drank!A:S,19,FALSE),VLOOKUP(A136,Wine1!A:AI,26,FALSE))</f>
        <v>93</v>
      </c>
      <c r="L136" s="37">
        <f>IF(I136&lt;1,VLOOKUP(A136,Drank!A:Z,25,FALSE),VLOOKUP(A136,Wine1!A:AI,35,FALSE))</f>
        <v>44</v>
      </c>
      <c r="M136" s="37">
        <f t="shared" si="10"/>
        <v>3</v>
      </c>
      <c r="N136" s="37">
        <f t="shared" si="13"/>
        <v>1.0752688172043012E-2</v>
      </c>
      <c r="O136" s="37">
        <f t="shared" si="14"/>
        <v>40.92</v>
      </c>
      <c r="P136" s="37">
        <f>IF(N136&gt;0,M136,IF(L136&gt;=64.99,4,IF(L136&gt;=Expenses!C165,3,IF(UniqueID!L136&gt;=Expenses!C164,2,1))))</f>
        <v>3</v>
      </c>
      <c r="Q136" s="37">
        <f>IF(O136&gt;=64.99,4,IF(N136&gt;0,M136,IF(L136&gt;=64.99,4,IF(L136&gt;=Expenses!C165,3,IF(UniqueID!L136&gt;=Expenses!C164,2,1)))))</f>
        <v>3</v>
      </c>
      <c r="R136" s="37"/>
      <c r="S136" s="37"/>
    </row>
    <row r="137" spans="1:19" x14ac:dyDescent="0.25">
      <c r="A137" t="s">
        <v>549</v>
      </c>
      <c r="C137" s="37" t="str">
        <f>IF(I137&gt;0,VLOOKUP(A137,Wine1!A:H,6,FALSE),VLOOKUP(A137,Drank!A:H,6,FALSE))</f>
        <v>Italy</v>
      </c>
      <c r="D137" s="37" t="str">
        <f>IF(I137&gt;0,VLOOKUP(A137,Wine1!A:H,7,FALSE),VLOOKUP(A137,Drank!A:H,7,FALSE))</f>
        <v>Tuscany</v>
      </c>
      <c r="E137" s="37" t="str">
        <f>IF(I137&gt;0,VLOOKUP(A137,Wine1!A:H,8,FALSE),VLOOKUP(A137,Drank!A:H,8,FALSE))</f>
        <v>Brunello di Montalcino</v>
      </c>
      <c r="F137" s="37" t="str">
        <f t="shared" si="11"/>
        <v>Italy, Tuscany</v>
      </c>
      <c r="G137" s="37" t="str">
        <f t="shared" si="12"/>
        <v>Italy, Tuscany, Brunello di Montalcino</v>
      </c>
      <c r="H137" s="37">
        <f>COUNTIF(Agibility!A:A,UniqueID!A137)</f>
        <v>1</v>
      </c>
      <c r="I137" s="37">
        <f>COUNTIF(Wine1!A:A,UniqueID!A137)</f>
        <v>1</v>
      </c>
      <c r="J137" s="37">
        <f>COUNTIF(Drank!A:A,UniqueID!A137)</f>
        <v>0</v>
      </c>
      <c r="K137" s="37">
        <f>IF(I137&lt;1,VLOOKUP(A137,Drank!A:S,19,FALSE),VLOOKUP(A137,Wine1!A:AI,26,FALSE))</f>
        <v>94</v>
      </c>
      <c r="L137" s="37">
        <f>IF(I137&lt;1,VLOOKUP(A137,Drank!A:Z,25,FALSE),VLOOKUP(A137,Wine1!A:AI,35,FALSE))</f>
        <v>50</v>
      </c>
      <c r="M137" s="37">
        <f t="shared" si="10"/>
        <v>3</v>
      </c>
      <c r="N137" s="37">
        <f t="shared" si="13"/>
        <v>1.0638297872340425E-2</v>
      </c>
      <c r="O137" s="37">
        <f t="shared" si="14"/>
        <v>47</v>
      </c>
      <c r="P137" s="37">
        <f>IF(N137&gt;0,M137,IF(L137&gt;=64.99,4,IF(L137&gt;=Expenses!C166,3,IF(UniqueID!L137&gt;=Expenses!C165,2,1))))</f>
        <v>3</v>
      </c>
      <c r="Q137" s="37">
        <f>IF(O137&gt;=64.99,4,IF(N137&gt;0,M137,IF(L137&gt;=64.99,4,IF(L137&gt;=Expenses!C166,3,IF(UniqueID!L137&gt;=Expenses!C165,2,1)))))</f>
        <v>3</v>
      </c>
      <c r="R137" s="37"/>
      <c r="S137" s="37"/>
    </row>
    <row r="138" spans="1:19" x14ac:dyDescent="0.25">
      <c r="A138" t="s">
        <v>546</v>
      </c>
      <c r="C138" s="37" t="str">
        <f>IF(I138&gt;0,VLOOKUP(A138,Wine1!A:H,6,FALSE),VLOOKUP(A138,Drank!A:H,6,FALSE))</f>
        <v>Italy</v>
      </c>
      <c r="D138" s="37" t="str">
        <f>IF(I138&gt;0,VLOOKUP(A138,Wine1!A:H,7,FALSE),VLOOKUP(A138,Drank!A:H,7,FALSE))</f>
        <v>Veneto</v>
      </c>
      <c r="E138" s="37" t="str">
        <f>IF(I138&gt;0,VLOOKUP(A138,Wine1!A:H,8,FALSE),VLOOKUP(A138,Drank!A:H,8,FALSE))</f>
        <v>Valpolicella Classico</v>
      </c>
      <c r="F138" s="37" t="str">
        <f t="shared" si="11"/>
        <v>Italy, Veneto</v>
      </c>
      <c r="G138" s="37" t="str">
        <f t="shared" si="12"/>
        <v>Italy, Veneto, Valpolicella Classico</v>
      </c>
      <c r="H138" s="37">
        <f>COUNTIF(Agibility!A:A,UniqueID!A138)</f>
        <v>1</v>
      </c>
      <c r="I138" s="37">
        <f>COUNTIF(Wine1!A:A,UniqueID!A138)</f>
        <v>1</v>
      </c>
      <c r="J138" s="37">
        <f>COUNTIF(Drank!A:A,UniqueID!A138)</f>
        <v>0</v>
      </c>
      <c r="K138" s="37" t="str">
        <f>IF(I138&lt;1,VLOOKUP(A138,Drank!A:S,19,FALSE),VLOOKUP(A138,Wine1!A:AI,26,FALSE))</f>
        <v/>
      </c>
      <c r="L138" s="37">
        <f>IF(I138&lt;1,VLOOKUP(A138,Drank!A:Z,25,FALSE),VLOOKUP(A138,Wine1!A:AI,35,FALSE))</f>
        <v>72</v>
      </c>
      <c r="M138" s="37">
        <f t="shared" si="10"/>
        <v>4</v>
      </c>
      <c r="N138" s="37">
        <f t="shared" si="13"/>
        <v>0</v>
      </c>
      <c r="O138" s="37">
        <f t="shared" si="14"/>
        <v>0</v>
      </c>
      <c r="P138" s="37">
        <f>IF(N138&gt;0,M138,IF(L138&gt;=64.99,4,IF(L138&gt;=Expenses!C167,3,IF(UniqueID!L138&gt;=Expenses!C166,2,1))))</f>
        <v>4</v>
      </c>
      <c r="Q138" s="37">
        <f>IF(O138&gt;=64.99,4,IF(N138&gt;0,M138,IF(L138&gt;=64.99,4,IF(L138&gt;=Expenses!C167,3,IF(UniqueID!L138&gt;=Expenses!C166,2,1)))))</f>
        <v>4</v>
      </c>
      <c r="R138" s="37"/>
      <c r="S138" s="37"/>
    </row>
    <row r="139" spans="1:19" x14ac:dyDescent="0.25">
      <c r="A139" t="s">
        <v>550</v>
      </c>
      <c r="C139" s="37" t="str">
        <f>IF(I139&gt;0,VLOOKUP(A139,Wine1!A:H,6,FALSE),VLOOKUP(A139,Drank!A:H,6,FALSE))</f>
        <v>Italy</v>
      </c>
      <c r="D139" s="37" t="str">
        <f>IF(I139&gt;0,VLOOKUP(A139,Wine1!A:H,7,FALSE),VLOOKUP(A139,Drank!A:H,7,FALSE))</f>
        <v>Tuscany</v>
      </c>
      <c r="E139" s="37" t="str">
        <f>IF(I139&gt;0,VLOOKUP(A139,Wine1!A:H,8,FALSE),VLOOKUP(A139,Drank!A:H,8,FALSE))</f>
        <v>Brunello di Montalcino</v>
      </c>
      <c r="F139" s="37" t="str">
        <f t="shared" si="11"/>
        <v>Italy, Tuscany</v>
      </c>
      <c r="G139" s="37" t="str">
        <f t="shared" si="12"/>
        <v>Italy, Tuscany, Brunello di Montalcino</v>
      </c>
      <c r="H139" s="37">
        <f>COUNTIF(Agibility!A:A,UniqueID!A139)</f>
        <v>1</v>
      </c>
      <c r="I139" s="37">
        <f>COUNTIF(Wine1!A:A,UniqueID!A139)</f>
        <v>1</v>
      </c>
      <c r="J139" s="37">
        <f>COUNTIF(Drank!A:A,UniqueID!A139)</f>
        <v>1</v>
      </c>
      <c r="K139" s="37">
        <f>IF(I139&lt;1,VLOOKUP(A139,Drank!A:S,19,FALSE),VLOOKUP(A139,Wine1!A:AI,26,FALSE))</f>
        <v>90</v>
      </c>
      <c r="L139" s="37">
        <f>IF(I139&lt;1,VLOOKUP(A139,Drank!A:Z,25,FALSE),VLOOKUP(A139,Wine1!A:AI,35,FALSE))</f>
        <v>32.99</v>
      </c>
      <c r="M139" s="37">
        <f t="shared" si="10"/>
        <v>2</v>
      </c>
      <c r="N139" s="37">
        <f t="shared" si="13"/>
        <v>1.1111111111111112E-2</v>
      </c>
      <c r="O139" s="37">
        <f t="shared" si="14"/>
        <v>29.691000000000003</v>
      </c>
      <c r="P139" s="37">
        <f>IF(N139&gt;0,M139,IF(L139&gt;=64.99,4,IF(L139&gt;=Expenses!C168,3,IF(UniqueID!L139&gt;=Expenses!C167,2,1))))</f>
        <v>2</v>
      </c>
      <c r="Q139" s="37">
        <f>IF(O139&gt;=64.99,4,IF(N139&gt;0,M139,IF(L139&gt;=64.99,4,IF(L139&gt;=Expenses!C168,3,IF(UniqueID!L139&gt;=Expenses!C167,2,1)))))</f>
        <v>2</v>
      </c>
      <c r="R139" s="37"/>
      <c r="S139" s="37"/>
    </row>
    <row r="140" spans="1:19" x14ac:dyDescent="0.25">
      <c r="A140" t="s">
        <v>551</v>
      </c>
      <c r="C140" s="37" t="str">
        <f>IF(I140&gt;0,VLOOKUP(A140,Wine1!A:H,6,FALSE),VLOOKUP(A140,Drank!A:H,6,FALSE))</f>
        <v>Italy</v>
      </c>
      <c r="D140" s="37" t="str">
        <f>IF(I140&gt;0,VLOOKUP(A140,Wine1!A:H,7,FALSE),VLOOKUP(A140,Drank!A:H,7,FALSE))</f>
        <v>Campania</v>
      </c>
      <c r="E140" s="37" t="str">
        <f>IF(I140&gt;0,VLOOKUP(A140,Wine1!A:H,8,FALSE),VLOOKUP(A140,Drank!A:H,8,FALSE))</f>
        <v>Taurasi</v>
      </c>
      <c r="F140" s="37" t="str">
        <f t="shared" si="11"/>
        <v>Italy, Campania</v>
      </c>
      <c r="G140" s="37" t="str">
        <f t="shared" si="12"/>
        <v>Italy, Campania, Taurasi</v>
      </c>
      <c r="H140" s="37">
        <f>COUNTIF(Agibility!A:A,UniqueID!A140)</f>
        <v>1</v>
      </c>
      <c r="I140" s="37">
        <f>COUNTIF(Wine1!A:A,UniqueID!A140)</f>
        <v>1</v>
      </c>
      <c r="J140" s="37">
        <f>COUNTIF(Drank!A:A,UniqueID!A140)</f>
        <v>0</v>
      </c>
      <c r="K140" s="37">
        <f>IF(I140&lt;1,VLOOKUP(A140,Drank!A:S,19,FALSE),VLOOKUP(A140,Wine1!A:AI,26,FALSE))</f>
        <v>91</v>
      </c>
      <c r="L140" s="37">
        <f>IF(I140&lt;1,VLOOKUP(A140,Drank!A:Z,25,FALSE),VLOOKUP(A140,Wine1!A:AI,35,FALSE))</f>
        <v>40</v>
      </c>
      <c r="M140" s="37">
        <f t="shared" si="10"/>
        <v>2</v>
      </c>
      <c r="N140" s="37">
        <f t="shared" si="13"/>
        <v>1.098901098901099E-2</v>
      </c>
      <c r="O140" s="37">
        <f t="shared" si="14"/>
        <v>36.4</v>
      </c>
      <c r="P140" s="37">
        <f>IF(N140&gt;0,M140,IF(L140&gt;=64.99,4,IF(L140&gt;=Expenses!C169,3,IF(UniqueID!L140&gt;=Expenses!C168,2,1))))</f>
        <v>2</v>
      </c>
      <c r="Q140" s="37">
        <f>IF(O140&gt;=64.99,4,IF(N140&gt;0,M140,IF(L140&gt;=64.99,4,IF(L140&gt;=Expenses!C169,3,IF(UniqueID!L140&gt;=Expenses!C168,2,1)))))</f>
        <v>2</v>
      </c>
      <c r="R140" s="37"/>
      <c r="S140" s="37"/>
    </row>
    <row r="141" spans="1:19" x14ac:dyDescent="0.25">
      <c r="A141" t="s">
        <v>511</v>
      </c>
      <c r="C141" s="37" t="str">
        <f>IF(I141&gt;0,VLOOKUP(A141,Wine1!A:H,6,FALSE),VLOOKUP(A141,Drank!A:H,6,FALSE))</f>
        <v>USA</v>
      </c>
      <c r="D141" s="37" t="str">
        <f>IF(I141&gt;0,VLOOKUP(A141,Wine1!A:H,7,FALSE),VLOOKUP(A141,Drank!A:H,7,FALSE))</f>
        <v>California</v>
      </c>
      <c r="E141" s="37" t="str">
        <f>IF(I141&gt;0,VLOOKUP(A141,Wine1!A:H,8,FALSE),VLOOKUP(A141,Drank!A:H,8,FALSE))</f>
        <v>North Coast, Napa Valley</v>
      </c>
      <c r="F141" s="37" t="str">
        <f t="shared" si="11"/>
        <v>USA, California</v>
      </c>
      <c r="G141" s="37" t="str">
        <f t="shared" si="12"/>
        <v>USA, California, North Coast, Napa Valley</v>
      </c>
      <c r="H141" s="37">
        <f>COUNTIF(Agibility!A:A,UniqueID!A141)</f>
        <v>1</v>
      </c>
      <c r="I141" s="37">
        <f>COUNTIF(Wine1!A:A,UniqueID!A141)</f>
        <v>2</v>
      </c>
      <c r="J141" s="37">
        <f>COUNTIF(Drank!A:A,UniqueID!A141)</f>
        <v>1</v>
      </c>
      <c r="K141" s="37">
        <f>IF(I141&lt;1,VLOOKUP(A141,Drank!A:S,19,FALSE),VLOOKUP(A141,Wine1!A:AI,26,FALSE))</f>
        <v>92</v>
      </c>
      <c r="L141" s="37">
        <f>IF(I141&lt;1,VLOOKUP(A141,Drank!A:Z,25,FALSE),VLOOKUP(A141,Wine1!A:AI,35,FALSE))</f>
        <v>39.99</v>
      </c>
      <c r="M141" s="37">
        <f t="shared" si="10"/>
        <v>2</v>
      </c>
      <c r="N141" s="37">
        <f t="shared" si="13"/>
        <v>1.0869565217391304E-2</v>
      </c>
      <c r="O141" s="37">
        <f t="shared" si="14"/>
        <v>36.790800000000004</v>
      </c>
      <c r="P141" s="37">
        <f>IF(N141&gt;0,M141,IF(L141&gt;=64.99,4,IF(L141&gt;=Expenses!C170,3,IF(UniqueID!L141&gt;=Expenses!C169,2,1))))</f>
        <v>2</v>
      </c>
      <c r="Q141" s="37">
        <f>IF(O141&gt;=64.99,4,IF(N141&gt;0,M141,IF(L141&gt;=64.99,4,IF(L141&gt;=Expenses!C170,3,IF(UniqueID!L141&gt;=Expenses!C169,2,1)))))</f>
        <v>2</v>
      </c>
      <c r="R141" s="37"/>
      <c r="S141" s="37"/>
    </row>
    <row r="142" spans="1:19" x14ac:dyDescent="0.25">
      <c r="A142" t="s">
        <v>943</v>
      </c>
      <c r="C142" s="37" t="str">
        <f>IF(I142&gt;0,VLOOKUP(A142,Wine1!A:H,6,FALSE),VLOOKUP(A142,Drank!A:H,6,FALSE))</f>
        <v>Italy</v>
      </c>
      <c r="D142" s="37" t="str">
        <f>IF(I142&gt;0,VLOOKUP(A142,Wine1!A:H,7,FALSE),VLOOKUP(A142,Drank!A:H,7,FALSE))</f>
        <v>Piedmont</v>
      </c>
      <c r="E142" s="37" t="str">
        <f>IF(I142&gt;0,VLOOKUP(A142,Wine1!A:H,8,FALSE),VLOOKUP(A142,Drank!A:H,8,FALSE))</f>
        <v>Barolo</v>
      </c>
      <c r="F142" s="37" t="str">
        <f t="shared" si="11"/>
        <v>Italy, Piedmont</v>
      </c>
      <c r="G142" s="37" t="str">
        <f t="shared" si="12"/>
        <v>Italy, Piedmont, Barolo</v>
      </c>
      <c r="H142" s="37">
        <f>COUNTIF(Agibility!A:A,UniqueID!A142)</f>
        <v>1</v>
      </c>
      <c r="I142" s="37">
        <f>COUNTIF(Wine1!A:A,UniqueID!A142)</f>
        <v>3</v>
      </c>
      <c r="J142" s="37">
        <f>COUNTIF(Drank!A:A,UniqueID!A142)</f>
        <v>0</v>
      </c>
      <c r="K142" s="37">
        <f>IF(I142&lt;1,VLOOKUP(A142,Drank!A:S,19,FALSE),VLOOKUP(A142,Wine1!A:AI,26,FALSE))</f>
        <v>94</v>
      </c>
      <c r="L142" s="37">
        <f>IF(I142&lt;1,VLOOKUP(A142,Drank!A:Z,25,FALSE),VLOOKUP(A142,Wine1!A:AI,35,FALSE))</f>
        <v>60</v>
      </c>
      <c r="M142" s="37">
        <f t="shared" si="10"/>
        <v>3</v>
      </c>
      <c r="N142" s="37">
        <f t="shared" si="13"/>
        <v>1.0638297872340425E-2</v>
      </c>
      <c r="O142" s="37">
        <f t="shared" si="14"/>
        <v>56.400000000000006</v>
      </c>
      <c r="P142" s="37">
        <f>IF(N142&gt;0,M142,IF(L142&gt;=64.99,4,IF(L142&gt;=Expenses!C171,3,IF(UniqueID!L142&gt;=Expenses!C170,2,1))))</f>
        <v>3</v>
      </c>
      <c r="Q142" s="37">
        <f>IF(O142&gt;=64.99,4,IF(N142&gt;0,M142,IF(L142&gt;=64.99,4,IF(L142&gt;=Expenses!C171,3,IF(UniqueID!L142&gt;=Expenses!C170,2,1)))))</f>
        <v>3</v>
      </c>
      <c r="R142" s="37"/>
      <c r="S142" s="37"/>
    </row>
    <row r="143" spans="1:19" x14ac:dyDescent="0.25">
      <c r="A143" t="s">
        <v>552</v>
      </c>
      <c r="C143" s="37" t="str">
        <f>IF(I143&gt;0,VLOOKUP(A143,Wine1!A:H,6,FALSE),VLOOKUP(A143,Drank!A:H,6,FALSE))</f>
        <v>France</v>
      </c>
      <c r="D143" s="37" t="str">
        <f>IF(I143&gt;0,VLOOKUP(A143,Wine1!A:H,7,FALSE),VLOOKUP(A143,Drank!A:H,7,FALSE))</f>
        <v>Bordeaux</v>
      </c>
      <c r="E143" s="37" t="str">
        <f>IF(I143&gt;0,VLOOKUP(A143,Wine1!A:H,8,FALSE),VLOOKUP(A143,Drank!A:H,8,FALSE))</f>
        <v>Margaux</v>
      </c>
      <c r="F143" s="37" t="str">
        <f t="shared" si="11"/>
        <v>France, Bordeaux</v>
      </c>
      <c r="G143" s="37" t="str">
        <f t="shared" si="12"/>
        <v>France, Bordeaux, Margaux</v>
      </c>
      <c r="H143" s="37">
        <f>COUNTIF(Agibility!A:A,UniqueID!A143)</f>
        <v>1</v>
      </c>
      <c r="I143" s="37">
        <f>COUNTIF(Wine1!A:A,UniqueID!A143)</f>
        <v>2</v>
      </c>
      <c r="J143" s="37">
        <f>COUNTIF(Drank!A:A,UniqueID!A143)</f>
        <v>0</v>
      </c>
      <c r="K143" s="37">
        <f>IF(I143&lt;1,VLOOKUP(A143,Drank!A:S,19,FALSE),VLOOKUP(A143,Wine1!A:AI,26,FALSE))</f>
        <v>91</v>
      </c>
      <c r="L143" s="37">
        <f>IF(I143&lt;1,VLOOKUP(A143,Drank!A:Z,25,FALSE),VLOOKUP(A143,Wine1!A:AI,35,FALSE))</f>
        <v>80</v>
      </c>
      <c r="M143" s="37">
        <f t="shared" si="10"/>
        <v>2</v>
      </c>
      <c r="N143" s="37">
        <f t="shared" si="13"/>
        <v>1.098901098901099E-2</v>
      </c>
      <c r="O143" s="37">
        <f t="shared" si="14"/>
        <v>72.8</v>
      </c>
      <c r="P143" s="37">
        <f>IF(N143&gt;0,M143,IF(L143&gt;=64.99,4,IF(L143&gt;=Expenses!C172,3,IF(UniqueID!L143&gt;=Expenses!C171,2,1))))</f>
        <v>2</v>
      </c>
      <c r="Q143" s="37">
        <f>IF(O143&gt;=64.99,4,IF(N143&gt;0,M143,IF(L143&gt;=64.99,4,IF(L143&gt;=Expenses!C172,3,IF(UniqueID!L143&gt;=Expenses!C171,2,1)))))</f>
        <v>4</v>
      </c>
      <c r="R143" s="37"/>
      <c r="S143" s="37"/>
    </row>
    <row r="144" spans="1:19" x14ac:dyDescent="0.25">
      <c r="A144" t="s">
        <v>553</v>
      </c>
      <c r="C144" s="37" t="str">
        <f>IF(I144&gt;0,VLOOKUP(A144,Wine1!A:H,6,FALSE),VLOOKUP(A144,Drank!A:H,6,FALSE))</f>
        <v>Italy</v>
      </c>
      <c r="D144" s="37" t="str">
        <f>IF(I144&gt;0,VLOOKUP(A144,Wine1!A:H,7,FALSE),VLOOKUP(A144,Drank!A:H,7,FALSE))</f>
        <v>Tuscany</v>
      </c>
      <c r="E144" s="37" t="str">
        <f>IF(I144&gt;0,VLOOKUP(A144,Wine1!A:H,8,FALSE),VLOOKUP(A144,Drank!A:H,8,FALSE))</f>
        <v>Brunello di Montalcino</v>
      </c>
      <c r="F144" s="37" t="str">
        <f t="shared" si="11"/>
        <v>Italy, Tuscany</v>
      </c>
      <c r="G144" s="37" t="str">
        <f t="shared" si="12"/>
        <v>Italy, Tuscany, Brunello di Montalcino</v>
      </c>
      <c r="H144" s="37">
        <f>COUNTIF(Agibility!A:A,UniqueID!A144)</f>
        <v>1</v>
      </c>
      <c r="I144" s="37">
        <f>COUNTIF(Wine1!A:A,UniqueID!A144)</f>
        <v>2</v>
      </c>
      <c r="J144" s="37">
        <f>COUNTIF(Drank!A:A,UniqueID!A144)</f>
        <v>1</v>
      </c>
      <c r="K144" s="37">
        <f>IF(I144&lt;1,VLOOKUP(A144,Drank!A:S,19,FALSE),VLOOKUP(A144,Wine1!A:AI,26,FALSE))</f>
        <v>93</v>
      </c>
      <c r="L144" s="37">
        <f>IF(I144&lt;1,VLOOKUP(A144,Drank!A:Z,25,FALSE),VLOOKUP(A144,Wine1!A:AI,35,FALSE))</f>
        <v>52</v>
      </c>
      <c r="M144" s="37">
        <f t="shared" si="10"/>
        <v>3</v>
      </c>
      <c r="N144" s="37">
        <f t="shared" si="13"/>
        <v>1.0752688172043012E-2</v>
      </c>
      <c r="O144" s="37">
        <f t="shared" si="14"/>
        <v>48.36</v>
      </c>
      <c r="P144" s="37">
        <f>IF(N144&gt;0,M144,IF(L144&gt;=64.99,4,IF(L144&gt;=Expenses!C173,3,IF(UniqueID!L144&gt;=Expenses!C172,2,1))))</f>
        <v>3</v>
      </c>
      <c r="Q144" s="37">
        <f>IF(O144&gt;=64.99,4,IF(N144&gt;0,M144,IF(L144&gt;=64.99,4,IF(L144&gt;=Expenses!C173,3,IF(UniqueID!L144&gt;=Expenses!C172,2,1)))))</f>
        <v>3</v>
      </c>
      <c r="R144" s="37"/>
      <c r="S144" s="37"/>
    </row>
    <row r="145" spans="1:19" x14ac:dyDescent="0.25">
      <c r="A145" t="s">
        <v>554</v>
      </c>
      <c r="C145" s="37" t="str">
        <f>IF(I145&gt;0,VLOOKUP(A145,Wine1!A:H,6,FALSE),VLOOKUP(A145,Drank!A:H,6,FALSE))</f>
        <v>Portugal</v>
      </c>
      <c r="D145" s="37" t="str">
        <f>IF(I145&gt;0,VLOOKUP(A145,Wine1!A:H,7,FALSE),VLOOKUP(A145,Drank!A:H,7,FALSE))</f>
        <v>Douro</v>
      </c>
      <c r="E145" s="37">
        <f>IF(I145&gt;0,VLOOKUP(A145,Wine1!A:H,8,FALSE),VLOOKUP(A145,Drank!A:H,8,FALSE))</f>
        <v>0</v>
      </c>
      <c r="F145" s="37" t="str">
        <f t="shared" si="11"/>
        <v>Portugal, Douro</v>
      </c>
      <c r="G145" s="37" t="str">
        <f t="shared" si="12"/>
        <v>Portugal, Douro, 0</v>
      </c>
      <c r="H145" s="37">
        <f>COUNTIF(Agibility!A:A,UniqueID!A145)</f>
        <v>1</v>
      </c>
      <c r="I145" s="37">
        <f>COUNTIF(Wine1!A:A,UniqueID!A145)</f>
        <v>0</v>
      </c>
      <c r="J145" s="37">
        <f>COUNTIF(Drank!A:A,UniqueID!A145)</f>
        <v>1</v>
      </c>
      <c r="K145" s="37">
        <f>IF(I145&lt;1,VLOOKUP(A145,Drank!A:S,19,FALSE),VLOOKUP(A145,Wine1!A:AI,26,FALSE))</f>
        <v>95</v>
      </c>
      <c r="L145" s="37">
        <f>IF(I145&lt;1,VLOOKUP(A145,Drank!A:Z,25,FALSE),VLOOKUP(A145,Wine1!A:AI,35,FALSE))</f>
        <v>99.99</v>
      </c>
      <c r="M145" s="37">
        <f t="shared" si="10"/>
        <v>3</v>
      </c>
      <c r="N145" s="37">
        <f t="shared" si="13"/>
        <v>1.0526315789473684E-2</v>
      </c>
      <c r="O145" s="37">
        <f t="shared" si="14"/>
        <v>94.990499999999997</v>
      </c>
      <c r="P145" s="37">
        <f>IF(N145&gt;0,M145,IF(L145&gt;=64.99,4,IF(L145&gt;=Expenses!C174,3,IF(UniqueID!L145&gt;=Expenses!C173,2,1))))</f>
        <v>3</v>
      </c>
      <c r="Q145" s="37">
        <f>IF(O145&gt;=64.99,4,IF(N145&gt;0,M145,IF(L145&gt;=64.99,4,IF(L145&gt;=Expenses!C174,3,IF(UniqueID!L145&gt;=Expenses!C173,2,1)))))</f>
        <v>4</v>
      </c>
      <c r="R145" s="37"/>
      <c r="S145" s="37"/>
    </row>
    <row r="146" spans="1:19" x14ac:dyDescent="0.25">
      <c r="A146" t="s">
        <v>944</v>
      </c>
      <c r="C146" s="37" t="str">
        <f>IF(I146&gt;0,VLOOKUP(A146,Wine1!A:H,6,FALSE),VLOOKUP(A146,Drank!A:H,6,FALSE))</f>
        <v>Italy</v>
      </c>
      <c r="D146" s="37" t="str">
        <f>IF(I146&gt;0,VLOOKUP(A146,Wine1!A:H,7,FALSE),VLOOKUP(A146,Drank!A:H,7,FALSE))</f>
        <v>Piedmont</v>
      </c>
      <c r="E146" s="37" t="str">
        <f>IF(I146&gt;0,VLOOKUP(A146,Wine1!A:H,8,FALSE),VLOOKUP(A146,Drank!A:H,8,FALSE))</f>
        <v>Barbaresco</v>
      </c>
      <c r="F146" s="37" t="str">
        <f t="shared" si="11"/>
        <v>Italy, Piedmont</v>
      </c>
      <c r="G146" s="37" t="str">
        <f t="shared" si="12"/>
        <v>Italy, Piedmont, Barbaresco</v>
      </c>
      <c r="H146" s="37">
        <f>COUNTIF(Agibility!A:A,UniqueID!A146)</f>
        <v>1</v>
      </c>
      <c r="I146" s="37">
        <f>COUNTIF(Wine1!A:A,UniqueID!A146)</f>
        <v>3</v>
      </c>
      <c r="J146" s="37">
        <f>COUNTIF(Drank!A:A,UniqueID!A146)</f>
        <v>0</v>
      </c>
      <c r="K146" s="37">
        <f>IF(I146&lt;1,VLOOKUP(A146,Drank!A:S,19,FALSE),VLOOKUP(A146,Wine1!A:AI,26,FALSE))</f>
        <v>96</v>
      </c>
      <c r="L146" s="37">
        <f>IF(I146&lt;1,VLOOKUP(A146,Drank!A:Z,25,FALSE),VLOOKUP(A146,Wine1!A:AI,35,FALSE))</f>
        <v>59</v>
      </c>
      <c r="M146" s="37">
        <f t="shared" si="10"/>
        <v>3</v>
      </c>
      <c r="N146" s="37">
        <f t="shared" si="13"/>
        <v>1.0416666666666666E-2</v>
      </c>
      <c r="O146" s="37">
        <f t="shared" si="14"/>
        <v>56.64</v>
      </c>
      <c r="P146" s="37">
        <f>IF(N146&gt;0,M146,IF(L146&gt;=64.99,4,IF(L146&gt;=Expenses!C175,3,IF(UniqueID!L146&gt;=Expenses!C174,2,1))))</f>
        <v>3</v>
      </c>
      <c r="Q146" s="37">
        <f>IF(O146&gt;=64.99,4,IF(N146&gt;0,M146,IF(L146&gt;=64.99,4,IF(L146&gt;=Expenses!C175,3,IF(UniqueID!L146&gt;=Expenses!C174,2,1)))))</f>
        <v>3</v>
      </c>
      <c r="R146" s="37"/>
      <c r="S146" s="37"/>
    </row>
    <row r="147" spans="1:19" x14ac:dyDescent="0.25">
      <c r="A147" t="s">
        <v>555</v>
      </c>
      <c r="C147" s="37" t="str">
        <f>IF(I147&gt;0,VLOOKUP(A147,Wine1!A:H,6,FALSE),VLOOKUP(A147,Drank!A:H,6,FALSE))</f>
        <v>Italy</v>
      </c>
      <c r="D147" s="37" t="str">
        <f>IF(I147&gt;0,VLOOKUP(A147,Wine1!A:H,7,FALSE),VLOOKUP(A147,Drank!A:H,7,FALSE))</f>
        <v>Tuscany</v>
      </c>
      <c r="E147" s="37" t="str">
        <f>IF(I147&gt;0,VLOOKUP(A147,Wine1!A:H,8,FALSE),VLOOKUP(A147,Drank!A:H,8,FALSE))</f>
        <v>Brunello di Montalcino</v>
      </c>
      <c r="F147" s="37" t="str">
        <f t="shared" si="11"/>
        <v>Italy, Tuscany</v>
      </c>
      <c r="G147" s="37" t="str">
        <f t="shared" si="12"/>
        <v>Italy, Tuscany, Brunello di Montalcino</v>
      </c>
      <c r="H147" s="37">
        <f>COUNTIF(Agibility!A:A,UniqueID!A147)</f>
        <v>1</v>
      </c>
      <c r="I147" s="37">
        <f>COUNTIF(Wine1!A:A,UniqueID!A147)</f>
        <v>1</v>
      </c>
      <c r="J147" s="37">
        <f>COUNTIF(Drank!A:A,UniqueID!A147)</f>
        <v>1</v>
      </c>
      <c r="K147" s="37">
        <f>IF(I147&lt;1,VLOOKUP(A147,Drank!A:S,19,FALSE),VLOOKUP(A147,Wine1!A:AI,26,FALSE))</f>
        <v>94</v>
      </c>
      <c r="L147" s="37">
        <f>IF(I147&lt;1,VLOOKUP(A147,Drank!A:Z,25,FALSE),VLOOKUP(A147,Wine1!A:AI,35,FALSE))</f>
        <v>39.99</v>
      </c>
      <c r="M147" s="37">
        <f t="shared" si="10"/>
        <v>3</v>
      </c>
      <c r="N147" s="37">
        <f t="shared" si="13"/>
        <v>1.0638297872340425E-2</v>
      </c>
      <c r="O147" s="37">
        <f t="shared" si="14"/>
        <v>37.590600000000002</v>
      </c>
      <c r="P147" s="37">
        <f>IF(N147&gt;0,M147,IF(L147&gt;=64.99,4,IF(L147&gt;=Expenses!C176,3,IF(UniqueID!L147&gt;=Expenses!C175,2,1))))</f>
        <v>3</v>
      </c>
      <c r="Q147" s="37">
        <f>IF(O147&gt;=64.99,4,IF(N147&gt;0,M147,IF(L147&gt;=64.99,4,IF(L147&gt;=Expenses!C176,3,IF(UniqueID!L147&gt;=Expenses!C175,2,1)))))</f>
        <v>3</v>
      </c>
      <c r="R147" s="37"/>
      <c r="S147" s="37"/>
    </row>
    <row r="148" spans="1:19" x14ac:dyDescent="0.25">
      <c r="A148" t="s">
        <v>557</v>
      </c>
      <c r="C148" s="37" t="str">
        <f>IF(I148&gt;0,VLOOKUP(A148,Wine1!A:H,6,FALSE),VLOOKUP(A148,Drank!A:H,6,FALSE))</f>
        <v>Italy</v>
      </c>
      <c r="D148" s="37" t="str">
        <f>IF(I148&gt;0,VLOOKUP(A148,Wine1!A:H,7,FALSE),VLOOKUP(A148,Drank!A:H,7,FALSE))</f>
        <v>Tuscany</v>
      </c>
      <c r="E148" s="37" t="str">
        <f>IF(I148&gt;0,VLOOKUP(A148,Wine1!A:H,8,FALSE),VLOOKUP(A148,Drank!A:H,8,FALSE))</f>
        <v>Brunello di Montalcino</v>
      </c>
      <c r="F148" s="37" t="str">
        <f t="shared" si="11"/>
        <v>Italy, Tuscany</v>
      </c>
      <c r="G148" s="37" t="str">
        <f t="shared" si="12"/>
        <v>Italy, Tuscany, Brunello di Montalcino</v>
      </c>
      <c r="H148" s="37">
        <f>COUNTIF(Agibility!A:A,UniqueID!A148)</f>
        <v>1</v>
      </c>
      <c r="I148" s="37">
        <f>COUNTIF(Wine1!A:A,UniqueID!A148)</f>
        <v>1</v>
      </c>
      <c r="J148" s="37">
        <f>COUNTIF(Drank!A:A,UniqueID!A148)</f>
        <v>2</v>
      </c>
      <c r="K148" s="37">
        <f>IF(I148&lt;1,VLOOKUP(A148,Drank!A:S,19,FALSE),VLOOKUP(A148,Wine1!A:AI,26,FALSE))</f>
        <v>90.5</v>
      </c>
      <c r="L148" s="37">
        <f>IF(I148&lt;1,VLOOKUP(A148,Drank!A:Z,25,FALSE),VLOOKUP(A148,Wine1!A:AI,35,FALSE))</f>
        <v>32.99</v>
      </c>
      <c r="M148" s="37">
        <f t="shared" si="10"/>
        <v>2</v>
      </c>
      <c r="N148" s="37">
        <f t="shared" si="13"/>
        <v>1.1049723756906077E-2</v>
      </c>
      <c r="O148" s="37">
        <f t="shared" si="14"/>
        <v>29.855950000000004</v>
      </c>
      <c r="P148" s="37">
        <f>IF(N148&gt;0,M148,IF(L148&gt;=64.99,4,IF(L148&gt;=Expenses!C177,3,IF(UniqueID!L148&gt;=Expenses!C176,2,1))))</f>
        <v>2</v>
      </c>
      <c r="Q148" s="37">
        <f>IF(O148&gt;=64.99,4,IF(N148&gt;0,M148,IF(L148&gt;=64.99,4,IF(L148&gt;=Expenses!C177,3,IF(UniqueID!L148&gt;=Expenses!C176,2,1)))))</f>
        <v>2</v>
      </c>
      <c r="R148" s="37"/>
      <c r="S148" s="37"/>
    </row>
    <row r="149" spans="1:19" x14ac:dyDescent="0.25">
      <c r="A149" t="s">
        <v>556</v>
      </c>
      <c r="C149" s="37" t="str">
        <f>IF(I149&gt;0,VLOOKUP(A149,Wine1!A:H,6,FALSE),VLOOKUP(A149,Drank!A:H,6,FALSE))</f>
        <v>Italy</v>
      </c>
      <c r="D149" s="37" t="str">
        <f>IF(I149&gt;0,VLOOKUP(A149,Wine1!A:H,7,FALSE),VLOOKUP(A149,Drank!A:H,7,FALSE))</f>
        <v>Piedmont</v>
      </c>
      <c r="E149" s="37" t="str">
        <f>IF(I149&gt;0,VLOOKUP(A149,Wine1!A:H,8,FALSE),VLOOKUP(A149,Drank!A:H,8,FALSE))</f>
        <v>Barbaresco</v>
      </c>
      <c r="F149" s="37" t="str">
        <f t="shared" si="11"/>
        <v>Italy, Piedmont</v>
      </c>
      <c r="G149" s="37" t="str">
        <f t="shared" si="12"/>
        <v>Italy, Piedmont, Barbaresco</v>
      </c>
      <c r="H149" s="37">
        <f>COUNTIF(Agibility!A:A,UniqueID!A149)</f>
        <v>1</v>
      </c>
      <c r="I149" s="37">
        <f>COUNTIF(Wine1!A:A,UniqueID!A149)</f>
        <v>1</v>
      </c>
      <c r="J149" s="37">
        <f>COUNTIF(Drank!A:A,UniqueID!A149)</f>
        <v>1</v>
      </c>
      <c r="K149" s="37">
        <f>IF(I149&lt;1,VLOOKUP(A149,Drank!A:S,19,FALSE),VLOOKUP(A149,Wine1!A:AI,26,FALSE))</f>
        <v>91</v>
      </c>
      <c r="L149" s="37">
        <f>IF(I149&lt;1,VLOOKUP(A149,Drank!A:Z,25,FALSE),VLOOKUP(A149,Wine1!A:AI,35,FALSE))</f>
        <v>40</v>
      </c>
      <c r="M149" s="37">
        <f t="shared" si="10"/>
        <v>2</v>
      </c>
      <c r="N149" s="37">
        <f t="shared" si="13"/>
        <v>1.098901098901099E-2</v>
      </c>
      <c r="O149" s="37">
        <f t="shared" si="14"/>
        <v>36.4</v>
      </c>
      <c r="P149" s="37">
        <f>IF(N149&gt;0,M149,IF(L149&gt;=64.99,4,IF(L149&gt;=Expenses!C178,3,IF(UniqueID!L149&gt;=Expenses!C177,2,1))))</f>
        <v>2</v>
      </c>
      <c r="Q149" s="37">
        <f>IF(O149&gt;=64.99,4,IF(N149&gt;0,M149,IF(L149&gt;=64.99,4,IF(L149&gt;=Expenses!C178,3,IF(UniqueID!L149&gt;=Expenses!C177,2,1)))))</f>
        <v>2</v>
      </c>
      <c r="R149" s="37"/>
      <c r="S149" s="37"/>
    </row>
    <row r="150" spans="1:19" x14ac:dyDescent="0.25">
      <c r="A150" t="s">
        <v>945</v>
      </c>
      <c r="C150" s="37" t="str">
        <f>IF(I150&gt;0,VLOOKUP(A150,Wine1!A:H,6,FALSE),VLOOKUP(A150,Drank!A:H,6,FALSE))</f>
        <v>France</v>
      </c>
      <c r="D150" s="37" t="str">
        <f>IF(I150&gt;0,VLOOKUP(A150,Wine1!A:H,7,FALSE),VLOOKUP(A150,Drank!A:H,7,FALSE))</f>
        <v>Bordeaux</v>
      </c>
      <c r="E150" s="37" t="str">
        <f>IF(I150&gt;0,VLOOKUP(A150,Wine1!A:H,8,FALSE),VLOOKUP(A150,Drank!A:H,8,FALSE))</f>
        <v>Sauternes, Barsac</v>
      </c>
      <c r="F150" s="37" t="str">
        <f t="shared" si="11"/>
        <v>France, Bordeaux</v>
      </c>
      <c r="G150" s="37" t="str">
        <f t="shared" si="12"/>
        <v>France, Bordeaux, Sauternes, Barsac</v>
      </c>
      <c r="H150" s="37">
        <f>COUNTIF(Agibility!A:A,UniqueID!A150)</f>
        <v>1</v>
      </c>
      <c r="I150" s="37">
        <f>COUNTIF(Wine1!A:A,UniqueID!A150)</f>
        <v>3</v>
      </c>
      <c r="J150" s="37">
        <f>COUNTIF(Drank!A:A,UniqueID!A150)</f>
        <v>0</v>
      </c>
      <c r="K150" s="37">
        <f>IF(I150&lt;1,VLOOKUP(A150,Drank!A:S,19,FALSE),VLOOKUP(A150,Wine1!A:AI,26,FALSE))</f>
        <v>95</v>
      </c>
      <c r="L150" s="37">
        <f>IF(I150&lt;1,VLOOKUP(A150,Drank!A:Z,25,FALSE),VLOOKUP(A150,Wine1!A:AI,35,FALSE))</f>
        <v>43.98</v>
      </c>
      <c r="M150" s="37">
        <f t="shared" si="10"/>
        <v>3</v>
      </c>
      <c r="N150" s="37">
        <f t="shared" si="13"/>
        <v>1.0526315789473684E-2</v>
      </c>
      <c r="O150" s="37">
        <f t="shared" si="14"/>
        <v>41.780999999999999</v>
      </c>
      <c r="P150" s="37">
        <f>IF(N150&gt;0,M150,IF(L150&gt;=64.99,4,IF(L150&gt;=Expenses!C179,3,IF(UniqueID!L150&gt;=Expenses!C178,2,1))))</f>
        <v>3</v>
      </c>
      <c r="Q150" s="37">
        <f>IF(O150&gt;=64.99,4,IF(N150&gt;0,M150,IF(L150&gt;=64.99,4,IF(L150&gt;=Expenses!C179,3,IF(UniqueID!L150&gt;=Expenses!C178,2,1)))))</f>
        <v>3</v>
      </c>
      <c r="R150" s="37"/>
      <c r="S150" s="37"/>
    </row>
    <row r="151" spans="1:19" x14ac:dyDescent="0.25">
      <c r="A151" t="s">
        <v>946</v>
      </c>
      <c r="C151" s="37" t="e">
        <f>IF(I151&gt;0,VLOOKUP(A151,Wine1!A:H,6,FALSE),VLOOKUP(A151,Drank!A:H,6,FALSE))</f>
        <v>#N/A</v>
      </c>
      <c r="D151" s="37" t="e">
        <f>IF(I151&gt;0,VLOOKUP(A151,Wine1!A:H,7,FALSE),VLOOKUP(A151,Drank!A:H,7,FALSE))</f>
        <v>#N/A</v>
      </c>
      <c r="E151" s="37" t="e">
        <f>IF(I151&gt;0,VLOOKUP(A151,Wine1!A:H,8,FALSE),VLOOKUP(A151,Drank!A:H,8,FALSE))</f>
        <v>#N/A</v>
      </c>
      <c r="F151" s="37" t="e">
        <f t="shared" si="11"/>
        <v>#N/A</v>
      </c>
      <c r="G151" s="37" t="e">
        <f t="shared" si="12"/>
        <v>#N/A</v>
      </c>
      <c r="H151" s="37">
        <f>COUNTIF(Agibility!A:A,UniqueID!A151)</f>
        <v>1</v>
      </c>
      <c r="I151" s="37">
        <f>COUNTIF(Wine1!A:A,UniqueID!A151)</f>
        <v>0</v>
      </c>
      <c r="J151" s="37">
        <f>COUNTIF(Drank!A:A,UniqueID!A151)</f>
        <v>0</v>
      </c>
      <c r="K151" s="37" t="e">
        <f>IF(I151&lt;1,VLOOKUP(A151,Drank!A:S,19,FALSE),VLOOKUP(A151,Wine1!A:AI,26,FALSE))</f>
        <v>#N/A</v>
      </c>
      <c r="L151" s="37" t="e">
        <f>IF(I151&lt;1,VLOOKUP(A151,Drank!A:Z,25,FALSE),VLOOKUP(A151,Wine1!A:AI,35,FALSE))</f>
        <v>#N/A</v>
      </c>
      <c r="M151" s="37" t="e">
        <f t="shared" si="10"/>
        <v>#N/A</v>
      </c>
      <c r="N151" s="37">
        <f t="shared" si="13"/>
        <v>0</v>
      </c>
      <c r="O151" s="37">
        <f t="shared" si="14"/>
        <v>0</v>
      </c>
      <c r="P151" s="37" t="e">
        <f>IF(N151&gt;0,M151,IF(L151&gt;=64.99,4,IF(L151&gt;=Expenses!C180,3,IF(UniqueID!L151&gt;=Expenses!C179,2,1))))</f>
        <v>#N/A</v>
      </c>
      <c r="Q151" s="37" t="e">
        <f>IF(O151&gt;=64.99,4,IF(N151&gt;0,M151,IF(L151&gt;=64.99,4,IF(L151&gt;=Expenses!C180,3,IF(UniqueID!L151&gt;=Expenses!C179,2,1)))))</f>
        <v>#N/A</v>
      </c>
      <c r="R151" s="37"/>
      <c r="S151" s="37"/>
    </row>
    <row r="152" spans="1:19" x14ac:dyDescent="0.25">
      <c r="A152" t="s">
        <v>558</v>
      </c>
      <c r="C152" s="37" t="str">
        <f>IF(I152&gt;0,VLOOKUP(A152,Wine1!A:H,6,FALSE),VLOOKUP(A152,Drank!A:H,6,FALSE))</f>
        <v>Italy</v>
      </c>
      <c r="D152" s="37" t="str">
        <f>IF(I152&gt;0,VLOOKUP(A152,Wine1!A:H,7,FALSE),VLOOKUP(A152,Drank!A:H,7,FALSE))</f>
        <v>Tuscany</v>
      </c>
      <c r="E152" s="37" t="str">
        <f>IF(I152&gt;0,VLOOKUP(A152,Wine1!A:H,8,FALSE),VLOOKUP(A152,Drank!A:H,8,FALSE))</f>
        <v>Brunello di Montalcino</v>
      </c>
      <c r="F152" s="37" t="str">
        <f t="shared" si="11"/>
        <v>Italy, Tuscany</v>
      </c>
      <c r="G152" s="37" t="str">
        <f t="shared" si="12"/>
        <v>Italy, Tuscany, Brunello di Montalcino</v>
      </c>
      <c r="H152" s="37">
        <f>COUNTIF(Agibility!A:A,UniqueID!A152)</f>
        <v>1</v>
      </c>
      <c r="I152" s="37">
        <f>COUNTIF(Wine1!A:A,UniqueID!A152)</f>
        <v>1</v>
      </c>
      <c r="J152" s="37">
        <f>COUNTIF(Drank!A:A,UniqueID!A152)</f>
        <v>0</v>
      </c>
      <c r="K152" s="37">
        <f>IF(I152&lt;1,VLOOKUP(A152,Drank!A:S,19,FALSE),VLOOKUP(A152,Wine1!A:AI,26,FALSE))</f>
        <v>93</v>
      </c>
      <c r="L152" s="37">
        <f>IF(I152&lt;1,VLOOKUP(A152,Drank!A:Z,25,FALSE),VLOOKUP(A152,Wine1!A:AI,35,FALSE))</f>
        <v>54.989999999999995</v>
      </c>
      <c r="M152" s="37">
        <f t="shared" si="10"/>
        <v>3</v>
      </c>
      <c r="N152" s="37">
        <f t="shared" si="13"/>
        <v>1.0752688172043012E-2</v>
      </c>
      <c r="O152" s="37">
        <f t="shared" si="14"/>
        <v>51.140699999999995</v>
      </c>
      <c r="P152" s="37">
        <f>IF(N152&gt;0,M152,IF(L152&gt;=64.99,4,IF(L152&gt;=Expenses!C181,3,IF(UniqueID!L152&gt;=Expenses!C180,2,1))))</f>
        <v>3</v>
      </c>
      <c r="Q152" s="37">
        <f>IF(O152&gt;=64.99,4,IF(N152&gt;0,M152,IF(L152&gt;=64.99,4,IF(L152&gt;=Expenses!C181,3,IF(UniqueID!L152&gt;=Expenses!C180,2,1)))))</f>
        <v>3</v>
      </c>
      <c r="R152" s="37"/>
      <c r="S152" s="37"/>
    </row>
    <row r="153" spans="1:19" x14ac:dyDescent="0.25">
      <c r="A153" t="s">
        <v>1280</v>
      </c>
      <c r="C153" s="37" t="str">
        <f>IF(I153&gt;0,VLOOKUP(A153,Wine1!A:H,6,FALSE),VLOOKUP(A153,Drank!A:H,6,FALSE))</f>
        <v>Italy</v>
      </c>
      <c r="D153" s="37" t="str">
        <f>IF(I153&gt;0,VLOOKUP(A153,Wine1!A:H,7,FALSE),VLOOKUP(A153,Drank!A:H,7,FALSE))</f>
        <v>Tuscany</v>
      </c>
      <c r="E153" s="37" t="str">
        <f>IF(I153&gt;0,VLOOKUP(A153,Wine1!A:H,8,FALSE),VLOOKUP(A153,Drank!A:H,8,FALSE))</f>
        <v>Brunello di Montalcino</v>
      </c>
      <c r="F153" s="37" t="str">
        <f t="shared" si="11"/>
        <v>Italy, Tuscany</v>
      </c>
      <c r="G153" s="37" t="str">
        <f t="shared" si="12"/>
        <v>Italy, Tuscany, Brunello di Montalcino</v>
      </c>
      <c r="H153" s="37">
        <f>COUNTIF(Agibility!A:A,UniqueID!A153)</f>
        <v>1</v>
      </c>
      <c r="I153" s="37">
        <f>COUNTIF(Wine1!A:A,UniqueID!A153)</f>
        <v>1</v>
      </c>
      <c r="J153" s="37">
        <f>COUNTIF(Drank!A:A,UniqueID!A153)</f>
        <v>0</v>
      </c>
      <c r="K153" s="37">
        <f>IF(I153&lt;1,VLOOKUP(A153,Drank!A:S,19,FALSE),VLOOKUP(A153,Wine1!A:AI,26,FALSE))</f>
        <v>92</v>
      </c>
      <c r="L153" s="37">
        <f>IF(I153&lt;1,VLOOKUP(A153,Drank!A:Z,25,FALSE),VLOOKUP(A153,Wine1!A:AI,35,FALSE))</f>
        <v>48</v>
      </c>
      <c r="M153" s="37">
        <f t="shared" si="10"/>
        <v>2</v>
      </c>
      <c r="N153" s="37">
        <f t="shared" si="13"/>
        <v>1.0869565217391304E-2</v>
      </c>
      <c r="O153" s="37">
        <f t="shared" si="14"/>
        <v>44.160000000000004</v>
      </c>
      <c r="P153" s="37">
        <f>IF(N153&gt;0,M153,IF(L153&gt;=64.99,4,IF(L153&gt;=Expenses!C182,3,IF(UniqueID!L153&gt;=Expenses!C181,2,1))))</f>
        <v>2</v>
      </c>
      <c r="Q153" s="37">
        <f>IF(O153&gt;=64.99,4,IF(N153&gt;0,M153,IF(L153&gt;=64.99,4,IF(L153&gt;=Expenses!C182,3,IF(UniqueID!L153&gt;=Expenses!C181,2,1)))))</f>
        <v>2</v>
      </c>
      <c r="R153" s="37"/>
      <c r="S153" s="37"/>
    </row>
    <row r="154" spans="1:19" x14ac:dyDescent="0.25">
      <c r="A154" t="s">
        <v>560</v>
      </c>
      <c r="C154" s="37" t="str">
        <f>IF(I154&gt;0,VLOOKUP(A154,Wine1!A:H,6,FALSE),VLOOKUP(A154,Drank!A:H,6,FALSE))</f>
        <v>Italy</v>
      </c>
      <c r="D154" s="37" t="str">
        <f>IF(I154&gt;0,VLOOKUP(A154,Wine1!A:H,7,FALSE),VLOOKUP(A154,Drank!A:H,7,FALSE))</f>
        <v>Tuscany</v>
      </c>
      <c r="E154" s="37" t="str">
        <f>IF(I154&gt;0,VLOOKUP(A154,Wine1!A:H,8,FALSE),VLOOKUP(A154,Drank!A:H,8,FALSE))</f>
        <v>Brunello di Montalcino</v>
      </c>
      <c r="F154" s="37" t="str">
        <f t="shared" si="11"/>
        <v>Italy, Tuscany</v>
      </c>
      <c r="G154" s="37" t="str">
        <f t="shared" si="12"/>
        <v>Italy, Tuscany, Brunello di Montalcino</v>
      </c>
      <c r="H154" s="37">
        <f>COUNTIF(Agibility!A:A,UniqueID!A154)</f>
        <v>1</v>
      </c>
      <c r="I154" s="37">
        <f>COUNTIF(Wine1!A:A,UniqueID!A154)</f>
        <v>1</v>
      </c>
      <c r="J154" s="37">
        <f>COUNTIF(Drank!A:A,UniqueID!A154)</f>
        <v>0</v>
      </c>
      <c r="K154" s="37">
        <f>IF(I154&lt;1,VLOOKUP(A154,Drank!A:S,19,FALSE),VLOOKUP(A154,Wine1!A:AI,26,FALSE))</f>
        <v>92</v>
      </c>
      <c r="L154" s="37">
        <f>IF(I154&lt;1,VLOOKUP(A154,Drank!A:Z,25,FALSE),VLOOKUP(A154,Wine1!A:AI,35,FALSE))</f>
        <v>30</v>
      </c>
      <c r="M154" s="37">
        <f t="shared" si="10"/>
        <v>2</v>
      </c>
      <c r="N154" s="37">
        <f t="shared" si="13"/>
        <v>1.0869565217391304E-2</v>
      </c>
      <c r="O154" s="37">
        <f t="shared" si="14"/>
        <v>27.6</v>
      </c>
      <c r="P154" s="37">
        <f>IF(N154&gt;0,M154,IF(L154&gt;=64.99,4,IF(L154&gt;=Expenses!C183,3,IF(UniqueID!L154&gt;=Expenses!C182,2,1))))</f>
        <v>2</v>
      </c>
      <c r="Q154" s="37">
        <f>IF(O154&gt;=64.99,4,IF(N154&gt;0,M154,IF(L154&gt;=64.99,4,IF(L154&gt;=Expenses!C183,3,IF(UniqueID!L154&gt;=Expenses!C182,2,1)))))</f>
        <v>2</v>
      </c>
      <c r="R154" s="37"/>
      <c r="S154" s="37"/>
    </row>
    <row r="155" spans="1:19" x14ac:dyDescent="0.25">
      <c r="A155" t="s">
        <v>561</v>
      </c>
      <c r="C155" s="37" t="str">
        <f>IF(I155&gt;0,VLOOKUP(A155,Wine1!A:H,6,FALSE),VLOOKUP(A155,Drank!A:H,6,FALSE))</f>
        <v>Italy</v>
      </c>
      <c r="D155" s="37" t="str">
        <f>IF(I155&gt;0,VLOOKUP(A155,Wine1!A:H,7,FALSE),VLOOKUP(A155,Drank!A:H,7,FALSE))</f>
        <v>Piedmont</v>
      </c>
      <c r="E155" s="37" t="str">
        <f>IF(I155&gt;0,VLOOKUP(A155,Wine1!A:H,8,FALSE),VLOOKUP(A155,Drank!A:H,8,FALSE))</f>
        <v>Barolo, Monforte Bussia</v>
      </c>
      <c r="F155" s="37" t="str">
        <f t="shared" si="11"/>
        <v>Italy, Piedmont</v>
      </c>
      <c r="G155" s="37" t="str">
        <f t="shared" si="12"/>
        <v>Italy, Piedmont, Barolo, Monforte Bussia</v>
      </c>
      <c r="H155" s="37">
        <f>COUNTIF(Agibility!A:A,UniqueID!A155)</f>
        <v>1</v>
      </c>
      <c r="I155" s="37">
        <f>COUNTIF(Wine1!A:A,UniqueID!A155)</f>
        <v>1</v>
      </c>
      <c r="J155" s="37">
        <f>COUNTIF(Drank!A:A,UniqueID!A155)</f>
        <v>0</v>
      </c>
      <c r="K155" s="37">
        <f>IF(I155&lt;1,VLOOKUP(A155,Drank!A:S,19,FALSE),VLOOKUP(A155,Wine1!A:AI,26,FALSE))</f>
        <v>96</v>
      </c>
      <c r="L155" s="37">
        <f>IF(I155&lt;1,VLOOKUP(A155,Drank!A:Z,25,FALSE),VLOOKUP(A155,Wine1!A:AI,35,FALSE))</f>
        <v>74</v>
      </c>
      <c r="M155" s="37">
        <f t="shared" si="10"/>
        <v>3</v>
      </c>
      <c r="N155" s="37">
        <f t="shared" si="13"/>
        <v>1.0416666666666666E-2</v>
      </c>
      <c r="O155" s="37">
        <f t="shared" si="14"/>
        <v>71.039999999999992</v>
      </c>
      <c r="P155" s="37">
        <f>IF(N155&gt;0,M155,IF(L155&gt;=64.99,4,IF(L155&gt;=Expenses!C184,3,IF(UniqueID!L155&gt;=Expenses!C183,2,1))))</f>
        <v>3</v>
      </c>
      <c r="Q155" s="37">
        <f>IF(O155&gt;=64.99,4,IF(N155&gt;0,M155,IF(L155&gt;=64.99,4,IF(L155&gt;=Expenses!C184,3,IF(UniqueID!L155&gt;=Expenses!C183,2,1)))))</f>
        <v>4</v>
      </c>
      <c r="R155" s="37"/>
      <c r="S155" s="37"/>
    </row>
    <row r="156" spans="1:19" x14ac:dyDescent="0.25">
      <c r="A156" t="s">
        <v>562</v>
      </c>
      <c r="C156" s="37" t="str">
        <f>IF(I156&gt;0,VLOOKUP(A156,Wine1!A:H,6,FALSE),VLOOKUP(A156,Drank!A:H,6,FALSE))</f>
        <v>USA</v>
      </c>
      <c r="D156" s="37" t="str">
        <f>IF(I156&gt;0,VLOOKUP(A156,Wine1!A:H,7,FALSE),VLOOKUP(A156,Drank!A:H,7,FALSE))</f>
        <v>California</v>
      </c>
      <c r="E156" s="37" t="str">
        <f>IF(I156&gt;0,VLOOKUP(A156,Wine1!A:H,8,FALSE),VLOOKUP(A156,Drank!A:H,8,FALSE))</f>
        <v>North Coast, Napa Valley</v>
      </c>
      <c r="F156" s="37" t="str">
        <f t="shared" si="11"/>
        <v>USA, California</v>
      </c>
      <c r="G156" s="37" t="str">
        <f t="shared" si="12"/>
        <v>USA, California, North Coast, Napa Valley</v>
      </c>
      <c r="H156" s="37">
        <f>COUNTIF(Agibility!A:A,UniqueID!A156)</f>
        <v>1</v>
      </c>
      <c r="I156" s="37">
        <f>COUNTIF(Wine1!A:A,UniqueID!A156)</f>
        <v>1</v>
      </c>
      <c r="J156" s="37">
        <f>COUNTIF(Drank!A:A,UniqueID!A156)</f>
        <v>0</v>
      </c>
      <c r="K156" s="37">
        <f>IF(I156&lt;1,VLOOKUP(A156,Drank!A:S,19,FALSE),VLOOKUP(A156,Wine1!A:AI,26,FALSE))</f>
        <v>92</v>
      </c>
      <c r="L156" s="37">
        <f>IF(I156&lt;1,VLOOKUP(A156,Drank!A:Z,25,FALSE),VLOOKUP(A156,Wine1!A:AI,35,FALSE))</f>
        <v>52</v>
      </c>
      <c r="M156" s="37">
        <f t="shared" si="10"/>
        <v>2</v>
      </c>
      <c r="N156" s="37">
        <f t="shared" si="13"/>
        <v>1.0869565217391304E-2</v>
      </c>
      <c r="O156" s="37">
        <f t="shared" si="14"/>
        <v>47.84</v>
      </c>
      <c r="P156" s="37">
        <f>IF(N156&gt;0,M156,IF(L156&gt;=64.99,4,IF(L156&gt;=Expenses!C185,3,IF(UniqueID!L156&gt;=Expenses!C184,2,1))))</f>
        <v>2</v>
      </c>
      <c r="Q156" s="37">
        <f>IF(O156&gt;=64.99,4,IF(N156&gt;0,M156,IF(L156&gt;=64.99,4,IF(L156&gt;=Expenses!C185,3,IF(UniqueID!L156&gt;=Expenses!C184,2,1)))))</f>
        <v>2</v>
      </c>
      <c r="R156" s="37"/>
      <c r="S156" s="37"/>
    </row>
    <row r="157" spans="1:19" x14ac:dyDescent="0.25">
      <c r="A157" t="s">
        <v>563</v>
      </c>
      <c r="C157" s="37" t="str">
        <f>IF(I157&gt;0,VLOOKUP(A157,Wine1!A:H,6,FALSE),VLOOKUP(A157,Drank!A:H,6,FALSE))</f>
        <v>Italy</v>
      </c>
      <c r="D157" s="37" t="str">
        <f>IF(I157&gt;0,VLOOKUP(A157,Wine1!A:H,7,FALSE),VLOOKUP(A157,Drank!A:H,7,FALSE))</f>
        <v>Tuscany</v>
      </c>
      <c r="E157" s="37" t="str">
        <f>IF(I157&gt;0,VLOOKUP(A157,Wine1!A:H,8,FALSE),VLOOKUP(A157,Drank!A:H,8,FALSE))</f>
        <v>Chianti Classico</v>
      </c>
      <c r="F157" s="37" t="str">
        <f t="shared" si="11"/>
        <v>Italy, Tuscany</v>
      </c>
      <c r="G157" s="37" t="str">
        <f t="shared" si="12"/>
        <v>Italy, Tuscany, Chianti Classico</v>
      </c>
      <c r="H157" s="37">
        <f>COUNTIF(Agibility!A:A,UniqueID!A157)</f>
        <v>1</v>
      </c>
      <c r="I157" s="37">
        <f>COUNTIF(Wine1!A:A,UniqueID!A157)</f>
        <v>1</v>
      </c>
      <c r="J157" s="37">
        <f>COUNTIF(Drank!A:A,UniqueID!A157)</f>
        <v>0</v>
      </c>
      <c r="K157" s="37">
        <f>IF(I157&lt;1,VLOOKUP(A157,Drank!A:S,19,FALSE),VLOOKUP(A157,Wine1!A:AI,26,FALSE))</f>
        <v>93</v>
      </c>
      <c r="L157" s="37">
        <f>IF(I157&lt;1,VLOOKUP(A157,Drank!A:Z,25,FALSE),VLOOKUP(A157,Wine1!A:AI,35,FALSE))</f>
        <v>44</v>
      </c>
      <c r="M157" s="37">
        <f t="shared" si="10"/>
        <v>3</v>
      </c>
      <c r="N157" s="37">
        <f t="shared" si="13"/>
        <v>1.0752688172043012E-2</v>
      </c>
      <c r="O157" s="37">
        <f t="shared" si="14"/>
        <v>40.92</v>
      </c>
      <c r="P157" s="37">
        <f>IF(N157&gt;0,M157,IF(L157&gt;=64.99,4,IF(L157&gt;=Expenses!C186,3,IF(UniqueID!L157&gt;=Expenses!C185,2,1))))</f>
        <v>3</v>
      </c>
      <c r="Q157" s="37">
        <f>IF(O157&gt;=64.99,4,IF(N157&gt;0,M157,IF(L157&gt;=64.99,4,IF(L157&gt;=Expenses!C186,3,IF(UniqueID!L157&gt;=Expenses!C185,2,1)))))</f>
        <v>3</v>
      </c>
      <c r="R157" s="37"/>
      <c r="S157" s="37"/>
    </row>
    <row r="158" spans="1:19" x14ac:dyDescent="0.25">
      <c r="A158" t="s">
        <v>564</v>
      </c>
      <c r="C158" s="37" t="str">
        <f>IF(I158&gt;0,VLOOKUP(A158,Wine1!A:H,6,FALSE),VLOOKUP(A158,Drank!A:H,6,FALSE))</f>
        <v>France</v>
      </c>
      <c r="D158" s="37" t="str">
        <f>IF(I158&gt;0,VLOOKUP(A158,Wine1!A:H,7,FALSE),VLOOKUP(A158,Drank!A:H,7,FALSE))</f>
        <v>Bordeaux</v>
      </c>
      <c r="E158" s="37" t="str">
        <f>IF(I158&gt;0,VLOOKUP(A158,Wine1!A:H,8,FALSE),VLOOKUP(A158,Drank!A:H,8,FALSE))</f>
        <v>Margaux</v>
      </c>
      <c r="F158" s="37" t="str">
        <f t="shared" si="11"/>
        <v>France, Bordeaux</v>
      </c>
      <c r="G158" s="37" t="str">
        <f t="shared" si="12"/>
        <v>France, Bordeaux, Margaux</v>
      </c>
      <c r="H158" s="37">
        <f>COUNTIF(Agibility!A:A,UniqueID!A158)</f>
        <v>1</v>
      </c>
      <c r="I158" s="37">
        <f>COUNTIF(Wine1!A:A,UniqueID!A158)</f>
        <v>1</v>
      </c>
      <c r="J158" s="37">
        <f>COUNTIF(Drank!A:A,UniqueID!A158)</f>
        <v>0</v>
      </c>
      <c r="K158" s="37">
        <f>IF(I158&lt;1,VLOOKUP(A158,Drank!A:S,19,FALSE),VLOOKUP(A158,Wine1!A:AI,26,FALSE))</f>
        <v>90</v>
      </c>
      <c r="L158" s="37">
        <f>IF(I158&lt;1,VLOOKUP(A158,Drank!A:Z,25,FALSE),VLOOKUP(A158,Wine1!A:AI,35,FALSE))</f>
        <v>23</v>
      </c>
      <c r="M158" s="37">
        <f t="shared" si="10"/>
        <v>2</v>
      </c>
      <c r="N158" s="37">
        <f t="shared" si="13"/>
        <v>1.1111111111111112E-2</v>
      </c>
      <c r="O158" s="37">
        <f t="shared" si="14"/>
        <v>20.7</v>
      </c>
      <c r="P158" s="37">
        <f>IF(N158&gt;0,M158,IF(L158&gt;=64.99,4,IF(L158&gt;=Expenses!C187,3,IF(UniqueID!L158&gt;=Expenses!C186,2,1))))</f>
        <v>2</v>
      </c>
      <c r="Q158" s="37">
        <f>IF(O158&gt;=64.99,4,IF(N158&gt;0,M158,IF(L158&gt;=64.99,4,IF(L158&gt;=Expenses!C187,3,IF(UniqueID!L158&gt;=Expenses!C186,2,1)))))</f>
        <v>2</v>
      </c>
      <c r="R158" s="37"/>
      <c r="S158" s="37"/>
    </row>
    <row r="159" spans="1:19" x14ac:dyDescent="0.25">
      <c r="A159" t="s">
        <v>565</v>
      </c>
      <c r="C159" s="37" t="str">
        <f>IF(I159&gt;0,VLOOKUP(A159,Wine1!A:H,6,FALSE),VLOOKUP(A159,Drank!A:H,6,FALSE))</f>
        <v>France</v>
      </c>
      <c r="D159" s="37" t="str">
        <f>IF(I159&gt;0,VLOOKUP(A159,Wine1!A:H,7,FALSE),VLOOKUP(A159,Drank!A:H,7,FALSE))</f>
        <v>Rhone</v>
      </c>
      <c r="E159" s="37" t="str">
        <f>IF(I159&gt;0,VLOOKUP(A159,Wine1!A:H,8,FALSE),VLOOKUP(A159,Drank!A:H,8,FALSE))</f>
        <v>Southern Rhone, Chateauneuf du Pape</v>
      </c>
      <c r="F159" s="37" t="str">
        <f t="shared" si="11"/>
        <v>France, Rhone</v>
      </c>
      <c r="G159" s="37" t="str">
        <f t="shared" si="12"/>
        <v>France, Rhone, Southern Rhone, Chateauneuf du Pape</v>
      </c>
      <c r="H159" s="37">
        <f>COUNTIF(Agibility!A:A,UniqueID!A159)</f>
        <v>1</v>
      </c>
      <c r="I159" s="37">
        <f>COUNTIF(Wine1!A:A,UniqueID!A159)</f>
        <v>1</v>
      </c>
      <c r="J159" s="37">
        <f>COUNTIF(Drank!A:A,UniqueID!A159)</f>
        <v>0</v>
      </c>
      <c r="K159" s="37">
        <f>IF(I159&lt;1,VLOOKUP(A159,Drank!A:S,19,FALSE),VLOOKUP(A159,Wine1!A:AI,26,FALSE))</f>
        <v>96</v>
      </c>
      <c r="L159" s="37">
        <f>IF(I159&lt;1,VLOOKUP(A159,Drank!A:Z,25,FALSE),VLOOKUP(A159,Wine1!A:AI,35,FALSE))</f>
        <v>60.999999999999993</v>
      </c>
      <c r="M159" s="37">
        <f t="shared" si="10"/>
        <v>3</v>
      </c>
      <c r="N159" s="37">
        <f t="shared" si="13"/>
        <v>1.0416666666666666E-2</v>
      </c>
      <c r="O159" s="37">
        <f t="shared" si="14"/>
        <v>58.559999999999988</v>
      </c>
      <c r="P159" s="37">
        <f>IF(N159&gt;0,M159,IF(L159&gt;=64.99,4,IF(L159&gt;=Expenses!C188,3,IF(UniqueID!L159&gt;=Expenses!C187,2,1))))</f>
        <v>3</v>
      </c>
      <c r="Q159" s="37">
        <f>IF(O159&gt;=64.99,4,IF(N159&gt;0,M159,IF(L159&gt;=64.99,4,IF(L159&gt;=Expenses!C188,3,IF(UniqueID!L159&gt;=Expenses!C187,2,1)))))</f>
        <v>3</v>
      </c>
      <c r="R159" s="37"/>
      <c r="S159" s="37"/>
    </row>
    <row r="160" spans="1:19" x14ac:dyDescent="0.25">
      <c r="A160" t="s">
        <v>460</v>
      </c>
      <c r="C160" s="37" t="str">
        <f>IF(I160&gt;0,VLOOKUP(A160,Wine1!A:H,6,FALSE),VLOOKUP(A160,Drank!A:H,6,FALSE))</f>
        <v>Italy</v>
      </c>
      <c r="D160" s="37" t="str">
        <f>IF(I160&gt;0,VLOOKUP(A160,Wine1!A:H,7,FALSE),VLOOKUP(A160,Drank!A:H,7,FALSE))</f>
        <v>Veneto</v>
      </c>
      <c r="E160" s="37" t="str">
        <f>IF(I160&gt;0,VLOOKUP(A160,Wine1!A:H,8,FALSE),VLOOKUP(A160,Drank!A:H,8,FALSE))</f>
        <v>Valpolicella Classico</v>
      </c>
      <c r="F160" s="37" t="str">
        <f t="shared" si="11"/>
        <v>Italy, Veneto</v>
      </c>
      <c r="G160" s="37" t="str">
        <f t="shared" si="12"/>
        <v>Italy, Veneto, Valpolicella Classico</v>
      </c>
      <c r="H160" s="37">
        <f>COUNTIF(Agibility!A:A,UniqueID!A160)</f>
        <v>1</v>
      </c>
      <c r="I160" s="37">
        <f>COUNTIF(Wine1!A:A,UniqueID!A160)</f>
        <v>2</v>
      </c>
      <c r="J160" s="37">
        <f>COUNTIF(Drank!A:A,UniqueID!A160)</f>
        <v>1</v>
      </c>
      <c r="K160" s="37">
        <f>IF(I160&lt;1,VLOOKUP(A160,Drank!A:S,19,FALSE),VLOOKUP(A160,Wine1!A:AI,26,FALSE))</f>
        <v>92</v>
      </c>
      <c r="L160" s="37">
        <f>IF(I160&lt;1,VLOOKUP(A160,Drank!A:Z,25,FALSE),VLOOKUP(A160,Wine1!A:AI,35,FALSE))</f>
        <v>53.99</v>
      </c>
      <c r="M160" s="37">
        <f t="shared" si="10"/>
        <v>2</v>
      </c>
      <c r="N160" s="37">
        <f t="shared" si="13"/>
        <v>1.0869565217391304E-2</v>
      </c>
      <c r="O160" s="37">
        <f t="shared" si="14"/>
        <v>49.670800000000007</v>
      </c>
      <c r="P160" s="37">
        <f>IF(N160&gt;0,M160,IF(L160&gt;=64.99,4,IF(L160&gt;=Expenses!C189,3,IF(UniqueID!L160&gt;=Expenses!C188,2,1))))</f>
        <v>2</v>
      </c>
      <c r="Q160" s="37">
        <f>IF(O160&gt;=64.99,4,IF(N160&gt;0,M160,IF(L160&gt;=64.99,4,IF(L160&gt;=Expenses!C189,3,IF(UniqueID!L160&gt;=Expenses!C188,2,1)))))</f>
        <v>2</v>
      </c>
      <c r="R160" s="37"/>
      <c r="S160" s="37"/>
    </row>
    <row r="161" spans="1:19" x14ac:dyDescent="0.25">
      <c r="A161" t="s">
        <v>526</v>
      </c>
      <c r="C161" s="37" t="str">
        <f>IF(I161&gt;0,VLOOKUP(A161,Wine1!A:H,6,FALSE),VLOOKUP(A161,Drank!A:H,6,FALSE))</f>
        <v>Italy</v>
      </c>
      <c r="D161" s="37" t="str">
        <f>IF(I161&gt;0,VLOOKUP(A161,Wine1!A:H,7,FALSE),VLOOKUP(A161,Drank!A:H,7,FALSE))</f>
        <v>Piedmont</v>
      </c>
      <c r="E161" s="37" t="str">
        <f>IF(I161&gt;0,VLOOKUP(A161,Wine1!A:H,8,FALSE),VLOOKUP(A161,Drank!A:H,8,FALSE))</f>
        <v>Barolo</v>
      </c>
      <c r="F161" s="37" t="str">
        <f t="shared" si="11"/>
        <v>Italy, Piedmont</v>
      </c>
      <c r="G161" s="37" t="str">
        <f t="shared" si="12"/>
        <v>Italy, Piedmont, Barolo</v>
      </c>
      <c r="H161" s="37">
        <f>COUNTIF(Agibility!A:A,UniqueID!A161)</f>
        <v>1</v>
      </c>
      <c r="I161" s="37">
        <f>COUNTIF(Wine1!A:A,UniqueID!A161)</f>
        <v>1</v>
      </c>
      <c r="J161" s="37">
        <f>COUNTIF(Drank!A:A,UniqueID!A161)</f>
        <v>0</v>
      </c>
      <c r="K161" s="37" t="str">
        <f>IF(I161&lt;1,VLOOKUP(A161,Drank!A:S,19,FALSE),VLOOKUP(A161,Wine1!A:AI,26,FALSE))</f>
        <v/>
      </c>
      <c r="L161" s="37">
        <f>IF(I161&lt;1,VLOOKUP(A161,Drank!A:Z,25,FALSE),VLOOKUP(A161,Wine1!A:AI,35,FALSE))</f>
        <v>40</v>
      </c>
      <c r="M161" s="37">
        <f t="shared" si="10"/>
        <v>4</v>
      </c>
      <c r="N161" s="37">
        <f t="shared" si="13"/>
        <v>0</v>
      </c>
      <c r="O161" s="37">
        <f t="shared" si="14"/>
        <v>0</v>
      </c>
      <c r="P161" s="37">
        <f>IF(N161&gt;0,M161,IF(L161&gt;=64.99,4,IF(L161&gt;=Expenses!C190,3,IF(UniqueID!L161&gt;=Expenses!C189,2,1))))</f>
        <v>3</v>
      </c>
      <c r="Q161" s="37">
        <f>IF(O161&gt;=64.99,4,IF(N161&gt;0,M161,IF(L161&gt;=64.99,4,IF(L161&gt;=Expenses!C190,3,IF(UniqueID!L161&gt;=Expenses!C189,2,1)))))</f>
        <v>3</v>
      </c>
      <c r="R161" s="37"/>
      <c r="S161" s="37"/>
    </row>
    <row r="162" spans="1:19" x14ac:dyDescent="0.25">
      <c r="A162" t="s">
        <v>566</v>
      </c>
      <c r="C162" s="37" t="str">
        <f>IF(I162&gt;0,VLOOKUP(A162,Wine1!A:H,6,FALSE),VLOOKUP(A162,Drank!A:H,6,FALSE))</f>
        <v>France</v>
      </c>
      <c r="D162" s="37" t="str">
        <f>IF(I162&gt;0,VLOOKUP(A162,Wine1!A:H,7,FALSE),VLOOKUP(A162,Drank!A:H,7,FALSE))</f>
        <v>Bordeaux</v>
      </c>
      <c r="E162" s="37" t="str">
        <f>IF(I162&gt;0,VLOOKUP(A162,Wine1!A:H,8,FALSE),VLOOKUP(A162,Drank!A:H,8,FALSE))</f>
        <v>Saint-Emilion</v>
      </c>
      <c r="F162" s="37" t="str">
        <f t="shared" si="11"/>
        <v>France, Bordeaux</v>
      </c>
      <c r="G162" s="37" t="str">
        <f t="shared" si="12"/>
        <v>France, Bordeaux, Saint-Emilion</v>
      </c>
      <c r="H162" s="37">
        <f>COUNTIF(Agibility!A:A,UniqueID!A162)</f>
        <v>1</v>
      </c>
      <c r="I162" s="37">
        <f>COUNTIF(Wine1!A:A,UniqueID!A162)</f>
        <v>2</v>
      </c>
      <c r="J162" s="37">
        <f>COUNTIF(Drank!A:A,UniqueID!A162)</f>
        <v>0</v>
      </c>
      <c r="K162" s="37">
        <f>IF(I162&lt;1,VLOOKUP(A162,Drank!A:S,19,FALSE),VLOOKUP(A162,Wine1!A:AI,26,FALSE))</f>
        <v>94</v>
      </c>
      <c r="L162" s="37">
        <f>IF(I162&lt;1,VLOOKUP(A162,Drank!A:Z,25,FALSE),VLOOKUP(A162,Wine1!A:AI,35,FALSE))</f>
        <v>53.999999999999993</v>
      </c>
      <c r="M162" s="37">
        <f t="shared" si="10"/>
        <v>3</v>
      </c>
      <c r="N162" s="37">
        <f t="shared" si="13"/>
        <v>1.0638297872340425E-2</v>
      </c>
      <c r="O162" s="37">
        <f t="shared" si="14"/>
        <v>50.76</v>
      </c>
      <c r="P162" s="37">
        <f>IF(N162&gt;0,M162,IF(L162&gt;=64.99,4,IF(L162&gt;=Expenses!C191,3,IF(UniqueID!L162&gt;=Expenses!C190,2,1))))</f>
        <v>3</v>
      </c>
      <c r="Q162" s="37">
        <f>IF(O162&gt;=64.99,4,IF(N162&gt;0,M162,IF(L162&gt;=64.99,4,IF(L162&gt;=Expenses!C191,3,IF(UniqueID!L162&gt;=Expenses!C190,2,1)))))</f>
        <v>3</v>
      </c>
      <c r="R162" s="37"/>
      <c r="S162" s="37"/>
    </row>
    <row r="163" spans="1:19" x14ac:dyDescent="0.25">
      <c r="A163" t="s">
        <v>567</v>
      </c>
      <c r="C163" s="37" t="str">
        <f>IF(I163&gt;0,VLOOKUP(A163,Wine1!A:H,6,FALSE),VLOOKUP(A163,Drank!A:H,6,FALSE))</f>
        <v>Italy</v>
      </c>
      <c r="D163" s="37" t="str">
        <f>IF(I163&gt;0,VLOOKUP(A163,Wine1!A:H,7,FALSE),VLOOKUP(A163,Drank!A:H,7,FALSE))</f>
        <v>Veneto</v>
      </c>
      <c r="E163" s="37" t="str">
        <f>IF(I163&gt;0,VLOOKUP(A163,Wine1!A:H,8,FALSE),VLOOKUP(A163,Drank!A:H,8,FALSE))</f>
        <v>Valpolicella Classico</v>
      </c>
      <c r="F163" s="37" t="str">
        <f t="shared" si="11"/>
        <v>Italy, Veneto</v>
      </c>
      <c r="G163" s="37" t="str">
        <f t="shared" si="12"/>
        <v>Italy, Veneto, Valpolicella Classico</v>
      </c>
      <c r="H163" s="37">
        <f>COUNTIF(Agibility!A:A,UniqueID!A163)</f>
        <v>1</v>
      </c>
      <c r="I163" s="37">
        <f>COUNTIF(Wine1!A:A,UniqueID!A163)</f>
        <v>1</v>
      </c>
      <c r="J163" s="37">
        <f>COUNTIF(Drank!A:A,UniqueID!A163)</f>
        <v>0</v>
      </c>
      <c r="K163" s="37">
        <f>IF(I163&lt;1,VLOOKUP(A163,Drank!A:S,19,FALSE),VLOOKUP(A163,Wine1!A:AI,26,FALSE))</f>
        <v>94</v>
      </c>
      <c r="L163" s="37">
        <f>IF(I163&lt;1,VLOOKUP(A163,Drank!A:Z,25,FALSE),VLOOKUP(A163,Wine1!A:AI,35,FALSE))</f>
        <v>105.00000000000001</v>
      </c>
      <c r="M163" s="37">
        <f t="shared" si="10"/>
        <v>3</v>
      </c>
      <c r="N163" s="37">
        <f t="shared" si="13"/>
        <v>1.0638297872340425E-2</v>
      </c>
      <c r="O163" s="37">
        <f t="shared" si="14"/>
        <v>98.700000000000017</v>
      </c>
      <c r="P163" s="37">
        <f>IF(N163&gt;0,M163,IF(L163&gt;=64.99,4,IF(L163&gt;=Expenses!C192,3,IF(UniqueID!L163&gt;=Expenses!C191,2,1))))</f>
        <v>3</v>
      </c>
      <c r="Q163" s="37">
        <f>IF(O163&gt;=64.99,4,IF(N163&gt;0,M163,IF(L163&gt;=64.99,4,IF(L163&gt;=Expenses!C192,3,IF(UniqueID!L163&gt;=Expenses!C191,2,1)))))</f>
        <v>4</v>
      </c>
      <c r="R163" s="37"/>
      <c r="S163" s="37"/>
    </row>
    <row r="164" spans="1:19" x14ac:dyDescent="0.25">
      <c r="A164" t="s">
        <v>568</v>
      </c>
      <c r="C164" s="37" t="str">
        <f>IF(I164&gt;0,VLOOKUP(A164,Wine1!A:H,6,FALSE),VLOOKUP(A164,Drank!A:H,6,FALSE))</f>
        <v>USA</v>
      </c>
      <c r="D164" s="37" t="str">
        <f>IF(I164&gt;0,VLOOKUP(A164,Wine1!A:H,7,FALSE),VLOOKUP(A164,Drank!A:H,7,FALSE))</f>
        <v>California</v>
      </c>
      <c r="E164" s="37" t="str">
        <f>IF(I164&gt;0,VLOOKUP(A164,Wine1!A:H,8,FALSE),VLOOKUP(A164,Drank!A:H,8,FALSE))</f>
        <v>North Coast, Napa Valley</v>
      </c>
      <c r="F164" s="37" t="str">
        <f t="shared" si="11"/>
        <v>USA, California</v>
      </c>
      <c r="G164" s="37" t="str">
        <f t="shared" si="12"/>
        <v>USA, California, North Coast, Napa Valley</v>
      </c>
      <c r="H164" s="37">
        <f>COUNTIF(Agibility!A:A,UniqueID!A164)</f>
        <v>1</v>
      </c>
      <c r="I164" s="37">
        <f>COUNTIF(Wine1!A:A,UniqueID!A164)</f>
        <v>1</v>
      </c>
      <c r="J164" s="37">
        <f>COUNTIF(Drank!A:A,UniqueID!A164)</f>
        <v>0</v>
      </c>
      <c r="K164" s="37">
        <f>IF(I164&lt;1,VLOOKUP(A164,Drank!A:S,19,FALSE),VLOOKUP(A164,Wine1!A:AI,26,FALSE))</f>
        <v>96</v>
      </c>
      <c r="L164" s="37">
        <f>IF(I164&lt;1,VLOOKUP(A164,Drank!A:Z,25,FALSE),VLOOKUP(A164,Wine1!A:AI,35,FALSE))</f>
        <v>129</v>
      </c>
      <c r="M164" s="37">
        <f t="shared" si="10"/>
        <v>3</v>
      </c>
      <c r="N164" s="37">
        <f t="shared" si="13"/>
        <v>1.0416666666666666E-2</v>
      </c>
      <c r="O164" s="37">
        <f t="shared" si="14"/>
        <v>123.83999999999999</v>
      </c>
      <c r="P164" s="37">
        <f>IF(N164&gt;0,M164,IF(L164&gt;=64.99,4,IF(L164&gt;=Expenses!C193,3,IF(UniqueID!L164&gt;=Expenses!C192,2,1))))</f>
        <v>3</v>
      </c>
      <c r="Q164" s="37">
        <f>IF(O164&gt;=64.99,4,IF(N164&gt;0,M164,IF(L164&gt;=64.99,4,IF(L164&gt;=Expenses!C193,3,IF(UniqueID!L164&gt;=Expenses!C192,2,1)))))</f>
        <v>4</v>
      </c>
      <c r="R164" s="37"/>
      <c r="S164" s="37"/>
    </row>
    <row r="165" spans="1:19" x14ac:dyDescent="0.25">
      <c r="A165" t="s">
        <v>569</v>
      </c>
      <c r="C165" s="37" t="str">
        <f>IF(I165&gt;0,VLOOKUP(A165,Wine1!A:H,6,FALSE),VLOOKUP(A165,Drank!A:H,6,FALSE))</f>
        <v>Italy</v>
      </c>
      <c r="D165" s="37" t="str">
        <f>IF(I165&gt;0,VLOOKUP(A165,Wine1!A:H,7,FALSE),VLOOKUP(A165,Drank!A:H,7,FALSE))</f>
        <v>Piedmont</v>
      </c>
      <c r="E165" s="37" t="str">
        <f>IF(I165&gt;0,VLOOKUP(A165,Wine1!A:H,8,FALSE),VLOOKUP(A165,Drank!A:H,8,FALSE))</f>
        <v>Barolo. Castiglione Falletto</v>
      </c>
      <c r="F165" s="37" t="str">
        <f t="shared" si="11"/>
        <v>Italy, Piedmont</v>
      </c>
      <c r="G165" s="37" t="str">
        <f t="shared" si="12"/>
        <v>Italy, Piedmont, Barolo. Castiglione Falletto</v>
      </c>
      <c r="H165" s="37">
        <f>COUNTIF(Agibility!A:A,UniqueID!A165)</f>
        <v>1</v>
      </c>
      <c r="I165" s="37">
        <f>COUNTIF(Wine1!A:A,UniqueID!A165)</f>
        <v>1</v>
      </c>
      <c r="J165" s="37">
        <f>COUNTIF(Drank!A:A,UniqueID!A165)</f>
        <v>0</v>
      </c>
      <c r="K165" s="37">
        <f>IF(I165&lt;1,VLOOKUP(A165,Drank!A:S,19,FALSE),VLOOKUP(A165,Wine1!A:AI,26,FALSE))</f>
        <v>94</v>
      </c>
      <c r="L165" s="37">
        <f>IF(I165&lt;1,VLOOKUP(A165,Drank!A:Z,25,FALSE),VLOOKUP(A165,Wine1!A:AI,35,FALSE))</f>
        <v>110</v>
      </c>
      <c r="M165" s="37">
        <f t="shared" si="10"/>
        <v>3</v>
      </c>
      <c r="N165" s="37">
        <f t="shared" si="13"/>
        <v>1.0638297872340425E-2</v>
      </c>
      <c r="O165" s="37">
        <f t="shared" si="14"/>
        <v>103.4</v>
      </c>
      <c r="P165" s="37">
        <f>IF(N165&gt;0,M165,IF(L165&gt;=64.99,4,IF(L165&gt;=Expenses!C194,3,IF(UniqueID!L165&gt;=Expenses!C193,2,1))))</f>
        <v>3</v>
      </c>
      <c r="Q165" s="37">
        <f>IF(O165&gt;=64.99,4,IF(N165&gt;0,M165,IF(L165&gt;=64.99,4,IF(L165&gt;=Expenses!C194,3,IF(UniqueID!L165&gt;=Expenses!C193,2,1)))))</f>
        <v>4</v>
      </c>
      <c r="R165" s="37"/>
      <c r="S165" s="37"/>
    </row>
    <row r="166" spans="1:19" x14ac:dyDescent="0.25">
      <c r="A166" t="s">
        <v>571</v>
      </c>
      <c r="C166" s="37" t="str">
        <f>IF(I166&gt;0,VLOOKUP(A166,Wine1!A:H,6,FALSE),VLOOKUP(A166,Drank!A:H,6,FALSE))</f>
        <v>USA</v>
      </c>
      <c r="D166" s="37" t="str">
        <f>IF(I166&gt;0,VLOOKUP(A166,Wine1!A:H,7,FALSE),VLOOKUP(A166,Drank!A:H,7,FALSE))</f>
        <v>California</v>
      </c>
      <c r="E166" s="37" t="str">
        <f>IF(I166&gt;0,VLOOKUP(A166,Wine1!A:H,8,FALSE),VLOOKUP(A166,Drank!A:H,8,FALSE))</f>
        <v>North Coast, Napa Valley</v>
      </c>
      <c r="F166" s="37" t="str">
        <f t="shared" si="11"/>
        <v>USA, California</v>
      </c>
      <c r="G166" s="37" t="str">
        <f t="shared" si="12"/>
        <v>USA, California, North Coast, Napa Valley</v>
      </c>
      <c r="H166" s="37">
        <f>COUNTIF(Agibility!A:A,UniqueID!A166)</f>
        <v>1</v>
      </c>
      <c r="I166" s="37">
        <f>COUNTIF(Wine1!A:A,UniqueID!A166)</f>
        <v>1</v>
      </c>
      <c r="J166" s="37">
        <f>COUNTIF(Drank!A:A,UniqueID!A166)</f>
        <v>0</v>
      </c>
      <c r="K166" s="37">
        <f>IF(I166&lt;1,VLOOKUP(A166,Drank!A:S,19,FALSE),VLOOKUP(A166,Wine1!A:AI,26,FALSE))</f>
        <v>94</v>
      </c>
      <c r="L166" s="37">
        <f>IF(I166&lt;1,VLOOKUP(A166,Drank!A:Z,25,FALSE),VLOOKUP(A166,Wine1!A:AI,35,FALSE))</f>
        <v>76</v>
      </c>
      <c r="M166" s="37">
        <f t="shared" si="10"/>
        <v>3</v>
      </c>
      <c r="N166" s="37">
        <f t="shared" si="13"/>
        <v>1.0638297872340425E-2</v>
      </c>
      <c r="O166" s="37">
        <f t="shared" si="14"/>
        <v>71.44</v>
      </c>
      <c r="P166" s="37">
        <f>IF(N166&gt;0,M166,IF(L166&gt;=64.99,4,IF(L166&gt;=Expenses!C195,3,IF(UniqueID!L166&gt;=Expenses!C194,2,1))))</f>
        <v>3</v>
      </c>
      <c r="Q166" s="37">
        <f>IF(O166&gt;=64.99,4,IF(N166&gt;0,M166,IF(L166&gt;=64.99,4,IF(L166&gt;=Expenses!C195,3,IF(UniqueID!L166&gt;=Expenses!C194,2,1)))))</f>
        <v>4</v>
      </c>
      <c r="R166" s="37"/>
      <c r="S166" s="37"/>
    </row>
    <row r="167" spans="1:19" x14ac:dyDescent="0.25">
      <c r="A167" t="s">
        <v>572</v>
      </c>
      <c r="C167" s="37" t="str">
        <f>IF(I167&gt;0,VLOOKUP(A167,Wine1!A:H,6,FALSE),VLOOKUP(A167,Drank!A:H,6,FALSE))</f>
        <v>Italy</v>
      </c>
      <c r="D167" s="37" t="str">
        <f>IF(I167&gt;0,VLOOKUP(A167,Wine1!A:H,7,FALSE),VLOOKUP(A167,Drank!A:H,7,FALSE))</f>
        <v>Veneto</v>
      </c>
      <c r="E167" s="37" t="str">
        <f>IF(I167&gt;0,VLOOKUP(A167,Wine1!A:H,8,FALSE),VLOOKUP(A167,Drank!A:H,8,FALSE))</f>
        <v>Valpolicella Classico</v>
      </c>
      <c r="F167" s="37" t="str">
        <f t="shared" si="11"/>
        <v>Italy, Veneto</v>
      </c>
      <c r="G167" s="37" t="str">
        <f t="shared" si="12"/>
        <v>Italy, Veneto, Valpolicella Classico</v>
      </c>
      <c r="H167" s="37">
        <f>COUNTIF(Agibility!A:A,UniqueID!A167)</f>
        <v>1</v>
      </c>
      <c r="I167" s="37">
        <f>COUNTIF(Wine1!A:A,UniqueID!A167)</f>
        <v>1</v>
      </c>
      <c r="J167" s="37">
        <f>COUNTIF(Drank!A:A,UniqueID!A167)</f>
        <v>0</v>
      </c>
      <c r="K167" s="37">
        <f>IF(I167&lt;1,VLOOKUP(A167,Drank!A:S,19,FALSE),VLOOKUP(A167,Wine1!A:AI,26,FALSE))</f>
        <v>94</v>
      </c>
      <c r="L167" s="37">
        <f>IF(I167&lt;1,VLOOKUP(A167,Drank!A:Z,25,FALSE),VLOOKUP(A167,Wine1!A:AI,35,FALSE))</f>
        <v>120</v>
      </c>
      <c r="M167" s="37">
        <f t="shared" si="10"/>
        <v>3</v>
      </c>
      <c r="N167" s="37">
        <f t="shared" si="13"/>
        <v>1.0638297872340425E-2</v>
      </c>
      <c r="O167" s="37">
        <f t="shared" si="14"/>
        <v>112.80000000000001</v>
      </c>
      <c r="P167" s="37">
        <f>IF(N167&gt;0,M167,IF(L167&gt;=64.99,4,IF(L167&gt;=Expenses!C196,3,IF(UniqueID!L167&gt;=Expenses!C195,2,1))))</f>
        <v>3</v>
      </c>
      <c r="Q167" s="37">
        <f>IF(O167&gt;=64.99,4,IF(N167&gt;0,M167,IF(L167&gt;=64.99,4,IF(L167&gt;=Expenses!C196,3,IF(UniqueID!L167&gt;=Expenses!C195,2,1)))))</f>
        <v>4</v>
      </c>
      <c r="R167" s="37"/>
      <c r="S167" s="37"/>
    </row>
    <row r="168" spans="1:19" x14ac:dyDescent="0.25">
      <c r="A168" t="s">
        <v>947</v>
      </c>
      <c r="C168" s="37" t="str">
        <f>IF(I168&gt;0,VLOOKUP(A168,Wine1!A:H,6,FALSE),VLOOKUP(A168,Drank!A:H,6,FALSE))</f>
        <v>Italy</v>
      </c>
      <c r="D168" s="37" t="str">
        <f>IF(I168&gt;0,VLOOKUP(A168,Wine1!A:H,7,FALSE),VLOOKUP(A168,Drank!A:H,7,FALSE))</f>
        <v>Piedmont</v>
      </c>
      <c r="E168" s="37" t="str">
        <f>IF(I168&gt;0,VLOOKUP(A168,Wine1!A:H,8,FALSE),VLOOKUP(A168,Drank!A:H,8,FALSE))</f>
        <v>Barolo</v>
      </c>
      <c r="F168" s="37" t="str">
        <f t="shared" si="11"/>
        <v>Italy, Piedmont</v>
      </c>
      <c r="G168" s="37" t="str">
        <f t="shared" si="12"/>
        <v>Italy, Piedmont, Barolo</v>
      </c>
      <c r="H168" s="37">
        <f>COUNTIF(Agibility!A:A,UniqueID!A168)</f>
        <v>1</v>
      </c>
      <c r="I168" s="37">
        <f>COUNTIF(Wine1!A:A,UniqueID!A168)</f>
        <v>1</v>
      </c>
      <c r="J168" s="37">
        <f>COUNTIF(Drank!A:A,UniqueID!A168)</f>
        <v>0</v>
      </c>
      <c r="K168" s="37">
        <f>IF(I168&lt;1,VLOOKUP(A168,Drank!A:S,19,FALSE),VLOOKUP(A168,Wine1!A:AI,26,FALSE))</f>
        <v>94</v>
      </c>
      <c r="L168" s="37">
        <f>IF(I168&lt;1,VLOOKUP(A168,Drank!A:Z,25,FALSE),VLOOKUP(A168,Wine1!A:AI,35,FALSE))</f>
        <v>52.99</v>
      </c>
      <c r="M168" s="37">
        <f t="shared" si="10"/>
        <v>3</v>
      </c>
      <c r="N168" s="37">
        <f t="shared" si="13"/>
        <v>1.0638297872340425E-2</v>
      </c>
      <c r="O168" s="37">
        <f t="shared" si="14"/>
        <v>49.810600000000008</v>
      </c>
      <c r="P168" s="37">
        <f>IF(N168&gt;0,M168,IF(L168&gt;=64.99,4,IF(L168&gt;=Expenses!C197,3,IF(UniqueID!L168&gt;=Expenses!C196,2,1))))</f>
        <v>3</v>
      </c>
      <c r="Q168" s="37">
        <f>IF(O168&gt;=64.99,4,IF(N168&gt;0,M168,IF(L168&gt;=64.99,4,IF(L168&gt;=Expenses!C197,3,IF(UniqueID!L168&gt;=Expenses!C196,2,1)))))</f>
        <v>3</v>
      </c>
      <c r="R168" s="37"/>
      <c r="S168" s="37"/>
    </row>
    <row r="169" spans="1:19" x14ac:dyDescent="0.25">
      <c r="A169" t="s">
        <v>1213</v>
      </c>
      <c r="C169" s="37" t="str">
        <f>IF(I169&gt;0,VLOOKUP(A169,Wine1!A:H,6,FALSE),VLOOKUP(A169,Drank!A:H,6,FALSE))</f>
        <v>France</v>
      </c>
      <c r="D169" s="37" t="str">
        <f>IF(I169&gt;0,VLOOKUP(A169,Wine1!A:H,7,FALSE),VLOOKUP(A169,Drank!A:H,7,FALSE))</f>
        <v>Bordeaux</v>
      </c>
      <c r="E169" s="37" t="str">
        <f>IF(I169&gt;0,VLOOKUP(A169,Wine1!A:H,8,FALSE),VLOOKUP(A169,Drank!A:H,8,FALSE))</f>
        <v>Sauternes</v>
      </c>
      <c r="F169" s="37" t="str">
        <f t="shared" si="11"/>
        <v>France, Bordeaux</v>
      </c>
      <c r="G169" s="37" t="str">
        <f t="shared" si="12"/>
        <v>France, Bordeaux, Sauternes</v>
      </c>
      <c r="H169" s="37">
        <f>COUNTIF(Agibility!A:A,UniqueID!A169)</f>
        <v>1</v>
      </c>
      <c r="I169" s="37">
        <f>COUNTIF(Wine1!A:A,UniqueID!A169)</f>
        <v>3</v>
      </c>
      <c r="J169" s="37">
        <f>COUNTIF(Drank!A:A,UniqueID!A169)</f>
        <v>0</v>
      </c>
      <c r="K169" s="37">
        <f>IF(I169&lt;1,VLOOKUP(A169,Drank!A:S,19,FALSE),VLOOKUP(A169,Wine1!A:AI,26,FALSE))</f>
        <v>94</v>
      </c>
      <c r="L169" s="37">
        <f>IF(I169&lt;1,VLOOKUP(A169,Drank!A:Z,25,FALSE),VLOOKUP(A169,Wine1!A:AI,35,FALSE))</f>
        <v>49.990000000000009</v>
      </c>
      <c r="M169" s="37">
        <f t="shared" si="10"/>
        <v>3</v>
      </c>
      <c r="N169" s="37">
        <f t="shared" si="13"/>
        <v>1.0638297872340425E-2</v>
      </c>
      <c r="O169" s="37">
        <f t="shared" si="14"/>
        <v>46.990600000000015</v>
      </c>
      <c r="P169" s="37">
        <f>IF(N169&gt;0,M169,IF(L169&gt;=64.99,4,IF(L169&gt;=Expenses!C198,3,IF(UniqueID!L169&gt;=Expenses!C197,2,1))))</f>
        <v>3</v>
      </c>
      <c r="Q169" s="37">
        <f>IF(O169&gt;=64.99,4,IF(N169&gt;0,M169,IF(L169&gt;=64.99,4,IF(L169&gt;=Expenses!C198,3,IF(UniqueID!L169&gt;=Expenses!C197,2,1)))))</f>
        <v>3</v>
      </c>
      <c r="R169" s="37"/>
      <c r="S169" s="37"/>
    </row>
    <row r="170" spans="1:19" x14ac:dyDescent="0.25">
      <c r="A170" t="s">
        <v>948</v>
      </c>
      <c r="C170" s="37" t="str">
        <f>IF(I170&gt;0,VLOOKUP(A170,Wine1!A:H,6,FALSE),VLOOKUP(A170,Drank!A:H,6,FALSE))</f>
        <v>France</v>
      </c>
      <c r="D170" s="37" t="str">
        <f>IF(I170&gt;0,VLOOKUP(A170,Wine1!A:H,7,FALSE),VLOOKUP(A170,Drank!A:H,7,FALSE))</f>
        <v>Bordeaux</v>
      </c>
      <c r="E170" s="37" t="str">
        <f>IF(I170&gt;0,VLOOKUP(A170,Wine1!A:H,8,FALSE),VLOOKUP(A170,Drank!A:H,8,FALSE))</f>
        <v>Sauternes</v>
      </c>
      <c r="F170" s="37" t="str">
        <f t="shared" si="11"/>
        <v>France, Bordeaux</v>
      </c>
      <c r="G170" s="37" t="str">
        <f t="shared" si="12"/>
        <v>France, Bordeaux, Sauternes</v>
      </c>
      <c r="H170" s="37">
        <f>COUNTIF(Agibility!A:A,UniqueID!A170)</f>
        <v>1</v>
      </c>
      <c r="I170" s="37">
        <f>COUNTIF(Wine1!A:A,UniqueID!A170)</f>
        <v>3</v>
      </c>
      <c r="J170" s="37">
        <f>COUNTIF(Drank!A:A,UniqueID!A170)</f>
        <v>0</v>
      </c>
      <c r="K170" s="37">
        <f>IF(I170&lt;1,VLOOKUP(A170,Drank!A:S,19,FALSE),VLOOKUP(A170,Wine1!A:AI,26,FALSE))</f>
        <v>97</v>
      </c>
      <c r="L170" s="37">
        <f>IF(I170&lt;1,VLOOKUP(A170,Drank!A:Z,25,FALSE),VLOOKUP(A170,Wine1!A:AI,35,FALSE))</f>
        <v>59.970000000000006</v>
      </c>
      <c r="M170" s="37">
        <f t="shared" si="10"/>
        <v>4</v>
      </c>
      <c r="N170" s="37">
        <f t="shared" si="13"/>
        <v>1.0309278350515464E-2</v>
      </c>
      <c r="O170" s="37">
        <f t="shared" si="14"/>
        <v>58.170900000000003</v>
      </c>
      <c r="P170" s="37">
        <f>IF(N170&gt;0,M170,IF(L170&gt;=64.99,4,IF(L170&gt;=Expenses!C199,3,IF(UniqueID!L170&gt;=Expenses!C198,2,1))))</f>
        <v>4</v>
      </c>
      <c r="Q170" s="37">
        <f>IF(O170&gt;=64.99,4,IF(N170&gt;0,M170,IF(L170&gt;=64.99,4,IF(L170&gt;=Expenses!C199,3,IF(UniqueID!L170&gt;=Expenses!C198,2,1)))))</f>
        <v>4</v>
      </c>
      <c r="R170" s="37"/>
      <c r="S170" s="37"/>
    </row>
    <row r="171" spans="1:19" x14ac:dyDescent="0.25">
      <c r="A171" t="s">
        <v>574</v>
      </c>
      <c r="C171" s="37" t="str">
        <f>IF(I171&gt;0,VLOOKUP(A171,Wine1!A:H,6,FALSE),VLOOKUP(A171,Drank!A:H,6,FALSE))</f>
        <v>Italy</v>
      </c>
      <c r="D171" s="37" t="str">
        <f>IF(I171&gt;0,VLOOKUP(A171,Wine1!A:H,7,FALSE),VLOOKUP(A171,Drank!A:H,7,FALSE))</f>
        <v>Tuscany</v>
      </c>
      <c r="E171" s="37" t="str">
        <f>IF(I171&gt;0,VLOOKUP(A171,Wine1!A:H,8,FALSE),VLOOKUP(A171,Drank!A:H,8,FALSE))</f>
        <v>Colli della Toscana Centrale</v>
      </c>
      <c r="F171" s="37" t="str">
        <f t="shared" si="11"/>
        <v>Italy, Tuscany</v>
      </c>
      <c r="G171" s="37" t="str">
        <f t="shared" si="12"/>
        <v>Italy, Tuscany, Colli della Toscana Centrale</v>
      </c>
      <c r="H171" s="37">
        <f>COUNTIF(Agibility!A:A,UniqueID!A171)</f>
        <v>1</v>
      </c>
      <c r="I171" s="37">
        <f>COUNTIF(Wine1!A:A,UniqueID!A171)</f>
        <v>1</v>
      </c>
      <c r="J171" s="37">
        <f>COUNTIF(Drank!A:A,UniqueID!A171)</f>
        <v>0</v>
      </c>
      <c r="K171" s="37">
        <f>IF(I171&lt;1,VLOOKUP(A171,Drank!A:S,19,FALSE),VLOOKUP(A171,Wine1!A:AI,26,FALSE))</f>
        <v>97</v>
      </c>
      <c r="L171" s="37">
        <f>IF(I171&lt;1,VLOOKUP(A171,Drank!A:Z,25,FALSE),VLOOKUP(A171,Wine1!A:AI,35,FALSE))</f>
        <v>165</v>
      </c>
      <c r="M171" s="37">
        <f t="shared" si="10"/>
        <v>4</v>
      </c>
      <c r="N171" s="37">
        <f t="shared" si="13"/>
        <v>1.0309278350515464E-2</v>
      </c>
      <c r="O171" s="37">
        <f t="shared" si="14"/>
        <v>160.04999999999998</v>
      </c>
      <c r="P171" s="37">
        <f>IF(N171&gt;0,M171,IF(L171&gt;=64.99,4,IF(L171&gt;=Expenses!C200,3,IF(UniqueID!L171&gt;=Expenses!C199,2,1))))</f>
        <v>4</v>
      </c>
      <c r="Q171" s="37">
        <f>IF(O171&gt;=64.99,4,IF(N171&gt;0,M171,IF(L171&gt;=64.99,4,IF(L171&gt;=Expenses!C200,3,IF(UniqueID!L171&gt;=Expenses!C199,2,1)))))</f>
        <v>4</v>
      </c>
      <c r="R171" s="37"/>
      <c r="S171" s="37"/>
    </row>
    <row r="172" spans="1:19" x14ac:dyDescent="0.25">
      <c r="A172" t="s">
        <v>575</v>
      </c>
      <c r="C172" s="37" t="str">
        <f>IF(I172&gt;0,VLOOKUP(A172,Wine1!A:H,6,FALSE),VLOOKUP(A172,Drank!A:H,6,FALSE))</f>
        <v>France</v>
      </c>
      <c r="D172" s="37" t="str">
        <f>IF(I172&gt;0,VLOOKUP(A172,Wine1!A:H,7,FALSE),VLOOKUP(A172,Drank!A:H,7,FALSE))</f>
        <v>Bordeaux</v>
      </c>
      <c r="E172" s="37" t="str">
        <f>IF(I172&gt;0,VLOOKUP(A172,Wine1!A:H,8,FALSE),VLOOKUP(A172,Drank!A:H,8,FALSE))</f>
        <v>Saint-Emilion</v>
      </c>
      <c r="F172" s="37" t="str">
        <f t="shared" si="11"/>
        <v>France, Bordeaux</v>
      </c>
      <c r="G172" s="37" t="str">
        <f t="shared" si="12"/>
        <v>France, Bordeaux, Saint-Emilion</v>
      </c>
      <c r="H172" s="37">
        <f>COUNTIF(Agibility!A:A,UniqueID!A172)</f>
        <v>1</v>
      </c>
      <c r="I172" s="37">
        <f>COUNTIF(Wine1!A:A,UniqueID!A172)</f>
        <v>1</v>
      </c>
      <c r="J172" s="37">
        <f>COUNTIF(Drank!A:A,UniqueID!A172)</f>
        <v>0</v>
      </c>
      <c r="K172" s="37">
        <f>IF(I172&lt;1,VLOOKUP(A172,Drank!A:S,19,FALSE),VLOOKUP(A172,Wine1!A:AI,26,FALSE))</f>
        <v>92</v>
      </c>
      <c r="L172" s="37">
        <f>IF(I172&lt;1,VLOOKUP(A172,Drank!A:Z,25,FALSE),VLOOKUP(A172,Wine1!A:AI,35,FALSE))</f>
        <v>37</v>
      </c>
      <c r="M172" s="37">
        <f t="shared" si="10"/>
        <v>2</v>
      </c>
      <c r="N172" s="37">
        <f t="shared" si="13"/>
        <v>1.0869565217391304E-2</v>
      </c>
      <c r="O172" s="37">
        <f t="shared" si="14"/>
        <v>34.04</v>
      </c>
      <c r="P172" s="37">
        <f>IF(N172&gt;0,M172,IF(L172&gt;=64.99,4,IF(L172&gt;=Expenses!C201,3,IF(UniqueID!L172&gt;=Expenses!C200,2,1))))</f>
        <v>2</v>
      </c>
      <c r="Q172" s="37">
        <f>IF(O172&gt;=64.99,4,IF(N172&gt;0,M172,IF(L172&gt;=64.99,4,IF(L172&gt;=Expenses!C201,3,IF(UniqueID!L172&gt;=Expenses!C200,2,1)))))</f>
        <v>2</v>
      </c>
      <c r="R172" s="37"/>
      <c r="S172" s="37"/>
    </row>
    <row r="173" spans="1:19" x14ac:dyDescent="0.25">
      <c r="A173" t="s">
        <v>709</v>
      </c>
      <c r="C173" s="37" t="str">
        <f>IF(I173&gt;0,VLOOKUP(A173,Wine1!A:H,6,FALSE),VLOOKUP(A173,Drank!A:H,6,FALSE))</f>
        <v>France</v>
      </c>
      <c r="D173" s="37" t="str">
        <f>IF(I173&gt;0,VLOOKUP(A173,Wine1!A:H,7,FALSE),VLOOKUP(A173,Drank!A:H,7,FALSE))</f>
        <v>Bordeaux</v>
      </c>
      <c r="E173" s="37" t="str">
        <f>IF(I173&gt;0,VLOOKUP(A173,Wine1!A:H,8,FALSE),VLOOKUP(A173,Drank!A:H,8,FALSE))</f>
        <v>Sauternes, Barsac</v>
      </c>
      <c r="F173" s="37" t="str">
        <f t="shared" si="11"/>
        <v>France, Bordeaux</v>
      </c>
      <c r="G173" s="37" t="str">
        <f t="shared" si="12"/>
        <v>France, Bordeaux, Sauternes, Barsac</v>
      </c>
      <c r="H173" s="37">
        <f>COUNTIF(Agibility!A:A,UniqueID!A173)</f>
        <v>1</v>
      </c>
      <c r="I173" s="37">
        <f>COUNTIF(Wine1!A:A,UniqueID!A173)</f>
        <v>2</v>
      </c>
      <c r="J173" s="37">
        <f>COUNTIF(Drank!A:A,UniqueID!A173)</f>
        <v>0</v>
      </c>
      <c r="K173" s="37">
        <f>IF(I173&lt;1,VLOOKUP(A173,Drank!A:S,19,FALSE),VLOOKUP(A173,Wine1!A:AI,26,FALSE))</f>
        <v>94</v>
      </c>
      <c r="L173" s="37">
        <f>IF(I173&lt;1,VLOOKUP(A173,Drank!A:Z,25,FALSE),VLOOKUP(A173,Wine1!A:AI,35,FALSE))</f>
        <v>42.39</v>
      </c>
      <c r="M173" s="37">
        <f t="shared" si="10"/>
        <v>3</v>
      </c>
      <c r="N173" s="37">
        <f t="shared" si="13"/>
        <v>1.0638297872340425E-2</v>
      </c>
      <c r="O173" s="37">
        <f t="shared" si="14"/>
        <v>39.846600000000002</v>
      </c>
      <c r="P173" s="37">
        <f>IF(N173&gt;0,M173,IF(L173&gt;=64.99,4,IF(L173&gt;=Expenses!C202,3,IF(UniqueID!L173&gt;=Expenses!C201,2,1))))</f>
        <v>3</v>
      </c>
      <c r="Q173" s="37">
        <f>IF(O173&gt;=64.99,4,IF(N173&gt;0,M173,IF(L173&gt;=64.99,4,IF(L173&gt;=Expenses!C202,3,IF(UniqueID!L173&gt;=Expenses!C201,2,1)))))</f>
        <v>3</v>
      </c>
      <c r="R173" s="37"/>
      <c r="S173" s="37"/>
    </row>
    <row r="174" spans="1:19" x14ac:dyDescent="0.25">
      <c r="A174" t="s">
        <v>576</v>
      </c>
      <c r="C174" s="37" t="str">
        <f>IF(I174&gt;0,VLOOKUP(A174,Wine1!A:H,6,FALSE),VLOOKUP(A174,Drank!A:H,6,FALSE))</f>
        <v>Italy</v>
      </c>
      <c r="D174" s="37" t="str">
        <f>IF(I174&gt;0,VLOOKUP(A174,Wine1!A:H,7,FALSE),VLOOKUP(A174,Drank!A:H,7,FALSE))</f>
        <v>Tuscany</v>
      </c>
      <c r="E174" s="37" t="str">
        <f>IF(I174&gt;0,VLOOKUP(A174,Wine1!A:H,8,FALSE),VLOOKUP(A174,Drank!A:H,8,FALSE))</f>
        <v>Bolgheri</v>
      </c>
      <c r="F174" s="37" t="str">
        <f t="shared" si="11"/>
        <v>Italy, Tuscany</v>
      </c>
      <c r="G174" s="37" t="str">
        <f t="shared" si="12"/>
        <v>Italy, Tuscany, Bolgheri</v>
      </c>
      <c r="H174" s="37">
        <f>COUNTIF(Agibility!A:A,UniqueID!A174)</f>
        <v>1</v>
      </c>
      <c r="I174" s="37">
        <f>COUNTIF(Wine1!A:A,UniqueID!A174)</f>
        <v>1</v>
      </c>
      <c r="J174" s="37">
        <f>COUNTIF(Drank!A:A,UniqueID!A174)</f>
        <v>0</v>
      </c>
      <c r="K174" s="37">
        <f>IF(I174&lt;1,VLOOKUP(A174,Drank!A:S,19,FALSE),VLOOKUP(A174,Wine1!A:AI,26,FALSE))</f>
        <v>97</v>
      </c>
      <c r="L174" s="37">
        <f>IF(I174&lt;1,VLOOKUP(A174,Drank!A:Z,25,FALSE),VLOOKUP(A174,Wine1!A:AI,35,FALSE))</f>
        <v>204.00000000000003</v>
      </c>
      <c r="M174" s="37">
        <f t="shared" si="10"/>
        <v>4</v>
      </c>
      <c r="N174" s="37">
        <f t="shared" si="13"/>
        <v>1.0309278350515464E-2</v>
      </c>
      <c r="O174" s="37">
        <f t="shared" si="14"/>
        <v>197.88000000000002</v>
      </c>
      <c r="P174" s="37">
        <f>IF(N174&gt;0,M174,IF(L174&gt;=64.99,4,IF(L174&gt;=Expenses!C203,3,IF(UniqueID!L174&gt;=Expenses!C202,2,1))))</f>
        <v>4</v>
      </c>
      <c r="Q174" s="37">
        <f>IF(O174&gt;=64.99,4,IF(N174&gt;0,M174,IF(L174&gt;=64.99,4,IF(L174&gt;=Expenses!C203,3,IF(UniqueID!L174&gt;=Expenses!C202,2,1)))))</f>
        <v>4</v>
      </c>
      <c r="R174" s="37"/>
      <c r="S174" s="37"/>
    </row>
    <row r="175" spans="1:19" x14ac:dyDescent="0.25">
      <c r="A175" t="s">
        <v>577</v>
      </c>
      <c r="C175" s="37" t="str">
        <f>IF(I175&gt;0,VLOOKUP(A175,Wine1!A:H,6,FALSE),VLOOKUP(A175,Drank!A:H,6,FALSE))</f>
        <v>France</v>
      </c>
      <c r="D175" s="37" t="str">
        <f>IF(I175&gt;0,VLOOKUP(A175,Wine1!A:H,7,FALSE),VLOOKUP(A175,Drank!A:H,7,FALSE))</f>
        <v>Bordeaux</v>
      </c>
      <c r="E175" s="37" t="str">
        <f>IF(I175&gt;0,VLOOKUP(A175,Wine1!A:H,8,FALSE),VLOOKUP(A175,Drank!A:H,8,FALSE))</f>
        <v>Sauternes</v>
      </c>
      <c r="F175" s="37" t="str">
        <f t="shared" si="11"/>
        <v>France, Bordeaux</v>
      </c>
      <c r="G175" s="37" t="str">
        <f t="shared" si="12"/>
        <v>France, Bordeaux, Sauternes</v>
      </c>
      <c r="H175" s="37">
        <f>COUNTIF(Agibility!A:A,UniqueID!A175)</f>
        <v>1</v>
      </c>
      <c r="I175" s="37">
        <f>COUNTIF(Wine1!A:A,UniqueID!A175)</f>
        <v>1</v>
      </c>
      <c r="J175" s="37">
        <f>COUNTIF(Drank!A:A,UniqueID!A175)</f>
        <v>0</v>
      </c>
      <c r="K175" s="37">
        <f>IF(I175&lt;1,VLOOKUP(A175,Drank!A:S,19,FALSE),VLOOKUP(A175,Wine1!A:AI,26,FALSE))</f>
        <v>94</v>
      </c>
      <c r="L175" s="37">
        <f>IF(I175&lt;1,VLOOKUP(A175,Drank!A:Z,25,FALSE),VLOOKUP(A175,Wine1!A:AI,35,FALSE))</f>
        <v>65</v>
      </c>
      <c r="M175" s="37">
        <f t="shared" si="10"/>
        <v>3</v>
      </c>
      <c r="N175" s="37">
        <f t="shared" si="13"/>
        <v>1.0638297872340425E-2</v>
      </c>
      <c r="O175" s="37">
        <f t="shared" si="14"/>
        <v>61.1</v>
      </c>
      <c r="P175" s="37">
        <f>IF(N175&gt;0,M175,IF(L175&gt;=64.99,4,IF(L175&gt;=Expenses!C204,3,IF(UniqueID!L175&gt;=Expenses!C203,2,1))))</f>
        <v>3</v>
      </c>
      <c r="Q175" s="37">
        <f>IF(O175&gt;=64.99,4,IF(N175&gt;0,M175,IF(L175&gt;=64.99,4,IF(L175&gt;=Expenses!C204,3,IF(UniqueID!L175&gt;=Expenses!C203,2,1)))))</f>
        <v>3</v>
      </c>
      <c r="R175" s="37"/>
      <c r="S175" s="37"/>
    </row>
    <row r="176" spans="1:19" x14ac:dyDescent="0.25">
      <c r="A176" t="s">
        <v>930</v>
      </c>
      <c r="C176" s="37" t="str">
        <f>IF(I176&gt;0,VLOOKUP(A176,Wine1!A:H,6,FALSE),VLOOKUP(A176,Drank!A:H,6,FALSE))</f>
        <v>Italy</v>
      </c>
      <c r="D176" s="37" t="str">
        <f>IF(I176&gt;0,VLOOKUP(A176,Wine1!A:H,7,FALSE),VLOOKUP(A176,Drank!A:H,7,FALSE))</f>
        <v>Veneto</v>
      </c>
      <c r="E176" s="37" t="str">
        <f>IF(I176&gt;0,VLOOKUP(A176,Wine1!A:H,8,FALSE),VLOOKUP(A176,Drank!A:H,8,FALSE))</f>
        <v>Valpolicella</v>
      </c>
      <c r="F176" s="37" t="str">
        <f t="shared" si="11"/>
        <v>Italy, Veneto</v>
      </c>
      <c r="G176" s="37" t="str">
        <f t="shared" si="12"/>
        <v>Italy, Veneto, Valpolicella</v>
      </c>
      <c r="H176" s="37">
        <f>COUNTIF(Agibility!A:A,UniqueID!A176)</f>
        <v>1</v>
      </c>
      <c r="I176" s="37">
        <f>COUNTIF(Wine1!A:A,UniqueID!A176)</f>
        <v>0</v>
      </c>
      <c r="J176" s="37">
        <f>COUNTIF(Drank!A:A,UniqueID!A176)</f>
        <v>1</v>
      </c>
      <c r="K176" s="37">
        <f>IF(I176&lt;1,VLOOKUP(A176,Drank!A:S,19,FALSE),VLOOKUP(A176,Wine1!A:AI,26,FALSE))</f>
        <v>91</v>
      </c>
      <c r="L176" s="37">
        <f>IF(I176&lt;1,VLOOKUP(A176,Drank!A:Z,25,FALSE),VLOOKUP(A176,Wine1!A:AI,35,FALSE))</f>
        <v>72</v>
      </c>
      <c r="M176" s="37">
        <f t="shared" si="10"/>
        <v>2</v>
      </c>
      <c r="N176" s="37">
        <f t="shared" si="13"/>
        <v>1.098901098901099E-2</v>
      </c>
      <c r="O176" s="37">
        <f t="shared" si="14"/>
        <v>65.52</v>
      </c>
      <c r="P176" s="37">
        <f>IF(N176&gt;0,M176,IF(L176&gt;=64.99,4,IF(L176&gt;=Expenses!C205,3,IF(UniqueID!L176&gt;=Expenses!C204,2,1))))</f>
        <v>2</v>
      </c>
      <c r="Q176" s="37">
        <f>IF(O176&gt;=64.99,4,IF(N176&gt;0,M176,IF(L176&gt;=64.99,4,IF(L176&gt;=Expenses!C205,3,IF(UniqueID!L176&gt;=Expenses!C204,2,1)))))</f>
        <v>4</v>
      </c>
      <c r="R176" s="37"/>
      <c r="S176" s="37"/>
    </row>
    <row r="177" spans="1:19" x14ac:dyDescent="0.25">
      <c r="A177" t="s">
        <v>866</v>
      </c>
      <c r="C177" s="37" t="str">
        <f>IF(I177&gt;0,VLOOKUP(A177,Wine1!A:H,6,FALSE),VLOOKUP(A177,Drank!A:H,6,FALSE))</f>
        <v>Hungary</v>
      </c>
      <c r="D177" s="37">
        <f>IF(I177&gt;0,VLOOKUP(A177,Wine1!A:H,7,FALSE),VLOOKUP(A177,Drank!A:H,7,FALSE))</f>
        <v>0</v>
      </c>
      <c r="E177" s="37">
        <f>IF(I177&gt;0,VLOOKUP(A177,Wine1!A:H,8,FALSE),VLOOKUP(A177,Drank!A:H,8,FALSE))</f>
        <v>0</v>
      </c>
      <c r="F177" s="37" t="str">
        <f t="shared" si="11"/>
        <v>Hungary, 0</v>
      </c>
      <c r="G177" s="37" t="str">
        <f t="shared" si="12"/>
        <v>Hungary, 0, 0</v>
      </c>
      <c r="H177" s="37">
        <f>COUNTIF(Agibility!A:A,UniqueID!A177)</f>
        <v>1</v>
      </c>
      <c r="I177" s="37">
        <f>COUNTIF(Wine1!A:A,UniqueID!A177)</f>
        <v>0</v>
      </c>
      <c r="J177" s="37">
        <f>COUNTIF(Drank!A:A,UniqueID!A177)</f>
        <v>1</v>
      </c>
      <c r="K177" s="37">
        <f>IF(I177&lt;1,VLOOKUP(A177,Drank!A:S,19,FALSE),VLOOKUP(A177,Wine1!A:AI,26,FALSE))</f>
        <v>89</v>
      </c>
      <c r="L177" s="37">
        <f>IF(I177&lt;1,VLOOKUP(A177,Drank!A:Z,25,FALSE),VLOOKUP(A177,Wine1!A:AI,35,FALSE))</f>
        <v>29.984999999999996</v>
      </c>
      <c r="M177" s="37">
        <f t="shared" si="10"/>
        <v>1</v>
      </c>
      <c r="N177" s="37">
        <f t="shared" si="13"/>
        <v>1.1235955056179775E-2</v>
      </c>
      <c r="O177" s="37">
        <f t="shared" si="14"/>
        <v>26.686649999999997</v>
      </c>
      <c r="P177" s="37">
        <f>IF(N177&gt;0,M177,IF(L177&gt;=64.99,4,IF(L177&gt;=Expenses!C206,3,IF(UniqueID!L177&gt;=Expenses!C205,2,1))))</f>
        <v>1</v>
      </c>
      <c r="Q177" s="37">
        <f>IF(O177&gt;=64.99,4,IF(N177&gt;0,M177,IF(L177&gt;=64.99,4,IF(L177&gt;=Expenses!C206,3,IF(UniqueID!L177&gt;=Expenses!C205,2,1)))))</f>
        <v>1</v>
      </c>
      <c r="R177" s="37"/>
      <c r="S177" s="37"/>
    </row>
    <row r="178" spans="1:19" x14ac:dyDescent="0.25">
      <c r="A178" t="s">
        <v>862</v>
      </c>
      <c r="C178" s="37" t="str">
        <f>IF(I178&gt;0,VLOOKUP(A178,Wine1!A:H,6,FALSE),VLOOKUP(A178,Drank!A:H,6,FALSE))</f>
        <v>Argentina</v>
      </c>
      <c r="D178" s="37" t="str">
        <f>IF(I178&gt;0,VLOOKUP(A178,Wine1!A:H,7,FALSE),VLOOKUP(A178,Drank!A:H,7,FALSE))</f>
        <v>Mendoza</v>
      </c>
      <c r="E178" s="37" t="str">
        <f>IF(I178&gt;0,VLOOKUP(A178,Wine1!A:H,8,FALSE),VLOOKUP(A178,Drank!A:H,8,FALSE))</f>
        <v>Valle de Uco, Tupungato</v>
      </c>
      <c r="F178" s="37" t="str">
        <f t="shared" si="11"/>
        <v>Argentina, Mendoza</v>
      </c>
      <c r="G178" s="37" t="str">
        <f t="shared" si="12"/>
        <v>Argentina, Mendoza, Valle de Uco, Tupungato</v>
      </c>
      <c r="H178" s="37">
        <f>COUNTIF(Agibility!A:A,UniqueID!A178)</f>
        <v>1</v>
      </c>
      <c r="I178" s="37">
        <f>COUNTIF(Wine1!A:A,UniqueID!A178)</f>
        <v>0</v>
      </c>
      <c r="J178" s="37">
        <f>COUNTIF(Drank!A:A,UniqueID!A178)</f>
        <v>1</v>
      </c>
      <c r="K178" s="37">
        <f>IF(I178&lt;1,VLOOKUP(A178,Drank!A:S,19,FALSE),VLOOKUP(A178,Wine1!A:AI,26,FALSE))</f>
        <v>89</v>
      </c>
      <c r="L178" s="37">
        <f>IF(I178&lt;1,VLOOKUP(A178,Drank!A:Z,25,FALSE),VLOOKUP(A178,Wine1!A:AI,35,FALSE))</f>
        <v>16.190000000000001</v>
      </c>
      <c r="M178" s="37">
        <f t="shared" si="10"/>
        <v>1</v>
      </c>
      <c r="N178" s="37">
        <f t="shared" si="13"/>
        <v>1.1235955056179775E-2</v>
      </c>
      <c r="O178" s="37">
        <f t="shared" si="14"/>
        <v>14.409100000000002</v>
      </c>
      <c r="P178" s="37">
        <f>IF(N178&gt;0,M178,IF(L178&gt;=64.99,4,IF(L178&gt;=Expenses!C207,3,IF(UniqueID!L178&gt;=Expenses!C206,2,1))))</f>
        <v>1</v>
      </c>
      <c r="Q178" s="37">
        <f>IF(O178&gt;=64.99,4,IF(N178&gt;0,M178,IF(L178&gt;=64.99,4,IF(L178&gt;=Expenses!C207,3,IF(UniqueID!L178&gt;=Expenses!C206,2,1)))))</f>
        <v>1</v>
      </c>
      <c r="R178" s="37"/>
      <c r="S178" s="37"/>
    </row>
    <row r="179" spans="1:19" x14ac:dyDescent="0.25">
      <c r="A179" t="s">
        <v>692</v>
      </c>
      <c r="C179" s="37" t="str">
        <f>IF(I179&gt;0,VLOOKUP(A179,Wine1!A:H,6,FALSE),VLOOKUP(A179,Drank!A:H,6,FALSE))</f>
        <v>USA</v>
      </c>
      <c r="D179" s="37" t="str">
        <f>IF(I179&gt;0,VLOOKUP(A179,Wine1!A:H,7,FALSE),VLOOKUP(A179,Drank!A:H,7,FALSE))</f>
        <v>California</v>
      </c>
      <c r="E179" s="37" t="str">
        <f>IF(I179&gt;0,VLOOKUP(A179,Wine1!A:H,8,FALSE),VLOOKUP(A179,Drank!A:H,8,FALSE))</f>
        <v>Central Coast, Monterey</v>
      </c>
      <c r="F179" s="37" t="str">
        <f t="shared" si="11"/>
        <v>USA, California</v>
      </c>
      <c r="G179" s="37" t="str">
        <f t="shared" si="12"/>
        <v>USA, California, Central Coast, Monterey</v>
      </c>
      <c r="H179" s="37">
        <f>COUNTIF(Agibility!A:A,UniqueID!A179)</f>
        <v>1</v>
      </c>
      <c r="I179" s="37">
        <f>COUNTIF(Wine1!A:A,UniqueID!A179)</f>
        <v>0</v>
      </c>
      <c r="J179" s="37">
        <f>COUNTIF(Drank!A:A,UniqueID!A179)</f>
        <v>1</v>
      </c>
      <c r="K179" s="37">
        <f>IF(I179&lt;1,VLOOKUP(A179,Drank!A:S,19,FALSE),VLOOKUP(A179,Wine1!A:AI,26,FALSE))</f>
        <v>90</v>
      </c>
      <c r="L179" s="37">
        <f>IF(I179&lt;1,VLOOKUP(A179,Drank!A:Z,25,FALSE),VLOOKUP(A179,Wine1!A:AI,35,FALSE))</f>
        <v>19.989999999999998</v>
      </c>
      <c r="M179" s="37">
        <f t="shared" si="10"/>
        <v>2</v>
      </c>
      <c r="N179" s="37">
        <f t="shared" si="13"/>
        <v>1.1111111111111112E-2</v>
      </c>
      <c r="O179" s="37">
        <f t="shared" si="14"/>
        <v>17.991</v>
      </c>
      <c r="P179" s="37">
        <f>IF(N179&gt;0,M179,IF(L179&gt;=64.99,4,IF(L179&gt;=Expenses!C208,3,IF(UniqueID!L179&gt;=Expenses!C207,2,1))))</f>
        <v>2</v>
      </c>
      <c r="Q179" s="37">
        <f>IF(O179&gt;=64.99,4,IF(N179&gt;0,M179,IF(L179&gt;=64.99,4,IF(L179&gt;=Expenses!C208,3,IF(UniqueID!L179&gt;=Expenses!C207,2,1)))))</f>
        <v>2</v>
      </c>
      <c r="R179" s="37"/>
      <c r="S179" s="37"/>
    </row>
    <row r="180" spans="1:19" x14ac:dyDescent="0.25">
      <c r="A180" t="s">
        <v>1203</v>
      </c>
      <c r="C180" s="37" t="str">
        <f>IF(I180&gt;0,VLOOKUP(A180,Wine1!A:H,6,FALSE),VLOOKUP(A180,Drank!A:H,6,FALSE))</f>
        <v>USA</v>
      </c>
      <c r="D180" s="37" t="str">
        <f>IF(I180&gt;0,VLOOKUP(A180,Wine1!A:H,7,FALSE),VLOOKUP(A180,Drank!A:H,7,FALSE))</f>
        <v>California</v>
      </c>
      <c r="E180" s="37">
        <f>IF(I180&gt;0,VLOOKUP(A180,Wine1!A:H,8,FALSE),VLOOKUP(A180,Drank!A:H,8,FALSE))</f>
        <v>0</v>
      </c>
      <c r="F180" s="37" t="str">
        <f t="shared" si="11"/>
        <v>USA, California</v>
      </c>
      <c r="G180" s="37" t="str">
        <f t="shared" si="12"/>
        <v>USA, California, 0</v>
      </c>
      <c r="H180" s="37">
        <f>COUNTIF(Agibility!A:A,UniqueID!A180)</f>
        <v>1</v>
      </c>
      <c r="I180" s="37">
        <f>COUNTIF(Wine1!A:A,UniqueID!A180)</f>
        <v>0</v>
      </c>
      <c r="J180" s="37">
        <f>COUNTIF(Drank!A:A,UniqueID!A180)</f>
        <v>1</v>
      </c>
      <c r="K180" s="37">
        <f>IF(I180&lt;1,VLOOKUP(A180,Drank!A:S,19,FALSE),VLOOKUP(A180,Wine1!A:AI,26,FALSE))</f>
        <v>89</v>
      </c>
      <c r="L180" s="37">
        <f>IF(I180&lt;1,VLOOKUP(A180,Drank!A:Z,25,FALSE),VLOOKUP(A180,Wine1!A:AI,35,FALSE))</f>
        <v>19.989999999999998</v>
      </c>
      <c r="M180" s="37">
        <f t="shared" si="10"/>
        <v>1</v>
      </c>
      <c r="N180" s="37">
        <f t="shared" si="13"/>
        <v>1.1235955056179775E-2</v>
      </c>
      <c r="O180" s="37">
        <f t="shared" si="14"/>
        <v>17.7911</v>
      </c>
      <c r="P180" s="37">
        <f>IF(N180&gt;0,M180,IF(L180&gt;=64.99,4,IF(L180&gt;=Expenses!C209,3,IF(UniqueID!L180&gt;=Expenses!C208,2,1))))</f>
        <v>1</v>
      </c>
      <c r="Q180" s="37">
        <f>IF(O180&gt;=64.99,4,IF(N180&gt;0,M180,IF(L180&gt;=64.99,4,IF(L180&gt;=Expenses!C209,3,IF(UniqueID!L180&gt;=Expenses!C208,2,1)))))</f>
        <v>1</v>
      </c>
      <c r="R180" s="37"/>
      <c r="S180" s="37"/>
    </row>
    <row r="181" spans="1:19" x14ac:dyDescent="0.25">
      <c r="A181" t="s">
        <v>570</v>
      </c>
      <c r="C181" s="37" t="str">
        <f>IF(I181&gt;0,VLOOKUP(A181,Wine1!A:H,6,FALSE),VLOOKUP(A181,Drank!A:H,6,FALSE))</f>
        <v>Portugal</v>
      </c>
      <c r="D181" s="37" t="str">
        <f>IF(I181&gt;0,VLOOKUP(A181,Wine1!A:H,7,FALSE),VLOOKUP(A181,Drank!A:H,7,FALSE))</f>
        <v>Douro</v>
      </c>
      <c r="E181" s="37">
        <f>IF(I181&gt;0,VLOOKUP(A181,Wine1!A:H,8,FALSE),VLOOKUP(A181,Drank!A:H,8,FALSE))</f>
        <v>0</v>
      </c>
      <c r="F181" s="37" t="str">
        <f t="shared" si="11"/>
        <v>Portugal, Douro</v>
      </c>
      <c r="G181" s="37" t="str">
        <f t="shared" si="12"/>
        <v>Portugal, Douro, 0</v>
      </c>
      <c r="H181" s="37">
        <f>COUNTIF(Agibility!A:A,UniqueID!A181)</f>
        <v>1</v>
      </c>
      <c r="I181" s="37">
        <f>COUNTIF(Wine1!A:A,UniqueID!A181)</f>
        <v>0</v>
      </c>
      <c r="J181" s="37">
        <f>COUNTIF(Drank!A:A,UniqueID!A181)</f>
        <v>1</v>
      </c>
      <c r="K181" s="37">
        <f>IF(I181&lt;1,VLOOKUP(A181,Drank!A:S,19,FALSE),VLOOKUP(A181,Wine1!A:AI,26,FALSE))</f>
        <v>86</v>
      </c>
      <c r="L181" s="37">
        <f>IF(I181&lt;1,VLOOKUP(A181,Drank!A:Z,25,FALSE),VLOOKUP(A181,Wine1!A:AI,35,FALSE))</f>
        <v>18</v>
      </c>
      <c r="M181" s="37">
        <f t="shared" si="10"/>
        <v>1</v>
      </c>
      <c r="N181" s="37">
        <f t="shared" si="13"/>
        <v>1.1627906976744186E-2</v>
      </c>
      <c r="O181" s="37">
        <f t="shared" si="14"/>
        <v>15.48</v>
      </c>
      <c r="P181" s="37">
        <f>IF(N181&gt;0,M181,IF(L181&gt;=64.99,4,IF(L181&gt;=Expenses!C210,3,IF(UniqueID!L181&gt;=Expenses!C209,2,1))))</f>
        <v>1</v>
      </c>
      <c r="Q181" s="37">
        <f>IF(O181&gt;=64.99,4,IF(N181&gt;0,M181,IF(L181&gt;=64.99,4,IF(L181&gt;=Expenses!C210,3,IF(UniqueID!L181&gt;=Expenses!C209,2,1)))))</f>
        <v>1</v>
      </c>
      <c r="R181" s="37"/>
      <c r="S181" s="37"/>
    </row>
    <row r="182" spans="1:19" x14ac:dyDescent="0.25">
      <c r="A182" t="s">
        <v>457</v>
      </c>
      <c r="C182" s="37" t="str">
        <f>IF(I182&gt;0,VLOOKUP(A182,Wine1!A:H,6,FALSE),VLOOKUP(A182,Drank!A:H,6,FALSE))</f>
        <v>Spain</v>
      </c>
      <c r="D182" s="37" t="str">
        <f>IF(I182&gt;0,VLOOKUP(A182,Wine1!A:H,7,FALSE),VLOOKUP(A182,Drank!A:H,7,FALSE))</f>
        <v>Murcia</v>
      </c>
      <c r="E182" s="37" t="str">
        <f>IF(I182&gt;0,VLOOKUP(A182,Wine1!A:H,8,FALSE),VLOOKUP(A182,Drank!A:H,8,FALSE))</f>
        <v>Jumilla</v>
      </c>
      <c r="F182" s="37" t="str">
        <f t="shared" si="11"/>
        <v>Spain, Murcia</v>
      </c>
      <c r="G182" s="37" t="str">
        <f t="shared" si="12"/>
        <v>Spain, Murcia, Jumilla</v>
      </c>
      <c r="H182" s="37">
        <f>COUNTIF(Agibility!A:A,UniqueID!A182)</f>
        <v>1</v>
      </c>
      <c r="I182" s="37">
        <f>COUNTIF(Wine1!A:A,UniqueID!A182)</f>
        <v>0</v>
      </c>
      <c r="J182" s="37">
        <f>COUNTIF(Drank!A:A,UniqueID!A182)</f>
        <v>2</v>
      </c>
      <c r="K182" s="37">
        <f>IF(I182&lt;1,VLOOKUP(A182,Drank!A:S,19,FALSE),VLOOKUP(A182,Wine1!A:AI,26,FALSE))</f>
        <v>90.5</v>
      </c>
      <c r="L182" s="37">
        <f>IF(I182&lt;1,VLOOKUP(A182,Drank!A:Z,25,FALSE),VLOOKUP(A182,Wine1!A:AI,35,FALSE))</f>
        <v>39</v>
      </c>
      <c r="M182" s="37">
        <f t="shared" si="10"/>
        <v>2</v>
      </c>
      <c r="N182" s="37">
        <f t="shared" si="13"/>
        <v>1.1049723756906077E-2</v>
      </c>
      <c r="O182" s="37">
        <f t="shared" si="14"/>
        <v>35.295000000000002</v>
      </c>
      <c r="P182" s="37">
        <f>IF(N182&gt;0,M182,IF(L182&gt;=64.99,4,IF(L182&gt;=Expenses!C211,3,IF(UniqueID!L182&gt;=Expenses!C210,2,1))))</f>
        <v>2</v>
      </c>
      <c r="Q182" s="37">
        <f>IF(O182&gt;=64.99,4,IF(N182&gt;0,M182,IF(L182&gt;=64.99,4,IF(L182&gt;=Expenses!C211,3,IF(UniqueID!L182&gt;=Expenses!C210,2,1)))))</f>
        <v>2</v>
      </c>
      <c r="R182" s="37"/>
      <c r="S182" s="37"/>
    </row>
    <row r="183" spans="1:19" x14ac:dyDescent="0.25">
      <c r="A183" t="s">
        <v>455</v>
      </c>
      <c r="C183" s="37" t="str">
        <f>IF(I183&gt;0,VLOOKUP(A183,Wine1!A:H,6,FALSE),VLOOKUP(A183,Drank!A:H,6,FALSE))</f>
        <v>France</v>
      </c>
      <c r="D183" s="37" t="str">
        <f>IF(I183&gt;0,VLOOKUP(A183,Wine1!A:H,7,FALSE),VLOOKUP(A183,Drank!A:H,7,FALSE))</f>
        <v>Burgundy</v>
      </c>
      <c r="E183" s="37" t="str">
        <f>IF(I183&gt;0,VLOOKUP(A183,Wine1!A:H,8,FALSE),VLOOKUP(A183,Drank!A:H,8,FALSE))</f>
        <v>Bourgogne Rouge</v>
      </c>
      <c r="F183" s="37" t="str">
        <f t="shared" si="11"/>
        <v>France, Burgundy</v>
      </c>
      <c r="G183" s="37" t="str">
        <f t="shared" si="12"/>
        <v>France, Burgundy, Bourgogne Rouge</v>
      </c>
      <c r="H183" s="37">
        <f>COUNTIF(Agibility!A:A,UniqueID!A183)</f>
        <v>1</v>
      </c>
      <c r="I183" s="37">
        <f>COUNTIF(Wine1!A:A,UniqueID!A183)</f>
        <v>0</v>
      </c>
      <c r="J183" s="37">
        <f>COUNTIF(Drank!A:A,UniqueID!A183)</f>
        <v>1</v>
      </c>
      <c r="K183" s="37">
        <f>IF(I183&lt;1,VLOOKUP(A183,Drank!A:S,19,FALSE),VLOOKUP(A183,Wine1!A:AI,26,FALSE))</f>
        <v>91</v>
      </c>
      <c r="L183" s="37">
        <f>IF(I183&lt;1,VLOOKUP(A183,Drank!A:Z,25,FALSE),VLOOKUP(A183,Wine1!A:AI,35,FALSE))</f>
        <v>22</v>
      </c>
      <c r="M183" s="37">
        <f t="shared" si="10"/>
        <v>2</v>
      </c>
      <c r="N183" s="37">
        <f t="shared" si="13"/>
        <v>1.098901098901099E-2</v>
      </c>
      <c r="O183" s="37">
        <f t="shared" si="14"/>
        <v>20.02</v>
      </c>
      <c r="P183" s="37">
        <f>IF(N183&gt;0,M183,IF(L183&gt;=64.99,4,IF(L183&gt;=Expenses!C212,3,IF(UniqueID!L183&gt;=Expenses!C211,2,1))))</f>
        <v>2</v>
      </c>
      <c r="Q183" s="37">
        <f>IF(O183&gt;=64.99,4,IF(N183&gt;0,M183,IF(L183&gt;=64.99,4,IF(L183&gt;=Expenses!C212,3,IF(UniqueID!L183&gt;=Expenses!C211,2,1)))))</f>
        <v>2</v>
      </c>
      <c r="R183" s="37"/>
      <c r="S183" s="37"/>
    </row>
    <row r="184" spans="1:19" x14ac:dyDescent="0.25">
      <c r="A184" t="s">
        <v>867</v>
      </c>
      <c r="C184" s="37" t="str">
        <f>IF(I184&gt;0,VLOOKUP(A184,Wine1!A:H,6,FALSE),VLOOKUP(A184,Drank!A:H,6,FALSE))</f>
        <v>USA</v>
      </c>
      <c r="D184" s="37" t="str">
        <f>IF(I184&gt;0,VLOOKUP(A184,Wine1!A:H,7,FALSE),VLOOKUP(A184,Drank!A:H,7,FALSE))</f>
        <v>California</v>
      </c>
      <c r="E184" s="37" t="str">
        <f>IF(I184&gt;0,VLOOKUP(A184,Wine1!A:H,8,FALSE),VLOOKUP(A184,Drank!A:H,8,FALSE))</f>
        <v>Central Coast, Monterey</v>
      </c>
      <c r="F184" s="37" t="str">
        <f t="shared" si="11"/>
        <v>USA, California</v>
      </c>
      <c r="G184" s="37" t="str">
        <f t="shared" si="12"/>
        <v>USA, California, Central Coast, Monterey</v>
      </c>
      <c r="H184" s="37">
        <f>COUNTIF(Agibility!A:A,UniqueID!A184)</f>
        <v>1</v>
      </c>
      <c r="I184" s="37">
        <f>COUNTIF(Wine1!A:A,UniqueID!A184)</f>
        <v>0</v>
      </c>
      <c r="J184" s="37">
        <f>COUNTIF(Drank!A:A,UniqueID!A184)</f>
        <v>1</v>
      </c>
      <c r="K184" s="37">
        <f>IF(I184&lt;1,VLOOKUP(A184,Drank!A:S,19,FALSE),VLOOKUP(A184,Wine1!A:AI,26,FALSE))</f>
        <v>86</v>
      </c>
      <c r="L184" s="37">
        <f>IF(I184&lt;1,VLOOKUP(A184,Drank!A:Z,25,FALSE),VLOOKUP(A184,Wine1!A:AI,35,FALSE))</f>
        <v>14.000000000000002</v>
      </c>
      <c r="M184" s="37">
        <f t="shared" si="10"/>
        <v>1</v>
      </c>
      <c r="N184" s="37">
        <f t="shared" si="13"/>
        <v>1.1627906976744186E-2</v>
      </c>
      <c r="O184" s="37">
        <f t="shared" si="14"/>
        <v>12.040000000000001</v>
      </c>
      <c r="P184" s="37">
        <f>IF(N184&gt;0,M184,IF(L184&gt;=64.99,4,IF(L184&gt;=Expenses!C213,3,IF(UniqueID!L184&gt;=Expenses!C212,2,1))))</f>
        <v>1</v>
      </c>
      <c r="Q184" s="37">
        <f>IF(O184&gt;=64.99,4,IF(N184&gt;0,M184,IF(L184&gt;=64.99,4,IF(L184&gt;=Expenses!C213,3,IF(UniqueID!L184&gt;=Expenses!C212,2,1)))))</f>
        <v>1</v>
      </c>
      <c r="R184" s="37"/>
      <c r="S184" s="37"/>
    </row>
    <row r="185" spans="1:19" x14ac:dyDescent="0.25">
      <c r="A185" t="s">
        <v>868</v>
      </c>
      <c r="C185" s="37" t="str">
        <f>IF(I185&gt;0,VLOOKUP(A185,Wine1!A:H,6,FALSE),VLOOKUP(A185,Drank!A:H,6,FALSE))</f>
        <v>Argentina</v>
      </c>
      <c r="D185" s="37" t="str">
        <f>IF(I185&gt;0,VLOOKUP(A185,Wine1!A:H,7,FALSE),VLOOKUP(A185,Drank!A:H,7,FALSE))</f>
        <v>Mendoza</v>
      </c>
      <c r="E185" s="37" t="str">
        <f>IF(I185&gt;0,VLOOKUP(A185,Wine1!A:H,8,FALSE),VLOOKUP(A185,Drank!A:H,8,FALSE))</f>
        <v>Valle de Uco, Tunuyan</v>
      </c>
      <c r="F185" s="37" t="str">
        <f t="shared" si="11"/>
        <v>Argentina, Mendoza</v>
      </c>
      <c r="G185" s="37" t="str">
        <f t="shared" si="12"/>
        <v>Argentina, Mendoza, Valle de Uco, Tunuyan</v>
      </c>
      <c r="H185" s="37">
        <f>COUNTIF(Agibility!A:A,UniqueID!A185)</f>
        <v>1</v>
      </c>
      <c r="I185" s="37">
        <f>COUNTIF(Wine1!A:A,UniqueID!A185)</f>
        <v>0</v>
      </c>
      <c r="J185" s="37">
        <f>COUNTIF(Drank!A:A,UniqueID!A185)</f>
        <v>1</v>
      </c>
      <c r="K185" s="37">
        <f>IF(I185&lt;1,VLOOKUP(A185,Drank!A:S,19,FALSE),VLOOKUP(A185,Wine1!A:AI,26,FALSE))</f>
        <v>91</v>
      </c>
      <c r="L185" s="37">
        <f>IF(I185&lt;1,VLOOKUP(A185,Drank!A:Z,25,FALSE),VLOOKUP(A185,Wine1!A:AI,35,FALSE))</f>
        <v>26.99</v>
      </c>
      <c r="M185" s="37">
        <f t="shared" si="10"/>
        <v>2</v>
      </c>
      <c r="N185" s="37">
        <f t="shared" si="13"/>
        <v>1.098901098901099E-2</v>
      </c>
      <c r="O185" s="37">
        <f t="shared" si="14"/>
        <v>24.5609</v>
      </c>
      <c r="P185" s="37">
        <f>IF(N185&gt;0,M185,IF(L185&gt;=64.99,4,IF(L185&gt;=Expenses!C214,3,IF(UniqueID!L185&gt;=Expenses!C213,2,1))))</f>
        <v>2</v>
      </c>
      <c r="Q185" s="37">
        <f>IF(O185&gt;=64.99,4,IF(N185&gt;0,M185,IF(L185&gt;=64.99,4,IF(L185&gt;=Expenses!C214,3,IF(UniqueID!L185&gt;=Expenses!C213,2,1)))))</f>
        <v>2</v>
      </c>
      <c r="R185" s="37"/>
      <c r="S185" s="37"/>
    </row>
    <row r="186" spans="1:19" x14ac:dyDescent="0.25">
      <c r="A186" t="s">
        <v>869</v>
      </c>
      <c r="C186" s="37" t="str">
        <f>IF(I186&gt;0,VLOOKUP(A186,Wine1!A:H,6,FALSE),VLOOKUP(A186,Drank!A:H,6,FALSE))</f>
        <v>Chile</v>
      </c>
      <c r="D186" s="37" t="str">
        <f>IF(I186&gt;0,VLOOKUP(A186,Wine1!A:H,7,FALSE),VLOOKUP(A186,Drank!A:H,7,FALSE))</f>
        <v>Maipo Valley</v>
      </c>
      <c r="E186" s="37" t="str">
        <f>IF(I186&gt;0,VLOOKUP(A186,Wine1!A:H,8,FALSE),VLOOKUP(A186,Drank!A:H,8,FALSE))</f>
        <v>Pirque</v>
      </c>
      <c r="F186" s="37" t="str">
        <f t="shared" si="11"/>
        <v>Chile, Maipo Valley</v>
      </c>
      <c r="G186" s="37" t="str">
        <f t="shared" si="12"/>
        <v>Chile, Maipo Valley, Pirque</v>
      </c>
      <c r="H186" s="37">
        <f>COUNTIF(Agibility!A:A,UniqueID!A186)</f>
        <v>1</v>
      </c>
      <c r="I186" s="37">
        <f>COUNTIF(Wine1!A:A,UniqueID!A186)</f>
        <v>0</v>
      </c>
      <c r="J186" s="37">
        <f>COUNTIF(Drank!A:A,UniqueID!A186)</f>
        <v>2</v>
      </c>
      <c r="K186" s="37">
        <f>IF(I186&lt;1,VLOOKUP(A186,Drank!A:S,19,FALSE),VLOOKUP(A186,Wine1!A:AI,26,FALSE))</f>
        <v>86.5</v>
      </c>
      <c r="L186" s="37">
        <f>IF(I186&lt;1,VLOOKUP(A186,Drank!A:Z,25,FALSE),VLOOKUP(A186,Wine1!A:AI,35,FALSE))</f>
        <v>13.490000000000002</v>
      </c>
      <c r="M186" s="37">
        <f t="shared" si="10"/>
        <v>1</v>
      </c>
      <c r="N186" s="37">
        <f t="shared" si="13"/>
        <v>1.1560693641618497E-2</v>
      </c>
      <c r="O186" s="37">
        <f t="shared" si="14"/>
        <v>11.668850000000001</v>
      </c>
      <c r="P186" s="37">
        <f>IF(N186&gt;0,M186,IF(L186&gt;=64.99,4,IF(L186&gt;=Expenses!C215,3,IF(UniqueID!L186&gt;=Expenses!C214,2,1))))</f>
        <v>1</v>
      </c>
      <c r="Q186" s="37">
        <f>IF(O186&gt;=64.99,4,IF(N186&gt;0,M186,IF(L186&gt;=64.99,4,IF(L186&gt;=Expenses!C215,3,IF(UniqueID!L186&gt;=Expenses!C214,2,1)))))</f>
        <v>1</v>
      </c>
      <c r="R186" s="37"/>
      <c r="S186" s="37"/>
    </row>
    <row r="187" spans="1:19" x14ac:dyDescent="0.25">
      <c r="A187" t="s">
        <v>870</v>
      </c>
      <c r="C187" s="37" t="str">
        <f>IF(I187&gt;0,VLOOKUP(A187,Wine1!A:H,6,FALSE),VLOOKUP(A187,Drank!A:H,6,FALSE))</f>
        <v>Italy</v>
      </c>
      <c r="D187" s="37" t="str">
        <f>IF(I187&gt;0,VLOOKUP(A187,Wine1!A:H,7,FALSE),VLOOKUP(A187,Drank!A:H,7,FALSE))</f>
        <v>Lombardy</v>
      </c>
      <c r="E187" s="37" t="str">
        <f>IF(I187&gt;0,VLOOKUP(A187,Wine1!A:H,8,FALSE),VLOOKUP(A187,Drank!A:H,8,FALSE))</f>
        <v>Sforzato di Valtellina</v>
      </c>
      <c r="F187" s="37" t="str">
        <f t="shared" si="11"/>
        <v>Italy, Lombardy</v>
      </c>
      <c r="G187" s="37" t="str">
        <f t="shared" si="12"/>
        <v>Italy, Lombardy, Sforzato di Valtellina</v>
      </c>
      <c r="H187" s="37">
        <f>COUNTIF(Agibility!A:A,UniqueID!A187)</f>
        <v>1</v>
      </c>
      <c r="I187" s="37">
        <f>COUNTIF(Wine1!A:A,UniqueID!A187)</f>
        <v>0</v>
      </c>
      <c r="J187" s="37">
        <f>COUNTIF(Drank!A:A,UniqueID!A187)</f>
        <v>1</v>
      </c>
      <c r="K187" s="37">
        <f>IF(I187&lt;1,VLOOKUP(A187,Drank!A:S,19,FALSE),VLOOKUP(A187,Wine1!A:AI,26,FALSE))</f>
        <v>92</v>
      </c>
      <c r="L187" s="37">
        <f>IF(I187&lt;1,VLOOKUP(A187,Drank!A:Z,25,FALSE),VLOOKUP(A187,Wine1!A:AI,35,FALSE))</f>
        <v>40</v>
      </c>
      <c r="M187" s="37">
        <f t="shared" si="10"/>
        <v>2</v>
      </c>
      <c r="N187" s="37">
        <f t="shared" si="13"/>
        <v>1.0869565217391304E-2</v>
      </c>
      <c r="O187" s="37">
        <f t="shared" si="14"/>
        <v>36.800000000000004</v>
      </c>
      <c r="P187" s="37">
        <f>IF(N187&gt;0,M187,IF(L187&gt;=64.99,4,IF(L187&gt;=Expenses!C216,3,IF(UniqueID!L187&gt;=Expenses!C215,2,1))))</f>
        <v>2</v>
      </c>
      <c r="Q187" s="37">
        <f>IF(O187&gt;=64.99,4,IF(N187&gt;0,M187,IF(L187&gt;=64.99,4,IF(L187&gt;=Expenses!C216,3,IF(UniqueID!L187&gt;=Expenses!C215,2,1)))))</f>
        <v>2</v>
      </c>
      <c r="R187" s="37"/>
      <c r="S187" s="37"/>
    </row>
    <row r="188" spans="1:19" x14ac:dyDescent="0.25">
      <c r="A188" t="s">
        <v>871</v>
      </c>
      <c r="C188" s="37" t="str">
        <f>IF(I188&gt;0,VLOOKUP(A188,Wine1!A:H,6,FALSE),VLOOKUP(A188,Drank!A:H,6,FALSE))</f>
        <v>Portugal</v>
      </c>
      <c r="D188" s="37" t="str">
        <f>IF(I188&gt;0,VLOOKUP(A188,Wine1!A:H,7,FALSE),VLOOKUP(A188,Drank!A:H,7,FALSE))</f>
        <v>Douro</v>
      </c>
      <c r="E188" s="37">
        <f>IF(I188&gt;0,VLOOKUP(A188,Wine1!A:H,8,FALSE),VLOOKUP(A188,Drank!A:H,8,FALSE))</f>
        <v>0</v>
      </c>
      <c r="F188" s="37" t="str">
        <f t="shared" si="11"/>
        <v>Portugal, Douro</v>
      </c>
      <c r="G188" s="37" t="str">
        <f t="shared" si="12"/>
        <v>Portugal, Douro, 0</v>
      </c>
      <c r="H188" s="37">
        <f>COUNTIF(Agibility!A:A,UniqueID!A188)</f>
        <v>1</v>
      </c>
      <c r="I188" s="37">
        <f>COUNTIF(Wine1!A:A,UniqueID!A188)</f>
        <v>0</v>
      </c>
      <c r="J188" s="37">
        <f>COUNTIF(Drank!A:A,UniqueID!A188)</f>
        <v>2</v>
      </c>
      <c r="K188" s="37">
        <f>IF(I188&lt;1,VLOOKUP(A188,Drank!A:S,19,FALSE),VLOOKUP(A188,Wine1!A:AI,26,FALSE))</f>
        <v>90</v>
      </c>
      <c r="L188" s="37">
        <f>IF(I188&lt;1,VLOOKUP(A188,Drank!A:Z,25,FALSE),VLOOKUP(A188,Wine1!A:AI,35,FALSE))</f>
        <v>140</v>
      </c>
      <c r="M188" s="37">
        <f t="shared" si="10"/>
        <v>2</v>
      </c>
      <c r="N188" s="37">
        <f t="shared" si="13"/>
        <v>1.1111111111111112E-2</v>
      </c>
      <c r="O188" s="37">
        <f t="shared" si="14"/>
        <v>126</v>
      </c>
      <c r="P188" s="37">
        <f>IF(N188&gt;0,M188,IF(L188&gt;=64.99,4,IF(L188&gt;=Expenses!C217,3,IF(UniqueID!L188&gt;=Expenses!C216,2,1))))</f>
        <v>2</v>
      </c>
      <c r="Q188" s="37">
        <f>IF(O188&gt;=64.99,4,IF(N188&gt;0,M188,IF(L188&gt;=64.99,4,IF(L188&gt;=Expenses!C217,3,IF(UniqueID!L188&gt;=Expenses!C216,2,1)))))</f>
        <v>4</v>
      </c>
      <c r="R188" s="37"/>
      <c r="S188" s="37"/>
    </row>
    <row r="189" spans="1:19" x14ac:dyDescent="0.25">
      <c r="A189" t="s">
        <v>872</v>
      </c>
      <c r="C189" s="37" t="str">
        <f>IF(I189&gt;0,VLOOKUP(A189,Wine1!A:H,6,FALSE),VLOOKUP(A189,Drank!A:H,6,FALSE))</f>
        <v>Spain</v>
      </c>
      <c r="D189" s="37" t="str">
        <f>IF(I189&gt;0,VLOOKUP(A189,Wine1!A:H,7,FALSE),VLOOKUP(A189,Drank!A:H,7,FALSE))</f>
        <v>Aragon</v>
      </c>
      <c r="E189" s="37" t="str">
        <f>IF(I189&gt;0,VLOOKUP(A189,Wine1!A:H,8,FALSE),VLOOKUP(A189,Drank!A:H,8,FALSE))</f>
        <v>Carinena</v>
      </c>
      <c r="F189" s="37" t="str">
        <f t="shared" si="11"/>
        <v>Spain, Aragon</v>
      </c>
      <c r="G189" s="37" t="str">
        <f t="shared" si="12"/>
        <v>Spain, Aragon, Carinena</v>
      </c>
      <c r="H189" s="37">
        <f>COUNTIF(Agibility!A:A,UniqueID!A189)</f>
        <v>1</v>
      </c>
      <c r="I189" s="37">
        <f>COUNTIF(Wine1!A:A,UniqueID!A189)</f>
        <v>0</v>
      </c>
      <c r="J189" s="37">
        <f>COUNTIF(Drank!A:A,UniqueID!A189)</f>
        <v>1</v>
      </c>
      <c r="K189" s="37">
        <f>IF(I189&lt;1,VLOOKUP(A189,Drank!A:S,19,FALSE),VLOOKUP(A189,Wine1!A:AI,26,FALSE))</f>
        <v>90</v>
      </c>
      <c r="L189" s="37">
        <f>IF(I189&lt;1,VLOOKUP(A189,Drank!A:Z,25,FALSE),VLOOKUP(A189,Wine1!A:AI,35,FALSE))</f>
        <v>17</v>
      </c>
      <c r="M189" s="37">
        <f t="shared" si="10"/>
        <v>2</v>
      </c>
      <c r="N189" s="37">
        <f t="shared" si="13"/>
        <v>1.1111111111111112E-2</v>
      </c>
      <c r="O189" s="37">
        <f t="shared" si="14"/>
        <v>15.3</v>
      </c>
      <c r="P189" s="37">
        <f>IF(N189&gt;0,M189,IF(L189&gt;=64.99,4,IF(L189&gt;=Expenses!C218,3,IF(UniqueID!L189&gt;=Expenses!C217,2,1))))</f>
        <v>2</v>
      </c>
      <c r="Q189" s="37">
        <f>IF(O189&gt;=64.99,4,IF(N189&gt;0,M189,IF(L189&gt;=64.99,4,IF(L189&gt;=Expenses!C218,3,IF(UniqueID!L189&gt;=Expenses!C217,2,1)))))</f>
        <v>2</v>
      </c>
      <c r="R189" s="37"/>
      <c r="S189" s="37"/>
    </row>
    <row r="190" spans="1:19" x14ac:dyDescent="0.25">
      <c r="A190" t="s">
        <v>873</v>
      </c>
      <c r="C190" s="37" t="str">
        <f>IF(I190&gt;0,VLOOKUP(A190,Wine1!A:H,6,FALSE),VLOOKUP(A190,Drank!A:H,6,FALSE))</f>
        <v>USA</v>
      </c>
      <c r="D190" s="37" t="str">
        <f>IF(I190&gt;0,VLOOKUP(A190,Wine1!A:H,7,FALSE),VLOOKUP(A190,Drank!A:H,7,FALSE))</f>
        <v>California</v>
      </c>
      <c r="E190" s="37" t="str">
        <f>IF(I190&gt;0,VLOOKUP(A190,Wine1!A:H,8,FALSE),VLOOKUP(A190,Drank!A:H,8,FALSE))</f>
        <v>North Coast, Napa Valley</v>
      </c>
      <c r="F190" s="37" t="str">
        <f t="shared" si="11"/>
        <v>USA, California</v>
      </c>
      <c r="G190" s="37" t="str">
        <f t="shared" si="12"/>
        <v>USA, California, North Coast, Napa Valley</v>
      </c>
      <c r="H190" s="37">
        <f>COUNTIF(Agibility!A:A,UniqueID!A190)</f>
        <v>1</v>
      </c>
      <c r="I190" s="37">
        <f>COUNTIF(Wine1!A:A,UniqueID!A190)</f>
        <v>0</v>
      </c>
      <c r="J190" s="37">
        <f>COUNTIF(Drank!A:A,UniqueID!A190)</f>
        <v>1</v>
      </c>
      <c r="K190" s="37">
        <f>IF(I190&lt;1,VLOOKUP(A190,Drank!A:S,19,FALSE),VLOOKUP(A190,Wine1!A:AI,26,FALSE))</f>
        <v>91</v>
      </c>
      <c r="L190" s="37">
        <f>IF(I190&lt;1,VLOOKUP(A190,Drank!A:Z,25,FALSE),VLOOKUP(A190,Wine1!A:AI,35,FALSE))</f>
        <v>21</v>
      </c>
      <c r="M190" s="37">
        <f t="shared" si="10"/>
        <v>2</v>
      </c>
      <c r="N190" s="37">
        <f t="shared" si="13"/>
        <v>1.098901098901099E-2</v>
      </c>
      <c r="O190" s="37">
        <f t="shared" si="14"/>
        <v>19.11</v>
      </c>
      <c r="P190" s="37">
        <f>IF(N190&gt;0,M190,IF(L190&gt;=64.99,4,IF(L190&gt;=Expenses!C219,3,IF(UniqueID!L190&gt;=Expenses!C218,2,1))))</f>
        <v>2</v>
      </c>
      <c r="Q190" s="37">
        <f>IF(O190&gt;=64.99,4,IF(N190&gt;0,M190,IF(L190&gt;=64.99,4,IF(L190&gt;=Expenses!C219,3,IF(UniqueID!L190&gt;=Expenses!C218,2,1)))))</f>
        <v>2</v>
      </c>
      <c r="R190" s="37"/>
      <c r="S190" s="37"/>
    </row>
    <row r="191" spans="1:19" x14ac:dyDescent="0.25">
      <c r="A191" t="s">
        <v>874</v>
      </c>
      <c r="C191" s="37" t="str">
        <f>IF(I191&gt;0,VLOOKUP(A191,Wine1!A:H,6,FALSE),VLOOKUP(A191,Drank!A:H,6,FALSE))</f>
        <v>USA</v>
      </c>
      <c r="D191" s="37" t="str">
        <f>IF(I191&gt;0,VLOOKUP(A191,Wine1!A:H,7,FALSE),VLOOKUP(A191,Drank!A:H,7,FALSE))</f>
        <v>California</v>
      </c>
      <c r="E191" s="37" t="str">
        <f>IF(I191&gt;0,VLOOKUP(A191,Wine1!A:H,8,FALSE),VLOOKUP(A191,Drank!A:H,8,FALSE))</f>
        <v>North Coast, Napa Valley</v>
      </c>
      <c r="F191" s="37" t="str">
        <f t="shared" si="11"/>
        <v>USA, California</v>
      </c>
      <c r="G191" s="37" t="str">
        <f t="shared" si="12"/>
        <v>USA, California, North Coast, Napa Valley</v>
      </c>
      <c r="H191" s="37">
        <f>COUNTIF(Agibility!A:A,UniqueID!A191)</f>
        <v>1</v>
      </c>
      <c r="I191" s="37">
        <f>COUNTIF(Wine1!A:A,UniqueID!A191)</f>
        <v>0</v>
      </c>
      <c r="J191" s="37">
        <f>COUNTIF(Drank!A:A,UniqueID!A191)</f>
        <v>1</v>
      </c>
      <c r="K191" s="37">
        <f>IF(I191&lt;1,VLOOKUP(A191,Drank!A:S,19,FALSE),VLOOKUP(A191,Wine1!A:AI,26,FALSE))</f>
        <v>91</v>
      </c>
      <c r="L191" s="37">
        <f>IF(I191&lt;1,VLOOKUP(A191,Drank!A:Z,25,FALSE),VLOOKUP(A191,Wine1!A:AI,35,FALSE))</f>
        <v>48</v>
      </c>
      <c r="M191" s="37">
        <f t="shared" si="10"/>
        <v>2</v>
      </c>
      <c r="N191" s="37">
        <f t="shared" si="13"/>
        <v>1.098901098901099E-2</v>
      </c>
      <c r="O191" s="37">
        <f t="shared" si="14"/>
        <v>43.68</v>
      </c>
      <c r="P191" s="37">
        <f>IF(N191&gt;0,M191,IF(L191&gt;=64.99,4,IF(L191&gt;=Expenses!C220,3,IF(UniqueID!L191&gt;=Expenses!C219,2,1))))</f>
        <v>2</v>
      </c>
      <c r="Q191" s="37">
        <f>IF(O191&gt;=64.99,4,IF(N191&gt;0,M191,IF(L191&gt;=64.99,4,IF(L191&gt;=Expenses!C220,3,IF(UniqueID!L191&gt;=Expenses!C219,2,1)))))</f>
        <v>2</v>
      </c>
      <c r="R191" s="37"/>
      <c r="S191" s="37"/>
    </row>
    <row r="192" spans="1:19" x14ac:dyDescent="0.25">
      <c r="A192" t="s">
        <v>875</v>
      </c>
      <c r="C192" s="37" t="str">
        <f>IF(I192&gt;0,VLOOKUP(A192,Wine1!A:H,6,FALSE),VLOOKUP(A192,Drank!A:H,6,FALSE))</f>
        <v>USA</v>
      </c>
      <c r="D192" s="37" t="str">
        <f>IF(I192&gt;0,VLOOKUP(A192,Wine1!A:H,7,FALSE),VLOOKUP(A192,Drank!A:H,7,FALSE))</f>
        <v>California</v>
      </c>
      <c r="E192" s="37" t="str">
        <f>IF(I192&gt;0,VLOOKUP(A192,Wine1!A:H,8,FALSE),VLOOKUP(A192,Drank!A:H,8,FALSE))</f>
        <v>North Coast, Sonoma</v>
      </c>
      <c r="F192" s="37" t="str">
        <f t="shared" si="11"/>
        <v>USA, California</v>
      </c>
      <c r="G192" s="37" t="str">
        <f t="shared" si="12"/>
        <v>USA, California, North Coast, Sonoma</v>
      </c>
      <c r="H192" s="37">
        <f>COUNTIF(Agibility!A:A,UniqueID!A192)</f>
        <v>1</v>
      </c>
      <c r="I192" s="37">
        <f>COUNTIF(Wine1!A:A,UniqueID!A192)</f>
        <v>0</v>
      </c>
      <c r="J192" s="37">
        <f>COUNTIF(Drank!A:A,UniqueID!A192)</f>
        <v>1</v>
      </c>
      <c r="K192" s="37">
        <f>IF(I192&lt;1,VLOOKUP(A192,Drank!A:S,19,FALSE),VLOOKUP(A192,Wine1!A:AI,26,FALSE))</f>
        <v>90</v>
      </c>
      <c r="L192" s="37">
        <f>IF(I192&lt;1,VLOOKUP(A192,Drank!A:Z,25,FALSE),VLOOKUP(A192,Wine1!A:AI,35,FALSE))</f>
        <v>50</v>
      </c>
      <c r="M192" s="37">
        <f t="shared" si="10"/>
        <v>2</v>
      </c>
      <c r="N192" s="37">
        <f t="shared" si="13"/>
        <v>1.1111111111111112E-2</v>
      </c>
      <c r="O192" s="37">
        <f t="shared" si="14"/>
        <v>45</v>
      </c>
      <c r="P192" s="37">
        <f>IF(N192&gt;0,M192,IF(L192&gt;=64.99,4,IF(L192&gt;=Expenses!C221,3,IF(UniqueID!L192&gt;=Expenses!C220,2,1))))</f>
        <v>2</v>
      </c>
      <c r="Q192" s="37">
        <f>IF(O192&gt;=64.99,4,IF(N192&gt;0,M192,IF(L192&gt;=64.99,4,IF(L192&gt;=Expenses!C221,3,IF(UniqueID!L192&gt;=Expenses!C220,2,1)))))</f>
        <v>2</v>
      </c>
      <c r="R192" s="37"/>
      <c r="S192" s="37"/>
    </row>
    <row r="193" spans="1:19" x14ac:dyDescent="0.25">
      <c r="A193" t="s">
        <v>876</v>
      </c>
      <c r="C193" s="37" t="str">
        <f>IF(I193&gt;0,VLOOKUP(A193,Wine1!A:H,6,FALSE),VLOOKUP(A193,Drank!A:H,6,FALSE))</f>
        <v>Italy</v>
      </c>
      <c r="D193" s="37" t="str">
        <f>IF(I193&gt;0,VLOOKUP(A193,Wine1!A:H,7,FALSE),VLOOKUP(A193,Drank!A:H,7,FALSE))</f>
        <v>Veneto</v>
      </c>
      <c r="E193" s="37" t="str">
        <f>IF(I193&gt;0,VLOOKUP(A193,Wine1!A:H,8,FALSE),VLOOKUP(A193,Drank!A:H,8,FALSE))</f>
        <v>Valpolicella Classico</v>
      </c>
      <c r="F193" s="37" t="str">
        <f t="shared" si="11"/>
        <v>Italy, Veneto</v>
      </c>
      <c r="G193" s="37" t="str">
        <f t="shared" si="12"/>
        <v>Italy, Veneto, Valpolicella Classico</v>
      </c>
      <c r="H193" s="37">
        <f>COUNTIF(Agibility!A:A,UniqueID!A193)</f>
        <v>1</v>
      </c>
      <c r="I193" s="37">
        <f>COUNTIF(Wine1!A:A,UniqueID!A193)</f>
        <v>0</v>
      </c>
      <c r="J193" s="37">
        <f>COUNTIF(Drank!A:A,UniqueID!A193)</f>
        <v>2</v>
      </c>
      <c r="K193" s="37">
        <f>IF(I193&lt;1,VLOOKUP(A193,Drank!A:S,19,FALSE),VLOOKUP(A193,Wine1!A:AI,26,FALSE))</f>
        <v>89.5</v>
      </c>
      <c r="L193" s="37">
        <f>IF(I193&lt;1,VLOOKUP(A193,Drank!A:Z,25,FALSE),VLOOKUP(A193,Wine1!A:AI,35,FALSE))</f>
        <v>40</v>
      </c>
      <c r="M193" s="37">
        <f t="shared" si="10"/>
        <v>1</v>
      </c>
      <c r="N193" s="37">
        <f t="shared" si="13"/>
        <v>1.11731843575419E-2</v>
      </c>
      <c r="O193" s="37">
        <f t="shared" si="14"/>
        <v>35.799999999999997</v>
      </c>
      <c r="P193" s="37">
        <f>IF(N193&gt;0,M193,IF(L193&gt;=64.99,4,IF(L193&gt;=Expenses!C222,3,IF(UniqueID!L193&gt;=Expenses!C221,2,1))))</f>
        <v>1</v>
      </c>
      <c r="Q193" s="37">
        <f>IF(O193&gt;=64.99,4,IF(N193&gt;0,M193,IF(L193&gt;=64.99,4,IF(L193&gt;=Expenses!C222,3,IF(UniqueID!L193&gt;=Expenses!C221,2,1)))))</f>
        <v>1</v>
      </c>
      <c r="R193" s="37"/>
      <c r="S193" s="37"/>
    </row>
    <row r="194" spans="1:19" x14ac:dyDescent="0.25">
      <c r="A194" t="s">
        <v>877</v>
      </c>
      <c r="C194" s="37" t="str">
        <f>IF(I194&gt;0,VLOOKUP(A194,Wine1!A:H,6,FALSE),VLOOKUP(A194,Drank!A:H,6,FALSE))</f>
        <v>Italy</v>
      </c>
      <c r="D194" s="37" t="str">
        <f>IF(I194&gt;0,VLOOKUP(A194,Wine1!A:H,7,FALSE),VLOOKUP(A194,Drank!A:H,7,FALSE))</f>
        <v>Tuscany</v>
      </c>
      <c r="E194" s="37" t="str">
        <f>IF(I194&gt;0,VLOOKUP(A194,Wine1!A:H,8,FALSE),VLOOKUP(A194,Drank!A:H,8,FALSE))</f>
        <v>Brunello di Montalcino</v>
      </c>
      <c r="F194" s="37" t="str">
        <f t="shared" si="11"/>
        <v>Italy, Tuscany</v>
      </c>
      <c r="G194" s="37" t="str">
        <f t="shared" si="12"/>
        <v>Italy, Tuscany, Brunello di Montalcino</v>
      </c>
      <c r="H194" s="37">
        <f>COUNTIF(Agibility!A:A,UniqueID!A194)</f>
        <v>1</v>
      </c>
      <c r="I194" s="37">
        <f>COUNTIF(Wine1!A:A,UniqueID!A194)</f>
        <v>0</v>
      </c>
      <c r="J194" s="37">
        <f>COUNTIF(Drank!A:A,UniqueID!A194)</f>
        <v>1</v>
      </c>
      <c r="K194" s="37">
        <f>IF(I194&lt;1,VLOOKUP(A194,Drank!A:S,19,FALSE),VLOOKUP(A194,Wine1!A:AI,26,FALSE))</f>
        <v>89</v>
      </c>
      <c r="L194" s="37">
        <f>IF(I194&lt;1,VLOOKUP(A194,Drank!A:Z,25,FALSE),VLOOKUP(A194,Wine1!A:AI,35,FALSE))</f>
        <v>75</v>
      </c>
      <c r="M194" s="37">
        <f t="shared" ref="M194:M241" si="15">IF(K194&gt;96,4,IF(K194&gt;92,3,IF(K194&gt;=90,2,1)))</f>
        <v>1</v>
      </c>
      <c r="N194" s="37">
        <f t="shared" si="13"/>
        <v>1.1235955056179775E-2</v>
      </c>
      <c r="O194" s="37">
        <f t="shared" si="14"/>
        <v>66.75</v>
      </c>
      <c r="P194" s="37">
        <f>IF(N194&gt;0,M194,IF(L194&gt;=64.99,4,IF(L194&gt;=Expenses!C223,3,IF(UniqueID!L194&gt;=Expenses!C222,2,1))))</f>
        <v>1</v>
      </c>
      <c r="Q194" s="37">
        <f>IF(O194&gt;=64.99,4,IF(N194&gt;0,M194,IF(L194&gt;=64.99,4,IF(L194&gt;=Expenses!C223,3,IF(UniqueID!L194&gt;=Expenses!C222,2,1)))))</f>
        <v>4</v>
      </c>
      <c r="R194" s="37"/>
      <c r="S194" s="37"/>
    </row>
    <row r="195" spans="1:19" x14ac:dyDescent="0.25">
      <c r="A195" t="s">
        <v>878</v>
      </c>
      <c r="C195" s="37" t="str">
        <f>IF(I195&gt;0,VLOOKUP(A195,Wine1!A:H,6,FALSE),VLOOKUP(A195,Drank!A:H,6,FALSE))</f>
        <v>USA</v>
      </c>
      <c r="D195" s="37" t="str">
        <f>IF(I195&gt;0,VLOOKUP(A195,Wine1!A:H,7,FALSE),VLOOKUP(A195,Drank!A:H,7,FALSE))</f>
        <v>California</v>
      </c>
      <c r="E195" s="37" t="str">
        <f>IF(I195&gt;0,VLOOKUP(A195,Wine1!A:H,8,FALSE),VLOOKUP(A195,Drank!A:H,8,FALSE))</f>
        <v>North Coast, Napa Valley</v>
      </c>
      <c r="F195" s="37" t="str">
        <f t="shared" ref="F195:F241" si="16">CONCATENATE(C195,", ",D195)</f>
        <v>USA, California</v>
      </c>
      <c r="G195" s="37" t="str">
        <f t="shared" ref="G195:G241" si="17">CONCATENATE(C195,", ",D195,", ",E195)</f>
        <v>USA, California, North Coast, Napa Valley</v>
      </c>
      <c r="H195" s="37">
        <f>COUNTIF(Agibility!A:A,UniqueID!A195)</f>
        <v>1</v>
      </c>
      <c r="I195" s="37">
        <f>COUNTIF(Wine1!A:A,UniqueID!A195)</f>
        <v>0</v>
      </c>
      <c r="J195" s="37">
        <f>COUNTIF(Drank!A:A,UniqueID!A195)</f>
        <v>1</v>
      </c>
      <c r="K195" s="37">
        <f>IF(I195&lt;1,VLOOKUP(A195,Drank!A:S,19,FALSE),VLOOKUP(A195,Wine1!A:AI,26,FALSE))</f>
        <v>89</v>
      </c>
      <c r="L195" s="37">
        <f>IF(I195&lt;1,VLOOKUP(A195,Drank!A:Z,25,FALSE),VLOOKUP(A195,Wine1!A:AI,35,FALSE))</f>
        <v>35</v>
      </c>
      <c r="M195" s="37">
        <f t="shared" si="15"/>
        <v>1</v>
      </c>
      <c r="N195" s="37">
        <f t="shared" si="13"/>
        <v>1.1235955056179775E-2</v>
      </c>
      <c r="O195" s="37">
        <f t="shared" si="14"/>
        <v>31.150000000000002</v>
      </c>
      <c r="P195" s="37">
        <f>IF(N195&gt;0,M195,IF(L195&gt;=64.99,4,IF(L195&gt;=Expenses!C224,3,IF(UniqueID!L195&gt;=Expenses!C223,2,1))))</f>
        <v>1</v>
      </c>
      <c r="Q195" s="37">
        <f>IF(O195&gt;=64.99,4,IF(N195&gt;0,M195,IF(L195&gt;=64.99,4,IF(L195&gt;=Expenses!C224,3,IF(UniqueID!L195&gt;=Expenses!C223,2,1)))))</f>
        <v>1</v>
      </c>
      <c r="R195" s="37"/>
      <c r="S195" s="37"/>
    </row>
    <row r="196" spans="1:19" x14ac:dyDescent="0.25">
      <c r="A196" t="s">
        <v>879</v>
      </c>
      <c r="C196" s="37" t="str">
        <f>IF(I196&gt;0,VLOOKUP(A196,Wine1!A:H,6,FALSE),VLOOKUP(A196,Drank!A:H,6,FALSE))</f>
        <v>Australia</v>
      </c>
      <c r="D196" s="37" t="str">
        <f>IF(I196&gt;0,VLOOKUP(A196,Wine1!A:H,7,FALSE),VLOOKUP(A196,Drank!A:H,7,FALSE))</f>
        <v>South Australia</v>
      </c>
      <c r="E196" s="37" t="str">
        <f>IF(I196&gt;0,VLOOKUP(A196,Wine1!A:H,8,FALSE),VLOOKUP(A196,Drank!A:H,8,FALSE))</f>
        <v>Fleurieu, McLaren Vale</v>
      </c>
      <c r="F196" s="37" t="str">
        <f t="shared" si="16"/>
        <v>Australia, South Australia</v>
      </c>
      <c r="G196" s="37" t="str">
        <f t="shared" si="17"/>
        <v>Australia, South Australia, Fleurieu, McLaren Vale</v>
      </c>
      <c r="H196" s="37">
        <f>COUNTIF(Agibility!A:A,UniqueID!A196)</f>
        <v>1</v>
      </c>
      <c r="I196" s="37">
        <f>COUNTIF(Wine1!A:A,UniqueID!A196)</f>
        <v>0</v>
      </c>
      <c r="J196" s="37">
        <f>COUNTIF(Drank!A:A,UniqueID!A196)</f>
        <v>1</v>
      </c>
      <c r="K196" s="37">
        <f>IF(I196&lt;1,VLOOKUP(A196,Drank!A:S,19,FALSE),VLOOKUP(A196,Wine1!A:AI,26,FALSE))</f>
        <v>88</v>
      </c>
      <c r="L196" s="37">
        <f>IF(I196&lt;1,VLOOKUP(A196,Drank!A:Z,25,FALSE),VLOOKUP(A196,Wine1!A:AI,35,FALSE))</f>
        <v>13.490000000000002</v>
      </c>
      <c r="M196" s="37">
        <f t="shared" si="15"/>
        <v>1</v>
      </c>
      <c r="N196" s="37">
        <f t="shared" ref="N196:N241" si="18">IFERROR(1/K196,0)</f>
        <v>1.1363636363636364E-2</v>
      </c>
      <c r="O196" s="37">
        <f t="shared" ref="O196:O241" si="19">IF(N196&gt;0,K196*0.01*L196,0)</f>
        <v>11.871200000000002</v>
      </c>
      <c r="P196" s="37">
        <f>IF(N196&gt;0,M196,IF(L196&gt;=64.99,4,IF(L196&gt;=Expenses!C225,3,IF(UniqueID!L196&gt;=Expenses!C224,2,1))))</f>
        <v>1</v>
      </c>
      <c r="Q196" s="37">
        <f>IF(O196&gt;=64.99,4,IF(N196&gt;0,M196,IF(L196&gt;=64.99,4,IF(L196&gt;=Expenses!C225,3,IF(UniqueID!L196&gt;=Expenses!C224,2,1)))))</f>
        <v>1</v>
      </c>
      <c r="R196" s="37"/>
      <c r="S196" s="37"/>
    </row>
    <row r="197" spans="1:19" x14ac:dyDescent="0.25">
      <c r="A197" t="s">
        <v>880</v>
      </c>
      <c r="C197" s="37" t="str">
        <f>IF(I197&gt;0,VLOOKUP(A197,Wine1!A:H,6,FALSE),VLOOKUP(A197,Drank!A:H,6,FALSE))</f>
        <v>Italy</v>
      </c>
      <c r="D197" s="37" t="str">
        <f>IF(I197&gt;0,VLOOKUP(A197,Wine1!A:H,7,FALSE),VLOOKUP(A197,Drank!A:H,7,FALSE))</f>
        <v>Tuscany</v>
      </c>
      <c r="E197" s="37" t="str">
        <f>IF(I197&gt;0,VLOOKUP(A197,Wine1!A:H,8,FALSE),VLOOKUP(A197,Drank!A:H,8,FALSE))</f>
        <v>Chianti Classico</v>
      </c>
      <c r="F197" s="37" t="str">
        <f t="shared" si="16"/>
        <v>Italy, Tuscany</v>
      </c>
      <c r="G197" s="37" t="str">
        <f t="shared" si="17"/>
        <v>Italy, Tuscany, Chianti Classico</v>
      </c>
      <c r="H197" s="37">
        <f>COUNTIF(Agibility!A:A,UniqueID!A197)</f>
        <v>1</v>
      </c>
      <c r="I197" s="37">
        <f>COUNTIF(Wine1!A:A,UniqueID!A197)</f>
        <v>0</v>
      </c>
      <c r="J197" s="37">
        <f>COUNTIF(Drank!A:A,UniqueID!A197)</f>
        <v>1</v>
      </c>
      <c r="K197" s="37">
        <f>IF(I197&lt;1,VLOOKUP(A197,Drank!A:S,19,FALSE),VLOOKUP(A197,Wine1!A:AI,26,FALSE))</f>
        <v>88</v>
      </c>
      <c r="L197" s="37">
        <f>IF(I197&lt;1,VLOOKUP(A197,Drank!A:Z,25,FALSE),VLOOKUP(A197,Wine1!A:AI,35,FALSE))</f>
        <v>13.47</v>
      </c>
      <c r="M197" s="37">
        <f t="shared" si="15"/>
        <v>1</v>
      </c>
      <c r="N197" s="37">
        <f t="shared" si="18"/>
        <v>1.1363636363636364E-2</v>
      </c>
      <c r="O197" s="37">
        <f t="shared" si="19"/>
        <v>11.8536</v>
      </c>
      <c r="P197" s="37">
        <f>IF(N197&gt;0,M197,IF(L197&gt;=64.99,4,IF(L197&gt;=Expenses!C226,3,IF(UniqueID!L197&gt;=Expenses!C225,2,1))))</f>
        <v>1</v>
      </c>
      <c r="Q197" s="37">
        <f>IF(O197&gt;=64.99,4,IF(N197&gt;0,M197,IF(L197&gt;=64.99,4,IF(L197&gt;=Expenses!C226,3,IF(UniqueID!L197&gt;=Expenses!C225,2,1)))))</f>
        <v>1</v>
      </c>
      <c r="R197" s="37"/>
      <c r="S197" s="37"/>
    </row>
    <row r="198" spans="1:19" x14ac:dyDescent="0.25">
      <c r="A198" t="s">
        <v>881</v>
      </c>
      <c r="C198" s="37" t="str">
        <f>IF(I198&gt;0,VLOOKUP(A198,Wine1!A:H,6,FALSE),VLOOKUP(A198,Drank!A:H,6,FALSE))</f>
        <v>Italy</v>
      </c>
      <c r="D198" s="37" t="str">
        <f>IF(I198&gt;0,VLOOKUP(A198,Wine1!A:H,7,FALSE),VLOOKUP(A198,Drank!A:H,7,FALSE))</f>
        <v>Tuscany</v>
      </c>
      <c r="E198" s="37" t="str">
        <f>IF(I198&gt;0,VLOOKUP(A198,Wine1!A:H,8,FALSE),VLOOKUP(A198,Drank!A:H,8,FALSE))</f>
        <v>Toscana</v>
      </c>
      <c r="F198" s="37" t="str">
        <f t="shared" si="16"/>
        <v>Italy, Tuscany</v>
      </c>
      <c r="G198" s="37" t="str">
        <f t="shared" si="17"/>
        <v>Italy, Tuscany, Toscana</v>
      </c>
      <c r="H198" s="37">
        <f>COUNTIF(Agibility!A:A,UniqueID!A198)</f>
        <v>1</v>
      </c>
      <c r="I198" s="37">
        <f>COUNTIF(Wine1!A:A,UniqueID!A198)</f>
        <v>0</v>
      </c>
      <c r="J198" s="37">
        <f>COUNTIF(Drank!A:A,UniqueID!A198)</f>
        <v>1</v>
      </c>
      <c r="K198" s="37">
        <f>IF(I198&lt;1,VLOOKUP(A198,Drank!A:S,19,FALSE),VLOOKUP(A198,Wine1!A:AI,26,FALSE))</f>
        <v>89</v>
      </c>
      <c r="L198" s="37">
        <f>IF(I198&lt;1,VLOOKUP(A198,Drank!A:Z,25,FALSE),VLOOKUP(A198,Wine1!A:AI,35,FALSE))</f>
        <v>17</v>
      </c>
      <c r="M198" s="37">
        <f t="shared" si="15"/>
        <v>1</v>
      </c>
      <c r="N198" s="37">
        <f t="shared" si="18"/>
        <v>1.1235955056179775E-2</v>
      </c>
      <c r="O198" s="37">
        <f t="shared" si="19"/>
        <v>15.13</v>
      </c>
      <c r="P198" s="37">
        <f>IF(N198&gt;0,M198,IF(L198&gt;=64.99,4,IF(L198&gt;=Expenses!C227,3,IF(UniqueID!L198&gt;=Expenses!C226,2,1))))</f>
        <v>1</v>
      </c>
      <c r="Q198" s="37">
        <f>IF(O198&gt;=64.99,4,IF(N198&gt;0,M198,IF(L198&gt;=64.99,4,IF(L198&gt;=Expenses!C227,3,IF(UniqueID!L198&gt;=Expenses!C226,2,1)))))</f>
        <v>1</v>
      </c>
      <c r="R198" s="37"/>
      <c r="S198" s="37"/>
    </row>
    <row r="199" spans="1:19" x14ac:dyDescent="0.25">
      <c r="A199" t="s">
        <v>882</v>
      </c>
      <c r="C199" s="37" t="str">
        <f>IF(I199&gt;0,VLOOKUP(A199,Wine1!A:H,6,FALSE),VLOOKUP(A199,Drank!A:H,6,FALSE))</f>
        <v>Italy</v>
      </c>
      <c r="D199" s="37" t="str">
        <f>IF(I199&gt;0,VLOOKUP(A199,Wine1!A:H,7,FALSE),VLOOKUP(A199,Drank!A:H,7,FALSE))</f>
        <v>Veneto</v>
      </c>
      <c r="E199" s="37" t="str">
        <f>IF(I199&gt;0,VLOOKUP(A199,Wine1!A:H,8,FALSE),VLOOKUP(A199,Drank!A:H,8,FALSE))</f>
        <v>Veneto IGT</v>
      </c>
      <c r="F199" s="37" t="str">
        <f t="shared" si="16"/>
        <v>Italy, Veneto</v>
      </c>
      <c r="G199" s="37" t="str">
        <f t="shared" si="17"/>
        <v>Italy, Veneto, Veneto IGT</v>
      </c>
      <c r="H199" s="37">
        <f>COUNTIF(Agibility!A:A,UniqueID!A199)</f>
        <v>1</v>
      </c>
      <c r="I199" s="37">
        <f>COUNTIF(Wine1!A:A,UniqueID!A199)</f>
        <v>0</v>
      </c>
      <c r="J199" s="37">
        <f>COUNTIF(Drank!A:A,UniqueID!A199)</f>
        <v>4</v>
      </c>
      <c r="K199" s="37">
        <f>IF(I199&lt;1,VLOOKUP(A199,Drank!A:S,19,FALSE),VLOOKUP(A199,Wine1!A:AI,26,FALSE))</f>
        <v>86.5</v>
      </c>
      <c r="L199" s="37">
        <f>IF(I199&lt;1,VLOOKUP(A199,Drank!A:Z,25,FALSE),VLOOKUP(A199,Wine1!A:AI,35,FALSE))</f>
        <v>14.39</v>
      </c>
      <c r="M199" s="37">
        <f t="shared" si="15"/>
        <v>1</v>
      </c>
      <c r="N199" s="37">
        <f t="shared" si="18"/>
        <v>1.1560693641618497E-2</v>
      </c>
      <c r="O199" s="37">
        <f t="shared" si="19"/>
        <v>12.44735</v>
      </c>
      <c r="P199" s="37">
        <f>IF(N199&gt;0,M199,IF(L199&gt;=64.99,4,IF(L199&gt;=Expenses!C228,3,IF(UniqueID!L199&gt;=Expenses!C227,2,1))))</f>
        <v>1</v>
      </c>
      <c r="Q199" s="37">
        <f>IF(O199&gt;=64.99,4,IF(N199&gt;0,M199,IF(L199&gt;=64.99,4,IF(L199&gt;=Expenses!C228,3,IF(UniqueID!L199&gt;=Expenses!C227,2,1)))))</f>
        <v>1</v>
      </c>
      <c r="R199" s="37"/>
      <c r="S199" s="37"/>
    </row>
    <row r="200" spans="1:19" x14ac:dyDescent="0.25">
      <c r="A200" t="s">
        <v>883</v>
      </c>
      <c r="C200" s="37" t="str">
        <f>IF(I200&gt;0,VLOOKUP(A200,Wine1!A:H,6,FALSE),VLOOKUP(A200,Drank!A:H,6,FALSE))</f>
        <v>Italy</v>
      </c>
      <c r="D200" s="37" t="str">
        <f>IF(I200&gt;0,VLOOKUP(A200,Wine1!A:H,7,FALSE),VLOOKUP(A200,Drank!A:H,7,FALSE))</f>
        <v>Veneto</v>
      </c>
      <c r="E200" s="37" t="str">
        <f>IF(I200&gt;0,VLOOKUP(A200,Wine1!A:H,8,FALSE),VLOOKUP(A200,Drank!A:H,8,FALSE))</f>
        <v>Valpolicella Classico</v>
      </c>
      <c r="F200" s="37" t="str">
        <f t="shared" si="16"/>
        <v>Italy, Veneto</v>
      </c>
      <c r="G200" s="37" t="str">
        <f t="shared" si="17"/>
        <v>Italy, Veneto, Valpolicella Classico</v>
      </c>
      <c r="H200" s="37">
        <f>COUNTIF(Agibility!A:A,UniqueID!A200)</f>
        <v>1</v>
      </c>
      <c r="I200" s="37">
        <f>COUNTIF(Wine1!A:A,UniqueID!A200)</f>
        <v>0</v>
      </c>
      <c r="J200" s="37">
        <f>COUNTIF(Drank!A:A,UniqueID!A200)</f>
        <v>1</v>
      </c>
      <c r="K200" s="37">
        <f>IF(I200&lt;1,VLOOKUP(A200,Drank!A:S,19,FALSE),VLOOKUP(A200,Wine1!A:AI,26,FALSE))</f>
        <v>93</v>
      </c>
      <c r="L200" s="37">
        <f>IF(I200&lt;1,VLOOKUP(A200,Drank!A:Z,25,FALSE),VLOOKUP(A200,Wine1!A:AI,35,FALSE))</f>
        <v>36</v>
      </c>
      <c r="M200" s="37">
        <f t="shared" si="15"/>
        <v>3</v>
      </c>
      <c r="N200" s="37">
        <f t="shared" si="18"/>
        <v>1.0752688172043012E-2</v>
      </c>
      <c r="O200" s="37">
        <f t="shared" si="19"/>
        <v>33.480000000000004</v>
      </c>
      <c r="P200" s="37">
        <f>IF(N200&gt;0,M200,IF(L200&gt;=64.99,4,IF(L200&gt;=Expenses!C229,3,IF(UniqueID!L200&gt;=Expenses!C228,2,1))))</f>
        <v>3</v>
      </c>
      <c r="Q200" s="37">
        <f>IF(O200&gt;=64.99,4,IF(N200&gt;0,M200,IF(L200&gt;=64.99,4,IF(L200&gt;=Expenses!C229,3,IF(UniqueID!L200&gt;=Expenses!C228,2,1)))))</f>
        <v>3</v>
      </c>
      <c r="R200" s="37"/>
      <c r="S200" s="37"/>
    </row>
    <row r="201" spans="1:19" x14ac:dyDescent="0.25">
      <c r="A201" t="s">
        <v>884</v>
      </c>
      <c r="C201" s="37" t="str">
        <f>IF(I201&gt;0,VLOOKUP(A201,Wine1!A:H,6,FALSE),VLOOKUP(A201,Drank!A:H,6,FALSE))</f>
        <v>USA</v>
      </c>
      <c r="D201" s="37" t="str">
        <f>IF(I201&gt;0,VLOOKUP(A201,Wine1!A:H,7,FALSE),VLOOKUP(A201,Drank!A:H,7,FALSE))</f>
        <v>California</v>
      </c>
      <c r="E201" s="37" t="str">
        <f>IF(I201&gt;0,VLOOKUP(A201,Wine1!A:H,8,FALSE),VLOOKUP(A201,Drank!A:H,8,FALSE))</f>
        <v>North Coast, Napa Valley</v>
      </c>
      <c r="F201" s="37" t="str">
        <f t="shared" si="16"/>
        <v>USA, California</v>
      </c>
      <c r="G201" s="37" t="str">
        <f t="shared" si="17"/>
        <v>USA, California, North Coast, Napa Valley</v>
      </c>
      <c r="H201" s="37">
        <f>COUNTIF(Agibility!A:A,UniqueID!A201)</f>
        <v>1</v>
      </c>
      <c r="I201" s="37">
        <f>COUNTIF(Wine1!A:A,UniqueID!A201)</f>
        <v>0</v>
      </c>
      <c r="J201" s="37">
        <f>COUNTIF(Drank!A:A,UniqueID!A201)</f>
        <v>1</v>
      </c>
      <c r="K201" s="37">
        <f>IF(I201&lt;1,VLOOKUP(A201,Drank!A:S,19,FALSE),VLOOKUP(A201,Wine1!A:AI,26,FALSE))</f>
        <v>90</v>
      </c>
      <c r="L201" s="37">
        <f>IF(I201&lt;1,VLOOKUP(A201,Drank!A:Z,25,FALSE),VLOOKUP(A201,Wine1!A:AI,35,FALSE))</f>
        <v>46</v>
      </c>
      <c r="M201" s="37">
        <f t="shared" si="15"/>
        <v>2</v>
      </c>
      <c r="N201" s="37">
        <f t="shared" si="18"/>
        <v>1.1111111111111112E-2</v>
      </c>
      <c r="O201" s="37">
        <f t="shared" si="19"/>
        <v>41.4</v>
      </c>
      <c r="P201" s="37">
        <f>IF(N201&gt;0,M201,IF(L201&gt;=64.99,4,IF(L201&gt;=Expenses!C230,3,IF(UniqueID!L201&gt;=Expenses!C229,2,1))))</f>
        <v>2</v>
      </c>
      <c r="Q201" s="37">
        <f>IF(O201&gt;=64.99,4,IF(N201&gt;0,M201,IF(L201&gt;=64.99,4,IF(L201&gt;=Expenses!C230,3,IF(UniqueID!L201&gt;=Expenses!C229,2,1)))))</f>
        <v>2</v>
      </c>
      <c r="R201" s="37"/>
      <c r="S201" s="37"/>
    </row>
    <row r="202" spans="1:19" x14ac:dyDescent="0.25">
      <c r="A202" t="s">
        <v>885</v>
      </c>
      <c r="C202" s="37" t="str">
        <f>IF(I202&gt;0,VLOOKUP(A202,Wine1!A:H,6,FALSE),VLOOKUP(A202,Drank!A:H,6,FALSE))</f>
        <v>Italy</v>
      </c>
      <c r="D202" s="37" t="str">
        <f>IF(I202&gt;0,VLOOKUP(A202,Wine1!A:H,7,FALSE),VLOOKUP(A202,Drank!A:H,7,FALSE))</f>
        <v>Abruzzo</v>
      </c>
      <c r="E202" s="37" t="str">
        <f>IF(I202&gt;0,VLOOKUP(A202,Wine1!A:H,8,FALSE),VLOOKUP(A202,Drank!A:H,8,FALSE))</f>
        <v>Montepulciano d'Abruzzo, Abruzzi</v>
      </c>
      <c r="F202" s="37" t="str">
        <f t="shared" si="16"/>
        <v>Italy, Abruzzo</v>
      </c>
      <c r="G202" s="37" t="str">
        <f t="shared" si="17"/>
        <v>Italy, Abruzzo, Montepulciano d'Abruzzo, Abruzzi</v>
      </c>
      <c r="H202" s="37">
        <f>COUNTIF(Agibility!A:A,UniqueID!A202)</f>
        <v>1</v>
      </c>
      <c r="I202" s="37">
        <f>COUNTIF(Wine1!A:A,UniqueID!A202)</f>
        <v>0</v>
      </c>
      <c r="J202" s="37">
        <f>COUNTIF(Drank!A:A,UniqueID!A202)</f>
        <v>1</v>
      </c>
      <c r="K202" s="37">
        <f>IF(I202&lt;1,VLOOKUP(A202,Drank!A:S,19,FALSE),VLOOKUP(A202,Wine1!A:AI,26,FALSE))</f>
        <v>89</v>
      </c>
      <c r="L202" s="37">
        <f>IF(I202&lt;1,VLOOKUP(A202,Drank!A:Z,25,FALSE),VLOOKUP(A202,Wine1!A:AI,35,FALSE))</f>
        <v>14.000000000000002</v>
      </c>
      <c r="M202" s="37">
        <f t="shared" si="15"/>
        <v>1</v>
      </c>
      <c r="N202" s="37">
        <f t="shared" si="18"/>
        <v>1.1235955056179775E-2</v>
      </c>
      <c r="O202" s="37">
        <f t="shared" si="19"/>
        <v>12.460000000000003</v>
      </c>
      <c r="P202" s="37">
        <f>IF(N202&gt;0,M202,IF(L202&gt;=64.99,4,IF(L202&gt;=Expenses!C231,3,IF(UniqueID!L202&gt;=Expenses!C230,2,1))))</f>
        <v>1</v>
      </c>
      <c r="Q202" s="37">
        <f>IF(O202&gt;=64.99,4,IF(N202&gt;0,M202,IF(L202&gt;=64.99,4,IF(L202&gt;=Expenses!C231,3,IF(UniqueID!L202&gt;=Expenses!C230,2,1)))))</f>
        <v>1</v>
      </c>
      <c r="R202" s="37"/>
      <c r="S202" s="37"/>
    </row>
    <row r="203" spans="1:19" x14ac:dyDescent="0.25">
      <c r="A203" t="s">
        <v>886</v>
      </c>
      <c r="C203" s="37" t="str">
        <f>IF(I203&gt;0,VLOOKUP(A203,Wine1!A:H,6,FALSE),VLOOKUP(A203,Drank!A:H,6,FALSE))</f>
        <v>USA</v>
      </c>
      <c r="D203" s="37" t="str">
        <f>IF(I203&gt;0,VLOOKUP(A203,Wine1!A:H,7,FALSE),VLOOKUP(A203,Drank!A:H,7,FALSE))</f>
        <v>California</v>
      </c>
      <c r="E203" s="37" t="str">
        <f>IF(I203&gt;0,VLOOKUP(A203,Wine1!A:H,8,FALSE),VLOOKUP(A203,Drank!A:H,8,FALSE))</f>
        <v>North Coast, Napa Valley</v>
      </c>
      <c r="F203" s="37" t="str">
        <f t="shared" si="16"/>
        <v>USA, California</v>
      </c>
      <c r="G203" s="37" t="str">
        <f t="shared" si="17"/>
        <v>USA, California, North Coast, Napa Valley</v>
      </c>
      <c r="H203" s="37">
        <f>COUNTIF(Agibility!A:A,UniqueID!A203)</f>
        <v>1</v>
      </c>
      <c r="I203" s="37">
        <f>COUNTIF(Wine1!A:A,UniqueID!A203)</f>
        <v>0</v>
      </c>
      <c r="J203" s="37">
        <f>COUNTIF(Drank!A:A,UniqueID!A203)</f>
        <v>1</v>
      </c>
      <c r="K203" s="37">
        <f>IF(I203&lt;1,VLOOKUP(A203,Drank!A:S,19,FALSE),VLOOKUP(A203,Wine1!A:AI,26,FALSE))</f>
        <v>89</v>
      </c>
      <c r="L203" s="37">
        <f>IF(I203&lt;1,VLOOKUP(A203,Drank!A:Z,25,FALSE),VLOOKUP(A203,Wine1!A:AI,35,FALSE))</f>
        <v>49.990000000000009</v>
      </c>
      <c r="M203" s="37">
        <f t="shared" si="15"/>
        <v>1</v>
      </c>
      <c r="N203" s="37">
        <f t="shared" si="18"/>
        <v>1.1235955056179775E-2</v>
      </c>
      <c r="O203" s="37">
        <f t="shared" si="19"/>
        <v>44.49110000000001</v>
      </c>
      <c r="P203" s="37">
        <f>IF(N203&gt;0,M203,IF(L203&gt;=64.99,4,IF(L203&gt;=Expenses!C232,3,IF(UniqueID!L203&gt;=Expenses!C231,2,1))))</f>
        <v>1</v>
      </c>
      <c r="Q203" s="37">
        <f>IF(O203&gt;=64.99,4,IF(N203&gt;0,M203,IF(L203&gt;=64.99,4,IF(L203&gt;=Expenses!C232,3,IF(UniqueID!L203&gt;=Expenses!C231,2,1)))))</f>
        <v>1</v>
      </c>
      <c r="R203" s="37"/>
      <c r="S203" s="37"/>
    </row>
    <row r="204" spans="1:19" x14ac:dyDescent="0.25">
      <c r="A204" t="s">
        <v>887</v>
      </c>
      <c r="C204" s="37" t="str">
        <f>IF(I204&gt;0,VLOOKUP(A204,Wine1!A:H,6,FALSE),VLOOKUP(A204,Drank!A:H,6,FALSE))</f>
        <v>Italy</v>
      </c>
      <c r="D204" s="37" t="str">
        <f>IF(I204&gt;0,VLOOKUP(A204,Wine1!A:H,7,FALSE),VLOOKUP(A204,Drank!A:H,7,FALSE))</f>
        <v>Tuscany</v>
      </c>
      <c r="E204" s="37" t="str">
        <f>IF(I204&gt;0,VLOOKUP(A204,Wine1!A:H,8,FALSE),VLOOKUP(A204,Drank!A:H,8,FALSE))</f>
        <v>Maremma Toscana</v>
      </c>
      <c r="F204" s="37" t="str">
        <f t="shared" si="16"/>
        <v>Italy, Tuscany</v>
      </c>
      <c r="G204" s="37" t="str">
        <f t="shared" si="17"/>
        <v>Italy, Tuscany, Maremma Toscana</v>
      </c>
      <c r="H204" s="37">
        <f>COUNTIF(Agibility!A:A,UniqueID!A204)</f>
        <v>1</v>
      </c>
      <c r="I204" s="37">
        <f>COUNTIF(Wine1!A:A,UniqueID!A204)</f>
        <v>0</v>
      </c>
      <c r="J204" s="37">
        <f>COUNTIF(Drank!A:A,UniqueID!A204)</f>
        <v>1</v>
      </c>
      <c r="K204" s="37">
        <f>IF(I204&lt;1,VLOOKUP(A204,Drank!A:S,19,FALSE),VLOOKUP(A204,Wine1!A:AI,26,FALSE))</f>
        <v>91</v>
      </c>
      <c r="L204" s="37">
        <f>IF(I204&lt;1,VLOOKUP(A204,Drank!A:Z,25,FALSE),VLOOKUP(A204,Wine1!A:AI,35,FALSE))</f>
        <v>22</v>
      </c>
      <c r="M204" s="37">
        <f t="shared" si="15"/>
        <v>2</v>
      </c>
      <c r="N204" s="37">
        <f t="shared" si="18"/>
        <v>1.098901098901099E-2</v>
      </c>
      <c r="O204" s="37">
        <f t="shared" si="19"/>
        <v>20.02</v>
      </c>
      <c r="P204" s="37">
        <f>IF(N204&gt;0,M204,IF(L204&gt;=64.99,4,IF(L204&gt;=Expenses!C233,3,IF(UniqueID!L204&gt;=Expenses!C232,2,1))))</f>
        <v>2</v>
      </c>
      <c r="Q204" s="37">
        <f>IF(O204&gt;=64.99,4,IF(N204&gt;0,M204,IF(L204&gt;=64.99,4,IF(L204&gt;=Expenses!C233,3,IF(UniqueID!L204&gt;=Expenses!C232,2,1)))))</f>
        <v>2</v>
      </c>
      <c r="R204" s="37"/>
      <c r="S204" s="37"/>
    </row>
    <row r="205" spans="1:19" x14ac:dyDescent="0.25">
      <c r="A205" t="s">
        <v>888</v>
      </c>
      <c r="C205" s="37" t="str">
        <f>IF(I205&gt;0,VLOOKUP(A205,Wine1!A:H,6,FALSE),VLOOKUP(A205,Drank!A:H,6,FALSE))</f>
        <v>Portugal</v>
      </c>
      <c r="D205" s="37" t="str">
        <f>IF(I205&gt;0,VLOOKUP(A205,Wine1!A:H,7,FALSE),VLOOKUP(A205,Drank!A:H,7,FALSE))</f>
        <v>Dao</v>
      </c>
      <c r="E205" s="37">
        <f>IF(I205&gt;0,VLOOKUP(A205,Wine1!A:H,8,FALSE),VLOOKUP(A205,Drank!A:H,8,FALSE))</f>
        <v>0</v>
      </c>
      <c r="F205" s="37" t="str">
        <f t="shared" si="16"/>
        <v>Portugal, Dao</v>
      </c>
      <c r="G205" s="37" t="str">
        <f t="shared" si="17"/>
        <v>Portugal, Dao, 0</v>
      </c>
      <c r="H205" s="37">
        <f>COUNTIF(Agibility!A:A,UniqueID!A205)</f>
        <v>1</v>
      </c>
      <c r="I205" s="37">
        <f>COUNTIF(Wine1!A:A,UniqueID!A205)</f>
        <v>0</v>
      </c>
      <c r="J205" s="37">
        <f>COUNTIF(Drank!A:A,UniqueID!A205)</f>
        <v>6</v>
      </c>
      <c r="K205" s="37">
        <f>IF(I205&lt;1,VLOOKUP(A205,Drank!A:S,19,FALSE),VLOOKUP(A205,Wine1!A:AI,26,FALSE))</f>
        <v>85.5</v>
      </c>
      <c r="L205" s="37">
        <f>IF(I205&lt;1,VLOOKUP(A205,Drank!A:Z,25,FALSE),VLOOKUP(A205,Wine1!A:AI,35,FALSE))</f>
        <v>8.09</v>
      </c>
      <c r="M205" s="37">
        <f t="shared" si="15"/>
        <v>1</v>
      </c>
      <c r="N205" s="37">
        <f t="shared" si="18"/>
        <v>1.1695906432748537E-2</v>
      </c>
      <c r="O205" s="37">
        <f t="shared" si="19"/>
        <v>6.9169499999999999</v>
      </c>
      <c r="P205" s="37">
        <f>IF(N205&gt;0,M205,IF(L205&gt;=64.99,4,IF(L205&gt;=Expenses!C234,3,IF(UniqueID!L205&gt;=Expenses!C233,2,1))))</f>
        <v>1</v>
      </c>
      <c r="Q205" s="37">
        <f>IF(O205&gt;=64.99,4,IF(N205&gt;0,M205,IF(L205&gt;=64.99,4,IF(L205&gt;=Expenses!C234,3,IF(UniqueID!L205&gt;=Expenses!C233,2,1)))))</f>
        <v>1</v>
      </c>
      <c r="R205" s="37"/>
      <c r="S205" s="37"/>
    </row>
    <row r="206" spans="1:19" x14ac:dyDescent="0.25">
      <c r="A206" t="s">
        <v>889</v>
      </c>
      <c r="C206" s="37" t="str">
        <f>IF(I206&gt;0,VLOOKUP(A206,Wine1!A:H,6,FALSE),VLOOKUP(A206,Drank!A:H,6,FALSE))</f>
        <v>Portugal</v>
      </c>
      <c r="D206" s="37" t="str">
        <f>IF(I206&gt;0,VLOOKUP(A206,Wine1!A:H,7,FALSE),VLOOKUP(A206,Drank!A:H,7,FALSE))</f>
        <v>Douro</v>
      </c>
      <c r="E206" s="37">
        <f>IF(I206&gt;0,VLOOKUP(A206,Wine1!A:H,8,FALSE),VLOOKUP(A206,Drank!A:H,8,FALSE))</f>
        <v>0</v>
      </c>
      <c r="F206" s="37" t="str">
        <f t="shared" si="16"/>
        <v>Portugal, Douro</v>
      </c>
      <c r="G206" s="37" t="str">
        <f t="shared" si="17"/>
        <v>Portugal, Douro, 0</v>
      </c>
      <c r="H206" s="37">
        <f>COUNTIF(Agibility!A:A,UniqueID!A206)</f>
        <v>1</v>
      </c>
      <c r="I206" s="37">
        <f>COUNTIF(Wine1!A:A,UniqueID!A206)</f>
        <v>0</v>
      </c>
      <c r="J206" s="37">
        <f>COUNTIF(Drank!A:A,UniqueID!A206)</f>
        <v>1</v>
      </c>
      <c r="K206" s="37">
        <f>IF(I206&lt;1,VLOOKUP(A206,Drank!A:S,19,FALSE),VLOOKUP(A206,Wine1!A:AI,26,FALSE))</f>
        <v>97</v>
      </c>
      <c r="L206" s="37">
        <f>IF(I206&lt;1,VLOOKUP(A206,Drank!A:Z,25,FALSE),VLOOKUP(A206,Wine1!A:AI,35,FALSE))</f>
        <v>0</v>
      </c>
      <c r="M206" s="37">
        <f t="shared" si="15"/>
        <v>4</v>
      </c>
      <c r="N206" s="37">
        <f t="shared" si="18"/>
        <v>1.0309278350515464E-2</v>
      </c>
      <c r="O206" s="37">
        <f t="shared" si="19"/>
        <v>0</v>
      </c>
      <c r="P206" s="37">
        <f>IF(N206&gt;0,M206,IF(L206&gt;=64.99,4,IF(L206&gt;=Expenses!C235,3,IF(UniqueID!L206&gt;=Expenses!C234,2,1))))</f>
        <v>4</v>
      </c>
      <c r="Q206" s="37">
        <f>IF(O206&gt;=64.99,4,IF(N206&gt;0,M206,IF(L206&gt;=64.99,4,IF(L206&gt;=Expenses!C235,3,IF(UniqueID!L206&gt;=Expenses!C234,2,1)))))</f>
        <v>4</v>
      </c>
      <c r="R206" s="37"/>
      <c r="S206" s="37"/>
    </row>
    <row r="207" spans="1:19" x14ac:dyDescent="0.25">
      <c r="A207" t="s">
        <v>890</v>
      </c>
      <c r="C207" s="37" t="str">
        <f>IF(I207&gt;0,VLOOKUP(A207,Wine1!A:H,6,FALSE),VLOOKUP(A207,Drank!A:H,6,FALSE))</f>
        <v>Italy</v>
      </c>
      <c r="D207" s="37" t="str">
        <f>IF(I207&gt;0,VLOOKUP(A207,Wine1!A:H,7,FALSE),VLOOKUP(A207,Drank!A:H,7,FALSE))</f>
        <v>Tuscany</v>
      </c>
      <c r="E207" s="37" t="str">
        <f>IF(I207&gt;0,VLOOKUP(A207,Wine1!A:H,8,FALSE),VLOOKUP(A207,Drank!A:H,8,FALSE))</f>
        <v>Brunello di Montalcino</v>
      </c>
      <c r="F207" s="37" t="str">
        <f t="shared" si="16"/>
        <v>Italy, Tuscany</v>
      </c>
      <c r="G207" s="37" t="str">
        <f t="shared" si="17"/>
        <v>Italy, Tuscany, Brunello di Montalcino</v>
      </c>
      <c r="H207" s="37">
        <f>COUNTIF(Agibility!A:A,UniqueID!A207)</f>
        <v>1</v>
      </c>
      <c r="I207" s="37">
        <f>COUNTIF(Wine1!A:A,UniqueID!A207)</f>
        <v>0</v>
      </c>
      <c r="J207" s="37">
        <f>COUNTIF(Drank!A:A,UniqueID!A207)</f>
        <v>1</v>
      </c>
      <c r="K207" s="37">
        <f>IF(I207&lt;1,VLOOKUP(A207,Drank!A:S,19,FALSE),VLOOKUP(A207,Wine1!A:AI,26,FALSE))</f>
        <v>92</v>
      </c>
      <c r="L207" s="37">
        <f>IF(I207&lt;1,VLOOKUP(A207,Drank!A:Z,25,FALSE),VLOOKUP(A207,Wine1!A:AI,35,FALSE))</f>
        <v>0</v>
      </c>
      <c r="M207" s="37">
        <f t="shared" si="15"/>
        <v>2</v>
      </c>
      <c r="N207" s="37">
        <f t="shared" si="18"/>
        <v>1.0869565217391304E-2</v>
      </c>
      <c r="O207" s="37">
        <f t="shared" si="19"/>
        <v>0</v>
      </c>
      <c r="P207" s="37">
        <f>IF(N207&gt;0,M207,IF(L207&gt;=64.99,4,IF(L207&gt;=Expenses!C236,3,IF(UniqueID!L207&gt;=Expenses!C235,2,1))))</f>
        <v>2</v>
      </c>
      <c r="Q207" s="37">
        <f>IF(O207&gt;=64.99,4,IF(N207&gt;0,M207,IF(L207&gt;=64.99,4,IF(L207&gt;=Expenses!C236,3,IF(UniqueID!L207&gt;=Expenses!C235,2,1)))))</f>
        <v>2</v>
      </c>
      <c r="R207" s="37"/>
      <c r="S207" s="37"/>
    </row>
    <row r="208" spans="1:19" x14ac:dyDescent="0.25">
      <c r="A208" t="s">
        <v>891</v>
      </c>
      <c r="C208" s="37" t="str">
        <f>IF(I208&gt;0,VLOOKUP(A208,Wine1!A:H,6,FALSE),VLOOKUP(A208,Drank!A:H,6,FALSE))</f>
        <v>Spain</v>
      </c>
      <c r="D208" s="37" t="str">
        <f>IF(I208&gt;0,VLOOKUP(A208,Wine1!A:H,7,FALSE),VLOOKUP(A208,Drank!A:H,7,FALSE))</f>
        <v>Rioja</v>
      </c>
      <c r="E208" s="37">
        <f>IF(I208&gt;0,VLOOKUP(A208,Wine1!A:H,8,FALSE),VLOOKUP(A208,Drank!A:H,8,FALSE))</f>
        <v>0</v>
      </c>
      <c r="F208" s="37" t="str">
        <f t="shared" si="16"/>
        <v>Spain, Rioja</v>
      </c>
      <c r="G208" s="37" t="str">
        <f t="shared" si="17"/>
        <v>Spain, Rioja, 0</v>
      </c>
      <c r="H208" s="37">
        <f>COUNTIF(Agibility!A:A,UniqueID!A208)</f>
        <v>1</v>
      </c>
      <c r="I208" s="37">
        <f>COUNTIF(Wine1!A:A,UniqueID!A208)</f>
        <v>0</v>
      </c>
      <c r="J208" s="37">
        <f>COUNTIF(Drank!A:A,UniqueID!A208)</f>
        <v>1</v>
      </c>
      <c r="K208" s="37">
        <f>IF(I208&lt;1,VLOOKUP(A208,Drank!A:S,19,FALSE),VLOOKUP(A208,Wine1!A:AI,26,FALSE))</f>
        <v>88</v>
      </c>
      <c r="L208" s="37">
        <f>IF(I208&lt;1,VLOOKUP(A208,Drank!A:Z,25,FALSE),VLOOKUP(A208,Wine1!A:AI,35,FALSE))</f>
        <v>16.989999999999998</v>
      </c>
      <c r="M208" s="37">
        <f t="shared" si="15"/>
        <v>1</v>
      </c>
      <c r="N208" s="37">
        <f t="shared" si="18"/>
        <v>1.1363636363636364E-2</v>
      </c>
      <c r="O208" s="37">
        <f t="shared" si="19"/>
        <v>14.951199999999998</v>
      </c>
      <c r="P208" s="37">
        <f>IF(N208&gt;0,M208,IF(L208&gt;=64.99,4,IF(L208&gt;=Expenses!C237,3,IF(UniqueID!L208&gt;=Expenses!C236,2,1))))</f>
        <v>1</v>
      </c>
      <c r="Q208" s="37">
        <f>IF(O208&gt;=64.99,4,IF(N208&gt;0,M208,IF(L208&gt;=64.99,4,IF(L208&gt;=Expenses!C237,3,IF(UniqueID!L208&gt;=Expenses!C236,2,1)))))</f>
        <v>1</v>
      </c>
      <c r="R208" s="37"/>
      <c r="S208" s="37"/>
    </row>
    <row r="209" spans="1:19" x14ac:dyDescent="0.25">
      <c r="A209" t="s">
        <v>892</v>
      </c>
      <c r="C209" s="37" t="str">
        <f>IF(I209&gt;0,VLOOKUP(A209,Wine1!A:H,6,FALSE),VLOOKUP(A209,Drank!A:H,6,FALSE))</f>
        <v>Italy</v>
      </c>
      <c r="D209" s="37" t="str">
        <f>IF(I209&gt;0,VLOOKUP(A209,Wine1!A:H,7,FALSE),VLOOKUP(A209,Drank!A:H,7,FALSE))</f>
        <v>Tuscany</v>
      </c>
      <c r="E209" s="37" t="str">
        <f>IF(I209&gt;0,VLOOKUP(A209,Wine1!A:H,8,FALSE),VLOOKUP(A209,Drank!A:H,8,FALSE))</f>
        <v>Chianti Classico</v>
      </c>
      <c r="F209" s="37" t="str">
        <f t="shared" si="16"/>
        <v>Italy, Tuscany</v>
      </c>
      <c r="G209" s="37" t="str">
        <f t="shared" si="17"/>
        <v>Italy, Tuscany, Chianti Classico</v>
      </c>
      <c r="H209" s="37">
        <f>COUNTIF(Agibility!A:A,UniqueID!A209)</f>
        <v>1</v>
      </c>
      <c r="I209" s="37">
        <f>COUNTIF(Wine1!A:A,UniqueID!A209)</f>
        <v>0</v>
      </c>
      <c r="J209" s="37">
        <f>COUNTIF(Drank!A:A,UniqueID!A209)</f>
        <v>1</v>
      </c>
      <c r="K209" s="37">
        <f>IF(I209&lt;1,VLOOKUP(A209,Drank!A:S,19,FALSE),VLOOKUP(A209,Wine1!A:AI,26,FALSE))</f>
        <v>90</v>
      </c>
      <c r="L209" s="37">
        <f>IF(I209&lt;1,VLOOKUP(A209,Drank!A:Z,25,FALSE),VLOOKUP(A209,Wine1!A:AI,35,FALSE))</f>
        <v>28.000000000000004</v>
      </c>
      <c r="M209" s="37">
        <f t="shared" si="15"/>
        <v>2</v>
      </c>
      <c r="N209" s="37">
        <f t="shared" si="18"/>
        <v>1.1111111111111112E-2</v>
      </c>
      <c r="O209" s="37">
        <f t="shared" si="19"/>
        <v>25.200000000000003</v>
      </c>
      <c r="P209" s="37">
        <f>IF(N209&gt;0,M209,IF(L209&gt;=64.99,4,IF(L209&gt;=Expenses!C238,3,IF(UniqueID!L209&gt;=Expenses!C237,2,1))))</f>
        <v>2</v>
      </c>
      <c r="Q209" s="37">
        <f>IF(O209&gt;=64.99,4,IF(N209&gt;0,M209,IF(L209&gt;=64.99,4,IF(L209&gt;=Expenses!C238,3,IF(UniqueID!L209&gt;=Expenses!C237,2,1)))))</f>
        <v>2</v>
      </c>
      <c r="R209" s="37"/>
      <c r="S209" s="37"/>
    </row>
    <row r="210" spans="1:19" x14ac:dyDescent="0.25">
      <c r="A210" t="s">
        <v>893</v>
      </c>
      <c r="C210" s="37" t="str">
        <f>IF(I210&gt;0,VLOOKUP(A210,Wine1!A:H,6,FALSE),VLOOKUP(A210,Drank!A:H,6,FALSE))</f>
        <v>USA</v>
      </c>
      <c r="D210" s="37" t="str">
        <f>IF(I210&gt;0,VLOOKUP(A210,Wine1!A:H,7,FALSE),VLOOKUP(A210,Drank!A:H,7,FALSE))</f>
        <v>California</v>
      </c>
      <c r="E210" s="37" t="str">
        <f>IF(I210&gt;0,VLOOKUP(A210,Wine1!A:H,8,FALSE),VLOOKUP(A210,Drank!A:H,8,FALSE))</f>
        <v>North Coast, Napa Valley</v>
      </c>
      <c r="F210" s="37" t="str">
        <f t="shared" si="16"/>
        <v>USA, California</v>
      </c>
      <c r="G210" s="37" t="str">
        <f t="shared" si="17"/>
        <v>USA, California, North Coast, Napa Valley</v>
      </c>
      <c r="H210" s="37">
        <f>COUNTIF(Agibility!A:A,UniqueID!A210)</f>
        <v>1</v>
      </c>
      <c r="I210" s="37">
        <f>COUNTIF(Wine1!A:A,UniqueID!A210)</f>
        <v>0</v>
      </c>
      <c r="J210" s="37">
        <f>COUNTIF(Drank!A:A,UniqueID!A210)</f>
        <v>1</v>
      </c>
      <c r="K210" s="37">
        <f>IF(I210&lt;1,VLOOKUP(A210,Drank!A:S,19,FALSE),VLOOKUP(A210,Wine1!A:AI,26,FALSE))</f>
        <v>90</v>
      </c>
      <c r="L210" s="37">
        <f>IF(I210&lt;1,VLOOKUP(A210,Drank!A:Z,25,FALSE),VLOOKUP(A210,Wine1!A:AI,35,FALSE))</f>
        <v>53</v>
      </c>
      <c r="M210" s="37">
        <f t="shared" si="15"/>
        <v>2</v>
      </c>
      <c r="N210" s="37">
        <f t="shared" si="18"/>
        <v>1.1111111111111112E-2</v>
      </c>
      <c r="O210" s="37">
        <f t="shared" si="19"/>
        <v>47.7</v>
      </c>
      <c r="P210" s="37">
        <f>IF(N210&gt;0,M210,IF(L210&gt;=64.99,4,IF(L210&gt;=Expenses!C239,3,IF(UniqueID!L210&gt;=Expenses!C238,2,1))))</f>
        <v>2</v>
      </c>
      <c r="Q210" s="37">
        <f>IF(O210&gt;=64.99,4,IF(N210&gt;0,M210,IF(L210&gt;=64.99,4,IF(L210&gt;=Expenses!C239,3,IF(UniqueID!L210&gt;=Expenses!C238,2,1)))))</f>
        <v>2</v>
      </c>
      <c r="R210" s="37"/>
      <c r="S210" s="37"/>
    </row>
    <row r="211" spans="1:19" x14ac:dyDescent="0.25">
      <c r="A211" t="s">
        <v>894</v>
      </c>
      <c r="C211" s="37" t="str">
        <f>IF(I211&gt;0,VLOOKUP(A211,Wine1!A:H,6,FALSE),VLOOKUP(A211,Drank!A:H,6,FALSE))</f>
        <v>Spain</v>
      </c>
      <c r="D211" s="37" t="str">
        <f>IF(I211&gt;0,VLOOKUP(A211,Wine1!A:H,7,FALSE),VLOOKUP(A211,Drank!A:H,7,FALSE))</f>
        <v>Valencia</v>
      </c>
      <c r="E211" s="37" t="str">
        <f>IF(I211&gt;0,VLOOKUP(A211,Wine1!A:H,8,FALSE),VLOOKUP(A211,Drank!A:H,8,FALSE))</f>
        <v>Alicante</v>
      </c>
      <c r="F211" s="37" t="str">
        <f t="shared" si="16"/>
        <v>Spain, Valencia</v>
      </c>
      <c r="G211" s="37" t="str">
        <f t="shared" si="17"/>
        <v>Spain, Valencia, Alicante</v>
      </c>
      <c r="H211" s="37">
        <f>COUNTIF(Agibility!A:A,UniqueID!A211)</f>
        <v>1</v>
      </c>
      <c r="I211" s="37">
        <f>COUNTIF(Wine1!A:A,UniqueID!A211)</f>
        <v>0</v>
      </c>
      <c r="J211" s="37">
        <f>COUNTIF(Drank!A:A,UniqueID!A211)</f>
        <v>1</v>
      </c>
      <c r="K211" s="37">
        <f>IF(I211&lt;1,VLOOKUP(A211,Drank!A:S,19,FALSE),VLOOKUP(A211,Wine1!A:AI,26,FALSE))</f>
        <v>91</v>
      </c>
      <c r="L211" s="37">
        <f>IF(I211&lt;1,VLOOKUP(A211,Drank!A:Z,25,FALSE),VLOOKUP(A211,Wine1!A:AI,35,FALSE))</f>
        <v>12.989999999999998</v>
      </c>
      <c r="M211" s="37">
        <f t="shared" si="15"/>
        <v>2</v>
      </c>
      <c r="N211" s="37">
        <f t="shared" si="18"/>
        <v>1.098901098901099E-2</v>
      </c>
      <c r="O211" s="37">
        <f t="shared" si="19"/>
        <v>11.820899999999998</v>
      </c>
      <c r="P211" s="37">
        <f>IF(N211&gt;0,M211,IF(L211&gt;=64.99,4,IF(L211&gt;=Expenses!C240,3,IF(UniqueID!L211&gt;=Expenses!C239,2,1))))</f>
        <v>2</v>
      </c>
      <c r="Q211" s="37">
        <f>IF(O211&gt;=64.99,4,IF(N211&gt;0,M211,IF(L211&gt;=64.99,4,IF(L211&gt;=Expenses!C240,3,IF(UniqueID!L211&gt;=Expenses!C239,2,1)))))</f>
        <v>2</v>
      </c>
      <c r="R211" s="37"/>
      <c r="S211" s="37"/>
    </row>
    <row r="212" spans="1:19" x14ac:dyDescent="0.25">
      <c r="A212" t="s">
        <v>1214</v>
      </c>
      <c r="C212" s="37" t="str">
        <f>IF(I212&gt;0,VLOOKUP(A212,Wine1!A:H,6,FALSE),VLOOKUP(A212,Drank!A:H,6,FALSE))</f>
        <v>France</v>
      </c>
      <c r="D212" s="37" t="str">
        <f>IF(I212&gt;0,VLOOKUP(A212,Wine1!A:H,7,FALSE),VLOOKUP(A212,Drank!A:H,7,FALSE))</f>
        <v>Bordeaux</v>
      </c>
      <c r="E212" s="37" t="str">
        <f>IF(I212&gt;0,VLOOKUP(A212,Wine1!A:H,8,FALSE),VLOOKUP(A212,Drank!A:H,8,FALSE))</f>
        <v>Sauternes</v>
      </c>
      <c r="F212" s="37" t="str">
        <f t="shared" si="16"/>
        <v>France, Bordeaux</v>
      </c>
      <c r="G212" s="37" t="str">
        <f t="shared" si="17"/>
        <v>France, Bordeaux, Sauternes</v>
      </c>
      <c r="H212" s="37">
        <f>COUNTIF(Agibility!A:A,UniqueID!A212)</f>
        <v>1</v>
      </c>
      <c r="I212" s="37">
        <f>COUNTIF(Wine1!A:A,UniqueID!A212)</f>
        <v>0</v>
      </c>
      <c r="J212" s="37">
        <f>COUNTIF(Drank!A:A,UniqueID!A212)</f>
        <v>1</v>
      </c>
      <c r="K212" s="37">
        <f>IF(I212&lt;1,VLOOKUP(A212,Drank!A:S,19,FALSE),VLOOKUP(A212,Wine1!A:AI,26,FALSE))</f>
        <v>92</v>
      </c>
      <c r="L212" s="37">
        <f>IF(I212&lt;1,VLOOKUP(A212,Drank!A:Z,25,FALSE),VLOOKUP(A212,Wine1!A:AI,35,FALSE))</f>
        <v>79.959999999999994</v>
      </c>
      <c r="M212" s="37">
        <f t="shared" si="15"/>
        <v>2</v>
      </c>
      <c r="N212" s="37">
        <f t="shared" si="18"/>
        <v>1.0869565217391304E-2</v>
      </c>
      <c r="O212" s="37">
        <f t="shared" si="19"/>
        <v>73.563199999999995</v>
      </c>
      <c r="P212" s="37">
        <f>IF(N212&gt;0,M212,IF(L212&gt;=64.99,4,IF(L212&gt;=Expenses!C241,3,IF(UniqueID!L212&gt;=Expenses!C240,2,1))))</f>
        <v>2</v>
      </c>
      <c r="Q212" s="37">
        <f>IF(O212&gt;=64.99,4,IF(N212&gt;0,M212,IF(L212&gt;=64.99,4,IF(L212&gt;=Expenses!C241,3,IF(UniqueID!L212&gt;=Expenses!C240,2,1)))))</f>
        <v>4</v>
      </c>
      <c r="R212" s="37"/>
      <c r="S212" s="37"/>
    </row>
    <row r="213" spans="1:19" x14ac:dyDescent="0.25">
      <c r="A213" t="s">
        <v>895</v>
      </c>
      <c r="C213" s="37" t="str">
        <f>IF(I213&gt;0,VLOOKUP(A213,Wine1!A:H,6,FALSE),VLOOKUP(A213,Drank!A:H,6,FALSE))</f>
        <v>Italy</v>
      </c>
      <c r="D213" s="37" t="str">
        <f>IF(I213&gt;0,VLOOKUP(A213,Wine1!A:H,7,FALSE),VLOOKUP(A213,Drank!A:H,7,FALSE))</f>
        <v>Veneto</v>
      </c>
      <c r="E213" s="37" t="str">
        <f>IF(I213&gt;0,VLOOKUP(A213,Wine1!A:H,8,FALSE),VLOOKUP(A213,Drank!A:H,8,FALSE))</f>
        <v>Valpolicella</v>
      </c>
      <c r="F213" s="37" t="str">
        <f t="shared" si="16"/>
        <v>Italy, Veneto</v>
      </c>
      <c r="G213" s="37" t="str">
        <f t="shared" si="17"/>
        <v>Italy, Veneto, Valpolicella</v>
      </c>
      <c r="H213" s="37">
        <f>COUNTIF(Agibility!A:A,UniqueID!A213)</f>
        <v>1</v>
      </c>
      <c r="I213" s="37">
        <f>COUNTIF(Wine1!A:A,UniqueID!A213)</f>
        <v>0</v>
      </c>
      <c r="J213" s="37">
        <f>COUNTIF(Drank!A:A,UniqueID!A213)</f>
        <v>1</v>
      </c>
      <c r="K213" s="37">
        <f>IF(I213&lt;1,VLOOKUP(A213,Drank!A:S,19,FALSE),VLOOKUP(A213,Wine1!A:AI,26,FALSE))</f>
        <v>93</v>
      </c>
      <c r="L213" s="37">
        <f>IF(I213&lt;1,VLOOKUP(A213,Drank!A:Z,25,FALSE),VLOOKUP(A213,Wine1!A:AI,35,FALSE))</f>
        <v>35</v>
      </c>
      <c r="M213" s="37">
        <f t="shared" si="15"/>
        <v>3</v>
      </c>
      <c r="N213" s="37">
        <f t="shared" si="18"/>
        <v>1.0752688172043012E-2</v>
      </c>
      <c r="O213" s="37">
        <f t="shared" si="19"/>
        <v>32.550000000000004</v>
      </c>
      <c r="P213" s="37">
        <f>IF(N213&gt;0,M213,IF(L213&gt;=64.99,4,IF(L213&gt;=Expenses!C242,3,IF(UniqueID!L213&gt;=Expenses!C241,2,1))))</f>
        <v>3</v>
      </c>
      <c r="Q213" s="37">
        <f>IF(O213&gt;=64.99,4,IF(N213&gt;0,M213,IF(L213&gt;=64.99,4,IF(L213&gt;=Expenses!C242,3,IF(UniqueID!L213&gt;=Expenses!C241,2,1)))))</f>
        <v>3</v>
      </c>
      <c r="R213" s="37"/>
      <c r="S213" s="37"/>
    </row>
    <row r="214" spans="1:19" x14ac:dyDescent="0.25">
      <c r="A214" t="s">
        <v>896</v>
      </c>
      <c r="C214" s="37" t="str">
        <f>IF(I214&gt;0,VLOOKUP(A214,Wine1!A:H,6,FALSE),VLOOKUP(A214,Drank!A:H,6,FALSE))</f>
        <v>Italy</v>
      </c>
      <c r="D214" s="37" t="str">
        <f>IF(I214&gt;0,VLOOKUP(A214,Wine1!A:H,7,FALSE),VLOOKUP(A214,Drank!A:H,7,FALSE))</f>
        <v>Piedmont</v>
      </c>
      <c r="E214" s="37" t="str">
        <f>IF(I214&gt;0,VLOOKUP(A214,Wine1!A:H,8,FALSE),VLOOKUP(A214,Drank!A:H,8,FALSE))</f>
        <v>Barolo</v>
      </c>
      <c r="F214" s="37" t="str">
        <f t="shared" si="16"/>
        <v>Italy, Piedmont</v>
      </c>
      <c r="G214" s="37" t="str">
        <f t="shared" si="17"/>
        <v>Italy, Piedmont, Barolo</v>
      </c>
      <c r="H214" s="37">
        <f>COUNTIF(Agibility!A:A,UniqueID!A214)</f>
        <v>1</v>
      </c>
      <c r="I214" s="37">
        <f>COUNTIF(Wine1!A:A,UniqueID!A214)</f>
        <v>0</v>
      </c>
      <c r="J214" s="37">
        <f>COUNTIF(Drank!A:A,UniqueID!A214)</f>
        <v>1</v>
      </c>
      <c r="K214" s="37">
        <f>IF(I214&lt;1,VLOOKUP(A214,Drank!A:S,19,FALSE),VLOOKUP(A214,Wine1!A:AI,26,FALSE))</f>
        <v>93</v>
      </c>
      <c r="L214" s="37">
        <f>IF(I214&lt;1,VLOOKUP(A214,Drank!A:Z,25,FALSE),VLOOKUP(A214,Wine1!A:AI,35,FALSE))</f>
        <v>39.979999999999997</v>
      </c>
      <c r="M214" s="37">
        <f t="shared" si="15"/>
        <v>3</v>
      </c>
      <c r="N214" s="37">
        <f t="shared" si="18"/>
        <v>1.0752688172043012E-2</v>
      </c>
      <c r="O214" s="37">
        <f t="shared" si="19"/>
        <v>37.181399999999996</v>
      </c>
      <c r="P214" s="37">
        <f>IF(N214&gt;0,M214,IF(L214&gt;=64.99,4,IF(L214&gt;=Expenses!C243,3,IF(UniqueID!L214&gt;=Expenses!C242,2,1))))</f>
        <v>3</v>
      </c>
      <c r="Q214" s="37">
        <f>IF(O214&gt;=64.99,4,IF(N214&gt;0,M214,IF(L214&gt;=64.99,4,IF(L214&gt;=Expenses!C243,3,IF(UniqueID!L214&gt;=Expenses!C242,2,1)))))</f>
        <v>3</v>
      </c>
      <c r="R214" s="37"/>
      <c r="S214" s="37"/>
    </row>
    <row r="215" spans="1:19" x14ac:dyDescent="0.25">
      <c r="A215" t="s">
        <v>897</v>
      </c>
      <c r="C215" s="37" t="str">
        <f>IF(I215&gt;0,VLOOKUP(A215,Wine1!A:H,6,FALSE),VLOOKUP(A215,Drank!A:H,6,FALSE))</f>
        <v>Argentina</v>
      </c>
      <c r="D215" s="37" t="str">
        <f>IF(I215&gt;0,VLOOKUP(A215,Wine1!A:H,7,FALSE),VLOOKUP(A215,Drank!A:H,7,FALSE))</f>
        <v>Mendoza</v>
      </c>
      <c r="E215" s="37" t="str">
        <f>IF(I215&gt;0,VLOOKUP(A215,Wine1!A:H,8,FALSE),VLOOKUP(A215,Drank!A:H,8,FALSE))</f>
        <v>Valle de Uco</v>
      </c>
      <c r="F215" s="37" t="str">
        <f t="shared" si="16"/>
        <v>Argentina, Mendoza</v>
      </c>
      <c r="G215" s="37" t="str">
        <f t="shared" si="17"/>
        <v>Argentina, Mendoza, Valle de Uco</v>
      </c>
      <c r="H215" s="37">
        <f>COUNTIF(Agibility!A:A,UniqueID!A215)</f>
        <v>1</v>
      </c>
      <c r="I215" s="37">
        <f>COUNTIF(Wine1!A:A,UniqueID!A215)</f>
        <v>0</v>
      </c>
      <c r="J215" s="37">
        <f>COUNTIF(Drank!A:A,UniqueID!A215)</f>
        <v>1</v>
      </c>
      <c r="K215" s="37">
        <f>IF(I215&lt;1,VLOOKUP(A215,Drank!A:S,19,FALSE),VLOOKUP(A215,Wine1!A:AI,26,FALSE))</f>
        <v>84</v>
      </c>
      <c r="L215" s="37">
        <f>IF(I215&lt;1,VLOOKUP(A215,Drank!A:Z,25,FALSE),VLOOKUP(A215,Wine1!A:AI,35,FALSE))</f>
        <v>11</v>
      </c>
      <c r="M215" s="37">
        <f t="shared" si="15"/>
        <v>1</v>
      </c>
      <c r="N215" s="37">
        <f t="shared" si="18"/>
        <v>1.1904761904761904E-2</v>
      </c>
      <c r="O215" s="37">
        <f t="shared" si="19"/>
        <v>9.24</v>
      </c>
      <c r="P215" s="37">
        <f>IF(N215&gt;0,M215,IF(L215&gt;=64.99,4,IF(L215&gt;=Expenses!C244,3,IF(UniqueID!L215&gt;=Expenses!C243,2,1))))</f>
        <v>1</v>
      </c>
      <c r="Q215" s="37">
        <f>IF(O215&gt;=64.99,4,IF(N215&gt;0,M215,IF(L215&gt;=64.99,4,IF(L215&gt;=Expenses!C244,3,IF(UniqueID!L215&gt;=Expenses!C243,2,1)))))</f>
        <v>1</v>
      </c>
      <c r="R215" s="37"/>
      <c r="S215" s="37"/>
    </row>
    <row r="216" spans="1:19" x14ac:dyDescent="0.25">
      <c r="A216" t="s">
        <v>899</v>
      </c>
      <c r="C216" s="37" t="str">
        <f>IF(I216&gt;0,VLOOKUP(A216,Wine1!A:H,6,FALSE),VLOOKUP(A216,Drank!A:H,6,FALSE))</f>
        <v>USA</v>
      </c>
      <c r="D216" s="37" t="str">
        <f>IF(I216&gt;0,VLOOKUP(A216,Wine1!A:H,7,FALSE),VLOOKUP(A216,Drank!A:H,7,FALSE))</f>
        <v>California</v>
      </c>
      <c r="E216" s="37" t="str">
        <f>IF(I216&gt;0,VLOOKUP(A216,Wine1!A:H,8,FALSE),VLOOKUP(A216,Drank!A:H,8,FALSE))</f>
        <v>North Coast, Napa Valley</v>
      </c>
      <c r="F216" s="37" t="str">
        <f t="shared" si="16"/>
        <v>USA, California</v>
      </c>
      <c r="G216" s="37" t="str">
        <f t="shared" si="17"/>
        <v>USA, California, North Coast, Napa Valley</v>
      </c>
      <c r="H216" s="37">
        <f>COUNTIF(Agibility!A:A,UniqueID!A216)</f>
        <v>1</v>
      </c>
      <c r="I216" s="37">
        <f>COUNTIF(Wine1!A:A,UniqueID!A216)</f>
        <v>0</v>
      </c>
      <c r="J216" s="37">
        <f>COUNTIF(Drank!A:A,UniqueID!A216)</f>
        <v>1</v>
      </c>
      <c r="K216" s="37">
        <f>IF(I216&lt;1,VLOOKUP(A216,Drank!A:S,19,FALSE),VLOOKUP(A216,Wine1!A:AI,26,FALSE))</f>
        <v>91</v>
      </c>
      <c r="L216" s="37">
        <f>IF(I216&lt;1,VLOOKUP(A216,Drank!A:Z,25,FALSE),VLOOKUP(A216,Wine1!A:AI,35,FALSE))</f>
        <v>48</v>
      </c>
      <c r="M216" s="37">
        <f t="shared" si="15"/>
        <v>2</v>
      </c>
      <c r="N216" s="37">
        <f t="shared" si="18"/>
        <v>1.098901098901099E-2</v>
      </c>
      <c r="O216" s="37">
        <f t="shared" si="19"/>
        <v>43.68</v>
      </c>
      <c r="P216" s="37">
        <f>IF(N216&gt;0,M216,IF(L216&gt;=64.99,4,IF(L216&gt;=Expenses!C245,3,IF(UniqueID!L216&gt;=Expenses!C244,2,1))))</f>
        <v>2</v>
      </c>
      <c r="Q216" s="37">
        <f>IF(O216&gt;=64.99,4,IF(N216&gt;0,M216,IF(L216&gt;=64.99,4,IF(L216&gt;=Expenses!C245,3,IF(UniqueID!L216&gt;=Expenses!C244,2,1)))))</f>
        <v>2</v>
      </c>
      <c r="R216" s="37"/>
      <c r="S216" s="37"/>
    </row>
    <row r="217" spans="1:19" x14ac:dyDescent="0.25">
      <c r="A217" t="s">
        <v>900</v>
      </c>
      <c r="C217" s="37" t="str">
        <f>IF(I217&gt;0,VLOOKUP(A217,Wine1!A:H,6,FALSE),VLOOKUP(A217,Drank!A:H,6,FALSE))</f>
        <v>USA</v>
      </c>
      <c r="D217" s="37" t="str">
        <f>IF(I217&gt;0,VLOOKUP(A217,Wine1!A:H,7,FALSE),VLOOKUP(A217,Drank!A:H,7,FALSE))</f>
        <v>California</v>
      </c>
      <c r="E217" s="37" t="str">
        <f>IF(I217&gt;0,VLOOKUP(A217,Wine1!A:H,8,FALSE),VLOOKUP(A217,Drank!A:H,8,FALSE))</f>
        <v>Central Coast, Monterey County</v>
      </c>
      <c r="F217" s="37" t="str">
        <f t="shared" si="16"/>
        <v>USA, California</v>
      </c>
      <c r="G217" s="37" t="str">
        <f t="shared" si="17"/>
        <v>USA, California, Central Coast, Monterey County</v>
      </c>
      <c r="H217" s="37">
        <f>COUNTIF(Agibility!A:A,UniqueID!A217)</f>
        <v>1</v>
      </c>
      <c r="I217" s="37">
        <f>COUNTIF(Wine1!A:A,UniqueID!A217)</f>
        <v>0</v>
      </c>
      <c r="J217" s="37">
        <f>COUNTIF(Drank!A:A,UniqueID!A217)</f>
        <v>1</v>
      </c>
      <c r="K217" s="37">
        <f>IF(I217&lt;1,VLOOKUP(A217,Drank!A:S,19,FALSE),VLOOKUP(A217,Wine1!A:AI,26,FALSE))</f>
        <v>85</v>
      </c>
      <c r="L217" s="37">
        <f>IF(I217&lt;1,VLOOKUP(A217,Drank!A:Z,25,FALSE),VLOOKUP(A217,Wine1!A:AI,35,FALSE))</f>
        <v>15</v>
      </c>
      <c r="M217" s="37">
        <f t="shared" si="15"/>
        <v>1</v>
      </c>
      <c r="N217" s="37">
        <f t="shared" si="18"/>
        <v>1.1764705882352941E-2</v>
      </c>
      <c r="O217" s="37">
        <f t="shared" si="19"/>
        <v>12.75</v>
      </c>
      <c r="P217" s="37">
        <f>IF(N217&gt;0,M217,IF(L217&gt;=64.99,4,IF(L217&gt;=Expenses!C246,3,IF(UniqueID!L217&gt;=Expenses!C245,2,1))))</f>
        <v>1</v>
      </c>
      <c r="Q217" s="37">
        <f>IF(O217&gt;=64.99,4,IF(N217&gt;0,M217,IF(L217&gt;=64.99,4,IF(L217&gt;=Expenses!C246,3,IF(UniqueID!L217&gt;=Expenses!C245,2,1)))))</f>
        <v>1</v>
      </c>
      <c r="R217" s="37"/>
      <c r="S217" s="37"/>
    </row>
    <row r="218" spans="1:19" x14ac:dyDescent="0.25">
      <c r="A218" t="s">
        <v>901</v>
      </c>
      <c r="C218" s="37" t="str">
        <f>IF(I218&gt;0,VLOOKUP(A218,Wine1!A:H,6,FALSE),VLOOKUP(A218,Drank!A:H,6,FALSE))</f>
        <v>France</v>
      </c>
      <c r="D218" s="37" t="str">
        <f>IF(I218&gt;0,VLOOKUP(A218,Wine1!A:H,7,FALSE),VLOOKUP(A218,Drank!A:H,7,FALSE))</f>
        <v>Rhone</v>
      </c>
      <c r="E218" s="37" t="str">
        <f>IF(I218&gt;0,VLOOKUP(A218,Wine1!A:H,8,FALSE),VLOOKUP(A218,Drank!A:H,8,FALSE))</f>
        <v>Southern Rhone</v>
      </c>
      <c r="F218" s="37" t="str">
        <f t="shared" si="16"/>
        <v>France, Rhone</v>
      </c>
      <c r="G218" s="37" t="str">
        <f t="shared" si="17"/>
        <v>France, Rhone, Southern Rhone</v>
      </c>
      <c r="H218" s="37">
        <f>COUNTIF(Agibility!A:A,UniqueID!A218)</f>
        <v>1</v>
      </c>
      <c r="I218" s="37">
        <f>COUNTIF(Wine1!A:A,UniqueID!A218)</f>
        <v>0</v>
      </c>
      <c r="J218" s="37">
        <f>COUNTIF(Drank!A:A,UniqueID!A218)</f>
        <v>1</v>
      </c>
      <c r="K218" s="37">
        <f>IF(I218&lt;1,VLOOKUP(A218,Drank!A:S,19,FALSE),VLOOKUP(A218,Wine1!A:AI,26,FALSE))</f>
        <v>88</v>
      </c>
      <c r="L218" s="37">
        <f>IF(I218&lt;1,VLOOKUP(A218,Drank!A:Z,25,FALSE),VLOOKUP(A218,Wine1!A:AI,35,FALSE))</f>
        <v>13</v>
      </c>
      <c r="M218" s="37">
        <f t="shared" si="15"/>
        <v>1</v>
      </c>
      <c r="N218" s="37">
        <f t="shared" si="18"/>
        <v>1.1363636363636364E-2</v>
      </c>
      <c r="O218" s="37">
        <f t="shared" si="19"/>
        <v>11.44</v>
      </c>
      <c r="P218" s="37">
        <f>IF(N218&gt;0,M218,IF(L218&gt;=64.99,4,IF(L218&gt;=Expenses!C247,3,IF(UniqueID!L218&gt;=Expenses!C246,2,1))))</f>
        <v>1</v>
      </c>
      <c r="Q218" s="37">
        <f>IF(O218&gt;=64.99,4,IF(N218&gt;0,M218,IF(L218&gt;=64.99,4,IF(L218&gt;=Expenses!C247,3,IF(UniqueID!L218&gt;=Expenses!C246,2,1)))))</f>
        <v>1</v>
      </c>
      <c r="R218" s="37"/>
      <c r="S218" s="37"/>
    </row>
    <row r="219" spans="1:19" x14ac:dyDescent="0.25">
      <c r="A219" t="s">
        <v>898</v>
      </c>
      <c r="C219" s="37" t="str">
        <f>IF(I219&gt;0,VLOOKUP(A219,Wine1!A:H,6,FALSE),VLOOKUP(A219,Drank!A:H,6,FALSE))</f>
        <v>USA</v>
      </c>
      <c r="D219" s="37" t="str">
        <f>IF(I219&gt;0,VLOOKUP(A219,Wine1!A:H,7,FALSE),VLOOKUP(A219,Drank!A:H,7,FALSE))</f>
        <v>California</v>
      </c>
      <c r="E219" s="37" t="str">
        <f>IF(I219&gt;0,VLOOKUP(A219,Wine1!A:H,8,FALSE),VLOOKUP(A219,Drank!A:H,8,FALSE))</f>
        <v>North Coast, Napa Valley</v>
      </c>
      <c r="F219" s="37" t="str">
        <f t="shared" si="16"/>
        <v>USA, California</v>
      </c>
      <c r="G219" s="37" t="str">
        <f t="shared" si="17"/>
        <v>USA, California, North Coast, Napa Valley</v>
      </c>
      <c r="H219" s="37">
        <f>COUNTIF(Agibility!A:A,UniqueID!A219)</f>
        <v>1</v>
      </c>
      <c r="I219" s="37">
        <f>COUNTIF(Wine1!A:A,UniqueID!A219)</f>
        <v>0</v>
      </c>
      <c r="J219" s="37">
        <f>COUNTIF(Drank!A:A,UniqueID!A219)</f>
        <v>1</v>
      </c>
      <c r="K219" s="37">
        <f>IF(I219&lt;1,VLOOKUP(A219,Drank!A:S,19,FALSE),VLOOKUP(A219,Wine1!A:AI,26,FALSE))</f>
        <v>91</v>
      </c>
      <c r="L219" s="37">
        <f>IF(I219&lt;1,VLOOKUP(A219,Drank!A:Z,25,FALSE),VLOOKUP(A219,Wine1!A:AI,35,FALSE))</f>
        <v>55</v>
      </c>
      <c r="M219" s="37">
        <f t="shared" si="15"/>
        <v>2</v>
      </c>
      <c r="N219" s="37">
        <f t="shared" si="18"/>
        <v>1.098901098901099E-2</v>
      </c>
      <c r="O219" s="37">
        <f t="shared" si="19"/>
        <v>50.050000000000004</v>
      </c>
      <c r="P219" s="37">
        <f>IF(N219&gt;0,M219,IF(L219&gt;=64.99,4,IF(L219&gt;=Expenses!C248,3,IF(UniqueID!L219&gt;=Expenses!C247,2,1))))</f>
        <v>2</v>
      </c>
      <c r="Q219" s="37">
        <f>IF(O219&gt;=64.99,4,IF(N219&gt;0,M219,IF(L219&gt;=64.99,4,IF(L219&gt;=Expenses!C248,3,IF(UniqueID!L219&gt;=Expenses!C247,2,1)))))</f>
        <v>2</v>
      </c>
      <c r="R219" s="37"/>
      <c r="S219" s="37"/>
    </row>
    <row r="220" spans="1:19" x14ac:dyDescent="0.25">
      <c r="A220" t="s">
        <v>902</v>
      </c>
      <c r="C220" s="37" t="str">
        <f>IF(I220&gt;0,VLOOKUP(A220,Wine1!A:H,6,FALSE),VLOOKUP(A220,Drank!A:H,6,FALSE))</f>
        <v>Spain</v>
      </c>
      <c r="D220" s="37" t="str">
        <f>IF(I220&gt;0,VLOOKUP(A220,Wine1!A:H,7,FALSE),VLOOKUP(A220,Drank!A:H,7,FALSE))</f>
        <v>Aragon</v>
      </c>
      <c r="E220" s="37" t="str">
        <f>IF(I220&gt;0,VLOOKUP(A220,Wine1!A:H,8,FALSE),VLOOKUP(A220,Drank!A:H,8,FALSE))</f>
        <v>Carinena</v>
      </c>
      <c r="F220" s="37" t="str">
        <f t="shared" si="16"/>
        <v>Spain, Aragon</v>
      </c>
      <c r="G220" s="37" t="str">
        <f t="shared" si="17"/>
        <v>Spain, Aragon, Carinena</v>
      </c>
      <c r="H220" s="37">
        <f>COUNTIF(Agibility!A:A,UniqueID!A220)</f>
        <v>1</v>
      </c>
      <c r="I220" s="37">
        <f>COUNTIF(Wine1!A:A,UniqueID!A220)</f>
        <v>0</v>
      </c>
      <c r="J220" s="37">
        <f>COUNTIF(Drank!A:A,UniqueID!A220)</f>
        <v>1</v>
      </c>
      <c r="K220" s="37">
        <f>IF(I220&lt;1,VLOOKUP(A220,Drank!A:S,19,FALSE),VLOOKUP(A220,Wine1!A:AI,26,FALSE))</f>
        <v>88</v>
      </c>
      <c r="L220" s="37">
        <f>IF(I220&lt;1,VLOOKUP(A220,Drank!A:Z,25,FALSE),VLOOKUP(A220,Wine1!A:AI,35,FALSE))</f>
        <v>17</v>
      </c>
      <c r="M220" s="37">
        <f t="shared" si="15"/>
        <v>1</v>
      </c>
      <c r="N220" s="37">
        <f t="shared" si="18"/>
        <v>1.1363636363636364E-2</v>
      </c>
      <c r="O220" s="37">
        <f t="shared" si="19"/>
        <v>14.96</v>
      </c>
      <c r="P220" s="37">
        <f>IF(N220&gt;0,M220,IF(L220&gt;=64.99,4,IF(L220&gt;=Expenses!C249,3,IF(UniqueID!L220&gt;=Expenses!C248,2,1))))</f>
        <v>1</v>
      </c>
      <c r="Q220" s="37">
        <f>IF(O220&gt;=64.99,4,IF(N220&gt;0,M220,IF(L220&gt;=64.99,4,IF(L220&gt;=Expenses!C249,3,IF(UniqueID!L220&gt;=Expenses!C248,2,1)))))</f>
        <v>1</v>
      </c>
      <c r="R220" s="37"/>
      <c r="S220" s="37"/>
    </row>
    <row r="221" spans="1:19" x14ac:dyDescent="0.25">
      <c r="A221" t="s">
        <v>903</v>
      </c>
      <c r="C221" s="37" t="str">
        <f>IF(I221&gt;0,VLOOKUP(A221,Wine1!A:H,6,FALSE),VLOOKUP(A221,Drank!A:H,6,FALSE))</f>
        <v>USA</v>
      </c>
      <c r="D221" s="37" t="str">
        <f>IF(I221&gt;0,VLOOKUP(A221,Wine1!A:H,7,FALSE),VLOOKUP(A221,Drank!A:H,7,FALSE))</f>
        <v>Washington</v>
      </c>
      <c r="E221" s="37" t="str">
        <f>IF(I221&gt;0,VLOOKUP(A221,Wine1!A:H,8,FALSE),VLOOKUP(A221,Drank!A:H,8,FALSE))</f>
        <v>Columbia Valley</v>
      </c>
      <c r="F221" s="37" t="str">
        <f t="shared" si="16"/>
        <v>USA, Washington</v>
      </c>
      <c r="G221" s="37" t="str">
        <f t="shared" si="17"/>
        <v>USA, Washington, Columbia Valley</v>
      </c>
      <c r="H221" s="37">
        <f>COUNTIF(Agibility!A:A,UniqueID!A221)</f>
        <v>1</v>
      </c>
      <c r="I221" s="37">
        <f>COUNTIF(Wine1!A:A,UniqueID!A221)</f>
        <v>0</v>
      </c>
      <c r="J221" s="37">
        <f>COUNTIF(Drank!A:A,UniqueID!A221)</f>
        <v>1</v>
      </c>
      <c r="K221" s="37">
        <f>IF(I221&lt;1,VLOOKUP(A221,Drank!A:S,19,FALSE),VLOOKUP(A221,Wine1!A:AI,26,FALSE))</f>
        <v>87</v>
      </c>
      <c r="L221" s="37">
        <f>IF(I221&lt;1,VLOOKUP(A221,Drank!A:Z,25,FALSE),VLOOKUP(A221,Wine1!A:AI,35,FALSE))</f>
        <v>23</v>
      </c>
      <c r="M221" s="37">
        <f t="shared" si="15"/>
        <v>1</v>
      </c>
      <c r="N221" s="37">
        <f t="shared" si="18"/>
        <v>1.1494252873563218E-2</v>
      </c>
      <c r="O221" s="37">
        <f t="shared" si="19"/>
        <v>20.010000000000002</v>
      </c>
      <c r="P221" s="37">
        <f>IF(N221&gt;0,M221,IF(L221&gt;=64.99,4,IF(L221&gt;=Expenses!C250,3,IF(UniqueID!L221&gt;=Expenses!C249,2,1))))</f>
        <v>1</v>
      </c>
      <c r="Q221" s="37">
        <f>IF(O221&gt;=64.99,4,IF(N221&gt;0,M221,IF(L221&gt;=64.99,4,IF(L221&gt;=Expenses!C250,3,IF(UniqueID!L221&gt;=Expenses!C249,2,1)))))</f>
        <v>1</v>
      </c>
      <c r="R221" s="37"/>
      <c r="S221" s="37"/>
    </row>
    <row r="222" spans="1:19" x14ac:dyDescent="0.25">
      <c r="A222" t="s">
        <v>904</v>
      </c>
      <c r="C222" s="37" t="str">
        <f>IF(I222&gt;0,VLOOKUP(A222,Wine1!A:H,6,FALSE),VLOOKUP(A222,Drank!A:H,6,FALSE))</f>
        <v>Italy</v>
      </c>
      <c r="D222" s="37" t="str">
        <f>IF(I222&gt;0,VLOOKUP(A222,Wine1!A:H,7,FALSE),VLOOKUP(A222,Drank!A:H,7,FALSE))</f>
        <v>Piedmont</v>
      </c>
      <c r="E222" s="37" t="str">
        <f>IF(I222&gt;0,VLOOKUP(A222,Wine1!A:H,8,FALSE),VLOOKUP(A222,Drank!A:H,8,FALSE))</f>
        <v>Barbera d'Asti</v>
      </c>
      <c r="F222" s="37" t="str">
        <f t="shared" si="16"/>
        <v>Italy, Piedmont</v>
      </c>
      <c r="G222" s="37" t="str">
        <f t="shared" si="17"/>
        <v>Italy, Piedmont, Barbera d'Asti</v>
      </c>
      <c r="H222" s="37">
        <f>COUNTIF(Agibility!A:A,UniqueID!A222)</f>
        <v>1</v>
      </c>
      <c r="I222" s="37">
        <f>COUNTIF(Wine1!A:A,UniqueID!A222)</f>
        <v>0</v>
      </c>
      <c r="J222" s="37">
        <f>COUNTIF(Drank!A:A,UniqueID!A222)</f>
        <v>1</v>
      </c>
      <c r="K222" s="37">
        <f>IF(I222&lt;1,VLOOKUP(A222,Drank!A:S,19,FALSE),VLOOKUP(A222,Wine1!A:AI,26,FALSE))</f>
        <v>86</v>
      </c>
      <c r="L222" s="37">
        <f>IF(I222&lt;1,VLOOKUP(A222,Drank!A:Z,25,FALSE),VLOOKUP(A222,Wine1!A:AI,35,FALSE))</f>
        <v>13</v>
      </c>
      <c r="M222" s="37">
        <f t="shared" si="15"/>
        <v>1</v>
      </c>
      <c r="N222" s="37">
        <f t="shared" si="18"/>
        <v>1.1627906976744186E-2</v>
      </c>
      <c r="O222" s="37">
        <f t="shared" si="19"/>
        <v>11.18</v>
      </c>
      <c r="P222" s="37">
        <f>IF(N222&gt;0,M222,IF(L222&gt;=64.99,4,IF(L222&gt;=Expenses!C251,3,IF(UniqueID!L222&gt;=Expenses!C250,2,1))))</f>
        <v>1</v>
      </c>
      <c r="Q222" s="37">
        <f>IF(O222&gt;=64.99,4,IF(N222&gt;0,M222,IF(L222&gt;=64.99,4,IF(L222&gt;=Expenses!C251,3,IF(UniqueID!L222&gt;=Expenses!C250,2,1)))))</f>
        <v>1</v>
      </c>
      <c r="R222" s="37"/>
      <c r="S222" s="37"/>
    </row>
    <row r="223" spans="1:19" x14ac:dyDescent="0.25">
      <c r="A223" t="s">
        <v>905</v>
      </c>
      <c r="C223" s="37" t="str">
        <f>IF(I223&gt;0,VLOOKUP(A223,Wine1!A:H,6,FALSE),VLOOKUP(A223,Drank!A:H,6,FALSE))</f>
        <v>France</v>
      </c>
      <c r="D223" s="37" t="str">
        <f>IF(I223&gt;0,VLOOKUP(A223,Wine1!A:H,7,FALSE),VLOOKUP(A223,Drank!A:H,7,FALSE))</f>
        <v>Burgundy</v>
      </c>
      <c r="E223" s="37">
        <f>IF(I223&gt;0,VLOOKUP(A223,Wine1!A:H,8,FALSE),VLOOKUP(A223,Drank!A:H,8,FALSE))</f>
        <v>0</v>
      </c>
      <c r="F223" s="37" t="str">
        <f t="shared" si="16"/>
        <v>France, Burgundy</v>
      </c>
      <c r="G223" s="37" t="str">
        <f t="shared" si="17"/>
        <v>France, Burgundy, 0</v>
      </c>
      <c r="H223" s="37">
        <f>COUNTIF(Agibility!A:A,UniqueID!A223)</f>
        <v>1</v>
      </c>
      <c r="I223" s="37">
        <f>COUNTIF(Wine1!A:A,UniqueID!A223)</f>
        <v>0</v>
      </c>
      <c r="J223" s="37">
        <f>COUNTIF(Drank!A:A,UniqueID!A223)</f>
        <v>1</v>
      </c>
      <c r="K223" s="37">
        <f>IF(I223&lt;1,VLOOKUP(A223,Drank!A:S,19,FALSE),VLOOKUP(A223,Wine1!A:AI,26,FALSE))</f>
        <v>89</v>
      </c>
      <c r="L223" s="37">
        <f>IF(I223&lt;1,VLOOKUP(A223,Drank!A:Z,25,FALSE),VLOOKUP(A223,Wine1!A:AI,35,FALSE))</f>
        <v>25</v>
      </c>
      <c r="M223" s="37">
        <f t="shared" si="15"/>
        <v>1</v>
      </c>
      <c r="N223" s="37">
        <f t="shared" si="18"/>
        <v>1.1235955056179775E-2</v>
      </c>
      <c r="O223" s="37">
        <f t="shared" si="19"/>
        <v>22.25</v>
      </c>
      <c r="P223" s="37">
        <f>IF(N223&gt;0,M223,IF(L223&gt;=64.99,4,IF(L223&gt;=Expenses!C252,3,IF(UniqueID!L223&gt;=Expenses!C251,2,1))))</f>
        <v>1</v>
      </c>
      <c r="Q223" s="37">
        <f>IF(O223&gt;=64.99,4,IF(N223&gt;0,M223,IF(L223&gt;=64.99,4,IF(L223&gt;=Expenses!C252,3,IF(UniqueID!L223&gt;=Expenses!C251,2,1)))))</f>
        <v>1</v>
      </c>
      <c r="R223" s="37"/>
      <c r="S223" s="37"/>
    </row>
    <row r="224" spans="1:19" x14ac:dyDescent="0.25">
      <c r="A224" t="s">
        <v>906</v>
      </c>
      <c r="C224" s="37" t="str">
        <f>IF(I224&gt;0,VLOOKUP(A224,Wine1!A:H,6,FALSE),VLOOKUP(A224,Drank!A:H,6,FALSE))</f>
        <v>USA</v>
      </c>
      <c r="D224" s="37" t="str">
        <f>IF(I224&gt;0,VLOOKUP(A224,Wine1!A:H,7,FALSE),VLOOKUP(A224,Drank!A:H,7,FALSE))</f>
        <v>California</v>
      </c>
      <c r="E224" s="37" t="str">
        <f>IF(I224&gt;0,VLOOKUP(A224,Wine1!A:H,8,FALSE),VLOOKUP(A224,Drank!A:H,8,FALSE))</f>
        <v>North Coast, Sonoma</v>
      </c>
      <c r="F224" s="37" t="str">
        <f t="shared" si="16"/>
        <v>USA, California</v>
      </c>
      <c r="G224" s="37" t="str">
        <f t="shared" si="17"/>
        <v>USA, California, North Coast, Sonoma</v>
      </c>
      <c r="H224" s="37">
        <f>COUNTIF(Agibility!A:A,UniqueID!A224)</f>
        <v>1</v>
      </c>
      <c r="I224" s="37">
        <f>COUNTIF(Wine1!A:A,UniqueID!A224)</f>
        <v>0</v>
      </c>
      <c r="J224" s="37">
        <f>COUNTIF(Drank!A:A,UniqueID!A224)</f>
        <v>1</v>
      </c>
      <c r="K224" s="37">
        <f>IF(I224&lt;1,VLOOKUP(A224,Drank!A:S,19,FALSE),VLOOKUP(A224,Wine1!A:AI,26,FALSE))</f>
        <v>87</v>
      </c>
      <c r="L224" s="37">
        <f>IF(I224&lt;1,VLOOKUP(A224,Drank!A:Z,25,FALSE),VLOOKUP(A224,Wine1!A:AI,35,FALSE))</f>
        <v>28.000000000000004</v>
      </c>
      <c r="M224" s="37">
        <f t="shared" si="15"/>
        <v>1</v>
      </c>
      <c r="N224" s="37">
        <f t="shared" si="18"/>
        <v>1.1494252873563218E-2</v>
      </c>
      <c r="O224" s="37">
        <f t="shared" si="19"/>
        <v>24.360000000000003</v>
      </c>
      <c r="P224" s="37">
        <f>IF(N224&gt;0,M224,IF(L224&gt;=64.99,4,IF(L224&gt;=Expenses!C253,3,IF(UniqueID!L224&gt;=Expenses!C252,2,1))))</f>
        <v>1</v>
      </c>
      <c r="Q224" s="37">
        <f>IF(O224&gt;=64.99,4,IF(N224&gt;0,M224,IF(L224&gt;=64.99,4,IF(L224&gt;=Expenses!C253,3,IF(UniqueID!L224&gt;=Expenses!C252,2,1)))))</f>
        <v>1</v>
      </c>
      <c r="R224" s="37"/>
      <c r="S224" s="37"/>
    </row>
    <row r="225" spans="1:19" x14ac:dyDescent="0.25">
      <c r="A225" t="s">
        <v>907</v>
      </c>
      <c r="C225" s="37" t="str">
        <f>IF(I225&gt;0,VLOOKUP(A225,Wine1!A:H,6,FALSE),VLOOKUP(A225,Drank!A:H,6,FALSE))</f>
        <v>Italy</v>
      </c>
      <c r="D225" s="37" t="str">
        <f>IF(I225&gt;0,VLOOKUP(A225,Wine1!A:H,7,FALSE),VLOOKUP(A225,Drank!A:H,7,FALSE))</f>
        <v>Tuscany</v>
      </c>
      <c r="E225" s="37">
        <f>IF(I225&gt;0,VLOOKUP(A225,Wine1!A:H,8,FALSE),VLOOKUP(A225,Drank!A:H,8,FALSE))</f>
        <v>0</v>
      </c>
      <c r="F225" s="37" t="str">
        <f t="shared" si="16"/>
        <v>Italy, Tuscany</v>
      </c>
      <c r="G225" s="37" t="str">
        <f t="shared" si="17"/>
        <v>Italy, Tuscany, 0</v>
      </c>
      <c r="H225" s="37">
        <f>COUNTIF(Agibility!A:A,UniqueID!A225)</f>
        <v>1</v>
      </c>
      <c r="I225" s="37">
        <f>COUNTIF(Wine1!A:A,UniqueID!A225)</f>
        <v>0</v>
      </c>
      <c r="J225" s="37">
        <f>COUNTIF(Drank!A:A,UniqueID!A225)</f>
        <v>1</v>
      </c>
      <c r="K225" s="37">
        <f>IF(I225&lt;1,VLOOKUP(A225,Drank!A:S,19,FALSE),VLOOKUP(A225,Wine1!A:AI,26,FALSE))</f>
        <v>89</v>
      </c>
      <c r="L225" s="37">
        <f>IF(I225&lt;1,VLOOKUP(A225,Drank!A:Z,25,FALSE),VLOOKUP(A225,Wine1!A:AI,35,FALSE))</f>
        <v>14.000000000000002</v>
      </c>
      <c r="M225" s="37">
        <f t="shared" si="15"/>
        <v>1</v>
      </c>
      <c r="N225" s="37">
        <f t="shared" si="18"/>
        <v>1.1235955056179775E-2</v>
      </c>
      <c r="O225" s="37">
        <f t="shared" si="19"/>
        <v>12.460000000000003</v>
      </c>
      <c r="P225" s="37">
        <f>IF(N225&gt;0,M225,IF(L225&gt;=64.99,4,IF(L225&gt;=Expenses!C254,3,IF(UniqueID!L225&gt;=Expenses!C253,2,1))))</f>
        <v>1</v>
      </c>
      <c r="Q225" s="37">
        <f>IF(O225&gt;=64.99,4,IF(N225&gt;0,M225,IF(L225&gt;=64.99,4,IF(L225&gt;=Expenses!C254,3,IF(UniqueID!L225&gt;=Expenses!C253,2,1)))))</f>
        <v>1</v>
      </c>
      <c r="R225" s="37"/>
      <c r="S225" s="37"/>
    </row>
    <row r="226" spans="1:19" x14ac:dyDescent="0.25">
      <c r="A226" t="s">
        <v>908</v>
      </c>
      <c r="C226" s="37" t="str">
        <f>IF(I226&gt;0,VLOOKUP(A226,Wine1!A:H,6,FALSE),VLOOKUP(A226,Drank!A:H,6,FALSE))</f>
        <v>USA</v>
      </c>
      <c r="D226" s="37" t="str">
        <f>IF(I226&gt;0,VLOOKUP(A226,Wine1!A:H,7,FALSE),VLOOKUP(A226,Drank!A:H,7,FALSE))</f>
        <v>California</v>
      </c>
      <c r="E226" s="37" t="str">
        <f>IF(I226&gt;0,VLOOKUP(A226,Wine1!A:H,8,FALSE),VLOOKUP(A226,Drank!A:H,8,FALSE))</f>
        <v>North Coast, Sonoma</v>
      </c>
      <c r="F226" s="37" t="str">
        <f t="shared" si="16"/>
        <v>USA, California</v>
      </c>
      <c r="G226" s="37" t="str">
        <f t="shared" si="17"/>
        <v>USA, California, North Coast, Sonoma</v>
      </c>
      <c r="H226" s="37">
        <f>COUNTIF(Agibility!A:A,UniqueID!A226)</f>
        <v>1</v>
      </c>
      <c r="I226" s="37">
        <f>COUNTIF(Wine1!A:A,UniqueID!A226)</f>
        <v>0</v>
      </c>
      <c r="J226" s="37">
        <f>COUNTIF(Drank!A:A,UniqueID!A226)</f>
        <v>1</v>
      </c>
      <c r="K226" s="37">
        <f>IF(I226&lt;1,VLOOKUP(A226,Drank!A:S,19,FALSE),VLOOKUP(A226,Wine1!A:AI,26,FALSE))</f>
        <v>84</v>
      </c>
      <c r="L226" s="37">
        <f>IF(I226&lt;1,VLOOKUP(A226,Drank!A:Z,25,FALSE),VLOOKUP(A226,Wine1!A:AI,35,FALSE))</f>
        <v>13</v>
      </c>
      <c r="M226" s="37">
        <f t="shared" si="15"/>
        <v>1</v>
      </c>
      <c r="N226" s="37">
        <f t="shared" si="18"/>
        <v>1.1904761904761904E-2</v>
      </c>
      <c r="O226" s="37">
        <f t="shared" si="19"/>
        <v>10.92</v>
      </c>
      <c r="P226" s="37">
        <f>IF(N226&gt;0,M226,IF(L226&gt;=64.99,4,IF(L226&gt;=Expenses!C255,3,IF(UniqueID!L226&gt;=Expenses!C254,2,1))))</f>
        <v>1</v>
      </c>
      <c r="Q226" s="37">
        <f>IF(O226&gt;=64.99,4,IF(N226&gt;0,M226,IF(L226&gt;=64.99,4,IF(L226&gt;=Expenses!C255,3,IF(UniqueID!L226&gt;=Expenses!C254,2,1)))))</f>
        <v>1</v>
      </c>
      <c r="R226" s="37"/>
      <c r="S226" s="37"/>
    </row>
    <row r="227" spans="1:19" x14ac:dyDescent="0.25">
      <c r="A227" t="s">
        <v>909</v>
      </c>
      <c r="C227" s="37" t="str">
        <f>IF(I227&gt;0,VLOOKUP(A227,Wine1!A:H,6,FALSE),VLOOKUP(A227,Drank!A:H,6,FALSE))</f>
        <v>Italy</v>
      </c>
      <c r="D227" s="37" t="str">
        <f>IF(I227&gt;0,VLOOKUP(A227,Wine1!A:H,7,FALSE),VLOOKUP(A227,Drank!A:H,7,FALSE))</f>
        <v>Emilia Romagna</v>
      </c>
      <c r="E227" s="37" t="str">
        <f>IF(I227&gt;0,VLOOKUP(A227,Wine1!A:H,8,FALSE),VLOOKUP(A227,Drank!A:H,8,FALSE))</f>
        <v>Romagna</v>
      </c>
      <c r="F227" s="37" t="str">
        <f t="shared" si="16"/>
        <v>Italy, Emilia Romagna</v>
      </c>
      <c r="G227" s="37" t="str">
        <f t="shared" si="17"/>
        <v>Italy, Emilia Romagna, Romagna</v>
      </c>
      <c r="H227" s="37">
        <f>COUNTIF(Agibility!A:A,UniqueID!A227)</f>
        <v>1</v>
      </c>
      <c r="I227" s="37">
        <f>COUNTIF(Wine1!A:A,UniqueID!A227)</f>
        <v>0</v>
      </c>
      <c r="J227" s="37">
        <f>COUNTIF(Drank!A:A,UniqueID!A227)</f>
        <v>1</v>
      </c>
      <c r="K227" s="37">
        <f>IF(I227&lt;1,VLOOKUP(A227,Drank!A:S,19,FALSE),VLOOKUP(A227,Wine1!A:AI,26,FALSE))</f>
        <v>91</v>
      </c>
      <c r="L227" s="37">
        <f>IF(I227&lt;1,VLOOKUP(A227,Drank!A:Z,25,FALSE),VLOOKUP(A227,Wine1!A:AI,35,FALSE))</f>
        <v>30</v>
      </c>
      <c r="M227" s="37">
        <f t="shared" si="15"/>
        <v>2</v>
      </c>
      <c r="N227" s="37">
        <f t="shared" si="18"/>
        <v>1.098901098901099E-2</v>
      </c>
      <c r="O227" s="37">
        <f t="shared" si="19"/>
        <v>27.3</v>
      </c>
      <c r="P227" s="37">
        <f>IF(N227&gt;0,M227,IF(L227&gt;=64.99,4,IF(L227&gt;=Expenses!C256,3,IF(UniqueID!L227&gt;=Expenses!C255,2,1))))</f>
        <v>2</v>
      </c>
      <c r="Q227" s="37">
        <f>IF(O227&gt;=64.99,4,IF(N227&gt;0,M227,IF(L227&gt;=64.99,4,IF(L227&gt;=Expenses!C256,3,IF(UniqueID!L227&gt;=Expenses!C255,2,1)))))</f>
        <v>2</v>
      </c>
      <c r="R227" s="37"/>
      <c r="S227" s="37"/>
    </row>
    <row r="228" spans="1:19" x14ac:dyDescent="0.25">
      <c r="A228" t="s">
        <v>910</v>
      </c>
      <c r="C228" s="37" t="str">
        <f>IF(I228&gt;0,VLOOKUP(A228,Wine1!A:H,6,FALSE),VLOOKUP(A228,Drank!A:H,6,FALSE))</f>
        <v>Italy</v>
      </c>
      <c r="D228" s="37" t="str">
        <f>IF(I228&gt;0,VLOOKUP(A228,Wine1!A:H,7,FALSE),VLOOKUP(A228,Drank!A:H,7,FALSE))</f>
        <v>Emilia Romagna</v>
      </c>
      <c r="E228" s="37" t="str">
        <f>IF(I228&gt;0,VLOOKUP(A228,Wine1!A:H,8,FALSE),VLOOKUP(A228,Drank!A:H,8,FALSE))</f>
        <v>Romagna</v>
      </c>
      <c r="F228" s="37" t="str">
        <f t="shared" si="16"/>
        <v>Italy, Emilia Romagna</v>
      </c>
      <c r="G228" s="37" t="str">
        <f t="shared" si="17"/>
        <v>Italy, Emilia Romagna, Romagna</v>
      </c>
      <c r="H228" s="37">
        <f>COUNTIF(Agibility!A:A,UniqueID!A228)</f>
        <v>1</v>
      </c>
      <c r="I228" s="37">
        <f>COUNTIF(Wine1!A:A,UniqueID!A228)</f>
        <v>0</v>
      </c>
      <c r="J228" s="37">
        <f>COUNTIF(Drank!A:A,UniqueID!A228)</f>
        <v>1</v>
      </c>
      <c r="K228" s="37">
        <f>IF(I228&lt;1,VLOOKUP(A228,Drank!A:S,19,FALSE),VLOOKUP(A228,Wine1!A:AI,26,FALSE))</f>
        <v>90</v>
      </c>
      <c r="L228" s="37">
        <f>IF(I228&lt;1,VLOOKUP(A228,Drank!A:Z,25,FALSE),VLOOKUP(A228,Wine1!A:AI,35,FALSE))</f>
        <v>25</v>
      </c>
      <c r="M228" s="37">
        <f t="shared" si="15"/>
        <v>2</v>
      </c>
      <c r="N228" s="37">
        <f t="shared" si="18"/>
        <v>1.1111111111111112E-2</v>
      </c>
      <c r="O228" s="37">
        <f t="shared" si="19"/>
        <v>22.5</v>
      </c>
      <c r="P228" s="37">
        <f>IF(N228&gt;0,M228,IF(L228&gt;=64.99,4,IF(L228&gt;=Expenses!C257,3,IF(UniqueID!L228&gt;=Expenses!C256,2,1))))</f>
        <v>2</v>
      </c>
      <c r="Q228" s="37">
        <f>IF(O228&gt;=64.99,4,IF(N228&gt;0,M228,IF(L228&gt;=64.99,4,IF(L228&gt;=Expenses!C257,3,IF(UniqueID!L228&gt;=Expenses!C256,2,1)))))</f>
        <v>2</v>
      </c>
      <c r="R228" s="37"/>
      <c r="S228" s="37"/>
    </row>
    <row r="229" spans="1:19" x14ac:dyDescent="0.25">
      <c r="A229" t="s">
        <v>911</v>
      </c>
      <c r="C229" s="37" t="str">
        <f>IF(I229&gt;0,VLOOKUP(A229,Wine1!A:H,6,FALSE),VLOOKUP(A229,Drank!A:H,6,FALSE))</f>
        <v>Italy</v>
      </c>
      <c r="D229" s="37" t="str">
        <f>IF(I229&gt;0,VLOOKUP(A229,Wine1!A:H,7,FALSE),VLOOKUP(A229,Drank!A:H,7,FALSE))</f>
        <v>Sicily</v>
      </c>
      <c r="E229" s="37" t="str">
        <f>IF(I229&gt;0,VLOOKUP(A229,Wine1!A:H,8,FALSE),VLOOKUP(A229,Drank!A:H,8,FALSE))</f>
        <v>Etna</v>
      </c>
      <c r="F229" s="37" t="str">
        <f t="shared" si="16"/>
        <v>Italy, Sicily</v>
      </c>
      <c r="G229" s="37" t="str">
        <f t="shared" si="17"/>
        <v>Italy, Sicily, Etna</v>
      </c>
      <c r="H229" s="37">
        <f>COUNTIF(Agibility!A:A,UniqueID!A229)</f>
        <v>1</v>
      </c>
      <c r="I229" s="37">
        <f>COUNTIF(Wine1!A:A,UniqueID!A229)</f>
        <v>0</v>
      </c>
      <c r="J229" s="37">
        <f>COUNTIF(Drank!A:A,UniqueID!A229)</f>
        <v>1</v>
      </c>
      <c r="K229" s="37">
        <f>IF(I229&lt;1,VLOOKUP(A229,Drank!A:S,19,FALSE),VLOOKUP(A229,Wine1!A:AI,26,FALSE))</f>
        <v>88</v>
      </c>
      <c r="L229" s="37">
        <f>IF(I229&lt;1,VLOOKUP(A229,Drank!A:Z,25,FALSE),VLOOKUP(A229,Wine1!A:AI,35,FALSE))</f>
        <v>16.190000000000001</v>
      </c>
      <c r="M229" s="37">
        <f t="shared" si="15"/>
        <v>1</v>
      </c>
      <c r="N229" s="37">
        <f t="shared" si="18"/>
        <v>1.1363636363636364E-2</v>
      </c>
      <c r="O229" s="37">
        <f t="shared" si="19"/>
        <v>14.247200000000001</v>
      </c>
      <c r="P229" s="37">
        <f>IF(N229&gt;0,M229,IF(L229&gt;=64.99,4,IF(L229&gt;=Expenses!C258,3,IF(UniqueID!L229&gt;=Expenses!C257,2,1))))</f>
        <v>1</v>
      </c>
      <c r="Q229" s="37">
        <f>IF(O229&gt;=64.99,4,IF(N229&gt;0,M229,IF(L229&gt;=64.99,4,IF(L229&gt;=Expenses!C258,3,IF(UniqueID!L229&gt;=Expenses!C257,2,1)))))</f>
        <v>1</v>
      </c>
      <c r="R229" s="37"/>
      <c r="S229" s="37"/>
    </row>
    <row r="230" spans="1:19" x14ac:dyDescent="0.25">
      <c r="A230" t="s">
        <v>912</v>
      </c>
      <c r="C230" s="37" t="str">
        <f>IF(I230&gt;0,VLOOKUP(A230,Wine1!A:H,6,FALSE),VLOOKUP(A230,Drank!A:H,6,FALSE))</f>
        <v>Spain</v>
      </c>
      <c r="D230" s="37" t="str">
        <f>IF(I230&gt;0,VLOOKUP(A230,Wine1!A:H,7,FALSE),VLOOKUP(A230,Drank!A:H,7,FALSE))</f>
        <v>Galicia</v>
      </c>
      <c r="E230" s="37" t="str">
        <f>IF(I230&gt;0,VLOOKUP(A230,Wine1!A:H,8,FALSE),VLOOKUP(A230,Drank!A:H,8,FALSE))</f>
        <v>Monterrei</v>
      </c>
      <c r="F230" s="37" t="str">
        <f t="shared" si="16"/>
        <v>Spain, Galicia</v>
      </c>
      <c r="G230" s="37" t="str">
        <f t="shared" si="17"/>
        <v>Spain, Galicia, Monterrei</v>
      </c>
      <c r="H230" s="37">
        <f>COUNTIF(Agibility!A:A,UniqueID!A230)</f>
        <v>1</v>
      </c>
      <c r="I230" s="37">
        <f>COUNTIF(Wine1!A:A,UniqueID!A230)</f>
        <v>0</v>
      </c>
      <c r="J230" s="37">
        <f>COUNTIF(Drank!A:A,UniqueID!A230)</f>
        <v>1</v>
      </c>
      <c r="K230" s="37">
        <f>IF(I230&lt;1,VLOOKUP(A230,Drank!A:S,19,FALSE),VLOOKUP(A230,Wine1!A:AI,26,FALSE))</f>
        <v>92</v>
      </c>
      <c r="L230" s="37">
        <f>IF(I230&lt;1,VLOOKUP(A230,Drank!A:Z,25,FALSE),VLOOKUP(A230,Wine1!A:AI,35,FALSE))</f>
        <v>39.99</v>
      </c>
      <c r="M230" s="37">
        <f t="shared" si="15"/>
        <v>2</v>
      </c>
      <c r="N230" s="37">
        <f t="shared" si="18"/>
        <v>1.0869565217391304E-2</v>
      </c>
      <c r="O230" s="37">
        <f t="shared" si="19"/>
        <v>36.790800000000004</v>
      </c>
      <c r="P230" s="37">
        <f>IF(N230&gt;0,M230,IF(L230&gt;=64.99,4,IF(L230&gt;=Expenses!C259,3,IF(UniqueID!L230&gt;=Expenses!C258,2,1))))</f>
        <v>2</v>
      </c>
      <c r="Q230" s="37">
        <f>IF(O230&gt;=64.99,4,IF(N230&gt;0,M230,IF(L230&gt;=64.99,4,IF(L230&gt;=Expenses!C259,3,IF(UniqueID!L230&gt;=Expenses!C258,2,1)))))</f>
        <v>2</v>
      </c>
      <c r="R230" s="37"/>
      <c r="S230" s="37"/>
    </row>
    <row r="231" spans="1:19" x14ac:dyDescent="0.25">
      <c r="A231" t="s">
        <v>913</v>
      </c>
      <c r="C231" s="37" t="str">
        <f>IF(I231&gt;0,VLOOKUP(A231,Wine1!A:H,6,FALSE),VLOOKUP(A231,Drank!A:H,6,FALSE))</f>
        <v>Italy</v>
      </c>
      <c r="D231" s="37" t="str">
        <f>IF(I231&gt;0,VLOOKUP(A231,Wine1!A:H,7,FALSE),VLOOKUP(A231,Drank!A:H,7,FALSE))</f>
        <v>Veneto</v>
      </c>
      <c r="E231" s="37" t="str">
        <f>IF(I231&gt;0,VLOOKUP(A231,Wine1!A:H,8,FALSE),VLOOKUP(A231,Drank!A:H,8,FALSE))</f>
        <v>Valpolicella</v>
      </c>
      <c r="F231" s="37" t="str">
        <f t="shared" si="16"/>
        <v>Italy, Veneto</v>
      </c>
      <c r="G231" s="37" t="str">
        <f t="shared" si="17"/>
        <v>Italy, Veneto, Valpolicella</v>
      </c>
      <c r="H231" s="37">
        <f>COUNTIF(Agibility!A:A,UniqueID!A231)</f>
        <v>1</v>
      </c>
      <c r="I231" s="37">
        <f>COUNTIF(Wine1!A:A,UniqueID!A231)</f>
        <v>0</v>
      </c>
      <c r="J231" s="37">
        <f>COUNTIF(Drank!A:A,UniqueID!A231)</f>
        <v>1</v>
      </c>
      <c r="K231" s="37">
        <f>IF(I231&lt;1,VLOOKUP(A231,Drank!A:S,19,FALSE),VLOOKUP(A231,Wine1!A:AI,26,FALSE))</f>
        <v>90</v>
      </c>
      <c r="L231" s="37">
        <f>IF(I231&lt;1,VLOOKUP(A231,Drank!A:Z,25,FALSE),VLOOKUP(A231,Wine1!A:AI,35,FALSE))</f>
        <v>46</v>
      </c>
      <c r="M231" s="37">
        <f t="shared" si="15"/>
        <v>2</v>
      </c>
      <c r="N231" s="37">
        <f t="shared" si="18"/>
        <v>1.1111111111111112E-2</v>
      </c>
      <c r="O231" s="37">
        <f t="shared" si="19"/>
        <v>41.4</v>
      </c>
      <c r="P231" s="37">
        <f>IF(N231&gt;0,M231,IF(L231&gt;=64.99,4,IF(L231&gt;=Expenses!C260,3,IF(UniqueID!L231&gt;=Expenses!C259,2,1))))</f>
        <v>2</v>
      </c>
      <c r="Q231" s="37">
        <f>IF(O231&gt;=64.99,4,IF(N231&gt;0,M231,IF(L231&gt;=64.99,4,IF(L231&gt;=Expenses!C260,3,IF(UniqueID!L231&gt;=Expenses!C259,2,1)))))</f>
        <v>2</v>
      </c>
      <c r="R231" s="37"/>
      <c r="S231" s="37"/>
    </row>
    <row r="232" spans="1:19" x14ac:dyDescent="0.25">
      <c r="A232" t="s">
        <v>914</v>
      </c>
      <c r="C232" s="37" t="str">
        <f>IF(I232&gt;0,VLOOKUP(A232,Wine1!A:H,6,FALSE),VLOOKUP(A232,Drank!A:H,6,FALSE))</f>
        <v>USA</v>
      </c>
      <c r="D232" s="37" t="str">
        <f>IF(I232&gt;0,VLOOKUP(A232,Wine1!A:H,7,FALSE),VLOOKUP(A232,Drank!A:H,7,FALSE))</f>
        <v>California</v>
      </c>
      <c r="E232" s="37" t="str">
        <f>IF(I232&gt;0,VLOOKUP(A232,Wine1!A:H,8,FALSE),VLOOKUP(A232,Drank!A:H,8,FALSE))</f>
        <v>North Coast, Sonoma</v>
      </c>
      <c r="F232" s="37" t="str">
        <f t="shared" si="16"/>
        <v>USA, California</v>
      </c>
      <c r="G232" s="37" t="str">
        <f t="shared" si="17"/>
        <v>USA, California, North Coast, Sonoma</v>
      </c>
      <c r="H232" s="37">
        <f>COUNTIF(Agibility!A:A,UniqueID!A232)</f>
        <v>1</v>
      </c>
      <c r="I232" s="37">
        <f>COUNTIF(Wine1!A:A,UniqueID!A232)</f>
        <v>0</v>
      </c>
      <c r="J232" s="37">
        <f>COUNTIF(Drank!A:A,UniqueID!A232)</f>
        <v>1</v>
      </c>
      <c r="K232" s="37">
        <f>IF(I232&lt;1,VLOOKUP(A232,Drank!A:S,19,FALSE),VLOOKUP(A232,Wine1!A:AI,26,FALSE))</f>
        <v>91</v>
      </c>
      <c r="L232" s="37">
        <f>IF(I232&lt;1,VLOOKUP(A232,Drank!A:Z,25,FALSE),VLOOKUP(A232,Wine1!A:AI,35,FALSE))</f>
        <v>55</v>
      </c>
      <c r="M232" s="37">
        <f t="shared" si="15"/>
        <v>2</v>
      </c>
      <c r="N232" s="37">
        <f t="shared" si="18"/>
        <v>1.098901098901099E-2</v>
      </c>
      <c r="O232" s="37">
        <f t="shared" si="19"/>
        <v>50.050000000000004</v>
      </c>
      <c r="P232" s="37">
        <f>IF(N232&gt;0,M232,IF(L232&gt;=64.99,4,IF(L232&gt;=Expenses!C261,3,IF(UniqueID!L232&gt;=Expenses!C260,2,1))))</f>
        <v>2</v>
      </c>
      <c r="Q232" s="37">
        <f>IF(O232&gt;=64.99,4,IF(N232&gt;0,M232,IF(L232&gt;=64.99,4,IF(L232&gt;=Expenses!C261,3,IF(UniqueID!L232&gt;=Expenses!C260,2,1)))))</f>
        <v>2</v>
      </c>
      <c r="R232" s="37"/>
      <c r="S232" s="37"/>
    </row>
    <row r="233" spans="1:19" x14ac:dyDescent="0.25">
      <c r="A233" t="s">
        <v>915</v>
      </c>
      <c r="C233" s="37" t="str">
        <f>IF(I233&gt;0,VLOOKUP(A233,Wine1!A:H,6,FALSE),VLOOKUP(A233,Drank!A:H,6,FALSE))</f>
        <v>Italy</v>
      </c>
      <c r="D233" s="37" t="str">
        <f>IF(I233&gt;0,VLOOKUP(A233,Wine1!A:H,7,FALSE),VLOOKUP(A233,Drank!A:H,7,FALSE))</f>
        <v>Tuscany</v>
      </c>
      <c r="E233" s="37" t="str">
        <f>IF(I233&gt;0,VLOOKUP(A233,Wine1!A:H,8,FALSE),VLOOKUP(A233,Drank!A:H,8,FALSE))</f>
        <v>Chianti Classico</v>
      </c>
      <c r="F233" s="37" t="str">
        <f t="shared" si="16"/>
        <v>Italy, Tuscany</v>
      </c>
      <c r="G233" s="37" t="str">
        <f t="shared" si="17"/>
        <v>Italy, Tuscany, Chianti Classico</v>
      </c>
      <c r="H233" s="37">
        <f>COUNTIF(Agibility!A:A,UniqueID!A233)</f>
        <v>1</v>
      </c>
      <c r="I233" s="37">
        <f>COUNTIF(Wine1!A:A,UniqueID!A233)</f>
        <v>0</v>
      </c>
      <c r="J233" s="37">
        <f>COUNTIF(Drank!A:A,UniqueID!A233)</f>
        <v>3</v>
      </c>
      <c r="K233" s="37">
        <f>IF(I233&lt;1,VLOOKUP(A233,Drank!A:S,19,FALSE),VLOOKUP(A233,Wine1!A:AI,26,FALSE))</f>
        <v>92</v>
      </c>
      <c r="L233" s="37">
        <f>IF(I233&lt;1,VLOOKUP(A233,Drank!A:Z,25,FALSE),VLOOKUP(A233,Wine1!A:AI,35,FALSE))</f>
        <v>17.989999999999998</v>
      </c>
      <c r="M233" s="37">
        <f t="shared" si="15"/>
        <v>2</v>
      </c>
      <c r="N233" s="37">
        <f t="shared" si="18"/>
        <v>1.0869565217391304E-2</v>
      </c>
      <c r="O233" s="37">
        <f t="shared" si="19"/>
        <v>16.550799999999999</v>
      </c>
      <c r="P233" s="37">
        <f>IF(N233&gt;0,M233,IF(L233&gt;=64.99,4,IF(L233&gt;=Expenses!C262,3,IF(UniqueID!L233&gt;=Expenses!C261,2,1))))</f>
        <v>2</v>
      </c>
      <c r="Q233" s="37">
        <f>IF(O233&gt;=64.99,4,IF(N233&gt;0,M233,IF(L233&gt;=64.99,4,IF(L233&gt;=Expenses!C262,3,IF(UniqueID!L233&gt;=Expenses!C261,2,1)))))</f>
        <v>2</v>
      </c>
      <c r="R233" s="37"/>
      <c r="S233" s="37"/>
    </row>
    <row r="234" spans="1:19" x14ac:dyDescent="0.25">
      <c r="A234" t="s">
        <v>916</v>
      </c>
      <c r="C234" s="37" t="str">
        <f>IF(I234&gt;0,VLOOKUP(A234,Wine1!A:H,6,FALSE),VLOOKUP(A234,Drank!A:H,6,FALSE))</f>
        <v>Portugal</v>
      </c>
      <c r="D234" s="37" t="str">
        <f>IF(I234&gt;0,VLOOKUP(A234,Wine1!A:H,7,FALSE),VLOOKUP(A234,Drank!A:H,7,FALSE))</f>
        <v>Dao</v>
      </c>
      <c r="E234" s="37">
        <f>IF(I234&gt;0,VLOOKUP(A234,Wine1!A:H,8,FALSE),VLOOKUP(A234,Drank!A:H,8,FALSE))</f>
        <v>0</v>
      </c>
      <c r="F234" s="37" t="str">
        <f t="shared" si="16"/>
        <v>Portugal, Dao</v>
      </c>
      <c r="G234" s="37" t="str">
        <f t="shared" si="17"/>
        <v>Portugal, Dao, 0</v>
      </c>
      <c r="H234" s="37">
        <f>COUNTIF(Agibility!A:A,UniqueID!A234)</f>
        <v>1</v>
      </c>
      <c r="I234" s="37">
        <f>COUNTIF(Wine1!A:A,UniqueID!A234)</f>
        <v>0</v>
      </c>
      <c r="J234" s="37">
        <f>COUNTIF(Drank!A:A,UniqueID!A234)</f>
        <v>1</v>
      </c>
      <c r="K234" s="37">
        <f>IF(I234&lt;1,VLOOKUP(A234,Drank!A:S,19,FALSE),VLOOKUP(A234,Wine1!A:AI,26,FALSE))</f>
        <v>90</v>
      </c>
      <c r="L234" s="37">
        <f>IF(I234&lt;1,VLOOKUP(A234,Drank!A:Z,25,FALSE),VLOOKUP(A234,Wine1!A:AI,35,FALSE))</f>
        <v>11.11</v>
      </c>
      <c r="M234" s="37">
        <f t="shared" si="15"/>
        <v>2</v>
      </c>
      <c r="N234" s="37">
        <f t="shared" si="18"/>
        <v>1.1111111111111112E-2</v>
      </c>
      <c r="O234" s="37">
        <f t="shared" si="19"/>
        <v>9.9990000000000006</v>
      </c>
      <c r="P234" s="37">
        <f>IF(N234&gt;0,M234,IF(L234&gt;=64.99,4,IF(L234&gt;=Expenses!C263,3,IF(UniqueID!L234&gt;=Expenses!C262,2,1))))</f>
        <v>2</v>
      </c>
      <c r="Q234" s="37">
        <f>IF(O234&gt;=64.99,4,IF(N234&gt;0,M234,IF(L234&gt;=64.99,4,IF(L234&gt;=Expenses!C263,3,IF(UniqueID!L234&gt;=Expenses!C262,2,1)))))</f>
        <v>2</v>
      </c>
      <c r="R234" s="37"/>
      <c r="S234" s="37"/>
    </row>
    <row r="235" spans="1:19" x14ac:dyDescent="0.25">
      <c r="A235" t="s">
        <v>917</v>
      </c>
      <c r="C235" s="37" t="str">
        <f>IF(I235&gt;0,VLOOKUP(A235,Wine1!A:H,6,FALSE),VLOOKUP(A235,Drank!A:H,6,FALSE))</f>
        <v>Italy</v>
      </c>
      <c r="D235" s="37" t="str">
        <f>IF(I235&gt;0,VLOOKUP(A235,Wine1!A:H,7,FALSE),VLOOKUP(A235,Drank!A:H,7,FALSE))</f>
        <v>Tuscany</v>
      </c>
      <c r="E235" s="37" t="str">
        <f>IF(I235&gt;0,VLOOKUP(A235,Wine1!A:H,8,FALSE),VLOOKUP(A235,Drank!A:H,8,FALSE))</f>
        <v>Toscana IGT</v>
      </c>
      <c r="F235" s="37" t="str">
        <f t="shared" si="16"/>
        <v>Italy, Tuscany</v>
      </c>
      <c r="G235" s="37" t="str">
        <f t="shared" si="17"/>
        <v>Italy, Tuscany, Toscana IGT</v>
      </c>
      <c r="H235" s="37">
        <f>COUNTIF(Agibility!A:A,UniqueID!A235)</f>
        <v>1</v>
      </c>
      <c r="I235" s="37">
        <f>COUNTIF(Wine1!A:A,UniqueID!A235)</f>
        <v>0</v>
      </c>
      <c r="J235" s="37">
        <f>COUNTIF(Drank!A:A,UniqueID!A235)</f>
        <v>1</v>
      </c>
      <c r="K235" s="37">
        <f>IF(I235&lt;1,VLOOKUP(A235,Drank!A:S,19,FALSE),VLOOKUP(A235,Wine1!A:AI,26,FALSE))</f>
        <v>87</v>
      </c>
      <c r="L235" s="37">
        <f>IF(I235&lt;1,VLOOKUP(A235,Drank!A:Z,25,FALSE),VLOOKUP(A235,Wine1!A:AI,35,FALSE))</f>
        <v>13</v>
      </c>
      <c r="M235" s="37">
        <f t="shared" si="15"/>
        <v>1</v>
      </c>
      <c r="N235" s="37">
        <f t="shared" si="18"/>
        <v>1.1494252873563218E-2</v>
      </c>
      <c r="O235" s="37">
        <f t="shared" si="19"/>
        <v>11.31</v>
      </c>
      <c r="P235" s="37">
        <f>IF(N235&gt;0,M235,IF(L235&gt;=64.99,4,IF(L235&gt;=Expenses!C264,3,IF(UniqueID!L235&gt;=Expenses!C263,2,1))))</f>
        <v>1</v>
      </c>
      <c r="Q235" s="37">
        <f>IF(O235&gt;=64.99,4,IF(N235&gt;0,M235,IF(L235&gt;=64.99,4,IF(L235&gt;=Expenses!C264,3,IF(UniqueID!L235&gt;=Expenses!C263,2,1)))))</f>
        <v>1</v>
      </c>
      <c r="R235" s="37"/>
      <c r="S235" s="37"/>
    </row>
    <row r="236" spans="1:19" x14ac:dyDescent="0.25">
      <c r="A236" t="s">
        <v>922</v>
      </c>
      <c r="C236" s="37" t="str">
        <f>IF(I236&gt;0,VLOOKUP(A236,Wine1!A:H,6,FALSE),VLOOKUP(A236,Drank!A:H,6,FALSE))</f>
        <v>USA</v>
      </c>
      <c r="D236" s="37" t="str">
        <f>IF(I236&gt;0,VLOOKUP(A236,Wine1!A:H,7,FALSE),VLOOKUP(A236,Drank!A:H,7,FALSE))</f>
        <v>California</v>
      </c>
      <c r="E236" s="37" t="str">
        <f>IF(I236&gt;0,VLOOKUP(A236,Wine1!A:H,8,FALSE),VLOOKUP(A236,Drank!A:H,8,FALSE))</f>
        <v>North Coast, Napa Valley</v>
      </c>
      <c r="F236" s="37" t="str">
        <f t="shared" si="16"/>
        <v>USA, California</v>
      </c>
      <c r="G236" s="37" t="str">
        <f t="shared" si="17"/>
        <v>USA, California, North Coast, Napa Valley</v>
      </c>
      <c r="H236" s="37">
        <f>COUNTIF(Agibility!A:A,UniqueID!A236)</f>
        <v>1</v>
      </c>
      <c r="I236" s="37">
        <f>COUNTIF(Wine1!A:A,UniqueID!A236)</f>
        <v>0</v>
      </c>
      <c r="J236" s="37">
        <f>COUNTIF(Drank!A:A,UniqueID!A236)</f>
        <v>1</v>
      </c>
      <c r="K236" s="37">
        <f>IF(I236&lt;1,VLOOKUP(A236,Drank!A:S,19,FALSE),VLOOKUP(A236,Wine1!A:AI,26,FALSE))</f>
        <v>89</v>
      </c>
      <c r="L236" s="37">
        <f>IF(I236&lt;1,VLOOKUP(A236,Drank!A:Z,25,FALSE),VLOOKUP(A236,Wine1!A:AI,35,FALSE))</f>
        <v>65</v>
      </c>
      <c r="M236" s="37">
        <f t="shared" si="15"/>
        <v>1</v>
      </c>
      <c r="N236" s="37">
        <f t="shared" si="18"/>
        <v>1.1235955056179775E-2</v>
      </c>
      <c r="O236" s="37">
        <f t="shared" si="19"/>
        <v>57.85</v>
      </c>
      <c r="P236" s="37">
        <f>IF(N236&gt;0,M236,IF(L236&gt;=64.99,4,IF(L236&gt;=Expenses!C265,3,IF(UniqueID!L236&gt;=Expenses!C264,2,1))))</f>
        <v>1</v>
      </c>
      <c r="Q236" s="37">
        <f>IF(O236&gt;=64.99,4,IF(N236&gt;0,M236,IF(L236&gt;=64.99,4,IF(L236&gt;=Expenses!C265,3,IF(UniqueID!L236&gt;=Expenses!C264,2,1)))))</f>
        <v>1</v>
      </c>
      <c r="R236" s="37"/>
      <c r="S236" s="37"/>
    </row>
    <row r="237" spans="1:19" x14ac:dyDescent="0.25">
      <c r="A237" t="s">
        <v>921</v>
      </c>
      <c r="C237" s="37" t="str">
        <f>IF(I237&gt;0,VLOOKUP(A237,Wine1!A:H,6,FALSE),VLOOKUP(A237,Drank!A:H,6,FALSE))</f>
        <v>Italy</v>
      </c>
      <c r="D237" s="37" t="str">
        <f>IF(I237&gt;0,VLOOKUP(A237,Wine1!A:H,7,FALSE),VLOOKUP(A237,Drank!A:H,7,FALSE))</f>
        <v>Piedmont</v>
      </c>
      <c r="E237" s="37" t="str">
        <f>IF(I237&gt;0,VLOOKUP(A237,Wine1!A:H,8,FALSE),VLOOKUP(A237,Drank!A:H,8,FALSE))</f>
        <v>Barolo, La Morra</v>
      </c>
      <c r="F237" s="37" t="str">
        <f t="shared" si="16"/>
        <v>Italy, Piedmont</v>
      </c>
      <c r="G237" s="37" t="str">
        <f t="shared" si="17"/>
        <v>Italy, Piedmont, Barolo, La Morra</v>
      </c>
      <c r="H237" s="37">
        <f>COUNTIF(Agibility!A:A,UniqueID!A237)</f>
        <v>1</v>
      </c>
      <c r="I237" s="37">
        <f>COUNTIF(Wine1!A:A,UniqueID!A237)</f>
        <v>0</v>
      </c>
      <c r="J237" s="37">
        <f>COUNTIF(Drank!A:A,UniqueID!A237)</f>
        <v>1</v>
      </c>
      <c r="K237" s="37">
        <f>IF(I237&lt;1,VLOOKUP(A237,Drank!A:S,19,FALSE),VLOOKUP(A237,Wine1!A:AI,26,FALSE))</f>
        <v>85</v>
      </c>
      <c r="L237" s="37">
        <f>IF(I237&lt;1,VLOOKUP(A237,Drank!A:Z,25,FALSE),VLOOKUP(A237,Wine1!A:AI,35,FALSE))</f>
        <v>35</v>
      </c>
      <c r="M237" s="37">
        <f t="shared" si="15"/>
        <v>1</v>
      </c>
      <c r="N237" s="37">
        <f t="shared" si="18"/>
        <v>1.1764705882352941E-2</v>
      </c>
      <c r="O237" s="37">
        <f t="shared" si="19"/>
        <v>29.75</v>
      </c>
      <c r="P237" s="37">
        <f>IF(N237&gt;0,M237,IF(L237&gt;=64.99,4,IF(L237&gt;=Expenses!C266,3,IF(UniqueID!L237&gt;=Expenses!C265,2,1))))</f>
        <v>1</v>
      </c>
      <c r="Q237" s="37">
        <f>IF(O237&gt;=64.99,4,IF(N237&gt;0,M237,IF(L237&gt;=64.99,4,IF(L237&gt;=Expenses!C266,3,IF(UniqueID!L237&gt;=Expenses!C265,2,1)))))</f>
        <v>1</v>
      </c>
      <c r="R237" s="37"/>
      <c r="S237" s="37"/>
    </row>
    <row r="238" spans="1:19" x14ac:dyDescent="0.25">
      <c r="A238" t="s">
        <v>920</v>
      </c>
      <c r="C238" s="37" t="str">
        <f>IF(I238&gt;0,VLOOKUP(A238,Wine1!A:H,6,FALSE),VLOOKUP(A238,Drank!A:H,6,FALSE))</f>
        <v>Spain</v>
      </c>
      <c r="D238" s="37" t="str">
        <f>IF(I238&gt;0,VLOOKUP(A238,Wine1!A:H,7,FALSE),VLOOKUP(A238,Drank!A:H,7,FALSE))</f>
        <v>Castilla Leon</v>
      </c>
      <c r="E238" s="37" t="str">
        <f>IF(I238&gt;0,VLOOKUP(A238,Wine1!A:H,8,FALSE),VLOOKUP(A238,Drank!A:H,8,FALSE))</f>
        <v>Ribera Del Duero</v>
      </c>
      <c r="F238" s="37" t="str">
        <f t="shared" si="16"/>
        <v>Spain, Castilla Leon</v>
      </c>
      <c r="G238" s="37" t="str">
        <f t="shared" si="17"/>
        <v>Spain, Castilla Leon, Ribera Del Duero</v>
      </c>
      <c r="H238" s="37">
        <f>COUNTIF(Agibility!A:A,UniqueID!A238)</f>
        <v>1</v>
      </c>
      <c r="I238" s="37">
        <f>COUNTIF(Wine1!A:A,UniqueID!A238)</f>
        <v>0</v>
      </c>
      <c r="J238" s="37">
        <f>COUNTIF(Drank!A:A,UniqueID!A238)</f>
        <v>1</v>
      </c>
      <c r="K238" s="37">
        <f>IF(I238&lt;1,VLOOKUP(A238,Drank!A:S,19,FALSE),VLOOKUP(A238,Wine1!A:AI,26,FALSE))</f>
        <v>90</v>
      </c>
      <c r="L238" s="37">
        <f>IF(I238&lt;1,VLOOKUP(A238,Drank!A:Z,25,FALSE),VLOOKUP(A238,Wine1!A:AI,35,FALSE))</f>
        <v>38</v>
      </c>
      <c r="M238" s="37">
        <f t="shared" si="15"/>
        <v>2</v>
      </c>
      <c r="N238" s="37">
        <f t="shared" si="18"/>
        <v>1.1111111111111112E-2</v>
      </c>
      <c r="O238" s="37">
        <f t="shared" si="19"/>
        <v>34.200000000000003</v>
      </c>
      <c r="P238" s="37">
        <f>IF(N238&gt;0,M238,IF(L238&gt;=64.99,4,IF(L238&gt;=Expenses!C267,3,IF(UniqueID!L238&gt;=Expenses!C266,2,1))))</f>
        <v>2</v>
      </c>
      <c r="Q238" s="37">
        <f>IF(O238&gt;=64.99,4,IF(N238&gt;0,M238,IF(L238&gt;=64.99,4,IF(L238&gt;=Expenses!C267,3,IF(UniqueID!L238&gt;=Expenses!C266,2,1)))))</f>
        <v>2</v>
      </c>
      <c r="R238" s="37"/>
      <c r="S238" s="37"/>
    </row>
    <row r="239" spans="1:19" x14ac:dyDescent="0.25">
      <c r="A239" t="s">
        <v>919</v>
      </c>
      <c r="C239" s="37" t="str">
        <f>IF(I239&gt;0,VLOOKUP(A239,Wine1!A:H,6,FALSE),VLOOKUP(A239,Drank!A:H,6,FALSE))</f>
        <v>Italy</v>
      </c>
      <c r="D239" s="37" t="str">
        <f>IF(I239&gt;0,VLOOKUP(A239,Wine1!A:H,7,FALSE),VLOOKUP(A239,Drank!A:H,7,FALSE))</f>
        <v>Piedmont</v>
      </c>
      <c r="E239" s="37" t="str">
        <f>IF(I239&gt;0,VLOOKUP(A239,Wine1!A:H,8,FALSE),VLOOKUP(A239,Drank!A:H,8,FALSE))</f>
        <v>Dolcetto d'Alba</v>
      </c>
      <c r="F239" s="37" t="str">
        <f t="shared" si="16"/>
        <v>Italy, Piedmont</v>
      </c>
      <c r="G239" s="37" t="str">
        <f t="shared" si="17"/>
        <v>Italy, Piedmont, Dolcetto d'Alba</v>
      </c>
      <c r="H239" s="37">
        <f>COUNTIF(Agibility!A:A,UniqueID!A239)</f>
        <v>1</v>
      </c>
      <c r="I239" s="37">
        <f>COUNTIF(Wine1!A:A,UniqueID!A239)</f>
        <v>0</v>
      </c>
      <c r="J239" s="37">
        <f>COUNTIF(Drank!A:A,UniqueID!A239)</f>
        <v>1</v>
      </c>
      <c r="K239" s="37">
        <f>IF(I239&lt;1,VLOOKUP(A239,Drank!A:S,19,FALSE),VLOOKUP(A239,Wine1!A:AI,26,FALSE))</f>
        <v>87</v>
      </c>
      <c r="L239" s="37">
        <f>IF(I239&lt;1,VLOOKUP(A239,Drank!A:Z,25,FALSE),VLOOKUP(A239,Wine1!A:AI,35,FALSE))</f>
        <v>17</v>
      </c>
      <c r="M239" s="37">
        <f t="shared" si="15"/>
        <v>1</v>
      </c>
      <c r="N239" s="37">
        <f t="shared" si="18"/>
        <v>1.1494252873563218E-2</v>
      </c>
      <c r="O239" s="37">
        <f t="shared" si="19"/>
        <v>14.79</v>
      </c>
      <c r="P239" s="37">
        <f>IF(N239&gt;0,M239,IF(L239&gt;=64.99,4,IF(L239&gt;=Expenses!C268,3,IF(UniqueID!L239&gt;=Expenses!C267,2,1))))</f>
        <v>1</v>
      </c>
      <c r="Q239" s="37">
        <f>IF(O239&gt;=64.99,4,IF(N239&gt;0,M239,IF(L239&gt;=64.99,4,IF(L239&gt;=Expenses!C268,3,IF(UniqueID!L239&gt;=Expenses!C267,2,1)))))</f>
        <v>1</v>
      </c>
      <c r="R239" s="37"/>
      <c r="S239" s="37"/>
    </row>
    <row r="240" spans="1:19" x14ac:dyDescent="0.25">
      <c r="A240" t="s">
        <v>918</v>
      </c>
      <c r="C240" s="37" t="str">
        <f>IF(I240&gt;0,VLOOKUP(A240,Wine1!A:H,6,FALSE),VLOOKUP(A240,Drank!A:H,6,FALSE))</f>
        <v>Portugal</v>
      </c>
      <c r="D240" s="37" t="str">
        <f>IF(I240&gt;0,VLOOKUP(A240,Wine1!A:H,7,FALSE),VLOOKUP(A240,Drank!A:H,7,FALSE))</f>
        <v>Douro</v>
      </c>
      <c r="E240" s="37">
        <f>IF(I240&gt;0,VLOOKUP(A240,Wine1!A:H,8,FALSE),VLOOKUP(A240,Drank!A:H,8,FALSE))</f>
        <v>0</v>
      </c>
      <c r="F240" s="37" t="str">
        <f t="shared" si="16"/>
        <v>Portugal, Douro</v>
      </c>
      <c r="G240" s="37" t="str">
        <f t="shared" si="17"/>
        <v>Portugal, Douro, 0</v>
      </c>
      <c r="H240" s="37">
        <f>COUNTIF(Agibility!A:A,UniqueID!A240)</f>
        <v>1</v>
      </c>
      <c r="I240" s="37">
        <f>COUNTIF(Wine1!A:A,UniqueID!A240)</f>
        <v>0</v>
      </c>
      <c r="J240" s="37">
        <f>COUNTIF(Drank!A:A,UniqueID!A240)</f>
        <v>1</v>
      </c>
      <c r="K240" s="37">
        <f>IF(I240&lt;1,VLOOKUP(A240,Drank!A:S,19,FALSE),VLOOKUP(A240,Wine1!A:AI,26,FALSE))</f>
        <v>89</v>
      </c>
      <c r="L240" s="37">
        <f>IF(I240&lt;1,VLOOKUP(A240,Drank!A:Z,25,FALSE),VLOOKUP(A240,Wine1!A:AI,35,FALSE))</f>
        <v>34</v>
      </c>
      <c r="M240" s="37">
        <f t="shared" si="15"/>
        <v>1</v>
      </c>
      <c r="N240" s="37">
        <f t="shared" si="18"/>
        <v>1.1235955056179775E-2</v>
      </c>
      <c r="O240" s="37">
        <f t="shared" si="19"/>
        <v>30.26</v>
      </c>
      <c r="P240" s="37">
        <f>IF(N240&gt;0,M240,IF(L240&gt;=64.99,4,IF(L240&gt;=Expenses!C269,3,IF(UniqueID!L240&gt;=Expenses!C268,2,1))))</f>
        <v>1</v>
      </c>
      <c r="Q240" s="37">
        <f>IF(O240&gt;=64.99,4,IF(N240&gt;0,M240,IF(L240&gt;=64.99,4,IF(L240&gt;=Expenses!C269,3,IF(UniqueID!L240&gt;=Expenses!C268,2,1)))))</f>
        <v>1</v>
      </c>
      <c r="R240" s="37"/>
      <c r="S240" s="37"/>
    </row>
    <row r="241" spans="1:19" x14ac:dyDescent="0.25">
      <c r="A241" t="s">
        <v>923</v>
      </c>
      <c r="C241" s="37" t="str">
        <f>IF(I241&gt;0,VLOOKUP(A241,Wine1!A:H,6,FALSE),VLOOKUP(A241,Drank!A:H,6,FALSE))</f>
        <v>USA</v>
      </c>
      <c r="D241" s="37" t="str">
        <f>IF(I241&gt;0,VLOOKUP(A241,Wine1!A:H,7,FALSE),VLOOKUP(A241,Drank!A:H,7,FALSE))</f>
        <v>California</v>
      </c>
      <c r="E241" s="37" t="str">
        <f>IF(I241&gt;0,VLOOKUP(A241,Wine1!A:H,8,FALSE),VLOOKUP(A241,Drank!A:H,8,FALSE))</f>
        <v>North Coast, Sonoma</v>
      </c>
      <c r="F241" s="37" t="str">
        <f t="shared" si="16"/>
        <v>USA, California</v>
      </c>
      <c r="G241" s="37" t="str">
        <f t="shared" si="17"/>
        <v>USA, California, North Coast, Sonoma</v>
      </c>
      <c r="H241" s="37">
        <f>COUNTIF(Agibility!A:A,UniqueID!A241)</f>
        <v>1</v>
      </c>
      <c r="I241" s="37">
        <f>COUNTIF(Wine1!A:A,UniqueID!A241)</f>
        <v>0</v>
      </c>
      <c r="J241" s="37">
        <f>COUNTIF(Drank!A:A,UniqueID!A241)</f>
        <v>1</v>
      </c>
      <c r="K241" s="37">
        <f>IF(I241&lt;1,VLOOKUP(A241,Drank!A:S,19,FALSE),VLOOKUP(A241,Wine1!A:AI,26,FALSE))</f>
        <v>94</v>
      </c>
      <c r="L241" s="37">
        <f>IF(I241&lt;1,VLOOKUP(A241,Drank!A:Z,25,FALSE),VLOOKUP(A241,Wine1!A:AI,35,FALSE))</f>
        <v>30</v>
      </c>
      <c r="M241" s="37">
        <f t="shared" si="15"/>
        <v>3</v>
      </c>
      <c r="N241" s="37">
        <f t="shared" si="18"/>
        <v>1.0638297872340425E-2</v>
      </c>
      <c r="O241" s="37">
        <f t="shared" si="19"/>
        <v>28.200000000000003</v>
      </c>
      <c r="P241" s="37">
        <f>IF(N241&gt;0,M241,IF(L241&gt;=64.99,4,IF(L241&gt;=Expenses!C270,3,IF(UniqueID!L241&gt;=Expenses!C269,2,1))))</f>
        <v>3</v>
      </c>
      <c r="Q241" s="37">
        <f>IF(O241&gt;=64.99,4,IF(N241&gt;0,M241,IF(L241&gt;=64.99,4,IF(L241&gt;=Expenses!C270,3,IF(UniqueID!L241&gt;=Expenses!C269,2,1)))))</f>
        <v>3</v>
      </c>
      <c r="R241" s="37"/>
      <c r="S241" s="37"/>
    </row>
    <row r="242" spans="1:19" x14ac:dyDescent="0.25">
      <c r="A242" t="s">
        <v>1156</v>
      </c>
      <c r="C242" s="37" t="str">
        <f>IF(I242&gt;0,VLOOKUP(A242,Wine1!A:H,6,FALSE),VLOOKUP(A242,Drank!A:H,6,FALSE))</f>
        <v>France</v>
      </c>
      <c r="D242" s="37" t="str">
        <f>IF(I242&gt;0,VLOOKUP(A242,Wine1!A:H,7,FALSE),VLOOKUP(A242,Drank!A:H,7,FALSE))</f>
        <v>Rhone</v>
      </c>
      <c r="E242" s="37" t="str">
        <f>IF(I242&gt;0,VLOOKUP(A242,Wine1!A:H,8,FALSE),VLOOKUP(A242,Drank!A:H,8,FALSE))</f>
        <v>Southern Rhone, Chateauneuf du Pape</v>
      </c>
      <c r="F242" s="37" t="str">
        <f t="shared" ref="F242:F251" si="20">CONCATENATE(C242,", ",D242)</f>
        <v>France, Rhone</v>
      </c>
      <c r="G242" s="37" t="str">
        <f t="shared" ref="G242:G251" si="21">CONCATENATE(C242,", ",D242,", ",E242)</f>
        <v>France, Rhone, Southern Rhone, Chateauneuf du Pape</v>
      </c>
      <c r="H242" s="37">
        <f>COUNTIF(Agibility!A:A,UniqueID!A242)</f>
        <v>1</v>
      </c>
      <c r="I242" s="37">
        <f>COUNTIF(Wine1!A:A,UniqueID!A242)</f>
        <v>3</v>
      </c>
      <c r="J242" s="37">
        <f>COUNTIF(Drank!A:A,UniqueID!A242)</f>
        <v>1</v>
      </c>
      <c r="K242" s="37">
        <f>IF(I242&lt;1,VLOOKUP(A242,Drank!A:S,19,FALSE),VLOOKUP(A242,Wine1!A:AI,26,FALSE))</f>
        <v>92</v>
      </c>
      <c r="L242" s="37">
        <f>IF(I242&lt;1,VLOOKUP(A242,Drank!A:Z,25,FALSE),VLOOKUP(A242,Wine1!A:AI,35,FALSE))</f>
        <v>43.85</v>
      </c>
      <c r="M242" s="37">
        <f t="shared" ref="M242:M251" si="22">IF(K242&gt;96,4,IF(K242&gt;92,3,IF(K242&gt;=90,2,1)))</f>
        <v>2</v>
      </c>
      <c r="N242" s="37">
        <f t="shared" ref="N242:N251" si="23">IFERROR(1/K242,0)</f>
        <v>1.0869565217391304E-2</v>
      </c>
      <c r="O242" s="37">
        <f t="shared" ref="O242:O251" si="24">IF(N242&gt;0,K242*0.01*L242,0)</f>
        <v>40.342000000000006</v>
      </c>
      <c r="P242" s="37">
        <f>IF(N242&gt;0,M242,IF(L242&gt;=64.99,4,IF(L242&gt;=Expenses!C271,3,IF(UniqueID!L242&gt;=Expenses!C270,2,1))))</f>
        <v>2</v>
      </c>
      <c r="Q242" s="37">
        <f>IF(O242&gt;=64.99,4,IF(N242&gt;0,M242,IF(L242&gt;=64.99,4,IF(L242&gt;=Expenses!C271,3,IF(UniqueID!L242&gt;=Expenses!C270,2,1)))))</f>
        <v>2</v>
      </c>
    </row>
    <row r="243" spans="1:19" x14ac:dyDescent="0.25">
      <c r="A243" t="s">
        <v>1157</v>
      </c>
      <c r="C243" s="37" t="str">
        <f>IF(I243&gt;0,VLOOKUP(A243,Wine1!A:H,6,FALSE),VLOOKUP(A243,Drank!A:H,6,FALSE))</f>
        <v>Italy</v>
      </c>
      <c r="D243" s="37" t="str">
        <f>IF(I243&gt;0,VLOOKUP(A243,Wine1!A:H,7,FALSE),VLOOKUP(A243,Drank!A:H,7,FALSE))</f>
        <v>Tuscany</v>
      </c>
      <c r="E243" s="37" t="str">
        <f>IF(I243&gt;0,VLOOKUP(A243,Wine1!A:H,8,FALSE),VLOOKUP(A243,Drank!A:H,8,FALSE))</f>
        <v>Brunello di Montalcino</v>
      </c>
      <c r="F243" s="37" t="str">
        <f t="shared" si="20"/>
        <v>Italy, Tuscany</v>
      </c>
      <c r="G243" s="37" t="str">
        <f t="shared" si="21"/>
        <v>Italy, Tuscany, Brunello di Montalcino</v>
      </c>
      <c r="H243" s="37">
        <f>COUNTIF(Agibility!A:A,UniqueID!A243)</f>
        <v>1</v>
      </c>
      <c r="I243" s="37">
        <f>COUNTIF(Wine1!A:A,UniqueID!A243)</f>
        <v>1</v>
      </c>
      <c r="J243" s="37">
        <f>COUNTIF(Drank!A:A,UniqueID!A243)</f>
        <v>1</v>
      </c>
      <c r="K243" s="37">
        <f>IF(I243&lt;1,VLOOKUP(A243,Drank!A:S,19,FALSE),VLOOKUP(A243,Wine1!A:AI,26,FALSE))</f>
        <v>92</v>
      </c>
      <c r="L243" s="37">
        <f>IF(I243&lt;1,VLOOKUP(A243,Drank!A:Z,25,FALSE),VLOOKUP(A243,Wine1!A:AI,35,FALSE))</f>
        <v>54.989999999999995</v>
      </c>
      <c r="M243" s="37">
        <f t="shared" si="22"/>
        <v>2</v>
      </c>
      <c r="N243" s="37">
        <f t="shared" si="23"/>
        <v>1.0869565217391304E-2</v>
      </c>
      <c r="O243" s="37">
        <f t="shared" si="24"/>
        <v>50.590799999999994</v>
      </c>
      <c r="P243" s="37">
        <f>IF(N243&gt;0,M243,IF(L243&gt;=64.99,4,IF(L243&gt;=Expenses!C272,3,IF(UniqueID!L243&gt;=Expenses!C271,2,1))))</f>
        <v>2</v>
      </c>
      <c r="Q243" s="37">
        <f>IF(O243&gt;=64.99,4,IF(N243&gt;0,M243,IF(L243&gt;=64.99,4,IF(L243&gt;=Expenses!C272,3,IF(UniqueID!L243&gt;=Expenses!C271,2,1)))))</f>
        <v>2</v>
      </c>
    </row>
    <row r="244" spans="1:19" x14ac:dyDescent="0.25">
      <c r="A244" t="s">
        <v>1158</v>
      </c>
      <c r="C244" s="37" t="str">
        <f>IF(I244&gt;0,VLOOKUP(A244,Wine1!A:H,6,FALSE),VLOOKUP(A244,Drank!A:H,6,FALSE))</f>
        <v>Italy</v>
      </c>
      <c r="D244" s="37" t="str">
        <f>IF(I244&gt;0,VLOOKUP(A244,Wine1!A:H,7,FALSE),VLOOKUP(A244,Drank!A:H,7,FALSE))</f>
        <v>Tuscany</v>
      </c>
      <c r="E244" s="37" t="str">
        <f>IF(I244&gt;0,VLOOKUP(A244,Wine1!A:H,8,FALSE),VLOOKUP(A244,Drank!A:H,8,FALSE))</f>
        <v>Brunello di Montalcino</v>
      </c>
      <c r="F244" s="37" t="str">
        <f t="shared" si="20"/>
        <v>Italy, Tuscany</v>
      </c>
      <c r="G244" s="37" t="str">
        <f t="shared" si="21"/>
        <v>Italy, Tuscany, Brunello di Montalcino</v>
      </c>
      <c r="H244" s="37">
        <f>COUNTIF(Agibility!A:A,UniqueID!A244)</f>
        <v>1</v>
      </c>
      <c r="I244" s="37">
        <f>COUNTIF(Wine1!A:A,UniqueID!A244)</f>
        <v>1</v>
      </c>
      <c r="J244" s="37">
        <f>COUNTIF(Drank!A:A,UniqueID!A244)</f>
        <v>1</v>
      </c>
      <c r="K244" s="37">
        <f>IF(I244&lt;1,VLOOKUP(A244,Drank!A:S,19,FALSE),VLOOKUP(A244,Wine1!A:AI,26,FALSE))</f>
        <v>95</v>
      </c>
      <c r="L244" s="37">
        <f>IF(I244&lt;1,VLOOKUP(A244,Drank!A:Z,25,FALSE),VLOOKUP(A244,Wine1!A:AI,35,FALSE))</f>
        <v>79.989999999999995</v>
      </c>
      <c r="M244" s="37">
        <f t="shared" si="22"/>
        <v>3</v>
      </c>
      <c r="N244" s="37">
        <f t="shared" si="23"/>
        <v>1.0526315789473684E-2</v>
      </c>
      <c r="O244" s="37">
        <f t="shared" si="24"/>
        <v>75.990499999999997</v>
      </c>
      <c r="P244" s="37">
        <f>IF(N244&gt;0,M244,IF(L244&gt;=64.99,4,IF(L244&gt;=Expenses!C273,3,IF(UniqueID!L244&gt;=Expenses!C272,2,1))))</f>
        <v>3</v>
      </c>
      <c r="Q244" s="37">
        <f>IF(O244&gt;=64.99,4,IF(N244&gt;0,M244,IF(L244&gt;=64.99,4,IF(L244&gt;=Expenses!C273,3,IF(UniqueID!L244&gt;=Expenses!C272,2,1)))))</f>
        <v>4</v>
      </c>
    </row>
    <row r="245" spans="1:19" x14ac:dyDescent="0.25">
      <c r="A245" t="s">
        <v>1159</v>
      </c>
      <c r="C245" s="37" t="str">
        <f>IF(I245&gt;0,VLOOKUP(A245,Wine1!A:H,6,FALSE),VLOOKUP(A245,Drank!A:H,6,FALSE))</f>
        <v>Italy</v>
      </c>
      <c r="D245" s="37" t="str">
        <f>IF(I245&gt;0,VLOOKUP(A245,Wine1!A:H,7,FALSE),VLOOKUP(A245,Drank!A:H,7,FALSE))</f>
        <v>Campania</v>
      </c>
      <c r="E245" s="37" t="str">
        <f>IF(I245&gt;0,VLOOKUP(A245,Wine1!A:H,8,FALSE),VLOOKUP(A245,Drank!A:H,8,FALSE))</f>
        <v>Colli di Salerno</v>
      </c>
      <c r="F245" s="37" t="str">
        <f t="shared" si="20"/>
        <v>Italy, Campania</v>
      </c>
      <c r="G245" s="37" t="str">
        <f t="shared" si="21"/>
        <v>Italy, Campania, Colli di Salerno</v>
      </c>
      <c r="H245" s="37">
        <f>COUNTIF(Agibility!A:A,UniqueID!A245)</f>
        <v>1</v>
      </c>
      <c r="I245" s="37">
        <f>COUNTIF(Wine1!A:A,UniqueID!A245)</f>
        <v>2</v>
      </c>
      <c r="J245" s="37">
        <f>COUNTIF(Drank!A:A,UniqueID!A245)</f>
        <v>0</v>
      </c>
      <c r="K245" s="37">
        <f>IF(I245&lt;1,VLOOKUP(A245,Drank!A:S,19,FALSE),VLOOKUP(A245,Wine1!A:AI,26,FALSE))</f>
        <v>92</v>
      </c>
      <c r="L245" s="37">
        <f>IF(I245&lt;1,VLOOKUP(A245,Drank!A:Z,25,FALSE),VLOOKUP(A245,Wine1!A:AI,35,FALSE))</f>
        <v>59.989999999999995</v>
      </c>
      <c r="M245" s="37">
        <f t="shared" si="22"/>
        <v>2</v>
      </c>
      <c r="N245" s="37">
        <f t="shared" si="23"/>
        <v>1.0869565217391304E-2</v>
      </c>
      <c r="O245" s="37">
        <f t="shared" si="24"/>
        <v>55.190799999999996</v>
      </c>
      <c r="P245" s="37">
        <f>IF(N245&gt;0,M245,IF(L245&gt;=64.99,4,IF(L245&gt;=Expenses!C274,3,IF(UniqueID!L245&gt;=Expenses!C273,2,1))))</f>
        <v>2</v>
      </c>
      <c r="Q245" s="37">
        <f>IF(O245&gt;=64.99,4,IF(N245&gt;0,M245,IF(L245&gt;=64.99,4,IF(L245&gt;=Expenses!C274,3,IF(UniqueID!L245&gt;=Expenses!C273,2,1)))))</f>
        <v>2</v>
      </c>
    </row>
    <row r="246" spans="1:19" x14ac:dyDescent="0.25">
      <c r="A246" t="s">
        <v>1161</v>
      </c>
      <c r="C246" s="37" t="str">
        <f>IF(I246&gt;0,VLOOKUP(A246,Wine1!A:H,6,FALSE),VLOOKUP(A246,Drank!A:H,6,FALSE))</f>
        <v>Italy</v>
      </c>
      <c r="D246" s="37" t="str">
        <f>IF(I246&gt;0,VLOOKUP(A246,Wine1!A:H,7,FALSE),VLOOKUP(A246,Drank!A:H,7,FALSE))</f>
        <v>Tuscany</v>
      </c>
      <c r="E246" s="37" t="str">
        <f>IF(I246&gt;0,VLOOKUP(A246,Wine1!A:H,8,FALSE),VLOOKUP(A246,Drank!A:H,8,FALSE))</f>
        <v>Brunello di Montalcino</v>
      </c>
      <c r="F246" s="37" t="str">
        <f t="shared" si="20"/>
        <v>Italy, Tuscany</v>
      </c>
      <c r="G246" s="37" t="str">
        <f t="shared" si="21"/>
        <v>Italy, Tuscany, Brunello di Montalcino</v>
      </c>
      <c r="H246" s="37">
        <f>COUNTIF(Agibility!A:A,UniqueID!A246)</f>
        <v>1</v>
      </c>
      <c r="I246" s="37">
        <f>COUNTIF(Wine1!A:A,UniqueID!A246)</f>
        <v>1</v>
      </c>
      <c r="J246" s="37">
        <f>COUNTIF(Drank!A:A,UniqueID!A246)</f>
        <v>0</v>
      </c>
      <c r="K246" s="37">
        <f>IF(I246&lt;1,VLOOKUP(A246,Drank!A:S,19,FALSE),VLOOKUP(A246,Wine1!A:AI,26,FALSE))</f>
        <v>94</v>
      </c>
      <c r="L246" s="37">
        <f>IF(I246&lt;1,VLOOKUP(A246,Drank!A:Z,25,FALSE),VLOOKUP(A246,Wine1!A:AI,35,FALSE))</f>
        <v>69.989999999999995</v>
      </c>
      <c r="M246" s="37">
        <f t="shared" si="22"/>
        <v>3</v>
      </c>
      <c r="N246" s="37">
        <f t="shared" si="23"/>
        <v>1.0638297872340425E-2</v>
      </c>
      <c r="O246" s="37">
        <f t="shared" si="24"/>
        <v>65.790599999999998</v>
      </c>
      <c r="P246" s="37">
        <f>IF(N246&gt;0,M246,IF(L246&gt;=64.99,4,IF(L246&gt;=Expenses!C275,3,IF(UniqueID!L246&gt;=Expenses!C274,2,1))))</f>
        <v>3</v>
      </c>
      <c r="Q246" s="37">
        <f>IF(O246&gt;=64.99,4,IF(N246&gt;0,M246,IF(L246&gt;=64.99,4,IF(L246&gt;=Expenses!C275,3,IF(UniqueID!L246&gt;=Expenses!C274,2,1)))))</f>
        <v>4</v>
      </c>
    </row>
    <row r="247" spans="1:19" x14ac:dyDescent="0.25">
      <c r="A247" t="s">
        <v>1162</v>
      </c>
      <c r="C247" s="37" t="str">
        <f>IF(I247&gt;0,VLOOKUP(A247,Wine1!A:H,6,FALSE),VLOOKUP(A247,Drank!A:H,6,FALSE))</f>
        <v>Italy</v>
      </c>
      <c r="D247" s="37" t="str">
        <f>IF(I247&gt;0,VLOOKUP(A247,Wine1!A:H,7,FALSE),VLOOKUP(A247,Drank!A:H,7,FALSE))</f>
        <v>Piedmont</v>
      </c>
      <c r="E247" s="37" t="str">
        <f>IF(I247&gt;0,VLOOKUP(A247,Wine1!A:H,8,FALSE),VLOOKUP(A247,Drank!A:H,8,FALSE))</f>
        <v>Barbaresco</v>
      </c>
      <c r="F247" s="37" t="str">
        <f t="shared" si="20"/>
        <v>Italy, Piedmont</v>
      </c>
      <c r="G247" s="37" t="str">
        <f t="shared" si="21"/>
        <v>Italy, Piedmont, Barbaresco</v>
      </c>
      <c r="H247" s="37">
        <f>COUNTIF(Agibility!A:A,UniqueID!A247)</f>
        <v>1</v>
      </c>
      <c r="I247" s="37">
        <f>COUNTIF(Wine1!A:A,UniqueID!A247)</f>
        <v>1</v>
      </c>
      <c r="J247" s="37">
        <f>COUNTIF(Drank!A:A,UniqueID!A247)</f>
        <v>0</v>
      </c>
      <c r="K247" s="37">
        <f>IF(I247&lt;1,VLOOKUP(A247,Drank!A:S,19,FALSE),VLOOKUP(A247,Wine1!A:AI,26,FALSE))</f>
        <v>94</v>
      </c>
      <c r="L247" s="37">
        <f>IF(I247&lt;1,VLOOKUP(A247,Drank!A:Z,25,FALSE),VLOOKUP(A247,Wine1!A:AI,35,FALSE))</f>
        <v>53.089999999999996</v>
      </c>
      <c r="M247" s="37">
        <f t="shared" si="22"/>
        <v>3</v>
      </c>
      <c r="N247" s="37">
        <f t="shared" si="23"/>
        <v>1.0638297872340425E-2</v>
      </c>
      <c r="O247" s="37">
        <f t="shared" si="24"/>
        <v>49.904600000000002</v>
      </c>
      <c r="P247" s="37">
        <f>IF(N247&gt;0,M247,IF(L247&gt;=64.99,4,IF(L247&gt;=Expenses!C276,3,IF(UniqueID!L247&gt;=Expenses!C275,2,1))))</f>
        <v>3</v>
      </c>
      <c r="Q247" s="37">
        <f>IF(O247&gt;=64.99,4,IF(N247&gt;0,M247,IF(L247&gt;=64.99,4,IF(L247&gt;=Expenses!C276,3,IF(UniqueID!L247&gt;=Expenses!C275,2,1)))))</f>
        <v>3</v>
      </c>
    </row>
    <row r="248" spans="1:19" x14ac:dyDescent="0.25">
      <c r="A248" t="s">
        <v>1163</v>
      </c>
      <c r="C248" s="37" t="str">
        <f>IF(I248&gt;0,VLOOKUP(A248,Wine1!A:H,6,FALSE),VLOOKUP(A248,Drank!A:H,6,FALSE))</f>
        <v>Portugal</v>
      </c>
      <c r="D248" s="37" t="str">
        <f>IF(I248&gt;0,VLOOKUP(A248,Wine1!A:H,7,FALSE),VLOOKUP(A248,Drank!A:H,7,FALSE))</f>
        <v>Douro</v>
      </c>
      <c r="E248" s="37" t="str">
        <f>IF(I248&gt;0,VLOOKUP(A248,Wine1!A:H,8,FALSE),VLOOKUP(A248,Drank!A:H,8,FALSE))</f>
        <v>Porto</v>
      </c>
      <c r="F248" s="37" t="str">
        <f t="shared" si="20"/>
        <v>Portugal, Douro</v>
      </c>
      <c r="G248" s="37" t="str">
        <f t="shared" si="21"/>
        <v>Portugal, Douro, Porto</v>
      </c>
      <c r="H248" s="37">
        <f>COUNTIF(Agibility!A:A,UniqueID!A248)</f>
        <v>1</v>
      </c>
      <c r="I248" s="37">
        <f>COUNTIF(Wine1!A:A,UniqueID!A248)</f>
        <v>2</v>
      </c>
      <c r="J248" s="37">
        <f>COUNTIF(Drank!A:A,UniqueID!A248)</f>
        <v>0</v>
      </c>
      <c r="K248" s="37">
        <f>IF(I248&lt;1,VLOOKUP(A248,Drank!A:S,19,FALSE),VLOOKUP(A248,Wine1!A:AI,26,FALSE))</f>
        <v>98</v>
      </c>
      <c r="L248" s="37">
        <f>IF(I248&lt;1,VLOOKUP(A248,Drank!A:Z,25,FALSE),VLOOKUP(A248,Wine1!A:AI,35,FALSE))</f>
        <v>197.99000000000004</v>
      </c>
      <c r="M248" s="37">
        <f t="shared" si="22"/>
        <v>4</v>
      </c>
      <c r="N248" s="37">
        <f t="shared" si="23"/>
        <v>1.020408163265306E-2</v>
      </c>
      <c r="O248" s="37">
        <f t="shared" si="24"/>
        <v>194.03020000000004</v>
      </c>
      <c r="P248" s="37">
        <f>IF(N248&gt;0,M248,IF(L248&gt;=64.99,4,IF(L248&gt;=Expenses!C277,3,IF(UniqueID!L248&gt;=Expenses!C276,2,1))))</f>
        <v>4</v>
      </c>
      <c r="Q248" s="37">
        <f>IF(O248&gt;=64.99,4,IF(N248&gt;0,M248,IF(L248&gt;=64.99,4,IF(L248&gt;=Expenses!C277,3,IF(UniqueID!L248&gt;=Expenses!C276,2,1)))))</f>
        <v>4</v>
      </c>
    </row>
    <row r="249" spans="1:19" x14ac:dyDescent="0.25">
      <c r="A249" t="s">
        <v>1164</v>
      </c>
      <c r="C249" s="37" t="str">
        <f>IF(I249&gt;0,VLOOKUP(A249,Wine1!A:H,6,FALSE),VLOOKUP(A249,Drank!A:H,6,FALSE))</f>
        <v>Italy</v>
      </c>
      <c r="D249" s="37" t="str">
        <f>IF(I249&gt;0,VLOOKUP(A249,Wine1!A:H,7,FALSE),VLOOKUP(A249,Drank!A:H,7,FALSE))</f>
        <v>Piedmont</v>
      </c>
      <c r="E249" s="37" t="str">
        <f>IF(I249&gt;0,VLOOKUP(A249,Wine1!A:H,8,FALSE),VLOOKUP(A249,Drank!A:H,8,FALSE))</f>
        <v>Barbaresco</v>
      </c>
      <c r="F249" s="37" t="str">
        <f t="shared" si="20"/>
        <v>Italy, Piedmont</v>
      </c>
      <c r="G249" s="37" t="str">
        <f t="shared" si="21"/>
        <v>Italy, Piedmont, Barbaresco</v>
      </c>
      <c r="H249" s="37">
        <f>COUNTIF(Agibility!A:A,UniqueID!A249)</f>
        <v>1</v>
      </c>
      <c r="I249" s="37">
        <f>COUNTIF(Wine1!A:A,UniqueID!A249)</f>
        <v>2</v>
      </c>
      <c r="J249" s="37">
        <f>COUNTIF(Drank!A:A,UniqueID!A249)</f>
        <v>0</v>
      </c>
      <c r="K249" s="37">
        <f>IF(I249&lt;1,VLOOKUP(A249,Drank!A:S,19,FALSE),VLOOKUP(A249,Wine1!A:AI,26,FALSE))</f>
        <v>95</v>
      </c>
      <c r="L249" s="37">
        <f>IF(I249&lt;1,VLOOKUP(A249,Drank!A:Z,25,FALSE),VLOOKUP(A249,Wine1!A:AI,35,FALSE))</f>
        <v>49.49</v>
      </c>
      <c r="M249" s="37">
        <f t="shared" si="22"/>
        <v>3</v>
      </c>
      <c r="N249" s="37">
        <f t="shared" si="23"/>
        <v>1.0526315789473684E-2</v>
      </c>
      <c r="O249" s="37">
        <f t="shared" si="24"/>
        <v>47.015500000000003</v>
      </c>
      <c r="P249" s="37">
        <f>IF(N249&gt;0,M249,IF(L249&gt;=64.99,4,IF(L249&gt;=Expenses!C278,3,IF(UniqueID!L249&gt;=Expenses!C277,2,1))))</f>
        <v>3</v>
      </c>
      <c r="Q249" s="37">
        <f>IF(O249&gt;=64.99,4,IF(N249&gt;0,M249,IF(L249&gt;=64.99,4,IF(L249&gt;=Expenses!C278,3,IF(UniqueID!L249&gt;=Expenses!C277,2,1)))))</f>
        <v>3</v>
      </c>
    </row>
    <row r="250" spans="1:19" x14ac:dyDescent="0.25">
      <c r="A250" t="s">
        <v>1165</v>
      </c>
      <c r="C250" s="37" t="str">
        <f>IF(I250&gt;0,VLOOKUP(A250,Wine1!A:H,6,FALSE),VLOOKUP(A250,Drank!A:H,6,FALSE))</f>
        <v>Italy</v>
      </c>
      <c r="D250" s="37" t="str">
        <f>IF(I250&gt;0,VLOOKUP(A250,Wine1!A:H,7,FALSE),VLOOKUP(A250,Drank!A:H,7,FALSE))</f>
        <v>Piedmont</v>
      </c>
      <c r="E250" s="37" t="str">
        <f>IF(I250&gt;0,VLOOKUP(A250,Wine1!A:H,8,FALSE),VLOOKUP(A250,Drank!A:H,8,FALSE))</f>
        <v>Barbaresco</v>
      </c>
      <c r="F250" s="37" t="str">
        <f t="shared" si="20"/>
        <v>Italy, Piedmont</v>
      </c>
      <c r="G250" s="37" t="str">
        <f t="shared" si="21"/>
        <v>Italy, Piedmont, Barbaresco</v>
      </c>
      <c r="H250" s="37">
        <f>COUNTIF(Agibility!A:A,UniqueID!A250)</f>
        <v>1</v>
      </c>
      <c r="I250" s="37">
        <f>COUNTIF(Wine1!A:A,UniqueID!A250)</f>
        <v>1</v>
      </c>
      <c r="J250" s="37">
        <f>COUNTIF(Drank!A:A,UniqueID!A250)</f>
        <v>0</v>
      </c>
      <c r="K250" s="37">
        <f>IF(I250&lt;1,VLOOKUP(A250,Drank!A:S,19,FALSE),VLOOKUP(A250,Wine1!A:AI,26,FALSE))</f>
        <v>95</v>
      </c>
      <c r="L250" s="37">
        <f>IF(I250&lt;1,VLOOKUP(A250,Drank!A:Z,25,FALSE),VLOOKUP(A250,Wine1!A:AI,35,FALSE))</f>
        <v>49.49</v>
      </c>
      <c r="M250" s="37">
        <f t="shared" si="22"/>
        <v>3</v>
      </c>
      <c r="N250" s="37">
        <f t="shared" si="23"/>
        <v>1.0526315789473684E-2</v>
      </c>
      <c r="O250" s="37">
        <f t="shared" si="24"/>
        <v>47.015500000000003</v>
      </c>
      <c r="P250" s="37">
        <f>IF(N250&gt;0,M250,IF(L250&gt;=64.99,4,IF(L250&gt;=Expenses!C279,3,IF(UniqueID!L250&gt;=Expenses!C278,2,1))))</f>
        <v>3</v>
      </c>
      <c r="Q250" s="37">
        <f>IF(O250&gt;=64.99,4,IF(N250&gt;0,M250,IF(L250&gt;=64.99,4,IF(L250&gt;=Expenses!C279,3,IF(UniqueID!L250&gt;=Expenses!C278,2,1)))))</f>
        <v>3</v>
      </c>
    </row>
    <row r="251" spans="1:19" x14ac:dyDescent="0.25">
      <c r="A251" t="s">
        <v>1281</v>
      </c>
      <c r="C251" s="37" t="str">
        <f>IF(I251&gt;0,VLOOKUP(A251,Wine1!A:H,6,FALSE),VLOOKUP(A251,Drank!A:H,6,FALSE))</f>
        <v>Spain</v>
      </c>
      <c r="D251" s="37" t="str">
        <f>IF(I251&gt;0,VLOOKUP(A251,Wine1!A:H,7,FALSE),VLOOKUP(A251,Drank!A:H,7,FALSE))</f>
        <v>Castilla Y Leon</v>
      </c>
      <c r="E251" s="37" t="str">
        <f>IF(I251&gt;0,VLOOKUP(A251,Wine1!A:H,8,FALSE),VLOOKUP(A251,Drank!A:H,8,FALSE))</f>
        <v>Ribera Del Duero</v>
      </c>
      <c r="F251" s="37" t="str">
        <f t="shared" si="20"/>
        <v>Spain, Castilla Y Leon</v>
      </c>
      <c r="G251" s="37" t="str">
        <f t="shared" si="21"/>
        <v>Spain, Castilla Y Leon, Ribera Del Duero</v>
      </c>
      <c r="H251" s="37">
        <f>COUNTIF(Agibility!A:A,UniqueID!A251)</f>
        <v>1</v>
      </c>
      <c r="I251" s="37">
        <f>COUNTIF(Wine1!A:A,UniqueID!A251)</f>
        <v>2</v>
      </c>
      <c r="J251" s="37">
        <f>COUNTIF(Drank!A:A,UniqueID!A251)</f>
        <v>2</v>
      </c>
      <c r="K251" s="37">
        <f>IF(I251&lt;1,VLOOKUP(A251,Drank!A:S,19,FALSE),VLOOKUP(A251,Wine1!A:AI,26,FALSE))</f>
        <v>90</v>
      </c>
      <c r="L251" s="37">
        <f>IF(I251&lt;1,VLOOKUP(A251,Drank!A:Z,25,FALSE),VLOOKUP(A251,Wine1!A:AI,35,FALSE))</f>
        <v>17.989999999999998</v>
      </c>
      <c r="M251" s="37">
        <f t="shared" si="22"/>
        <v>2</v>
      </c>
      <c r="N251" s="37">
        <f t="shared" si="23"/>
        <v>1.1111111111111112E-2</v>
      </c>
      <c r="O251" s="37">
        <f t="shared" si="24"/>
        <v>16.190999999999999</v>
      </c>
      <c r="P251" s="37">
        <f>IF(N251&gt;0,M251,IF(L251&gt;=64.99,4,IF(L251&gt;=Expenses!C280,3,IF(UniqueID!L251&gt;=Expenses!C279,2,1))))</f>
        <v>2</v>
      </c>
      <c r="Q251" s="37">
        <f>IF(O251&gt;=64.99,4,IF(N251&gt;0,M251,IF(L251&gt;=64.99,4,IF(L251&gt;=Expenses!C280,3,IF(UniqueID!L251&gt;=Expenses!C279,2,1)))))</f>
        <v>2</v>
      </c>
    </row>
    <row r="252" spans="1:19" s="37" customFormat="1" x14ac:dyDescent="0.25">
      <c r="A252" s="37" t="s">
        <v>1282</v>
      </c>
      <c r="C252" s="37" t="str">
        <f>IF(I252&gt;0,VLOOKUP(A252,Wine1!A:H,6,FALSE),VLOOKUP(A252,Drank!A:H,6,FALSE))</f>
        <v>Argentina</v>
      </c>
      <c r="D252" s="37" t="str">
        <f>IF(I252&gt;0,VLOOKUP(A252,Wine1!A:H,7,FALSE),VLOOKUP(A252,Drank!A:H,7,FALSE))</f>
        <v>Mendoza</v>
      </c>
      <c r="E252" s="37">
        <f>IF(I252&gt;0,VLOOKUP(A252,Wine1!A:H,8,FALSE),VLOOKUP(A252,Drank!A:H,8,FALSE))</f>
        <v>0</v>
      </c>
      <c r="F252" s="37" t="str">
        <f t="shared" ref="F252:F266" si="25">CONCATENATE(C252,", ",D252)</f>
        <v>Argentina, Mendoza</v>
      </c>
      <c r="G252" s="37" t="str">
        <f t="shared" ref="G252:G266" si="26">CONCATENATE(C252,", ",D252,", ",E252)</f>
        <v>Argentina, Mendoza, 0</v>
      </c>
      <c r="H252" s="37">
        <f>COUNTIF(Agibility!A:A,UniqueID!A252)</f>
        <v>1</v>
      </c>
      <c r="I252" s="37">
        <f>COUNTIF(Wine1!A:A,UniqueID!A252)</f>
        <v>2</v>
      </c>
      <c r="J252" s="37">
        <f>COUNTIF(Drank!A:A,UniqueID!A252)</f>
        <v>1</v>
      </c>
      <c r="K252" s="37">
        <f>IF(I252&lt;1,VLOOKUP(A252,Drank!A:S,19,FALSE),VLOOKUP(A252,Wine1!A:AI,26,FALSE))</f>
        <v>88</v>
      </c>
      <c r="L252" s="37">
        <f>IF(I252&lt;1,VLOOKUP(A252,Drank!A:Z,25,FALSE),VLOOKUP(A252,Wine1!A:AI,35,FALSE))</f>
        <v>16</v>
      </c>
      <c r="M252" s="37">
        <f t="shared" ref="M252:M266" si="27">IF(K252&gt;96,4,IF(K252&gt;92,3,IF(K252&gt;=90,2,1)))</f>
        <v>1</v>
      </c>
      <c r="N252" s="37">
        <f t="shared" ref="N252:N266" si="28">IFERROR(1/K252,0)</f>
        <v>1.1363636363636364E-2</v>
      </c>
      <c r="O252" s="37">
        <f t="shared" ref="O252:O266" si="29">IF(N252&gt;0,K252*0.01*L252,0)</f>
        <v>14.08</v>
      </c>
      <c r="P252" s="37">
        <f>IF(N252&gt;0,M252,IF(L252&gt;=64.99,4,IF(L252&gt;=Expenses!C281,3,IF(UniqueID!L252&gt;=Expenses!C280,2,1))))</f>
        <v>1</v>
      </c>
      <c r="Q252" s="37">
        <f>IF(O252&gt;=64.99,4,IF(N252&gt;0,M252,IF(L252&gt;=64.99,4,IF(L252&gt;=Expenses!C281,3,IF(UniqueID!L252&gt;=Expenses!C280,2,1)))))</f>
        <v>1</v>
      </c>
    </row>
    <row r="253" spans="1:19" s="37" customFormat="1" x14ac:dyDescent="0.25">
      <c r="A253" s="37" t="s">
        <v>1283</v>
      </c>
      <c r="C253" s="37" t="str">
        <f>IF(I253&gt;0,VLOOKUP(A253,Wine1!A:H,6,FALSE),VLOOKUP(A253,Drank!A:H,6,FALSE))</f>
        <v>France</v>
      </c>
      <c r="D253" s="37" t="str">
        <f>IF(I253&gt;0,VLOOKUP(A253,Wine1!A:H,7,FALSE),VLOOKUP(A253,Drank!A:H,7,FALSE))</f>
        <v>Rhone</v>
      </c>
      <c r="E253" s="37" t="str">
        <f>IF(I253&gt;0,VLOOKUP(A253,Wine1!A:H,8,FALSE),VLOOKUP(A253,Drank!A:H,8,FALSE))</f>
        <v>Southern Rhone, Gigondas</v>
      </c>
      <c r="F253" s="37" t="str">
        <f t="shared" si="25"/>
        <v>France, Rhone</v>
      </c>
      <c r="G253" s="37" t="str">
        <f t="shared" si="26"/>
        <v>France, Rhone, Southern Rhone, Gigondas</v>
      </c>
      <c r="H253" s="37">
        <f>COUNTIF(Agibility!A:A,UniqueID!A253)</f>
        <v>1</v>
      </c>
      <c r="I253" s="37">
        <f>COUNTIF(Wine1!A:A,UniqueID!A253)</f>
        <v>4</v>
      </c>
      <c r="J253" s="37">
        <f>COUNTIF(Drank!A:A,UniqueID!A253)</f>
        <v>1</v>
      </c>
      <c r="K253" s="37">
        <f>IF(I253&lt;1,VLOOKUP(A253,Drank!A:S,19,FALSE),VLOOKUP(A253,Wine1!A:AI,26,FALSE))</f>
        <v>91</v>
      </c>
      <c r="L253" s="37">
        <f>IF(I253&lt;1,VLOOKUP(A253,Drank!A:Z,25,FALSE),VLOOKUP(A253,Wine1!A:AI,35,FALSE))</f>
        <v>16.989999999999998</v>
      </c>
      <c r="M253" s="37">
        <f t="shared" si="27"/>
        <v>2</v>
      </c>
      <c r="N253" s="37">
        <f t="shared" si="28"/>
        <v>1.098901098901099E-2</v>
      </c>
      <c r="O253" s="37">
        <f t="shared" si="29"/>
        <v>15.460899999999999</v>
      </c>
      <c r="P253" s="37">
        <f>IF(N253&gt;0,M253,IF(L253&gt;=64.99,4,IF(L253&gt;=Expenses!C282,3,IF(UniqueID!L253&gt;=Expenses!C281,2,1))))</f>
        <v>2</v>
      </c>
      <c r="Q253" s="37">
        <f>IF(O253&gt;=64.99,4,IF(N253&gt;0,M253,IF(L253&gt;=64.99,4,IF(L253&gt;=Expenses!C282,3,IF(UniqueID!L253&gt;=Expenses!C281,2,1)))))</f>
        <v>2</v>
      </c>
    </row>
    <row r="254" spans="1:19" s="37" customFormat="1" x14ac:dyDescent="0.25">
      <c r="A254" s="37" t="s">
        <v>1284</v>
      </c>
      <c r="C254" s="37" t="str">
        <f>IF(I254&gt;0,VLOOKUP(A254,Wine1!A:H,6,FALSE),VLOOKUP(A254,Drank!A:H,6,FALSE))</f>
        <v>Italy</v>
      </c>
      <c r="D254" s="37" t="str">
        <f>IF(I254&gt;0,VLOOKUP(A254,Wine1!A:H,7,FALSE),VLOOKUP(A254,Drank!A:H,7,FALSE))</f>
        <v>Piedmont</v>
      </c>
      <c r="E254" s="37" t="str">
        <f>IF(I254&gt;0,VLOOKUP(A254,Wine1!A:H,8,FALSE),VLOOKUP(A254,Drank!A:H,8,FALSE))</f>
        <v>Langhe</v>
      </c>
      <c r="F254" s="37" t="str">
        <f t="shared" si="25"/>
        <v>Italy, Piedmont</v>
      </c>
      <c r="G254" s="37" t="str">
        <f t="shared" si="26"/>
        <v>Italy, Piedmont, Langhe</v>
      </c>
      <c r="H254" s="37">
        <f>COUNTIF(Agibility!A:A,UniqueID!A254)</f>
        <v>1</v>
      </c>
      <c r="I254" s="37">
        <f>COUNTIF(Wine1!A:A,UniqueID!A254)</f>
        <v>1</v>
      </c>
      <c r="J254" s="37">
        <f>COUNTIF(Drank!A:A,UniqueID!A254)</f>
        <v>1</v>
      </c>
      <c r="K254" s="37">
        <f>IF(I254&lt;1,VLOOKUP(A254,Drank!A:S,19,FALSE),VLOOKUP(A254,Wine1!A:AI,26,FALSE))</f>
        <v>92</v>
      </c>
      <c r="L254" s="37">
        <f>IF(I254&lt;1,VLOOKUP(A254,Drank!A:Z,25,FALSE),VLOOKUP(A254,Wine1!A:AI,35,FALSE))</f>
        <v>18.940000000000001</v>
      </c>
      <c r="M254" s="37">
        <f t="shared" si="27"/>
        <v>2</v>
      </c>
      <c r="N254" s="37">
        <f t="shared" si="28"/>
        <v>1.0869565217391304E-2</v>
      </c>
      <c r="O254" s="37">
        <f t="shared" si="29"/>
        <v>17.424800000000001</v>
      </c>
      <c r="P254" s="37">
        <f>IF(N254&gt;0,M254,IF(L254&gt;=64.99,4,IF(L254&gt;=Expenses!C283,3,IF(UniqueID!L254&gt;=Expenses!C282,2,1))))</f>
        <v>2</v>
      </c>
      <c r="Q254" s="37">
        <f>IF(O254&gt;=64.99,4,IF(N254&gt;0,M254,IF(L254&gt;=64.99,4,IF(L254&gt;=Expenses!C283,3,IF(UniqueID!L254&gt;=Expenses!C282,2,1)))))</f>
        <v>2</v>
      </c>
    </row>
    <row r="255" spans="1:19" s="37" customFormat="1" x14ac:dyDescent="0.25">
      <c r="A255" s="37" t="s">
        <v>1285</v>
      </c>
      <c r="C255" s="37" t="str">
        <f>IF(I255&gt;0,VLOOKUP(A255,Wine1!A:H,6,FALSE),VLOOKUP(A255,Drank!A:H,6,FALSE))</f>
        <v>Argentina</v>
      </c>
      <c r="D255" s="37" t="str">
        <f>IF(I255&gt;0,VLOOKUP(A255,Wine1!A:H,7,FALSE),VLOOKUP(A255,Drank!A:H,7,FALSE))</f>
        <v>Mendoza</v>
      </c>
      <c r="E255" s="37" t="str">
        <f>IF(I255&gt;0,VLOOKUP(A255,Wine1!A:H,8,FALSE),VLOOKUP(A255,Drank!A:H,8,FALSE))</f>
        <v>Valle de Uco, Altamira</v>
      </c>
      <c r="F255" s="37" t="str">
        <f t="shared" si="25"/>
        <v>Argentina, Mendoza</v>
      </c>
      <c r="G255" s="37" t="str">
        <f t="shared" si="26"/>
        <v>Argentina, Mendoza, Valle de Uco, Altamira</v>
      </c>
      <c r="H255" s="37">
        <f>COUNTIF(Agibility!A:A,UniqueID!A255)</f>
        <v>1</v>
      </c>
      <c r="I255" s="37">
        <f>COUNTIF(Wine1!A:A,UniqueID!A255)</f>
        <v>0</v>
      </c>
      <c r="J255" s="37">
        <f>COUNTIF(Drank!A:A,UniqueID!A255)</f>
        <v>1</v>
      </c>
      <c r="K255" s="37">
        <f>IF(I255&lt;1,VLOOKUP(A255,Drank!A:S,19,FALSE),VLOOKUP(A255,Wine1!A:AI,26,FALSE))</f>
        <v>92</v>
      </c>
      <c r="L255" s="37">
        <f>IF(I255&lt;1,VLOOKUP(A255,Drank!A:Z,25,FALSE),VLOOKUP(A255,Wine1!A:AI,35,FALSE))</f>
        <v>39.97</v>
      </c>
      <c r="M255" s="37">
        <f t="shared" si="27"/>
        <v>2</v>
      </c>
      <c r="N255" s="37">
        <f t="shared" si="28"/>
        <v>1.0869565217391304E-2</v>
      </c>
      <c r="O255" s="37">
        <f t="shared" si="29"/>
        <v>36.772399999999998</v>
      </c>
      <c r="P255" s="37">
        <f>IF(N255&gt;0,M255,IF(L255&gt;=64.99,4,IF(L255&gt;=Expenses!C284,3,IF(UniqueID!L255&gt;=Expenses!C283,2,1))))</f>
        <v>2</v>
      </c>
      <c r="Q255" s="37">
        <f>IF(O255&gt;=64.99,4,IF(N255&gt;0,M255,IF(L255&gt;=64.99,4,IF(L255&gt;=Expenses!C284,3,IF(UniqueID!L255&gt;=Expenses!C283,2,1)))))</f>
        <v>2</v>
      </c>
    </row>
    <row r="256" spans="1:19" s="37" customFormat="1" x14ac:dyDescent="0.25">
      <c r="A256" s="37" t="s">
        <v>1286</v>
      </c>
      <c r="C256" s="37" t="str">
        <f>IF(I256&gt;0,VLOOKUP(A256,Wine1!A:H,6,FALSE),VLOOKUP(A256,Drank!A:H,6,FALSE))</f>
        <v>France</v>
      </c>
      <c r="D256" s="37" t="str">
        <f>IF(I256&gt;0,VLOOKUP(A256,Wine1!A:H,7,FALSE),VLOOKUP(A256,Drank!A:H,7,FALSE))</f>
        <v>Rhone</v>
      </c>
      <c r="E256" s="37" t="str">
        <f>IF(I256&gt;0,VLOOKUP(A256,Wine1!A:H,8,FALSE),VLOOKUP(A256,Drank!A:H,8,FALSE))</f>
        <v>Southern Rhone, Chateauneuf du Pape</v>
      </c>
      <c r="F256" s="37" t="str">
        <f t="shared" si="25"/>
        <v>France, Rhone</v>
      </c>
      <c r="G256" s="37" t="str">
        <f t="shared" si="26"/>
        <v>France, Rhone, Southern Rhone, Chateauneuf du Pape</v>
      </c>
      <c r="H256" s="37">
        <f>COUNTIF(Agibility!A:A,UniqueID!A256)</f>
        <v>1</v>
      </c>
      <c r="I256" s="37">
        <f>COUNTIF(Wine1!A:A,UniqueID!A256)</f>
        <v>4</v>
      </c>
      <c r="J256" s="37">
        <f>COUNTIF(Drank!A:A,UniqueID!A256)</f>
        <v>0</v>
      </c>
      <c r="K256" s="37">
        <f>IF(I256&lt;1,VLOOKUP(A256,Drank!A:S,19,FALSE),VLOOKUP(A256,Wine1!A:AI,26,FALSE))</f>
        <v>95</v>
      </c>
      <c r="L256" s="37">
        <f>IF(I256&lt;1,VLOOKUP(A256,Drank!A:Z,25,FALSE),VLOOKUP(A256,Wine1!A:AI,35,FALSE))</f>
        <v>39.99</v>
      </c>
      <c r="M256" s="37">
        <f t="shared" si="27"/>
        <v>3</v>
      </c>
      <c r="N256" s="37">
        <f t="shared" si="28"/>
        <v>1.0526315789473684E-2</v>
      </c>
      <c r="O256" s="37">
        <f t="shared" si="29"/>
        <v>37.990500000000004</v>
      </c>
      <c r="P256" s="37">
        <f>IF(N256&gt;0,M256,IF(L256&gt;=64.99,4,IF(L256&gt;=Expenses!C285,3,IF(UniqueID!L256&gt;=Expenses!C284,2,1))))</f>
        <v>3</v>
      </c>
      <c r="Q256" s="37">
        <f>IF(O256&gt;=64.99,4,IF(N256&gt;0,M256,IF(L256&gt;=64.99,4,IF(L256&gt;=Expenses!C285,3,IF(UniqueID!L256&gt;=Expenses!C284,2,1)))))</f>
        <v>3</v>
      </c>
    </row>
    <row r="257" spans="1:17" s="37" customFormat="1" x14ac:dyDescent="0.25">
      <c r="A257" s="37" t="s">
        <v>1287</v>
      </c>
      <c r="C257" s="37" t="str">
        <f>IF(I257&gt;0,VLOOKUP(A257,Wine1!A:H,6,FALSE),VLOOKUP(A257,Drank!A:H,6,FALSE))</f>
        <v>Italy</v>
      </c>
      <c r="D257" s="37" t="str">
        <f>IF(I257&gt;0,VLOOKUP(A257,Wine1!A:H,7,FALSE),VLOOKUP(A257,Drank!A:H,7,FALSE))</f>
        <v>Tuscany</v>
      </c>
      <c r="E257" s="37" t="str">
        <f>IF(I257&gt;0,VLOOKUP(A257,Wine1!A:H,8,FALSE),VLOOKUP(A257,Drank!A:H,8,FALSE))</f>
        <v>Toscana</v>
      </c>
      <c r="F257" s="37" t="str">
        <f t="shared" si="25"/>
        <v>Italy, Tuscany</v>
      </c>
      <c r="G257" s="37" t="str">
        <f t="shared" si="26"/>
        <v>Italy, Tuscany, Toscana</v>
      </c>
      <c r="H257" s="37">
        <f>COUNTIF(Agibility!A:A,UniqueID!A257)</f>
        <v>1</v>
      </c>
      <c r="I257" s="37">
        <f>COUNTIF(Wine1!A:A,UniqueID!A257)</f>
        <v>2</v>
      </c>
      <c r="J257" s="37">
        <f>COUNTIF(Drank!A:A,UniqueID!A257)</f>
        <v>0</v>
      </c>
      <c r="K257" s="37">
        <f>IF(I257&lt;1,VLOOKUP(A257,Drank!A:S,19,FALSE),VLOOKUP(A257,Wine1!A:AI,26,FALSE))</f>
        <v>94</v>
      </c>
      <c r="L257" s="37">
        <f>IF(I257&lt;1,VLOOKUP(A257,Drank!A:Z,25,FALSE),VLOOKUP(A257,Wine1!A:AI,35,FALSE))</f>
        <v>68.94</v>
      </c>
      <c r="M257" s="37">
        <f t="shared" si="27"/>
        <v>3</v>
      </c>
      <c r="N257" s="37">
        <f t="shared" si="28"/>
        <v>1.0638297872340425E-2</v>
      </c>
      <c r="O257" s="37">
        <f t="shared" si="29"/>
        <v>64.803600000000003</v>
      </c>
      <c r="P257" s="37">
        <f>IF(N257&gt;0,M257,IF(L257&gt;=64.99,4,IF(L257&gt;=Expenses!C286,3,IF(UniqueID!L257&gt;=Expenses!C285,2,1))))</f>
        <v>3</v>
      </c>
      <c r="Q257" s="37">
        <f>IF(O257&gt;=64.99,4,IF(N257&gt;0,M257,IF(L257&gt;=64.99,4,IF(L257&gt;=Expenses!C286,3,IF(UniqueID!L257&gt;=Expenses!C285,2,1)))))</f>
        <v>3</v>
      </c>
    </row>
    <row r="258" spans="1:17" s="37" customFormat="1" x14ac:dyDescent="0.25">
      <c r="A258" s="37" t="s">
        <v>1288</v>
      </c>
      <c r="C258" s="37" t="str">
        <f>IF(I258&gt;0,VLOOKUP(A258,Wine1!A:H,6,FALSE),VLOOKUP(A258,Drank!A:H,6,FALSE))</f>
        <v>Argentina</v>
      </c>
      <c r="D258" s="37" t="str">
        <f>IF(I258&gt;0,VLOOKUP(A258,Wine1!A:H,7,FALSE),VLOOKUP(A258,Drank!A:H,7,FALSE))</f>
        <v>Mendoza</v>
      </c>
      <c r="E258" s="37" t="str">
        <f>IF(I258&gt;0,VLOOKUP(A258,Wine1!A:H,8,FALSE),VLOOKUP(A258,Drank!A:H,8,FALSE))</f>
        <v>Valle de Uco, Tupungato, Gualtallary</v>
      </c>
      <c r="F258" s="37" t="str">
        <f t="shared" si="25"/>
        <v>Argentina, Mendoza</v>
      </c>
      <c r="G258" s="37" t="str">
        <f t="shared" si="26"/>
        <v>Argentina, Mendoza, Valle de Uco, Tupungato, Gualtallary</v>
      </c>
      <c r="H258" s="37">
        <f>COUNTIF(Agibility!A:A,UniqueID!A258)</f>
        <v>1</v>
      </c>
      <c r="I258" s="37">
        <f>COUNTIF(Wine1!A:A,UniqueID!A258)</f>
        <v>38</v>
      </c>
      <c r="J258" s="37">
        <f>COUNTIF(Drank!A:A,UniqueID!A258)</f>
        <v>1</v>
      </c>
      <c r="K258" s="37">
        <f>IF(I258&lt;1,VLOOKUP(A258,Drank!A:S,19,FALSE),VLOOKUP(A258,Wine1!A:AI,26,FALSE))</f>
        <v>94</v>
      </c>
      <c r="L258" s="37">
        <f>IF(I258&lt;1,VLOOKUP(A258,Drank!A:Z,25,FALSE),VLOOKUP(A258,Wine1!A:AI,35,FALSE))</f>
        <v>35.85</v>
      </c>
      <c r="M258" s="37">
        <f t="shared" si="27"/>
        <v>3</v>
      </c>
      <c r="N258" s="37">
        <f t="shared" si="28"/>
        <v>1.0638297872340425E-2</v>
      </c>
      <c r="O258" s="37">
        <f t="shared" si="29"/>
        <v>33.699000000000005</v>
      </c>
      <c r="P258" s="37">
        <f>IF(N258&gt;0,M258,IF(L258&gt;=64.99,4,IF(L258&gt;=Expenses!C287,3,IF(UniqueID!L258&gt;=Expenses!C286,2,1))))</f>
        <v>3</v>
      </c>
      <c r="Q258" s="37">
        <f>IF(O258&gt;=64.99,4,IF(N258&gt;0,M258,IF(L258&gt;=64.99,4,IF(L258&gt;=Expenses!C287,3,IF(UniqueID!L258&gt;=Expenses!C286,2,1)))))</f>
        <v>3</v>
      </c>
    </row>
    <row r="259" spans="1:17" s="37" customFormat="1" x14ac:dyDescent="0.25">
      <c r="A259" s="37" t="s">
        <v>1289</v>
      </c>
      <c r="C259" s="37" t="str">
        <f>IF(I259&gt;0,VLOOKUP(A259,Wine1!A:H,6,FALSE),VLOOKUP(A259,Drank!A:H,6,FALSE))</f>
        <v>Italy</v>
      </c>
      <c r="D259" s="37" t="str">
        <f>IF(I259&gt;0,VLOOKUP(A259,Wine1!A:H,7,FALSE),VLOOKUP(A259,Drank!A:H,7,FALSE))</f>
        <v>Tuscany</v>
      </c>
      <c r="E259" s="37" t="str">
        <f>IF(I259&gt;0,VLOOKUP(A259,Wine1!A:H,8,FALSE),VLOOKUP(A259,Drank!A:H,8,FALSE))</f>
        <v>Brunello di Montalcino</v>
      </c>
      <c r="F259" s="37" t="str">
        <f t="shared" si="25"/>
        <v>Italy, Tuscany</v>
      </c>
      <c r="G259" s="37" t="str">
        <f t="shared" si="26"/>
        <v>Italy, Tuscany, Brunello di Montalcino</v>
      </c>
      <c r="H259" s="37">
        <f>COUNTIF(Agibility!A:A,UniqueID!A259)</f>
        <v>1</v>
      </c>
      <c r="I259" s="37">
        <f>COUNTIF(Wine1!A:A,UniqueID!A259)</f>
        <v>3</v>
      </c>
      <c r="J259" s="37">
        <f>COUNTIF(Drank!A:A,UniqueID!A259)</f>
        <v>0</v>
      </c>
      <c r="K259" s="37">
        <f>IF(I259&lt;1,VLOOKUP(A259,Drank!A:S,19,FALSE),VLOOKUP(A259,Wine1!A:AI,26,FALSE))</f>
        <v>95</v>
      </c>
      <c r="L259" s="37">
        <f>IF(I259&lt;1,VLOOKUP(A259,Drank!A:Z,25,FALSE),VLOOKUP(A259,Wine1!A:AI,35,FALSE))</f>
        <v>57.94</v>
      </c>
      <c r="M259" s="37">
        <f t="shared" si="27"/>
        <v>3</v>
      </c>
      <c r="N259" s="37">
        <f t="shared" si="28"/>
        <v>1.0526315789473684E-2</v>
      </c>
      <c r="O259" s="37">
        <f t="shared" si="29"/>
        <v>55.042999999999999</v>
      </c>
      <c r="P259" s="37">
        <f>IF(N259&gt;0,M259,IF(L259&gt;=64.99,4,IF(L259&gt;=Expenses!C288,3,IF(UniqueID!L259&gt;=Expenses!C287,2,1))))</f>
        <v>3</v>
      </c>
      <c r="Q259" s="37">
        <f>IF(O259&gt;=64.99,4,IF(N259&gt;0,M259,IF(L259&gt;=64.99,4,IF(L259&gt;=Expenses!C288,3,IF(UniqueID!L259&gt;=Expenses!C287,2,1)))))</f>
        <v>3</v>
      </c>
    </row>
    <row r="260" spans="1:17" s="37" customFormat="1" x14ac:dyDescent="0.25">
      <c r="A260" s="37" t="s">
        <v>1290</v>
      </c>
      <c r="C260" s="37" t="str">
        <f>IF(I260&gt;0,VLOOKUP(A260,Wine1!A:H,6,FALSE),VLOOKUP(A260,Drank!A:H,6,FALSE))</f>
        <v>Italy</v>
      </c>
      <c r="D260" s="37" t="str">
        <f>IF(I260&gt;0,VLOOKUP(A260,Wine1!A:H,7,FALSE),VLOOKUP(A260,Drank!A:H,7,FALSE))</f>
        <v>Veneto</v>
      </c>
      <c r="E260" s="37" t="str">
        <f>IF(I260&gt;0,VLOOKUP(A260,Wine1!A:H,8,FALSE),VLOOKUP(A260,Drank!A:H,8,FALSE))</f>
        <v>Valpolicella</v>
      </c>
      <c r="F260" s="37" t="str">
        <f t="shared" si="25"/>
        <v>Italy, Veneto</v>
      </c>
      <c r="G260" s="37" t="str">
        <f t="shared" si="26"/>
        <v>Italy, Veneto, Valpolicella</v>
      </c>
      <c r="H260" s="37">
        <f>COUNTIF(Agibility!A:A,UniqueID!A260)</f>
        <v>1</v>
      </c>
      <c r="I260" s="37">
        <f>COUNTIF(Wine1!A:A,UniqueID!A260)</f>
        <v>4</v>
      </c>
      <c r="J260" s="37">
        <f>COUNTIF(Drank!A:A,UniqueID!A260)</f>
        <v>0</v>
      </c>
      <c r="K260" s="37">
        <f>IF(I260&lt;1,VLOOKUP(A260,Drank!A:S,19,FALSE),VLOOKUP(A260,Wine1!A:AI,26,FALSE))</f>
        <v>93</v>
      </c>
      <c r="L260" s="37">
        <f>IF(I260&lt;1,VLOOKUP(A260,Drank!A:Z,25,FALSE),VLOOKUP(A260,Wine1!A:AI,35,FALSE))</f>
        <v>48.87</v>
      </c>
      <c r="M260" s="37">
        <f t="shared" si="27"/>
        <v>3</v>
      </c>
      <c r="N260" s="37">
        <f t="shared" si="28"/>
        <v>1.0752688172043012E-2</v>
      </c>
      <c r="O260" s="37">
        <f t="shared" si="29"/>
        <v>45.449100000000001</v>
      </c>
      <c r="P260" s="37">
        <f>IF(N260&gt;0,M260,IF(L260&gt;=64.99,4,IF(L260&gt;=Expenses!C289,3,IF(UniqueID!L260&gt;=Expenses!C288,2,1))))</f>
        <v>3</v>
      </c>
      <c r="Q260" s="37">
        <f>IF(O260&gt;=64.99,4,IF(N260&gt;0,M260,IF(L260&gt;=64.99,4,IF(L260&gt;=Expenses!C289,3,IF(UniqueID!L260&gt;=Expenses!C288,2,1)))))</f>
        <v>3</v>
      </c>
    </row>
    <row r="261" spans="1:17" s="37" customFormat="1" x14ac:dyDescent="0.25">
      <c r="A261" s="37" t="s">
        <v>1291</v>
      </c>
      <c r="C261" s="37" t="str">
        <f>IF(I261&gt;0,VLOOKUP(A261,Wine1!A:H,6,FALSE),VLOOKUP(A261,Drank!A:H,6,FALSE))</f>
        <v>Italy</v>
      </c>
      <c r="D261" s="37" t="str">
        <f>IF(I261&gt;0,VLOOKUP(A261,Wine1!A:H,7,FALSE),VLOOKUP(A261,Drank!A:H,7,FALSE))</f>
        <v>Piedmont</v>
      </c>
      <c r="E261" s="37" t="str">
        <f>IF(I261&gt;0,VLOOKUP(A261,Wine1!A:H,8,FALSE),VLOOKUP(A261,Drank!A:H,8,FALSE))</f>
        <v>Barolo</v>
      </c>
      <c r="F261" s="37" t="str">
        <f t="shared" si="25"/>
        <v>Italy, Piedmont</v>
      </c>
      <c r="G261" s="37" t="str">
        <f t="shared" si="26"/>
        <v>Italy, Piedmont, Barolo</v>
      </c>
      <c r="H261" s="37">
        <f>COUNTIF(Agibility!A:A,UniqueID!A261)</f>
        <v>1</v>
      </c>
      <c r="I261" s="37">
        <f>COUNTIF(Wine1!A:A,UniqueID!A261)</f>
        <v>22</v>
      </c>
      <c r="J261" s="37">
        <f>COUNTIF(Drank!A:A,UniqueID!A261)</f>
        <v>2</v>
      </c>
      <c r="K261" s="37">
        <f>IF(I261&lt;1,VLOOKUP(A261,Drank!A:S,19,FALSE),VLOOKUP(A261,Wine1!A:AI,26,FALSE))</f>
        <v>93</v>
      </c>
      <c r="L261" s="37">
        <f>IF(I261&lt;1,VLOOKUP(A261,Drank!A:Z,25,FALSE),VLOOKUP(A261,Wine1!A:AI,35,FALSE))</f>
        <v>52.96</v>
      </c>
      <c r="M261" s="37">
        <f t="shared" si="27"/>
        <v>3</v>
      </c>
      <c r="N261" s="37">
        <f t="shared" si="28"/>
        <v>1.0752688172043012E-2</v>
      </c>
      <c r="O261" s="37">
        <f t="shared" si="29"/>
        <v>49.252800000000001</v>
      </c>
      <c r="P261" s="37">
        <f>IF(N261&gt;0,M261,IF(L261&gt;=64.99,4,IF(L261&gt;=Expenses!C290,3,IF(UniqueID!L261&gt;=Expenses!C289,2,1))))</f>
        <v>3</v>
      </c>
      <c r="Q261" s="37">
        <f>IF(O261&gt;=64.99,4,IF(N261&gt;0,M261,IF(L261&gt;=64.99,4,IF(L261&gt;=Expenses!C290,3,IF(UniqueID!L261&gt;=Expenses!C289,2,1)))))</f>
        <v>3</v>
      </c>
    </row>
    <row r="262" spans="1:17" s="37" customFormat="1" x14ac:dyDescent="0.25">
      <c r="A262" s="37" t="s">
        <v>1292</v>
      </c>
      <c r="C262" s="37" t="str">
        <f>IF(I262&gt;0,VLOOKUP(A262,Wine1!A:H,6,FALSE),VLOOKUP(A262,Drank!A:H,6,FALSE))</f>
        <v>Spain</v>
      </c>
      <c r="D262" s="37" t="str">
        <f>IF(I262&gt;0,VLOOKUP(A262,Wine1!A:H,7,FALSE),VLOOKUP(A262,Drank!A:H,7,FALSE))</f>
        <v>Rioja</v>
      </c>
      <c r="E262" s="37">
        <f>IF(I262&gt;0,VLOOKUP(A262,Wine1!A:H,8,FALSE),VLOOKUP(A262,Drank!A:H,8,FALSE))</f>
        <v>0</v>
      </c>
      <c r="F262" s="37" t="str">
        <f t="shared" si="25"/>
        <v>Spain, Rioja</v>
      </c>
      <c r="G262" s="37" t="str">
        <f t="shared" si="26"/>
        <v>Spain, Rioja, 0</v>
      </c>
      <c r="H262" s="37">
        <f>COUNTIF(Agibility!A:A,UniqueID!A262)</f>
        <v>1</v>
      </c>
      <c r="I262" s="37">
        <f>COUNTIF(Wine1!A:A,UniqueID!A262)</f>
        <v>7</v>
      </c>
      <c r="J262" s="37">
        <f>COUNTIF(Drank!A:A,UniqueID!A262)</f>
        <v>1</v>
      </c>
      <c r="K262" s="37">
        <f>IF(I262&lt;1,VLOOKUP(A262,Drank!A:S,19,FALSE),VLOOKUP(A262,Wine1!A:AI,26,FALSE))</f>
        <v>90</v>
      </c>
      <c r="L262" s="37">
        <f>IF(I262&lt;1,VLOOKUP(A262,Drank!A:Z,25,FALSE),VLOOKUP(A262,Wine1!A:AI,35,FALSE))</f>
        <v>16.989999999999998</v>
      </c>
      <c r="M262" s="37">
        <f t="shared" si="27"/>
        <v>2</v>
      </c>
      <c r="N262" s="37">
        <f t="shared" si="28"/>
        <v>1.1111111111111112E-2</v>
      </c>
      <c r="O262" s="37">
        <f t="shared" si="29"/>
        <v>15.290999999999999</v>
      </c>
      <c r="P262" s="37">
        <f>IF(N262&gt;0,M262,IF(L262&gt;=64.99,4,IF(L262&gt;=Expenses!C291,3,IF(UniqueID!L262&gt;=Expenses!C290,2,1))))</f>
        <v>2</v>
      </c>
      <c r="Q262" s="37">
        <f>IF(O262&gt;=64.99,4,IF(N262&gt;0,M262,IF(L262&gt;=64.99,4,IF(L262&gt;=Expenses!C291,3,IF(UniqueID!L262&gt;=Expenses!C290,2,1)))))</f>
        <v>2</v>
      </c>
    </row>
    <row r="263" spans="1:17" s="37" customFormat="1" x14ac:dyDescent="0.25">
      <c r="A263" s="37" t="s">
        <v>1245</v>
      </c>
      <c r="C263" s="37" t="str">
        <f>IF(I263&gt;0,VLOOKUP(A263,Wine1!A:H,6,FALSE),VLOOKUP(A263,Drank!A:H,6,FALSE))</f>
        <v>Italy</v>
      </c>
      <c r="D263" s="37" t="str">
        <f>IF(I263&gt;0,VLOOKUP(A263,Wine1!A:H,7,FALSE),VLOOKUP(A263,Drank!A:H,7,FALSE))</f>
        <v>Tuscany</v>
      </c>
      <c r="E263" s="37" t="str">
        <f>IF(I263&gt;0,VLOOKUP(A263,Wine1!A:H,8,FALSE),VLOOKUP(A263,Drank!A:H,8,FALSE))</f>
        <v>Maremma Toscana</v>
      </c>
      <c r="F263" s="37" t="str">
        <f t="shared" si="25"/>
        <v>Italy, Tuscany</v>
      </c>
      <c r="G263" s="37" t="str">
        <f t="shared" si="26"/>
        <v>Italy, Tuscany, Maremma Toscana</v>
      </c>
      <c r="H263" s="37">
        <f>COUNTIF(Agibility!A:A,UniqueID!A263)</f>
        <v>1</v>
      </c>
      <c r="I263" s="37">
        <f>COUNTIF(Wine1!A:A,UniqueID!A263)</f>
        <v>3</v>
      </c>
      <c r="J263" s="37">
        <f>COUNTIF(Drank!A:A,UniqueID!A263)</f>
        <v>1</v>
      </c>
      <c r="K263" s="37">
        <f>IF(I263&lt;1,VLOOKUP(A263,Drank!A:S,19,FALSE),VLOOKUP(A263,Wine1!A:AI,26,FALSE))</f>
        <v>91</v>
      </c>
      <c r="L263" s="37">
        <f>IF(I263&lt;1,VLOOKUP(A263,Drank!A:Z,25,FALSE),VLOOKUP(A263,Wine1!A:AI,35,FALSE))</f>
        <v>32.99</v>
      </c>
      <c r="M263" s="37">
        <f t="shared" si="27"/>
        <v>2</v>
      </c>
      <c r="N263" s="37">
        <f t="shared" si="28"/>
        <v>1.098901098901099E-2</v>
      </c>
      <c r="O263" s="37">
        <f t="shared" si="29"/>
        <v>30.020900000000005</v>
      </c>
      <c r="P263" s="37">
        <f>IF(N263&gt;0,M263,IF(L263&gt;=64.99,4,IF(L263&gt;=Expenses!C292,3,IF(UniqueID!L263&gt;=Expenses!C291,2,1))))</f>
        <v>2</v>
      </c>
      <c r="Q263" s="37">
        <f>IF(O263&gt;=64.99,4,IF(N263&gt;0,M263,IF(L263&gt;=64.99,4,IF(L263&gt;=Expenses!C292,3,IF(UniqueID!L263&gt;=Expenses!C291,2,1)))))</f>
        <v>2</v>
      </c>
    </row>
    <row r="264" spans="1:17" s="37" customFormat="1" x14ac:dyDescent="0.25">
      <c r="A264" s="37" t="s">
        <v>1293</v>
      </c>
      <c r="C264" s="37" t="str">
        <f>IF(I264&gt;0,VLOOKUP(A264,Wine1!A:H,6,FALSE),VLOOKUP(A264,Drank!A:H,6,FALSE))</f>
        <v>Italy</v>
      </c>
      <c r="D264" s="37" t="str">
        <f>IF(I264&gt;0,VLOOKUP(A264,Wine1!A:H,7,FALSE),VLOOKUP(A264,Drank!A:H,7,FALSE))</f>
        <v>Tuscany</v>
      </c>
      <c r="E264" s="37" t="str">
        <f>IF(I264&gt;0,VLOOKUP(A264,Wine1!A:H,8,FALSE),VLOOKUP(A264,Drank!A:H,8,FALSE))</f>
        <v>Toscana</v>
      </c>
      <c r="F264" s="37" t="str">
        <f t="shared" si="25"/>
        <v>Italy, Tuscany</v>
      </c>
      <c r="G264" s="37" t="str">
        <f t="shared" si="26"/>
        <v>Italy, Tuscany, Toscana</v>
      </c>
      <c r="H264" s="37">
        <f>COUNTIF(Agibility!A:A,UniqueID!A264)</f>
        <v>1</v>
      </c>
      <c r="I264" s="37">
        <f>COUNTIF(Wine1!A:A,UniqueID!A264)</f>
        <v>6</v>
      </c>
      <c r="J264" s="37">
        <f>COUNTIF(Drank!A:A,UniqueID!A264)</f>
        <v>1</v>
      </c>
      <c r="K264" s="37">
        <f>IF(I264&lt;1,VLOOKUP(A264,Drank!A:S,19,FALSE),VLOOKUP(A264,Wine1!A:AI,26,FALSE))</f>
        <v>93</v>
      </c>
      <c r="L264" s="37">
        <f>IF(I264&lt;1,VLOOKUP(A264,Drank!A:Z,25,FALSE),VLOOKUP(A264,Wine1!A:AI,35,FALSE))</f>
        <v>44.25</v>
      </c>
      <c r="M264" s="37">
        <f t="shared" si="27"/>
        <v>3</v>
      </c>
      <c r="N264" s="37">
        <f t="shared" si="28"/>
        <v>1.0752688172043012E-2</v>
      </c>
      <c r="O264" s="37">
        <f t="shared" si="29"/>
        <v>41.152500000000003</v>
      </c>
      <c r="P264" s="37">
        <f>IF(N264&gt;0,M264,IF(L264&gt;=64.99,4,IF(L264&gt;=Expenses!C293,3,IF(UniqueID!L264&gt;=Expenses!C292,2,1))))</f>
        <v>3</v>
      </c>
      <c r="Q264" s="37">
        <f>IF(O264&gt;=64.99,4,IF(N264&gt;0,M264,IF(L264&gt;=64.99,4,IF(L264&gt;=Expenses!C293,3,IF(UniqueID!L264&gt;=Expenses!C292,2,1)))))</f>
        <v>3</v>
      </c>
    </row>
    <row r="265" spans="1:17" s="37" customFormat="1" x14ac:dyDescent="0.25">
      <c r="A265" s="37" t="s">
        <v>1244</v>
      </c>
      <c r="C265" s="37" t="str">
        <f>IF(I265&gt;0,VLOOKUP(A265,Wine1!A:H,6,FALSE),VLOOKUP(A265,Drank!A:H,6,FALSE))</f>
        <v>Spain</v>
      </c>
      <c r="D265" s="37" t="str">
        <f>IF(I265&gt;0,VLOOKUP(A265,Wine1!A:H,7,FALSE),VLOOKUP(A265,Drank!A:H,7,FALSE))</f>
        <v>Castilla Y Leon</v>
      </c>
      <c r="E265" s="37" t="str">
        <f>IF(I265&gt;0,VLOOKUP(A265,Wine1!A:H,8,FALSE),VLOOKUP(A265,Drank!A:H,8,FALSE))</f>
        <v>Ribera Del Duero</v>
      </c>
      <c r="F265" s="37" t="str">
        <f t="shared" si="25"/>
        <v>Spain, Castilla Y Leon</v>
      </c>
      <c r="G265" s="37" t="str">
        <f t="shared" si="26"/>
        <v>Spain, Castilla Y Leon, Ribera Del Duero</v>
      </c>
      <c r="H265" s="37">
        <f>COUNTIF(Agibility!A:A,UniqueID!A265)</f>
        <v>1</v>
      </c>
      <c r="I265" s="37">
        <f>COUNTIF(Wine1!A:A,UniqueID!A265)</f>
        <v>7</v>
      </c>
      <c r="J265" s="37">
        <f>COUNTIF(Drank!A:A,UniqueID!A265)</f>
        <v>1</v>
      </c>
      <c r="K265" s="37">
        <f>IF(I265&lt;1,VLOOKUP(A265,Drank!A:S,19,FALSE),VLOOKUP(A265,Wine1!A:AI,26,FALSE))</f>
        <v>94</v>
      </c>
      <c r="L265" s="37">
        <f>IF(I265&lt;1,VLOOKUP(A265,Drank!A:Z,25,FALSE),VLOOKUP(A265,Wine1!A:AI,35,FALSE))</f>
        <v>39.840000000000003</v>
      </c>
      <c r="M265" s="37">
        <f t="shared" si="27"/>
        <v>3</v>
      </c>
      <c r="N265" s="37">
        <f t="shared" si="28"/>
        <v>1.0638297872340425E-2</v>
      </c>
      <c r="O265" s="37">
        <f t="shared" si="29"/>
        <v>37.449600000000004</v>
      </c>
      <c r="P265" s="37">
        <f>IF(N265&gt;0,M265,IF(L265&gt;=64.99,4,IF(L265&gt;=Expenses!C294,3,IF(UniqueID!L265&gt;=Expenses!C293,2,1))))</f>
        <v>3</v>
      </c>
      <c r="Q265" s="37">
        <f>IF(O265&gt;=64.99,4,IF(N265&gt;0,M265,IF(L265&gt;=64.99,4,IF(L265&gt;=Expenses!C294,3,IF(UniqueID!L265&gt;=Expenses!C293,2,1)))))</f>
        <v>3</v>
      </c>
    </row>
    <row r="266" spans="1:17" s="37" customFormat="1" x14ac:dyDescent="0.25">
      <c r="A266" s="37" t="s">
        <v>1294</v>
      </c>
      <c r="C266" s="37" t="str">
        <f>IF(I266&gt;0,VLOOKUP(A266,Wine1!A:H,6,FALSE),VLOOKUP(A266,Drank!A:H,6,FALSE))</f>
        <v>Spain</v>
      </c>
      <c r="D266" s="37" t="str">
        <f>IF(I266&gt;0,VLOOKUP(A266,Wine1!A:H,7,FALSE),VLOOKUP(A266,Drank!A:H,7,FALSE))</f>
        <v>Castilla Y Leon</v>
      </c>
      <c r="E266" s="37" t="str">
        <f>IF(I266&gt;0,VLOOKUP(A266,Wine1!A:H,8,FALSE),VLOOKUP(A266,Drank!A:H,8,FALSE))</f>
        <v>Ribera Del Duero</v>
      </c>
      <c r="F266" s="37" t="str">
        <f t="shared" si="25"/>
        <v>Spain, Castilla Y Leon</v>
      </c>
      <c r="G266" s="37" t="str">
        <f t="shared" si="26"/>
        <v>Spain, Castilla Y Leon, Ribera Del Duero</v>
      </c>
      <c r="H266" s="37">
        <f>COUNTIF(Agibility!A:A,UniqueID!A266)</f>
        <v>1</v>
      </c>
      <c r="I266" s="37">
        <f>COUNTIF(Wine1!A:A,UniqueID!A266)</f>
        <v>2</v>
      </c>
      <c r="J266" s="37">
        <f>COUNTIF(Drank!A:A,UniqueID!A266)</f>
        <v>2</v>
      </c>
      <c r="K266" s="37">
        <f>IF(I266&lt;1,VLOOKUP(A266,Drank!A:S,19,FALSE),VLOOKUP(A266,Wine1!A:AI,26,FALSE))</f>
        <v>90</v>
      </c>
      <c r="L266" s="37">
        <f>IF(I266&lt;1,VLOOKUP(A266,Drank!A:Z,25,FALSE),VLOOKUP(A266,Wine1!A:AI,35,FALSE))</f>
        <v>19.989999999999998</v>
      </c>
      <c r="M266" s="37">
        <f t="shared" si="27"/>
        <v>2</v>
      </c>
      <c r="N266" s="37">
        <f t="shared" si="28"/>
        <v>1.1111111111111112E-2</v>
      </c>
      <c r="O266" s="37">
        <f t="shared" si="29"/>
        <v>17.991</v>
      </c>
      <c r="P266" s="37">
        <f>IF(N266&gt;0,M266,IF(L266&gt;=64.99,4,IF(L266&gt;=Expenses!C295,3,IF(UniqueID!L266&gt;=Expenses!C294,2,1))))</f>
        <v>2</v>
      </c>
      <c r="Q266" s="37">
        <f>IF(O266&gt;=64.99,4,IF(N266&gt;0,M266,IF(L266&gt;=64.99,4,IF(L266&gt;=Expenses!C295,3,IF(UniqueID!L266&gt;=Expenses!C294,2,1)))))</f>
        <v>2</v>
      </c>
    </row>
    <row r="267" spans="1:17" s="37" customFormat="1" x14ac:dyDescent="0.25">
      <c r="A267"/>
      <c r="I267" s="37">
        <f>SUBTOTAL(9,I2:I241)</f>
        <v>537</v>
      </c>
      <c r="J267" s="37">
        <f>COUNTIF(Drank!A:A,UniqueID!A242)</f>
        <v>1</v>
      </c>
      <c r="K267"/>
      <c r="L267" t="e">
        <f>MAX(L2:L241)</f>
        <v>#N/A</v>
      </c>
      <c r="M267"/>
      <c r="N267"/>
      <c r="O267" s="37">
        <f>IF(N267&gt;0,K267*0.01*L267,0)</f>
        <v>0</v>
      </c>
      <c r="P267"/>
      <c r="Q267" s="37" t="e">
        <f>IF(O267&gt;=64.99,4,IF(N267&gt;0,M267,IF(L267&gt;=64.99,4,IF(L267&gt;=Expenses!C271,3,IF(UniqueID!L267&gt;=Expenses!C270,2,1)))))</f>
        <v>#N/A</v>
      </c>
    </row>
    <row r="268" spans="1:17" s="37" customFormat="1" x14ac:dyDescent="0.25">
      <c r="A268"/>
      <c r="J268" s="37">
        <f>COUNTIF(Drank!A:A,UniqueID!A243)</f>
        <v>1</v>
      </c>
      <c r="K268"/>
      <c r="L268">
        <v>225.32</v>
      </c>
      <c r="M268"/>
      <c r="N268"/>
      <c r="O268" s="37">
        <f>IF(N268&gt;0,K268*0.01*L268,0)</f>
        <v>0</v>
      </c>
      <c r="P268"/>
      <c r="Q268" s="37">
        <f>IF(O268&gt;=64.99,4,IF(N268&gt;0,M268,IF(L268&gt;=64.99,4,IF(L268&gt;=Expenses!C272,3,IF(UniqueID!L268&gt;=Expenses!C271,2,1)))))</f>
        <v>4</v>
      </c>
    </row>
    <row r="269" spans="1:17" s="37" customFormat="1" x14ac:dyDescent="0.25">
      <c r="A269"/>
    </row>
    <row r="270" spans="1:17" s="37" customFormat="1" x14ac:dyDescent="0.25">
      <c r="A270"/>
    </row>
    <row r="271" spans="1:17" s="37" customFormat="1" x14ac:dyDescent="0.25">
      <c r="A271"/>
    </row>
    <row r="272" spans="1:17" s="37" customFormat="1" x14ac:dyDescent="0.25">
      <c r="A272"/>
    </row>
    <row r="273" spans="1:1" s="37" customFormat="1" x14ac:dyDescent="0.25">
      <c r="A273"/>
    </row>
    <row r="274" spans="1:1" s="37" customFormat="1" x14ac:dyDescent="0.25">
      <c r="A274"/>
    </row>
    <row r="275" spans="1:1" s="37" customFormat="1" x14ac:dyDescent="0.25">
      <c r="A275"/>
    </row>
    <row r="276" spans="1:1" s="37" customFormat="1" x14ac:dyDescent="0.25">
      <c r="A276"/>
    </row>
    <row r="277" spans="1:1" s="37" customFormat="1" x14ac:dyDescent="0.25">
      <c r="A277"/>
    </row>
    <row r="278" spans="1:1" s="37" customFormat="1" x14ac:dyDescent="0.25">
      <c r="A278"/>
    </row>
    <row r="279" spans="1:1" s="37" customFormat="1" x14ac:dyDescent="0.25">
      <c r="A279"/>
    </row>
    <row r="280" spans="1:1" s="37" customFormat="1" x14ac:dyDescent="0.25">
      <c r="A280"/>
    </row>
    <row r="281" spans="1:1" s="37" customFormat="1" x14ac:dyDescent="0.25">
      <c r="A281"/>
    </row>
    <row r="282" spans="1:1" s="37" customFormat="1" x14ac:dyDescent="0.25">
      <c r="A282"/>
    </row>
    <row r="283" spans="1:1" s="37" customFormat="1" x14ac:dyDescent="0.25">
      <c r="A283"/>
    </row>
    <row r="284" spans="1:1" s="37" customFormat="1" x14ac:dyDescent="0.25">
      <c r="A284"/>
    </row>
    <row r="285" spans="1:1" s="37" customFormat="1" x14ac:dyDescent="0.25">
      <c r="A285"/>
    </row>
    <row r="286" spans="1:1" s="37" customFormat="1" x14ac:dyDescent="0.25">
      <c r="A286"/>
    </row>
    <row r="287" spans="1:1" s="37" customFormat="1" x14ac:dyDescent="0.25">
      <c r="A287"/>
    </row>
    <row r="288" spans="1:1" s="37" customFormat="1" x14ac:dyDescent="0.25">
      <c r="A288"/>
    </row>
    <row r="289" spans="1:1" s="37" customFormat="1" x14ac:dyDescent="0.25">
      <c r="A289"/>
    </row>
    <row r="290" spans="1:1" s="37" customFormat="1" x14ac:dyDescent="0.25">
      <c r="A290"/>
    </row>
    <row r="291" spans="1:1" s="37" customFormat="1" x14ac:dyDescent="0.25">
      <c r="A291"/>
    </row>
    <row r="292" spans="1:1" s="37" customFormat="1" x14ac:dyDescent="0.25">
      <c r="A292"/>
    </row>
    <row r="293" spans="1:1" s="37" customFormat="1" x14ac:dyDescent="0.25">
      <c r="A293"/>
    </row>
    <row r="294" spans="1:1" s="37" customFormat="1" x14ac:dyDescent="0.25">
      <c r="A294"/>
    </row>
    <row r="295" spans="1:1" s="37" customFormat="1" x14ac:dyDescent="0.25">
      <c r="A295"/>
    </row>
    <row r="296" spans="1:1" s="37" customFormat="1" x14ac:dyDescent="0.25">
      <c r="A296"/>
    </row>
    <row r="297" spans="1:1" s="37" customFormat="1" x14ac:dyDescent="0.25">
      <c r="A297"/>
    </row>
    <row r="298" spans="1:1" s="37" customFormat="1" x14ac:dyDescent="0.25">
      <c r="A298"/>
    </row>
    <row r="299" spans="1:1" s="37" customFormat="1" x14ac:dyDescent="0.25">
      <c r="A299"/>
    </row>
    <row r="300" spans="1:1" s="37" customFormat="1" x14ac:dyDescent="0.25">
      <c r="A300"/>
    </row>
    <row r="301" spans="1:1" s="37" customFormat="1" x14ac:dyDescent="0.25">
      <c r="A301"/>
    </row>
    <row r="302" spans="1:1" s="37" customFormat="1" x14ac:dyDescent="0.25">
      <c r="A302"/>
    </row>
    <row r="303" spans="1:1" s="37" customFormat="1" x14ac:dyDescent="0.25">
      <c r="A303"/>
    </row>
    <row r="304" spans="1:1" s="37" customFormat="1" x14ac:dyDescent="0.25">
      <c r="A304"/>
    </row>
    <row r="305" spans="1:1" s="37" customFormat="1" x14ac:dyDescent="0.25">
      <c r="A305"/>
    </row>
    <row r="306" spans="1:1" s="37" customFormat="1" x14ac:dyDescent="0.25">
      <c r="A306"/>
    </row>
    <row r="307" spans="1:1" s="37" customFormat="1" x14ac:dyDescent="0.25">
      <c r="A307"/>
    </row>
    <row r="308" spans="1:1" s="37" customFormat="1" x14ac:dyDescent="0.25">
      <c r="A308"/>
    </row>
    <row r="309" spans="1:1" s="37" customFormat="1" x14ac:dyDescent="0.25">
      <c r="A309"/>
    </row>
    <row r="310" spans="1:1" s="37" customFormat="1" x14ac:dyDescent="0.25">
      <c r="A310"/>
    </row>
    <row r="311" spans="1:1" s="37" customFormat="1" x14ac:dyDescent="0.25">
      <c r="A311"/>
    </row>
    <row r="312" spans="1:1" s="37" customFormat="1" x14ac:dyDescent="0.25">
      <c r="A312"/>
    </row>
    <row r="313" spans="1:1" s="37" customFormat="1" x14ac:dyDescent="0.25">
      <c r="A313"/>
    </row>
    <row r="314" spans="1:1" s="37" customFormat="1" x14ac:dyDescent="0.25">
      <c r="A314"/>
    </row>
    <row r="315" spans="1:1" s="37" customFormat="1" x14ac:dyDescent="0.25">
      <c r="A315"/>
    </row>
    <row r="316" spans="1:1" s="37" customFormat="1" x14ac:dyDescent="0.25">
      <c r="A316"/>
    </row>
    <row r="317" spans="1:1" s="37" customFormat="1" x14ac:dyDescent="0.25">
      <c r="A317"/>
    </row>
    <row r="318" spans="1:1" s="37" customFormat="1" x14ac:dyDescent="0.25">
      <c r="A318"/>
    </row>
    <row r="319" spans="1:1" s="37" customFormat="1" x14ac:dyDescent="0.25">
      <c r="A319"/>
    </row>
    <row r="320" spans="1:1" s="37" customFormat="1" x14ac:dyDescent="0.25">
      <c r="A320"/>
    </row>
    <row r="321" spans="1:19" s="37" customFormat="1" x14ac:dyDescent="0.25">
      <c r="A321"/>
    </row>
    <row r="322" spans="1:19" s="37" customFormat="1" x14ac:dyDescent="0.25">
      <c r="A322"/>
    </row>
    <row r="323" spans="1:19" s="37" customFormat="1" x14ac:dyDescent="0.25">
      <c r="A323"/>
    </row>
    <row r="324" spans="1:19" s="37" customFormat="1" x14ac:dyDescent="0.25">
      <c r="A324"/>
    </row>
    <row r="325" spans="1:19" s="37" customFormat="1" x14ac:dyDescent="0.25">
      <c r="A325"/>
    </row>
    <row r="326" spans="1:19" s="37" customFormat="1" x14ac:dyDescent="0.25">
      <c r="A326"/>
    </row>
    <row r="327" spans="1:19" s="37" customFormat="1" x14ac:dyDescent="0.25">
      <c r="A327"/>
    </row>
    <row r="328" spans="1:19" s="37" customFormat="1" x14ac:dyDescent="0.25">
      <c r="A328"/>
    </row>
    <row r="329" spans="1:19" s="37" customFormat="1" x14ac:dyDescent="0.25">
      <c r="A329"/>
    </row>
    <row r="330" spans="1:19" s="37" customFormat="1" x14ac:dyDescent="0.25">
      <c r="A330"/>
    </row>
    <row r="331" spans="1:19" s="37" customFormat="1" x14ac:dyDescent="0.25">
      <c r="A331"/>
    </row>
    <row r="332" spans="1:19" s="37" customFormat="1" x14ac:dyDescent="0.25">
      <c r="A332"/>
    </row>
    <row r="333" spans="1:19" s="37" customFormat="1" x14ac:dyDescent="0.25">
      <c r="A333"/>
    </row>
    <row r="334" spans="1:19" s="37" customFormat="1" x14ac:dyDescent="0.25">
      <c r="A334"/>
    </row>
    <row r="335" spans="1:19" x14ac:dyDescent="0.25">
      <c r="R335" s="37"/>
      <c r="S335" s="37"/>
    </row>
    <row r="336" spans="1:19" x14ac:dyDescent="0.25">
      <c r="R336" s="37"/>
      <c r="S336" s="37"/>
    </row>
  </sheetData>
  <autoFilter ref="A1:S336" xr:uid="{9D6099C7-E38F-407D-921B-B4FC9F4F1BE4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19E77-906C-445F-A792-81820EA08128}">
  <dimension ref="A4:F75"/>
  <sheetViews>
    <sheetView zoomScale="115" zoomScaleNormal="115" workbookViewId="0">
      <selection activeCell="J21" sqref="J21"/>
    </sheetView>
  </sheetViews>
  <sheetFormatPr defaultRowHeight="15" x14ac:dyDescent="0.25"/>
  <cols>
    <col min="1" max="1" width="26.7109375" bestFit="1" customWidth="1"/>
    <col min="2" max="2" width="10.5703125" customWidth="1"/>
    <col min="5" max="5" width="10" customWidth="1"/>
    <col min="6" max="6" width="10.5703125" customWidth="1"/>
  </cols>
  <sheetData>
    <row r="4" spans="1:6" x14ac:dyDescent="0.25">
      <c r="A4" t="s">
        <v>209</v>
      </c>
      <c r="B4" t="s">
        <v>669</v>
      </c>
      <c r="C4" t="s">
        <v>192</v>
      </c>
      <c r="D4" t="s">
        <v>687</v>
      </c>
    </row>
    <row r="5" spans="1:6" x14ac:dyDescent="0.25">
      <c r="A5">
        <v>1</v>
      </c>
      <c r="B5" s="39">
        <f>AVERAGEIF(Agibility!F:F,'Tier Agibility'!A5,Agibility!L:L)</f>
        <v>7.0128104221486565</v>
      </c>
      <c r="C5">
        <f>ROUNDUP(Table2[[#This Row],[Agibility]],0)</f>
        <v>8</v>
      </c>
      <c r="D5" s="45">
        <f>1/Table2[[#This Row],[Column1]]</f>
        <v>0.125</v>
      </c>
    </row>
    <row r="6" spans="1:6" x14ac:dyDescent="0.25">
      <c r="A6">
        <v>2</v>
      </c>
      <c r="B6" s="39">
        <f>AVERAGEIF(Agibility!F:F,'Tier Agibility'!A6,Agibility!L:L)</f>
        <v>12.053001165501165</v>
      </c>
      <c r="C6">
        <f>ROUNDUP(Table2[[#This Row],[Agibility]],0)</f>
        <v>13</v>
      </c>
      <c r="D6" s="45">
        <f>1/Table2[[#This Row],[Column1]]</f>
        <v>7.6923076923076927E-2</v>
      </c>
    </row>
    <row r="7" spans="1:6" x14ac:dyDescent="0.25">
      <c r="A7">
        <v>3</v>
      </c>
      <c r="B7" s="39">
        <f>AVERAGEIF(Agibility!F:F,'Tier Agibility'!A7,Agibility!L:L)</f>
        <v>17.696696696696694</v>
      </c>
      <c r="C7">
        <f>ROUNDUP(Table2[[#This Row],[Agibility]],0)</f>
        <v>18</v>
      </c>
      <c r="D7" s="45">
        <f>1/Table2[[#This Row],[Column1]]</f>
        <v>5.5555555555555552E-2</v>
      </c>
    </row>
    <row r="8" spans="1:6" x14ac:dyDescent="0.25">
      <c r="A8">
        <v>4</v>
      </c>
      <c r="B8" s="39">
        <f>AVERAGEIF(Agibility!F:F,'Tier Agibility'!A8,Agibility!L:L)</f>
        <v>22.285714285714285</v>
      </c>
      <c r="C8">
        <f>ROUNDUP(Table2[[#This Row],[Agibility]],0)</f>
        <v>23</v>
      </c>
      <c r="D8" s="45">
        <f>1/Table2[[#This Row],[Column1]]</f>
        <v>4.3478260869565216E-2</v>
      </c>
    </row>
    <row r="13" spans="1:6" x14ac:dyDescent="0.25">
      <c r="E13" s="37"/>
      <c r="F13" s="37"/>
    </row>
    <row r="14" spans="1:6" x14ac:dyDescent="0.25">
      <c r="A14" t="s">
        <v>256</v>
      </c>
      <c r="B14" t="s">
        <v>669</v>
      </c>
      <c r="E14" t="s">
        <v>0</v>
      </c>
      <c r="F14" t="s">
        <v>669</v>
      </c>
    </row>
    <row r="15" spans="1:6" x14ac:dyDescent="0.25">
      <c r="A15" t="s">
        <v>285</v>
      </c>
      <c r="B15" s="18">
        <f>IFERROR(AVERAGEIF(Agibility!E:E,'Tier Agibility'!A15,Agibility!L:L)," ")</f>
        <v>17</v>
      </c>
      <c r="E15">
        <v>1965</v>
      </c>
      <c r="F15" s="18">
        <f>IFERROR(AVERAGEIF(Agibility!B:B,'Tier Agibility'!E15,Agibility!L:L)," ")</f>
        <v>55</v>
      </c>
    </row>
    <row r="16" spans="1:6" x14ac:dyDescent="0.25">
      <c r="A16" t="s">
        <v>264</v>
      </c>
      <c r="B16" s="18">
        <f>IFERROR(AVERAGEIF(Agibility!E:E,'Tier Agibility'!A16,Agibility!L:L)," ")</f>
        <v>20.666666666666668</v>
      </c>
      <c r="E16">
        <v>1977</v>
      </c>
      <c r="F16" s="18" t="str">
        <f>IFERROR(AVERAGEIF(Agibility!B:B,'Tier Agibility'!E16,Agibility!L:L)," ")</f>
        <v xml:space="preserve"> </v>
      </c>
    </row>
    <row r="17" spans="1:6" x14ac:dyDescent="0.25">
      <c r="A17" t="s">
        <v>313</v>
      </c>
      <c r="B17" s="18">
        <f>IFERROR(AVERAGEIF(Agibility!E:E,'Tier Agibility'!A17,Agibility!L:L)," ")</f>
        <v>17.25</v>
      </c>
      <c r="E17">
        <v>1995</v>
      </c>
      <c r="F17" s="18">
        <f>IFERROR(AVERAGEIF(Agibility!B:B,'Tier Agibility'!E17,Agibility!L:L)," ")</f>
        <v>17</v>
      </c>
    </row>
    <row r="18" spans="1:6" x14ac:dyDescent="0.25">
      <c r="A18" t="s">
        <v>249</v>
      </c>
      <c r="B18" s="18" t="str">
        <f>IFERROR(AVERAGEIF(Agibility!E:E,'Tier Agibility'!A18,Agibility!L:L)," ")</f>
        <v xml:space="preserve"> </v>
      </c>
      <c r="E18">
        <v>1998</v>
      </c>
      <c r="F18" s="18">
        <f>IFERROR(AVERAGEIF(Agibility!B:B,'Tier Agibility'!E18,Agibility!L:L)," ")</f>
        <v>29.333333333333258</v>
      </c>
    </row>
    <row r="19" spans="1:6" x14ac:dyDescent="0.25">
      <c r="A19" t="s">
        <v>271</v>
      </c>
      <c r="B19" s="18" t="str">
        <f>IFERROR(AVERAGEIF(Agibility!E:E,'Tier Agibility'!A19,Agibility!L:L)," ")</f>
        <v xml:space="preserve"> </v>
      </c>
      <c r="E19">
        <v>2000</v>
      </c>
      <c r="F19" s="18">
        <f>IFERROR(AVERAGEIF(Agibility!B:B,'Tier Agibility'!E19,Agibility!L:L)," ")</f>
        <v>60</v>
      </c>
    </row>
    <row r="20" spans="1:6" x14ac:dyDescent="0.25">
      <c r="A20" t="s">
        <v>268</v>
      </c>
      <c r="B20" s="18">
        <f>IFERROR(AVERAGEIF(Agibility!E:E,'Tier Agibility'!A20,Agibility!L:L)," ")</f>
        <v>19</v>
      </c>
      <c r="E20">
        <v>2003</v>
      </c>
      <c r="F20" s="18">
        <f>IFERROR(AVERAGEIF(Agibility!B:B,'Tier Agibility'!E20,Agibility!L:L)," ")</f>
        <v>21</v>
      </c>
    </row>
    <row r="21" spans="1:6" x14ac:dyDescent="0.25">
      <c r="A21" t="s">
        <v>269</v>
      </c>
      <c r="B21" s="18" t="str">
        <f>IFERROR(AVERAGEIF(Agibility!E:E,'Tier Agibility'!A21,Agibility!L:L)," ")</f>
        <v xml:space="preserve"> </v>
      </c>
      <c r="E21">
        <v>2004</v>
      </c>
      <c r="F21" s="18">
        <f>IFERROR(AVERAGEIF(Agibility!B:B,'Tier Agibility'!E21,Agibility!L:L)," ")</f>
        <v>23</v>
      </c>
    </row>
    <row r="22" spans="1:6" x14ac:dyDescent="0.25">
      <c r="A22" t="s">
        <v>266</v>
      </c>
      <c r="B22" s="18">
        <f>IFERROR(AVERAGEIF(Agibility!E:E,'Tier Agibility'!A22,Agibility!L:L)," ")</f>
        <v>13</v>
      </c>
      <c r="E22">
        <v>2005</v>
      </c>
      <c r="F22" s="18">
        <f>IFERROR(AVERAGEIF(Agibility!B:B,'Tier Agibility'!E22,Agibility!L:L)," ")</f>
        <v>22.75</v>
      </c>
    </row>
    <row r="23" spans="1:6" x14ac:dyDescent="0.25">
      <c r="A23" t="s">
        <v>265</v>
      </c>
      <c r="B23" s="18" t="str">
        <f>IFERROR(AVERAGEIF(Agibility!E:E,'Tier Agibility'!A23,Agibility!L:L)," ")</f>
        <v xml:space="preserve"> </v>
      </c>
      <c r="E23">
        <v>2006</v>
      </c>
      <c r="F23" s="18">
        <f>IFERROR(AVERAGEIF(Agibility!B:B,'Tier Agibility'!E23,Agibility!L:L)," ")</f>
        <v>18.833333333333332</v>
      </c>
    </row>
    <row r="24" spans="1:6" x14ac:dyDescent="0.25">
      <c r="A24" t="s">
        <v>279</v>
      </c>
      <c r="B24" s="18" t="str">
        <f>IFERROR(AVERAGEIF(Agibility!E:E,'Tier Agibility'!A24,Agibility!L:L)," ")</f>
        <v xml:space="preserve"> </v>
      </c>
      <c r="E24">
        <v>2007</v>
      </c>
      <c r="F24" s="18">
        <f>IFERROR(AVERAGEIF(Agibility!B:B,'Tier Agibility'!E24,Agibility!L:L)," ")</f>
        <v>20.8</v>
      </c>
    </row>
    <row r="25" spans="1:6" x14ac:dyDescent="0.25">
      <c r="A25" t="s">
        <v>32</v>
      </c>
      <c r="B25" s="18">
        <f>IFERROR(AVERAGEIF(Agibility!E:E,'Tier Agibility'!A25,Agibility!L:L)," ")</f>
        <v>13.857142857142858</v>
      </c>
      <c r="E25">
        <v>2008</v>
      </c>
      <c r="F25" s="18">
        <f>IFERROR(AVERAGEIF(Agibility!B:B,'Tier Agibility'!E25,Agibility!L:L)," ")</f>
        <v>17.666666666666668</v>
      </c>
    </row>
    <row r="26" spans="1:6" x14ac:dyDescent="0.25">
      <c r="A26" t="s">
        <v>401</v>
      </c>
      <c r="B26" s="18">
        <f>IFERROR(AVERAGEIF(Agibility!E:E,'Tier Agibility'!A26,Agibility!L:L)," ")</f>
        <v>6</v>
      </c>
      <c r="E26">
        <v>2009</v>
      </c>
      <c r="F26" s="18">
        <f>IFERROR(AVERAGEIF(Agibility!B:B,'Tier Agibility'!E26,Agibility!L:L)," ")</f>
        <v>17.863636363636363</v>
      </c>
    </row>
    <row r="27" spans="1:6" x14ac:dyDescent="0.25">
      <c r="A27" t="s">
        <v>416</v>
      </c>
      <c r="B27" s="18" t="str">
        <f>IFERROR(AVERAGEIF(Agibility!E:E,'Tier Agibility'!A27,Agibility!L:L)," ")</f>
        <v xml:space="preserve"> </v>
      </c>
      <c r="E27">
        <v>2010</v>
      </c>
      <c r="F27" s="18">
        <f>IFERROR(AVERAGEIF(Agibility!B:B,'Tier Agibility'!E27,Agibility!L:L)," ")</f>
        <v>18.143250688705226</v>
      </c>
    </row>
    <row r="28" spans="1:6" x14ac:dyDescent="0.25">
      <c r="A28" t="s">
        <v>259</v>
      </c>
      <c r="B28" s="18">
        <f>IFERROR(AVERAGEIF(Agibility!E:E,'Tier Agibility'!A28,Agibility!L:L)," ")</f>
        <v>12.5</v>
      </c>
      <c r="E28">
        <v>2011</v>
      </c>
      <c r="F28" s="18">
        <f>IFERROR(AVERAGEIF(Agibility!B:B,'Tier Agibility'!E28,Agibility!L:L)," ")</f>
        <v>15.5</v>
      </c>
    </row>
    <row r="29" spans="1:6" x14ac:dyDescent="0.25">
      <c r="A29" t="s">
        <v>267</v>
      </c>
      <c r="B29" s="18">
        <f>IFERROR(AVERAGEIF(Agibility!E:E,'Tier Agibility'!A29,Agibility!L:L)," ")</f>
        <v>9</v>
      </c>
      <c r="E29">
        <v>2012</v>
      </c>
      <c r="F29" s="18">
        <f>IFERROR(AVERAGEIF(Agibility!B:B,'Tier Agibility'!E29,Agibility!L:L)," ")</f>
        <v>14.3125</v>
      </c>
    </row>
    <row r="30" spans="1:6" x14ac:dyDescent="0.25">
      <c r="A30" t="s">
        <v>310</v>
      </c>
      <c r="B30" s="18">
        <f>IFERROR(AVERAGEIF(Agibility!E:E,'Tier Agibility'!A30,Agibility!L:L)," ")</f>
        <v>8</v>
      </c>
      <c r="E30">
        <v>2013</v>
      </c>
      <c r="F30" s="18">
        <f>IFERROR(AVERAGEIF(Agibility!B:B,'Tier Agibility'!E30,Agibility!L:L)," ")</f>
        <v>15.544444444444443</v>
      </c>
    </row>
    <row r="31" spans="1:6" x14ac:dyDescent="0.25">
      <c r="A31" t="s">
        <v>262</v>
      </c>
      <c r="B31" s="18">
        <f>IFERROR(AVERAGEIF(Agibility!E:E,'Tier Agibility'!A31,Agibility!L:L)," ")</f>
        <v>6.916666666666667</v>
      </c>
      <c r="E31">
        <v>2014</v>
      </c>
      <c r="F31" s="18">
        <f>IFERROR(AVERAGEIF(Agibility!B:B,'Tier Agibility'!E31,Agibility!L:L)," ")</f>
        <v>15.745833333333337</v>
      </c>
    </row>
    <row r="32" spans="1:6" x14ac:dyDescent="0.25">
      <c r="A32" t="s">
        <v>166</v>
      </c>
      <c r="B32" s="18" t="str">
        <f>IFERROR(AVERAGEIF(Agibility!E:E,'Tier Agibility'!A32,Agibility!L:L)," ")</f>
        <v xml:space="preserve"> </v>
      </c>
      <c r="E32">
        <v>2015</v>
      </c>
      <c r="F32" s="18">
        <f>IFERROR(AVERAGEIF(Agibility!B:B,'Tier Agibility'!E32,Agibility!L:L)," ")</f>
        <v>13.765885040885038</v>
      </c>
    </row>
    <row r="33" spans="1:6" x14ac:dyDescent="0.25">
      <c r="A33" t="s">
        <v>147</v>
      </c>
      <c r="B33" s="18">
        <f>IFERROR(AVERAGEIF(Agibility!E:E,'Tier Agibility'!A33,Agibility!L:L)," ")</f>
        <v>6</v>
      </c>
      <c r="E33">
        <v>2016</v>
      </c>
      <c r="F33" s="18">
        <f>IFERROR(AVERAGEIF(Agibility!B:B,'Tier Agibility'!E33,Agibility!L:L)," ")</f>
        <v>13.745474856609311</v>
      </c>
    </row>
    <row r="34" spans="1:6" x14ac:dyDescent="0.25">
      <c r="A34" t="s">
        <v>336</v>
      </c>
      <c r="B34" s="18">
        <f>IFERROR(AVERAGEIF(Agibility!E:E,'Tier Agibility'!A34,Agibility!L:L)," ")</f>
        <v>11.5</v>
      </c>
      <c r="E34">
        <v>2017</v>
      </c>
      <c r="F34" s="18">
        <f>IFERROR(AVERAGEIF(Agibility!B:B,'Tier Agibility'!E34,Agibility!L:L)," ")</f>
        <v>11.844362745098044</v>
      </c>
    </row>
    <row r="35" spans="1:6" x14ac:dyDescent="0.25">
      <c r="A35" t="s">
        <v>110</v>
      </c>
      <c r="B35" s="18">
        <f>IFERROR(AVERAGEIF(Agibility!E:E,'Tier Agibility'!A35,Agibility!L:L)," ")</f>
        <v>16</v>
      </c>
      <c r="E35">
        <v>2018</v>
      </c>
      <c r="F35" s="18">
        <f>IFERROR(AVERAGEIF(Agibility!B:B,'Tier Agibility'!E35,Agibility!L:L)," ")</f>
        <v>6</v>
      </c>
    </row>
    <row r="36" spans="1:6" x14ac:dyDescent="0.25">
      <c r="A36" t="s">
        <v>227</v>
      </c>
      <c r="B36" s="18">
        <f>IFERROR(AVERAGEIF(Agibility!E:E,'Tier Agibility'!A36,Agibility!L:L)," ")</f>
        <v>11</v>
      </c>
      <c r="E36" t="s">
        <v>167</v>
      </c>
      <c r="F36" s="18" t="str">
        <f>IFERROR(AVERAGEIF(Agibility!B:B,'Tier Agibility'!E36,Agibility!L:L)," ")</f>
        <v xml:space="preserve"> </v>
      </c>
    </row>
    <row r="37" spans="1:6" x14ac:dyDescent="0.25">
      <c r="A37" t="s">
        <v>284</v>
      </c>
      <c r="B37" s="18">
        <f>IFERROR(AVERAGEIF(Agibility!E:E,'Tier Agibility'!A37,Agibility!L:L)," ")</f>
        <v>12.666666666666666</v>
      </c>
    </row>
    <row r="38" spans="1:6" x14ac:dyDescent="0.25">
      <c r="A38" t="s">
        <v>283</v>
      </c>
      <c r="B38" s="18" t="str">
        <f>IFERROR(AVERAGEIF(Agibility!E:E,'Tier Agibility'!A38,Agibility!L:L)," ")</f>
        <v xml:space="preserve"> </v>
      </c>
    </row>
    <row r="39" spans="1:6" x14ac:dyDescent="0.25">
      <c r="A39" t="s">
        <v>286</v>
      </c>
      <c r="B39" s="18" t="str">
        <f>IFERROR(AVERAGEIF(Agibility!E:E,'Tier Agibility'!A39,Agibility!L:L)," ")</f>
        <v xml:space="preserve"> </v>
      </c>
    </row>
    <row r="40" spans="1:6" x14ac:dyDescent="0.25">
      <c r="A40" t="s">
        <v>417</v>
      </c>
      <c r="B40" s="18">
        <f>IFERROR(AVERAGEIF(Agibility!E:E,'Tier Agibility'!A40,Agibility!L:L)," ")</f>
        <v>8.2000000000000455</v>
      </c>
    </row>
    <row r="41" spans="1:6" x14ac:dyDescent="0.25">
      <c r="A41" t="s">
        <v>624</v>
      </c>
      <c r="B41" s="18" t="str">
        <f>IFERROR(AVERAGEIF(Agibility!E:E,'Tier Agibility'!A41,Agibility!L:L)," ")</f>
        <v xml:space="preserve"> </v>
      </c>
    </row>
    <row r="42" spans="1:6" x14ac:dyDescent="0.25">
      <c r="A42" t="s">
        <v>281</v>
      </c>
      <c r="B42" s="18">
        <f>IFERROR(AVERAGEIF(Agibility!E:E,'Tier Agibility'!A42,Agibility!L:L)," ")</f>
        <v>5.333333333333333</v>
      </c>
    </row>
    <row r="43" spans="1:6" x14ac:dyDescent="0.25">
      <c r="A43" t="s">
        <v>363</v>
      </c>
      <c r="B43" s="18">
        <f>IFERROR(AVERAGEIF(Agibility!E:E,'Tier Agibility'!A43,Agibility!L:L)," ")</f>
        <v>13</v>
      </c>
    </row>
    <row r="44" spans="1:6" x14ac:dyDescent="0.25">
      <c r="A44" t="s">
        <v>612</v>
      </c>
      <c r="B44" s="18">
        <f>IFERROR(AVERAGEIF(Agibility!E:E,'Tier Agibility'!A44,Agibility!L:L)," ")</f>
        <v>7</v>
      </c>
    </row>
    <row r="45" spans="1:6" x14ac:dyDescent="0.25">
      <c r="A45" t="s">
        <v>275</v>
      </c>
      <c r="B45" s="18">
        <f>IFERROR(AVERAGEIF(Agibility!E:E,'Tier Agibility'!A45,Agibility!L:L)," ")</f>
        <v>16</v>
      </c>
    </row>
    <row r="46" spans="1:6" x14ac:dyDescent="0.25">
      <c r="A46" t="s">
        <v>282</v>
      </c>
      <c r="B46" s="18">
        <f>IFERROR(AVERAGEIF(Agibility!E:E,'Tier Agibility'!A46,Agibility!L:L)," ")</f>
        <v>14</v>
      </c>
    </row>
    <row r="47" spans="1:6" x14ac:dyDescent="0.25">
      <c r="A47" t="s">
        <v>1226</v>
      </c>
      <c r="B47" s="18">
        <f>IFERROR(AVERAGEIF(Agibility!E:E,'Tier Agibility'!A47,Agibility!L:L)," ")</f>
        <v>5</v>
      </c>
    </row>
    <row r="48" spans="1:6" x14ac:dyDescent="0.25">
      <c r="A48" t="s">
        <v>1224</v>
      </c>
      <c r="B48" s="18">
        <f>IFERROR(AVERAGEIF(Agibility!E:E,'Tier Agibility'!A48,Agibility!L:L)," ")</f>
        <v>10</v>
      </c>
    </row>
    <row r="49" spans="1:2" x14ac:dyDescent="0.25">
      <c r="A49" t="s">
        <v>270</v>
      </c>
      <c r="B49" s="18" t="str">
        <f>IFERROR(AVERAGEIF(Agibility!E:E,'Tier Agibility'!A49,Agibility!L:L)," ")</f>
        <v xml:space="preserve"> </v>
      </c>
    </row>
    <row r="50" spans="1:2" x14ac:dyDescent="0.25">
      <c r="A50" t="s">
        <v>288</v>
      </c>
      <c r="B50" s="18" t="str">
        <f>IFERROR(AVERAGEIF(Agibility!E:E,'Tier Agibility'!A50,Agibility!L:L)," ")</f>
        <v xml:space="preserve"> </v>
      </c>
    </row>
    <row r="51" spans="1:2" x14ac:dyDescent="0.25">
      <c r="A51" t="s">
        <v>607</v>
      </c>
      <c r="B51" s="18">
        <f>IFERROR(AVERAGEIF(Agibility!E:E,'Tier Agibility'!A51,Agibility!L:L)," ")</f>
        <v>7.6666666666667425</v>
      </c>
    </row>
    <row r="52" spans="1:2" x14ac:dyDescent="0.25">
      <c r="A52" t="s">
        <v>351</v>
      </c>
      <c r="B52" s="18" t="str">
        <f>IFERROR(AVERAGEIF(Agibility!E:E,'Tier Agibility'!A52,Agibility!L:L)," ")</f>
        <v xml:space="preserve"> </v>
      </c>
    </row>
    <row r="53" spans="1:2" x14ac:dyDescent="0.25">
      <c r="A53" t="s">
        <v>320</v>
      </c>
      <c r="B53" s="18">
        <f>IFERROR(AVERAGEIF(Agibility!E:E,'Tier Agibility'!A53,Agibility!L:L)," ")</f>
        <v>16</v>
      </c>
    </row>
    <row r="54" spans="1:2" x14ac:dyDescent="0.25">
      <c r="A54" t="s">
        <v>263</v>
      </c>
      <c r="B54" s="18">
        <f>IFERROR(AVERAGEIF(Agibility!E:E,'Tier Agibility'!A54,Agibility!L:L)," ")</f>
        <v>12</v>
      </c>
    </row>
    <row r="55" spans="1:2" x14ac:dyDescent="0.25">
      <c r="A55" t="s">
        <v>257</v>
      </c>
      <c r="B55" s="18">
        <f>IFERROR(AVERAGEIF(Agibility!E:E,'Tier Agibility'!A55,Agibility!L:L)," ")</f>
        <v>40.5</v>
      </c>
    </row>
    <row r="56" spans="1:2" x14ac:dyDescent="0.25">
      <c r="A56" t="s">
        <v>588</v>
      </c>
      <c r="B56" s="18">
        <f>IFERROR(AVERAGEIF(Agibility!E:E,'Tier Agibility'!A56,Agibility!L:L)," ")</f>
        <v>8</v>
      </c>
    </row>
    <row r="57" spans="1:2" x14ac:dyDescent="0.25">
      <c r="A57" t="s">
        <v>274</v>
      </c>
      <c r="B57" s="18">
        <f>IFERROR(AVERAGEIF(Agibility!E:E,'Tier Agibility'!A57,Agibility!L:L)," ")</f>
        <v>14.5</v>
      </c>
    </row>
    <row r="58" spans="1:2" x14ac:dyDescent="0.25">
      <c r="A58" t="s">
        <v>639</v>
      </c>
      <c r="B58" s="18" t="str">
        <f>IFERROR(AVERAGEIF(Agibility!E:E,'Tier Agibility'!A58,Agibility!L:L)," ")</f>
        <v xml:space="preserve"> </v>
      </c>
    </row>
    <row r="59" spans="1:2" x14ac:dyDescent="0.25">
      <c r="A59" t="s">
        <v>637</v>
      </c>
      <c r="B59" s="18" t="str">
        <f>IFERROR(AVERAGEIF(Agibility!E:E,'Tier Agibility'!A59,Agibility!L:L)," ")</f>
        <v xml:space="preserve"> </v>
      </c>
    </row>
    <row r="60" spans="1:2" x14ac:dyDescent="0.25">
      <c r="A60" t="s">
        <v>272</v>
      </c>
      <c r="B60" s="18">
        <f>IFERROR(AVERAGEIF(Agibility!E:E,'Tier Agibility'!A60,Agibility!L:L)," ")</f>
        <v>13</v>
      </c>
    </row>
    <row r="61" spans="1:2" x14ac:dyDescent="0.25">
      <c r="A61" t="s">
        <v>280</v>
      </c>
      <c r="B61" s="18">
        <f>IFERROR(AVERAGEIF(Agibility!E:E,'Tier Agibility'!A61,Agibility!L:L)," ")</f>
        <v>16.652173913043477</v>
      </c>
    </row>
    <row r="62" spans="1:2" x14ac:dyDescent="0.25">
      <c r="A62" t="s">
        <v>399</v>
      </c>
      <c r="B62" s="18">
        <f>IFERROR(AVERAGEIF(Agibility!E:E,'Tier Agibility'!A62,Agibility!L:L)," ")</f>
        <v>13.75</v>
      </c>
    </row>
    <row r="63" spans="1:2" x14ac:dyDescent="0.25">
      <c r="A63" t="s">
        <v>260</v>
      </c>
      <c r="B63" s="18">
        <f>IFERROR(AVERAGEIF(Agibility!E:E,'Tier Agibility'!A63,Agibility!L:L)," ")</f>
        <v>30</v>
      </c>
    </row>
    <row r="64" spans="1:2" x14ac:dyDescent="0.25">
      <c r="A64" t="s">
        <v>1202</v>
      </c>
      <c r="B64" s="18" t="str">
        <f>IFERROR(AVERAGEIF(Agibility!E:E,'Tier Agibility'!A64,Agibility!L:L)," ")</f>
        <v xml:space="preserve"> </v>
      </c>
    </row>
    <row r="65" spans="1:2" x14ac:dyDescent="0.25">
      <c r="A65" t="s">
        <v>400</v>
      </c>
      <c r="B65" s="18">
        <f>IFERROR(AVERAGEIF(Agibility!E:E,'Tier Agibility'!A65,Agibility!L:L)," ")</f>
        <v>19</v>
      </c>
    </row>
    <row r="66" spans="1:2" x14ac:dyDescent="0.25">
      <c r="A66" t="s">
        <v>261</v>
      </c>
      <c r="B66" s="18">
        <f>IFERROR(AVERAGEIF(Agibility!E:E,'Tier Agibility'!A66,Agibility!L:L)," ")</f>
        <v>8</v>
      </c>
    </row>
    <row r="67" spans="1:2" x14ac:dyDescent="0.25">
      <c r="A67" t="s">
        <v>278</v>
      </c>
      <c r="B67" s="18">
        <f>IFERROR(AVERAGEIF(Agibility!E:E,'Tier Agibility'!A67,Agibility!L:L)," ")</f>
        <v>10.5</v>
      </c>
    </row>
    <row r="68" spans="1:2" x14ac:dyDescent="0.25">
      <c r="A68" t="s">
        <v>276</v>
      </c>
      <c r="B68" s="18">
        <f>IFERROR(AVERAGEIF(Agibility!E:E,'Tier Agibility'!A68,Agibility!L:L)," ")</f>
        <v>13.111111111111086</v>
      </c>
    </row>
    <row r="69" spans="1:2" x14ac:dyDescent="0.25">
      <c r="A69" t="s">
        <v>277</v>
      </c>
      <c r="B69" s="18">
        <f>IFERROR(AVERAGEIF(Agibility!E:E,'Tier Agibility'!A69,Agibility!L:L)," ")</f>
        <v>15.666666666666666</v>
      </c>
    </row>
    <row r="70" spans="1:2" x14ac:dyDescent="0.25">
      <c r="A70" t="s">
        <v>211</v>
      </c>
      <c r="B70" s="18" t="str">
        <f>IFERROR(AVERAGEIF(Agibility!E:E,'Tier Agibility'!A70,Agibility!L:L)," ")</f>
        <v xml:space="preserve"> </v>
      </c>
    </row>
    <row r="71" spans="1:2" x14ac:dyDescent="0.25">
      <c r="A71" t="s">
        <v>287</v>
      </c>
      <c r="B71" s="18" t="str">
        <f>IFERROR(AVERAGEIF(Agibility!E:E,'Tier Agibility'!A71,Agibility!L:L)," ")</f>
        <v xml:space="preserve"> </v>
      </c>
    </row>
    <row r="72" spans="1:2" x14ac:dyDescent="0.25">
      <c r="A72" t="s">
        <v>382</v>
      </c>
      <c r="B72" s="18" t="str">
        <f>IFERROR(AVERAGEIF(Agibility!E:E,'Tier Agibility'!A72,Agibility!L:L)," ")</f>
        <v xml:space="preserve"> </v>
      </c>
    </row>
    <row r="73" spans="1:2" x14ac:dyDescent="0.25">
      <c r="A73" t="s">
        <v>377</v>
      </c>
      <c r="B73" s="18" t="str">
        <f>IFERROR(AVERAGEIF(Agibility!E:E,'Tier Agibility'!A73,Agibility!L:L)," ")</f>
        <v xml:space="preserve"> </v>
      </c>
    </row>
    <row r="74" spans="1:2" x14ac:dyDescent="0.25">
      <c r="A74" t="s">
        <v>151</v>
      </c>
      <c r="B74" s="18">
        <f>IFERROR(AVERAGEIF(Agibility!E:E,'Tier Agibility'!A74,Agibility!L:L)," ")</f>
        <v>14</v>
      </c>
    </row>
    <row r="75" spans="1:2" x14ac:dyDescent="0.25">
      <c r="A75" t="s">
        <v>273</v>
      </c>
      <c r="B75" s="18">
        <f>IFERROR(AVERAGEIF(Agibility!E:E,'Tier Agibility'!A75,Agibility!L:L)," ")</f>
        <v>7</v>
      </c>
    </row>
  </sheetData>
  <sortState xmlns:xlrd2="http://schemas.microsoft.com/office/spreadsheetml/2017/richdata2" ref="A16:A232">
    <sortCondition ref="A16:A232"/>
  </sortState>
  <phoneticPr fontId="19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CEBC-927D-419B-9462-31E00B3F1AA9}">
  <dimension ref="A1:AK46"/>
  <sheetViews>
    <sheetView workbookViewId="0">
      <pane xSplit="1" ySplit="2" topLeftCell="J3" activePane="bottomRight" state="frozen"/>
      <selection pane="topRight" activeCell="B1" sqref="B1"/>
      <selection pane="bottomLeft" activeCell="A3" sqref="A3"/>
      <selection pane="bottomRight" activeCell="J17" sqref="J17"/>
    </sheetView>
  </sheetViews>
  <sheetFormatPr defaultRowHeight="15" x14ac:dyDescent="0.25"/>
  <cols>
    <col min="1" max="1" width="10.7109375" bestFit="1" customWidth="1"/>
    <col min="2" max="2" width="10.7109375" style="37" customWidth="1"/>
    <col min="3" max="8" width="10.7109375" style="21" customWidth="1"/>
    <col min="9" max="9" width="11.5703125" style="21" bestFit="1" customWidth="1"/>
    <col min="10" max="12" width="10.7109375" style="37" customWidth="1"/>
    <col min="15" max="15" width="9.140625" style="24"/>
    <col min="16" max="16" width="9.140625" style="40"/>
    <col min="17" max="17" width="9.140625" style="24"/>
    <col min="18" max="18" width="9.140625" style="40"/>
    <col min="19" max="19" width="9.140625" style="24"/>
    <col min="20" max="20" width="9.140625" style="40"/>
    <col min="21" max="21" width="9.140625" style="24"/>
    <col min="22" max="22" width="9.140625" style="40"/>
    <col min="23" max="23" width="9.140625" style="41"/>
    <col min="24" max="24" width="9.140625" style="9"/>
    <col min="25" max="25" width="11.5703125" bestFit="1" customWidth="1"/>
    <col min="27" max="27" width="9.140625" style="37"/>
    <col min="28" max="28" width="11.140625" customWidth="1"/>
    <col min="29" max="29" width="10.5703125" bestFit="1" customWidth="1"/>
    <col min="30" max="30" width="10.5703125" style="37" customWidth="1"/>
    <col min="31" max="31" width="11.28515625" bestFit="1" customWidth="1"/>
    <col min="33" max="33" width="10.5703125" style="43" bestFit="1" customWidth="1"/>
    <col min="34" max="34" width="10.5703125" bestFit="1" customWidth="1"/>
    <col min="35" max="35" width="11.5703125" bestFit="1" customWidth="1"/>
  </cols>
  <sheetData>
    <row r="1" spans="1:37" s="37" customFormat="1" x14ac:dyDescent="0.25">
      <c r="A1" s="1">
        <f ca="1">TODAY()</f>
        <v>44094</v>
      </c>
      <c r="B1" s="1"/>
      <c r="C1" s="21">
        <v>1</v>
      </c>
      <c r="D1" s="21">
        <v>2</v>
      </c>
      <c r="E1" s="21">
        <v>3</v>
      </c>
      <c r="F1" s="21">
        <v>4</v>
      </c>
      <c r="G1" s="21">
        <v>1</v>
      </c>
      <c r="H1" s="21">
        <v>2</v>
      </c>
      <c r="I1" s="21">
        <v>3</v>
      </c>
      <c r="J1" s="21">
        <v>4</v>
      </c>
      <c r="K1" s="1"/>
      <c r="L1" s="1"/>
      <c r="O1" s="24">
        <v>1</v>
      </c>
      <c r="P1" s="40">
        <v>1</v>
      </c>
      <c r="Q1" s="24">
        <v>2</v>
      </c>
      <c r="R1" s="40">
        <v>2</v>
      </c>
      <c r="S1" s="24">
        <v>3</v>
      </c>
      <c r="T1" s="40">
        <v>3</v>
      </c>
      <c r="U1" s="24">
        <v>4</v>
      </c>
      <c r="V1" s="40">
        <v>4</v>
      </c>
      <c r="W1" s="41">
        <v>1</v>
      </c>
      <c r="X1" s="9"/>
      <c r="Y1" s="37">
        <v>1</v>
      </c>
      <c r="Z1" s="37">
        <v>2</v>
      </c>
      <c r="AB1" s="37">
        <v>2</v>
      </c>
      <c r="AC1" s="37">
        <v>3</v>
      </c>
      <c r="AD1" s="19">
        <v>3</v>
      </c>
      <c r="AE1" s="37">
        <v>3</v>
      </c>
      <c r="AF1" s="37">
        <v>4</v>
      </c>
      <c r="AG1" s="43">
        <v>4</v>
      </c>
      <c r="AH1" s="19" t="s">
        <v>676</v>
      </c>
      <c r="AI1" s="19"/>
      <c r="AJ1" s="19"/>
      <c r="AK1" s="19"/>
    </row>
    <row r="2" spans="1:37" x14ac:dyDescent="0.25">
      <c r="A2" t="str">
        <f ca="1">TEXT(A1,"YYYY")</f>
        <v>2020</v>
      </c>
      <c r="C2" s="47">
        <f>VLOOKUP(C1,Table2[[Teir]:[Rate]],4,FALSE)</f>
        <v>0.125</v>
      </c>
      <c r="D2" s="47">
        <f>VLOOKUP(D1,Table2[[Teir]:[Rate]],4,FALSE)</f>
        <v>7.6923076923076927E-2</v>
      </c>
      <c r="E2" s="47">
        <f>VLOOKUP(E1,Table2[[Teir]:[Rate]],4,FALSE)</f>
        <v>5.5555555555555552E-2</v>
      </c>
      <c r="F2" s="47">
        <f>VLOOKUP(F1,Table2[[Teir]:[Rate]],4,FALSE)</f>
        <v>4.3478260869565216E-2</v>
      </c>
      <c r="G2" s="47"/>
      <c r="H2" s="47"/>
      <c r="I2" s="47"/>
      <c r="L2" s="37" t="s">
        <v>678</v>
      </c>
      <c r="M2" s="37" t="s">
        <v>436</v>
      </c>
      <c r="N2" s="37" t="s">
        <v>437</v>
      </c>
      <c r="O2" s="24" t="s">
        <v>665</v>
      </c>
      <c r="P2" s="40" t="s">
        <v>666</v>
      </c>
      <c r="Q2" s="24" t="s">
        <v>665</v>
      </c>
      <c r="R2" s="40" t="s">
        <v>666</v>
      </c>
      <c r="S2" s="24" t="s">
        <v>665</v>
      </c>
      <c r="T2" s="40" t="s">
        <v>666</v>
      </c>
      <c r="U2" s="24" t="s">
        <v>665</v>
      </c>
      <c r="V2" s="40" t="s">
        <v>666</v>
      </c>
      <c r="W2" s="41" t="s">
        <v>665</v>
      </c>
      <c r="Y2" t="s">
        <v>666</v>
      </c>
      <c r="Z2" t="s">
        <v>665</v>
      </c>
      <c r="AB2" t="s">
        <v>666</v>
      </c>
      <c r="AC2" t="s">
        <v>665</v>
      </c>
      <c r="AD2" s="37" t="s">
        <v>1512</v>
      </c>
      <c r="AE2" t="s">
        <v>666</v>
      </c>
      <c r="AF2" t="s">
        <v>665</v>
      </c>
      <c r="AG2" s="43" t="s">
        <v>666</v>
      </c>
      <c r="AH2" s="19" t="s">
        <v>665</v>
      </c>
      <c r="AI2" s="19" t="s">
        <v>677</v>
      </c>
      <c r="AJ2" s="19"/>
      <c r="AK2" s="19"/>
    </row>
    <row r="3" spans="1:37" x14ac:dyDescent="0.25">
      <c r="A3">
        <v>2020</v>
      </c>
      <c r="B3" s="37">
        <f t="shared" ref="B3:B43" ca="1" si="0">A3-$A$2</f>
        <v>0</v>
      </c>
      <c r="C3" s="47">
        <f t="shared" ref="C3:C43" ca="1" si="1">IF(1-$B3*C$2&lt;=0,0,1-$B3*C$2)</f>
        <v>1</v>
      </c>
      <c r="D3" s="47">
        <f t="shared" ref="D3:F18" ca="1" si="2">IF(1-$B3*D$2&lt;=0,0,1-$B3*D$2)</f>
        <v>1</v>
      </c>
      <c r="E3" s="47">
        <f t="shared" ca="1" si="2"/>
        <v>1</v>
      </c>
      <c r="F3" s="47">
        <f t="shared" ca="1" si="2"/>
        <v>1</v>
      </c>
      <c r="G3" s="50">
        <f ca="1">C3*VLOOKUP(G$1,Expenses!$B$45:$H$48,7,FALSE)*$L3</f>
        <v>36.328767123287676</v>
      </c>
      <c r="H3" s="50">
        <f ca="1">D3*VLOOKUP(H$1,Expenses!$B$45:$H$48,7,FALSE)*$L3</f>
        <v>14.53150684931507</v>
      </c>
      <c r="I3" s="50">
        <f ca="1">E3*VLOOKUP(I$1,Expenses!$B$45:$H$48,7,FALSE)*$L3</f>
        <v>10.06027397260274</v>
      </c>
      <c r="J3" s="50">
        <f ca="1">F3*VLOOKUP(J$1,Expenses!$B$45:$H$48,7,FALSE)*$L3</f>
        <v>2.515068493150685</v>
      </c>
      <c r="K3" s="37">
        <f ca="1">DATE(YEAR(A1),12,31)-A1</f>
        <v>102</v>
      </c>
      <c r="L3" s="46">
        <f t="shared" ref="L3:L43" ca="1" si="3">IF(K3/365&gt;=1,1,K3/365)</f>
        <v>0.27945205479452057</v>
      </c>
      <c r="M3" s="37">
        <f>SUMIF(Wine1!AA:AA,A3,Wine1!I:I)</f>
        <v>133</v>
      </c>
      <c r="N3" s="37">
        <f>IFERROR(AVERAGEIF(Wine1!AA:AA,A3,Wine1!Z:Z),0)</f>
        <v>91.429782798900462</v>
      </c>
      <c r="O3" s="24">
        <f>COUNTIFS(Wine1!$AA:$AA,'Drink Dates 2'!$A3,Wine1!$AF:$AF,'Drink Dates 2'!O$1)</f>
        <v>55</v>
      </c>
      <c r="P3" s="48">
        <f t="shared" ref="P3:P43" ca="1" si="4">ROUND(G3-O3,0)</f>
        <v>-19</v>
      </c>
      <c r="Q3" s="24">
        <f>COUNTIFS(Wine1!$AA:$AA,'Drink Dates 2'!$A3,Wine1!$AF:$AF,'Drink Dates 2'!Q$1)</f>
        <v>33</v>
      </c>
      <c r="R3" s="48">
        <f t="shared" ref="R3:R43" ca="1" si="5">ROUND(H3-Q3,0)</f>
        <v>-18</v>
      </c>
      <c r="S3" s="24">
        <f>COUNTIFS(Wine1!$AA:$AA,'Drink Dates 2'!$A3,Wine1!$AF:$AF,'Drink Dates 2'!S$1)</f>
        <v>38</v>
      </c>
      <c r="T3" s="48">
        <f t="shared" ref="T3:T43" ca="1" si="6">ROUND(I3-S3,0)</f>
        <v>-28</v>
      </c>
      <c r="U3" s="24">
        <f>COUNTIFS(Wine1!$AA:$AA,'Drink Dates 2'!$A3,Wine1!$AF:$AF,'Drink Dates 2'!U$1)</f>
        <v>7</v>
      </c>
      <c r="V3" s="48">
        <f t="shared" ref="V3:V43" ca="1" si="7">ROUND(J3-U3,0)</f>
        <v>-4</v>
      </c>
      <c r="W3" s="42">
        <f>SUMIFS(Wine1!AB:AB,Wine1!AF:AF,'Drink Dates 2'!W$1,Wine1!AA:AA,'Drink Dates 2'!$A3)</f>
        <v>660.78682554372995</v>
      </c>
      <c r="X3" s="70" t="e">
        <f ca="1">VLOOKUP($X$1,Expenses!$B$44:$K$48,3,FALSE)*G3</f>
        <v>#N/A</v>
      </c>
      <c r="Y3" s="2">
        <f ca="1">IF($A3-$A$2&lt;=VLOOKUP(Y$1,Table2[],3,FALSE),VLOOKUP('Drink Dates 2'!Y$1,Expenses!$B$44:$K$48,10,FALSE)*$L3-W3,0)*C3</f>
        <v>-167.74542721336172</v>
      </c>
      <c r="Z3" s="2">
        <f>SUMIFS(Wine1!$AB:$AB,Wine1!$AF:$AF,'Drink Dates 2'!Z$1,Wine1!$AA:$AA,'Drink Dates 2'!$A3)</f>
        <v>725.09443415199019</v>
      </c>
      <c r="AA3" s="2"/>
      <c r="AB3" s="2">
        <f ca="1">IF($A3-$A$2&lt;=VLOOKUP(AB$1,Table2[],3,FALSE),VLOOKUP('Drink Dates 2'!AB$1,Expenses!$B$44:$K$48,10,FALSE)*$L3-Z3,0)*D3</f>
        <v>-385.83659085161133</v>
      </c>
      <c r="AC3" s="2">
        <f>SUMIFS(Wine1!$AB:$AB,Wine1!$AF:$AF,'Drink Dates 2'!AC$1,Wine1!$AA:$AA,'Drink Dates 2'!$A3)</f>
        <v>1626.0149153242587</v>
      </c>
      <c r="AD3" s="2">
        <f ca="1">VLOOKUP($AD$1,Expenses!$B$44:$K$48,3,FALSE)*I3</f>
        <v>439.66794609202702</v>
      </c>
      <c r="AE3" s="2">
        <f ca="1">AD3-AC3</f>
        <v>-1186.3469692322317</v>
      </c>
      <c r="AF3" s="2">
        <f>SUMIFS(Wine1!$AB:$AB,Wine1!$AF:$AF,'Drink Dates 2'!AF$1,Wine1!$AA:$AA,'Drink Dates 2'!$A3)</f>
        <v>503.13</v>
      </c>
      <c r="AG3" s="44">
        <f ca="1">IF($A3-$A$2&lt;=VLOOKUP(AG$1,Table2[],3,FALSE),VLOOKUP('Drink Dates 2'!AG$1,Expenses!$B$44:$K$48,10,FALSE)*$L3-AF3,0)*F3</f>
        <v>-236.39657912139819</v>
      </c>
      <c r="AH3" s="11">
        <f t="shared" ref="AH3:AH43" si="8">SUM(W3,Z3,AC3,AF3)</f>
        <v>3515.0261750199788</v>
      </c>
      <c r="AI3" s="11">
        <f t="shared" ref="AI3:AI43" ca="1" si="9">SUM(Y3,AB3,AE3,AG3)</f>
        <v>-1976.3255664186029</v>
      </c>
    </row>
    <row r="4" spans="1:37" x14ac:dyDescent="0.25">
      <c r="A4">
        <v>2021</v>
      </c>
      <c r="B4" s="37">
        <f t="shared" ca="1" si="0"/>
        <v>1</v>
      </c>
      <c r="C4" s="47">
        <f t="shared" ca="1" si="1"/>
        <v>0.875</v>
      </c>
      <c r="D4" s="47">
        <f t="shared" ca="1" si="2"/>
        <v>0.92307692307692313</v>
      </c>
      <c r="E4" s="47">
        <f t="shared" ca="1" si="2"/>
        <v>0.94444444444444442</v>
      </c>
      <c r="F4" s="47">
        <f t="shared" ca="1" si="2"/>
        <v>0.95652173913043481</v>
      </c>
      <c r="G4" s="50">
        <f ca="1">C4*VLOOKUP(G$1,Expenses!$B$45:$H$48,7,FALSE)*$L4</f>
        <v>113.75</v>
      </c>
      <c r="H4" s="50">
        <f ca="1">D4*VLOOKUP(H$1,Expenses!$B$45:$H$48,7,FALSE)*$L4</f>
        <v>48</v>
      </c>
      <c r="I4" s="50">
        <f ca="1">E4*VLOOKUP(I$1,Expenses!$B$45:$H$48,7,FALSE)*$L4</f>
        <v>34</v>
      </c>
      <c r="J4" s="50">
        <f ca="1">F4*VLOOKUP(J$1,Expenses!$B$45:$H$48,7,FALSE)*$L4</f>
        <v>8.608695652173914</v>
      </c>
      <c r="K4" s="37">
        <f t="shared" ref="K4:K43" ca="1" si="10">K3+365</f>
        <v>467</v>
      </c>
      <c r="L4" s="46">
        <f t="shared" ca="1" si="3"/>
        <v>1</v>
      </c>
      <c r="M4" s="37">
        <f>SUMIF(Wine1!AA:AA,A4,Wine1!I:I)</f>
        <v>154</v>
      </c>
      <c r="N4" s="37">
        <f>IFERROR(AVERAGEIF(Wine1!AA:AA,A4,Wine1!Z:Z),0)</f>
        <v>91.731941886182042</v>
      </c>
      <c r="O4" s="24">
        <f>COUNTIFS(Wine1!$AA:$AA,'Drink Dates 2'!$A4,Wine1!$AF:$AF,'Drink Dates 2'!O$1)</f>
        <v>59</v>
      </c>
      <c r="P4" s="48">
        <f t="shared" ca="1" si="4"/>
        <v>55</v>
      </c>
      <c r="Q4" s="24">
        <f>COUNTIFS(Wine1!$AA:$AA,'Drink Dates 2'!$A4,Wine1!$AF:$AF,'Drink Dates 2'!Q$1)</f>
        <v>42</v>
      </c>
      <c r="R4" s="48">
        <f t="shared" ca="1" si="5"/>
        <v>6</v>
      </c>
      <c r="S4" s="24">
        <f>COUNTIFS(Wine1!$AA:$AA,'Drink Dates 2'!$A4,Wine1!$AF:$AF,'Drink Dates 2'!S$1)</f>
        <v>42</v>
      </c>
      <c r="T4" s="48">
        <f t="shared" ca="1" si="6"/>
        <v>-8</v>
      </c>
      <c r="U4" s="24">
        <f>COUNTIFS(Wine1!$AA:$AA,'Drink Dates 2'!$A4,Wine1!$AF:$AF,'Drink Dates 2'!U$1)</f>
        <v>11</v>
      </c>
      <c r="V4" s="48">
        <f t="shared" ca="1" si="7"/>
        <v>-2</v>
      </c>
      <c r="W4" s="42">
        <f>SUMIFS(Wine1!AB:AB,Wine1!AF:AF,'Drink Dates 2'!W$1,Wine1!AA:AA,'Drink Dates 2'!$A4)</f>
        <v>831.74000000000024</v>
      </c>
      <c r="X4" s="70"/>
      <c r="Y4" s="2">
        <f ca="1">IF($A4-$A$2&lt;=VLOOKUP(Y$1,Table2[],3,FALSE),VLOOKUP('Drink Dates 2'!Y$1,Expenses!$B$44:$K$48,10,FALSE)*$L4-W4,0)*C4</f>
        <v>816.00295678197381</v>
      </c>
      <c r="Z4" s="2">
        <f>SUMIFS(Wine1!$AB:$AB,Wine1!$AF:$AF,'Drink Dates 2'!Z$1,Wine1!$AA:$AA,'Drink Dates 2'!$A4)</f>
        <v>887.38000000000011</v>
      </c>
      <c r="AA4" s="2"/>
      <c r="AB4" s="2">
        <f ca="1">IF($A4-$A$2&lt;=VLOOKUP(AB$1,Table2[],3,FALSE),VLOOKUP('Drink Dates 2'!AB$1,Expenses!$B$44:$K$48,10,FALSE)*$L4-Z4,0)*D4</f>
        <v>301.50545524559521</v>
      </c>
      <c r="AC4" s="2">
        <f>SUMIFS(Wine1!$AB:$AB,Wine1!$AF:$AF,'Drink Dates 2'!AC$1,Wine1!$AA:$AA,'Drink Dates 2'!$A4)</f>
        <v>1698.5400000000002</v>
      </c>
      <c r="AD4" s="2">
        <f ca="1">VLOOKUP($AD$1,Expenses!$B$44:$K$48,3,FALSE)*I4</f>
        <v>1485.9148178110172</v>
      </c>
      <c r="AE4" s="2">
        <f t="shared" ref="AE4:AE43" ca="1" si="11">AD4-AC4</f>
        <v>-212.62518218898299</v>
      </c>
      <c r="AF4" s="2">
        <f>SUMIFS(Wine1!$AB:$AB,Wine1!$AF:$AF,'Drink Dates 2'!AF$1,Wine1!$AA:$AA,'Drink Dates 2'!$A4)</f>
        <v>1069.72</v>
      </c>
      <c r="AG4" s="44">
        <f ca="1">IF($A4-$A$2&lt;=VLOOKUP(AG$1,Table2[],3,FALSE),VLOOKUP('Drink Dates 2'!AG$1,Expenses!$B$44:$K$48,10,FALSE)*$L4-AF4,0)*F4</f>
        <v>-110.22263868065967</v>
      </c>
      <c r="AH4" s="11">
        <f t="shared" si="8"/>
        <v>4487.380000000001</v>
      </c>
      <c r="AI4" s="11">
        <f t="shared" ca="1" si="9"/>
        <v>794.66059115792632</v>
      </c>
    </row>
    <row r="5" spans="1:37" x14ac:dyDescent="0.25">
      <c r="A5">
        <v>2022</v>
      </c>
      <c r="B5" s="37">
        <f t="shared" ca="1" si="0"/>
        <v>2</v>
      </c>
      <c r="C5" s="47">
        <f t="shared" ca="1" si="1"/>
        <v>0.75</v>
      </c>
      <c r="D5" s="47">
        <f t="shared" ca="1" si="2"/>
        <v>0.84615384615384615</v>
      </c>
      <c r="E5" s="47">
        <f t="shared" ca="1" si="2"/>
        <v>0.88888888888888884</v>
      </c>
      <c r="F5" s="47">
        <f t="shared" ca="1" si="2"/>
        <v>0.91304347826086962</v>
      </c>
      <c r="G5" s="50">
        <f ca="1">C5*VLOOKUP(G$1,Expenses!$B$45:$H$48,7,FALSE)*$L5</f>
        <v>97.5</v>
      </c>
      <c r="H5" s="50">
        <f ca="1">D5*VLOOKUP(H$1,Expenses!$B$45:$H$48,7,FALSE)*$L5</f>
        <v>44</v>
      </c>
      <c r="I5" s="50">
        <f ca="1">E5*VLOOKUP(I$1,Expenses!$B$45:$H$48,7,FALSE)*$L5</f>
        <v>32</v>
      </c>
      <c r="J5" s="50">
        <f ca="1">F5*VLOOKUP(J$1,Expenses!$B$45:$H$48,7,FALSE)*$L5</f>
        <v>8.2173913043478262</v>
      </c>
      <c r="K5" s="37">
        <f t="shared" ca="1" si="10"/>
        <v>832</v>
      </c>
      <c r="L5" s="46">
        <f t="shared" ca="1" si="3"/>
        <v>1</v>
      </c>
      <c r="M5" s="37">
        <f>SUMIF(Wine1!AA:AA,A5,Wine1!I:I)</f>
        <v>111</v>
      </c>
      <c r="N5" s="37">
        <f>IFERROR(AVERAGEIF(Wine1!AA:AA,A5,Wine1!Z:Z),0)</f>
        <v>91.760571556513156</v>
      </c>
      <c r="O5" s="24">
        <f>COUNTIFS(Wine1!$AA:$AA,'Drink Dates 2'!$A5,Wine1!$AF:$AF,'Drink Dates 2'!O$1)</f>
        <v>41</v>
      </c>
      <c r="P5" s="48">
        <f t="shared" ca="1" si="4"/>
        <v>57</v>
      </c>
      <c r="Q5" s="24">
        <f>COUNTIFS(Wine1!$AA:$AA,'Drink Dates 2'!$A5,Wine1!$AF:$AF,'Drink Dates 2'!Q$1)</f>
        <v>40</v>
      </c>
      <c r="R5" s="48">
        <f t="shared" ca="1" si="5"/>
        <v>4</v>
      </c>
      <c r="S5" s="24">
        <f>COUNTIFS(Wine1!$AA:$AA,'Drink Dates 2'!$A5,Wine1!$AF:$AF,'Drink Dates 2'!S$1)</f>
        <v>25</v>
      </c>
      <c r="T5" s="48">
        <f t="shared" ca="1" si="6"/>
        <v>7</v>
      </c>
      <c r="U5" s="24">
        <f>COUNTIFS(Wine1!$AA:$AA,'Drink Dates 2'!$A5,Wine1!$AF:$AF,'Drink Dates 2'!U$1)</f>
        <v>5</v>
      </c>
      <c r="V5" s="48">
        <f t="shared" ca="1" si="7"/>
        <v>3</v>
      </c>
      <c r="W5" s="42">
        <f>SUMIFS(Wine1!AB:AB,Wine1!AF:AF,'Drink Dates 2'!W$1,Wine1!AA:AA,'Drink Dates 2'!$A5)</f>
        <v>586.47000000000037</v>
      </c>
      <c r="X5" s="70"/>
      <c r="Y5" s="2">
        <f ca="1">IF($A5-$A$2&lt;=VLOOKUP(Y$1,Table2[],3,FALSE),VLOOKUP('Drink Dates 2'!Y$1,Expenses!$B$44:$K$48,10,FALSE)*$L5-W5,0)*C5</f>
        <v>883.3836058131202</v>
      </c>
      <c r="Z5" s="2">
        <f>SUMIFS(Wine1!$AB:$AB,Wine1!$AF:$AF,'Drink Dates 2'!Z$1,Wine1!$AA:$AA,'Drink Dates 2'!$A5)</f>
        <v>884.77</v>
      </c>
      <c r="AA5" s="2"/>
      <c r="AB5" s="2">
        <f ca="1">IF($A5-$A$2&lt;=VLOOKUP(AB$1,Table2[],3,FALSE),VLOOKUP('Drink Dates 2'!AB$1,Expenses!$B$44:$K$48,10,FALSE)*$L5-Z5,0)*D5</f>
        <v>278.58846218025724</v>
      </c>
      <c r="AC5" s="2">
        <f>SUMIFS(Wine1!$AB:$AB,Wine1!$AF:$AF,'Drink Dates 2'!AC$1,Wine1!$AA:$AA,'Drink Dates 2'!$A5)</f>
        <v>926.40000000000009</v>
      </c>
      <c r="AD5" s="2">
        <f ca="1">VLOOKUP($AD$1,Expenses!$B$44:$K$48,3,FALSE)*I5</f>
        <v>1398.5080638221339</v>
      </c>
      <c r="AE5" s="2">
        <f t="shared" ca="1" si="11"/>
        <v>472.10806382213377</v>
      </c>
      <c r="AF5" s="2">
        <f>SUMIFS(Wine1!$AB:$AB,Wine1!$AF:$AF,'Drink Dates 2'!AF$1,Wine1!$AA:$AA,'Drink Dates 2'!$A5)</f>
        <v>360.58000000000004</v>
      </c>
      <c r="AG5" s="44">
        <f ca="1">IF($A5-$A$2&lt;=VLOOKUP(AG$1,Table2[],3,FALSE),VLOOKUP('Drink Dates 2'!AG$1,Expenses!$B$44:$K$48,10,FALSE)*$L5-AF5,0)*F5</f>
        <v>542.26313343328343</v>
      </c>
      <c r="AH5" s="11">
        <f t="shared" si="8"/>
        <v>2758.2200000000003</v>
      </c>
      <c r="AI5" s="11">
        <f t="shared" ca="1" si="9"/>
        <v>2176.3432652487945</v>
      </c>
    </row>
    <row r="6" spans="1:37" x14ac:dyDescent="0.25">
      <c r="A6">
        <v>2023</v>
      </c>
      <c r="B6" s="37">
        <f t="shared" ca="1" si="0"/>
        <v>3</v>
      </c>
      <c r="C6" s="47">
        <f t="shared" ca="1" si="1"/>
        <v>0.625</v>
      </c>
      <c r="D6" s="47">
        <f t="shared" ca="1" si="2"/>
        <v>0.76923076923076916</v>
      </c>
      <c r="E6" s="47">
        <f t="shared" ca="1" si="2"/>
        <v>0.83333333333333337</v>
      </c>
      <c r="F6" s="47">
        <f t="shared" ca="1" si="2"/>
        <v>0.86956521739130432</v>
      </c>
      <c r="G6" s="50">
        <f ca="1">C6*VLOOKUP(G$1,Expenses!$B$45:$H$48,7,FALSE)*$L6</f>
        <v>81.25</v>
      </c>
      <c r="H6" s="50">
        <f ca="1">D6*VLOOKUP(H$1,Expenses!$B$45:$H$48,7,FALSE)*$L6</f>
        <v>40</v>
      </c>
      <c r="I6" s="50">
        <f ca="1">E6*VLOOKUP(I$1,Expenses!$B$45:$H$48,7,FALSE)*$L6</f>
        <v>30</v>
      </c>
      <c r="J6" s="50">
        <f ca="1">F6*VLOOKUP(J$1,Expenses!$B$45:$H$48,7,FALSE)*$L6</f>
        <v>7.8260869565217392</v>
      </c>
      <c r="K6" s="37">
        <f t="shared" ca="1" si="10"/>
        <v>1197</v>
      </c>
      <c r="L6" s="46">
        <f t="shared" ca="1" si="3"/>
        <v>1</v>
      </c>
      <c r="M6" s="37">
        <f>SUMIF(Wine1!AA:AA,A6,Wine1!I:I)</f>
        <v>99</v>
      </c>
      <c r="N6" s="37">
        <f>IFERROR(AVERAGEIF(Wine1!AA:AA,A6,Wine1!Z:Z),0)</f>
        <v>91.754233471655155</v>
      </c>
      <c r="O6" s="24">
        <f>COUNTIFS(Wine1!$AA:$AA,'Drink Dates 2'!$A6,Wine1!$AF:$AF,'Drink Dates 2'!O$1)</f>
        <v>31</v>
      </c>
      <c r="P6" s="48">
        <f t="shared" ca="1" si="4"/>
        <v>50</v>
      </c>
      <c r="Q6" s="24">
        <f>COUNTIFS(Wine1!$AA:$AA,'Drink Dates 2'!$A6,Wine1!$AF:$AF,'Drink Dates 2'!Q$1)</f>
        <v>35</v>
      </c>
      <c r="R6" s="48">
        <f t="shared" ca="1" si="5"/>
        <v>5</v>
      </c>
      <c r="S6" s="24">
        <f>COUNTIFS(Wine1!$AA:$AA,'Drink Dates 2'!$A6,Wine1!$AF:$AF,'Drink Dates 2'!S$1)</f>
        <v>28</v>
      </c>
      <c r="T6" s="48">
        <f t="shared" ca="1" si="6"/>
        <v>2</v>
      </c>
      <c r="U6" s="24">
        <f>COUNTIFS(Wine1!$AA:$AA,'Drink Dates 2'!$A6,Wine1!$AF:$AF,'Drink Dates 2'!U$1)</f>
        <v>5</v>
      </c>
      <c r="V6" s="48">
        <f t="shared" ca="1" si="7"/>
        <v>3</v>
      </c>
      <c r="W6" s="42">
        <f>SUMIFS(Wine1!AB:AB,Wine1!AF:AF,'Drink Dates 2'!W$1,Wine1!AA:AA,'Drink Dates 2'!$A6)</f>
        <v>446.81000000000012</v>
      </c>
      <c r="X6" s="70"/>
      <c r="Y6" s="2">
        <f ca="1">IF($A6-$A$2&lt;=VLOOKUP(Y$1,Table2[],3,FALSE),VLOOKUP('Drink Dates 2'!Y$1,Expenses!$B$44:$K$48,10,FALSE)*$L6-W6,0)*C6</f>
        <v>823.44050484426702</v>
      </c>
      <c r="Z6" s="2">
        <f>SUMIFS(Wine1!$AB:$AB,Wine1!$AF:$AF,'Drink Dates 2'!Z$1,Wine1!$AA:$AA,'Drink Dates 2'!$A6)</f>
        <v>726.62000000000012</v>
      </c>
      <c r="AA6" s="2"/>
      <c r="AB6" s="2">
        <f ca="1">IF($A6-$A$2&lt;=VLOOKUP(AB$1,Table2[],3,FALSE),VLOOKUP('Drink Dates 2'!AB$1,Expenses!$B$44:$K$48,10,FALSE)*$L6-Z6,0)*D6</f>
        <v>374.91608449953441</v>
      </c>
      <c r="AC6" s="2">
        <f>SUMIFS(Wine1!$AB:$AB,Wine1!$AF:$AF,'Drink Dates 2'!AC$1,Wine1!$AA:$AA,'Drink Dates 2'!$A6)</f>
        <v>1141.6700000000003</v>
      </c>
      <c r="AD6" s="2">
        <f ca="1">VLOOKUP($AD$1,Expenses!$B$44:$K$48,3,FALSE)*I6</f>
        <v>1311.1013098332505</v>
      </c>
      <c r="AE6" s="2">
        <f t="shared" ca="1" si="11"/>
        <v>169.43130983325022</v>
      </c>
      <c r="AF6" s="2">
        <f>SUMIFS(Wine1!$AB:$AB,Wine1!$AF:$AF,'Drink Dates 2'!AF$1,Wine1!$AA:$AA,'Drink Dates 2'!$A6)</f>
        <v>364.78</v>
      </c>
      <c r="AG6" s="44">
        <f ca="1">IF($A6-$A$2&lt;=VLOOKUP(AG$1,Table2[],3,FALSE),VLOOKUP('Drink Dates 2'!AG$1,Expenses!$B$44:$K$48,10,FALSE)*$L6-AF6,0)*F6</f>
        <v>512.78890554722648</v>
      </c>
      <c r="AH6" s="11">
        <f t="shared" si="8"/>
        <v>2679.88</v>
      </c>
      <c r="AI6" s="11">
        <f t="shared" ca="1" si="9"/>
        <v>1880.5768047242782</v>
      </c>
    </row>
    <row r="7" spans="1:37" x14ac:dyDescent="0.25">
      <c r="A7">
        <v>2024</v>
      </c>
      <c r="B7" s="37">
        <f t="shared" ca="1" si="0"/>
        <v>4</v>
      </c>
      <c r="C7" s="47">
        <f t="shared" ca="1" si="1"/>
        <v>0.5</v>
      </c>
      <c r="D7" s="47">
        <f t="shared" ca="1" si="2"/>
        <v>0.69230769230769229</v>
      </c>
      <c r="E7" s="47">
        <f t="shared" ca="1" si="2"/>
        <v>0.77777777777777779</v>
      </c>
      <c r="F7" s="47">
        <f t="shared" ca="1" si="2"/>
        <v>0.82608695652173914</v>
      </c>
      <c r="G7" s="50">
        <f ca="1">C7*VLOOKUP(G$1,Expenses!$B$45:$H$48,7,FALSE)*$L7</f>
        <v>65</v>
      </c>
      <c r="H7" s="50">
        <f ca="1">D7*VLOOKUP(H$1,Expenses!$B$45:$H$48,7,FALSE)*$L7</f>
        <v>36</v>
      </c>
      <c r="I7" s="50">
        <f ca="1">E7*VLOOKUP(I$1,Expenses!$B$45:$H$48,7,FALSE)*$L7</f>
        <v>28</v>
      </c>
      <c r="J7" s="50">
        <f ca="1">F7*VLOOKUP(J$1,Expenses!$B$45:$H$48,7,FALSE)*$L7</f>
        <v>7.4347826086956523</v>
      </c>
      <c r="K7" s="37">
        <f t="shared" ca="1" si="10"/>
        <v>1562</v>
      </c>
      <c r="L7" s="46">
        <f t="shared" ca="1" si="3"/>
        <v>1</v>
      </c>
      <c r="M7" s="37">
        <f>SUMIF(Wine1!AA:AA,A7,Wine1!I:I)</f>
        <v>91</v>
      </c>
      <c r="N7" s="37">
        <f>IFERROR(AVERAGEIF(Wine1!AA:AA,A7,Wine1!Z:Z),0)</f>
        <v>92.40758938869665</v>
      </c>
      <c r="O7" s="24">
        <f>COUNTIFS(Wine1!$AA:$AA,'Drink Dates 2'!$A7,Wine1!$AF:$AF,'Drink Dates 2'!O$1)</f>
        <v>18</v>
      </c>
      <c r="P7" s="48">
        <f t="shared" ca="1" si="4"/>
        <v>47</v>
      </c>
      <c r="Q7" s="24">
        <f>COUNTIFS(Wine1!$AA:$AA,'Drink Dates 2'!$A7,Wine1!$AF:$AF,'Drink Dates 2'!Q$1)</f>
        <v>30</v>
      </c>
      <c r="R7" s="48">
        <f t="shared" ca="1" si="5"/>
        <v>6</v>
      </c>
      <c r="S7" s="24">
        <f>COUNTIFS(Wine1!$AA:$AA,'Drink Dates 2'!$A7,Wine1!$AF:$AF,'Drink Dates 2'!S$1)</f>
        <v>36</v>
      </c>
      <c r="T7" s="48">
        <f t="shared" ca="1" si="6"/>
        <v>-8</v>
      </c>
      <c r="U7" s="24">
        <f>COUNTIFS(Wine1!$AA:$AA,'Drink Dates 2'!$A7,Wine1!$AF:$AF,'Drink Dates 2'!U$1)</f>
        <v>7</v>
      </c>
      <c r="V7" s="48">
        <f t="shared" ca="1" si="7"/>
        <v>0</v>
      </c>
      <c r="W7" s="42">
        <f>SUMIFS(Wine1!AB:AB,Wine1!AF:AF,'Drink Dates 2'!W$1,Wine1!AA:AA,'Drink Dates 2'!$A7)</f>
        <v>245.75</v>
      </c>
      <c r="X7" s="70"/>
      <c r="Y7" s="2">
        <f ca="1">IF($A7-$A$2&lt;=VLOOKUP(Y$1,Table2[],3,FALSE),VLOOKUP('Drink Dates 2'!Y$1,Expenses!$B$44:$K$48,10,FALSE)*$L7-W7,0)*C7</f>
        <v>759.28240387541371</v>
      </c>
      <c r="Z7" s="2">
        <f>SUMIFS(Wine1!$AB:$AB,Wine1!$AF:$AF,'Drink Dates 2'!Z$1,Wine1!$AA:$AA,'Drink Dates 2'!$A7)</f>
        <v>683.43513699999994</v>
      </c>
      <c r="AA7" s="2"/>
      <c r="AB7" s="2">
        <f ca="1">IF($A7-$A$2&lt;=VLOOKUP(AB$1,Table2[],3,FALSE),VLOOKUP('Drink Dates 2'!AB$1,Expenses!$B$44:$K$48,10,FALSE)*$L7-Z7,0)*D7</f>
        <v>367.32168889573495</v>
      </c>
      <c r="AC7" s="2">
        <f>SUMIFS(Wine1!$AB:$AB,Wine1!$AF:$AF,'Drink Dates 2'!AC$1,Wine1!$AA:$AA,'Drink Dates 2'!$A7)</f>
        <v>1364.8500000000004</v>
      </c>
      <c r="AD7" s="2">
        <f ca="1">VLOOKUP($AD$1,Expenses!$B$44:$K$48,3,FALSE)*I7</f>
        <v>1223.6945558443672</v>
      </c>
      <c r="AE7" s="2">
        <f t="shared" ca="1" si="11"/>
        <v>-141.15544415563318</v>
      </c>
      <c r="AF7" s="2">
        <f>SUMIFS(Wine1!$AB:$AB,Wine1!$AF:$AF,'Drink Dates 2'!AF$1,Wine1!$AA:$AA,'Drink Dates 2'!$A7)</f>
        <v>522.98</v>
      </c>
      <c r="AG7" s="44">
        <f ca="1">IF($A7-$A$2&lt;=VLOOKUP(AG$1,Table2[],3,FALSE),VLOOKUP('Drink Dates 2'!AG$1,Expenses!$B$44:$K$48,10,FALSE)*$L7-AF7,0)*F7</f>
        <v>356.46250374812593</v>
      </c>
      <c r="AH7" s="11">
        <f t="shared" si="8"/>
        <v>2817.0151370000003</v>
      </c>
      <c r="AI7" s="11">
        <f t="shared" ca="1" si="9"/>
        <v>1341.9111523636416</v>
      </c>
    </row>
    <row r="8" spans="1:37" x14ac:dyDescent="0.25">
      <c r="A8">
        <v>2025</v>
      </c>
      <c r="B8" s="37">
        <f t="shared" ca="1" si="0"/>
        <v>5</v>
      </c>
      <c r="C8" s="47">
        <f t="shared" ca="1" si="1"/>
        <v>0.375</v>
      </c>
      <c r="D8" s="47">
        <f t="shared" ca="1" si="2"/>
        <v>0.61538461538461542</v>
      </c>
      <c r="E8" s="47">
        <f t="shared" ca="1" si="2"/>
        <v>0.72222222222222221</v>
      </c>
      <c r="F8" s="47">
        <f t="shared" ca="1" si="2"/>
        <v>0.78260869565217395</v>
      </c>
      <c r="G8" s="50">
        <f ca="1">C8*VLOOKUP(G$1,Expenses!$B$45:$H$48,7,FALSE)*$L8</f>
        <v>48.75</v>
      </c>
      <c r="H8" s="50">
        <f ca="1">D8*VLOOKUP(H$1,Expenses!$B$45:$H$48,7,FALSE)*$L8</f>
        <v>32</v>
      </c>
      <c r="I8" s="50">
        <f ca="1">E8*VLOOKUP(I$1,Expenses!$B$45:$H$48,7,FALSE)*$L8</f>
        <v>26</v>
      </c>
      <c r="J8" s="50">
        <f ca="1">F8*VLOOKUP(J$1,Expenses!$B$45:$H$48,7,FALSE)*$L8</f>
        <v>7.0434782608695654</v>
      </c>
      <c r="K8" s="37">
        <f t="shared" ca="1" si="10"/>
        <v>1927</v>
      </c>
      <c r="L8" s="46">
        <f t="shared" ca="1" si="3"/>
        <v>1</v>
      </c>
      <c r="M8" s="37">
        <f>SUMIF(Wine1!AA:AA,A8,Wine1!I:I)</f>
        <v>73</v>
      </c>
      <c r="N8" s="37">
        <f>IFERROR(AVERAGEIF(Wine1!AA:AA,A8,Wine1!Z:Z),0)</f>
        <v>92.472282931617968</v>
      </c>
      <c r="O8" s="24">
        <f>COUNTIFS(Wine1!$AA:$AA,'Drink Dates 2'!$A8,Wine1!$AF:$AF,'Drink Dates 2'!O$1)</f>
        <v>13</v>
      </c>
      <c r="P8" s="48">
        <f t="shared" ca="1" si="4"/>
        <v>36</v>
      </c>
      <c r="Q8" s="24">
        <f>COUNTIFS(Wine1!$AA:$AA,'Drink Dates 2'!$A8,Wine1!$AF:$AF,'Drink Dates 2'!Q$1)</f>
        <v>22</v>
      </c>
      <c r="R8" s="48">
        <f t="shared" ca="1" si="5"/>
        <v>10</v>
      </c>
      <c r="S8" s="24">
        <f>COUNTIFS(Wine1!$AA:$AA,'Drink Dates 2'!$A8,Wine1!$AF:$AF,'Drink Dates 2'!S$1)</f>
        <v>33</v>
      </c>
      <c r="T8" s="48">
        <f t="shared" ca="1" si="6"/>
        <v>-7</v>
      </c>
      <c r="U8" s="24">
        <f>COUNTIFS(Wine1!$AA:$AA,'Drink Dates 2'!$A8,Wine1!$AF:$AF,'Drink Dates 2'!U$1)</f>
        <v>5</v>
      </c>
      <c r="V8" s="48">
        <f t="shared" ca="1" si="7"/>
        <v>2</v>
      </c>
      <c r="W8" s="42">
        <f>SUMIFS(Wine1!AB:AB,Wine1!AF:AF,'Drink Dates 2'!W$1,Wine1!AA:AA,'Drink Dates 2'!$A8)</f>
        <v>192.4</v>
      </c>
      <c r="X8" s="70"/>
      <c r="Y8" s="2">
        <f ca="1">IF($A8-$A$2&lt;=VLOOKUP(Y$1,Table2[],3,FALSE),VLOOKUP('Drink Dates 2'!Y$1,Expenses!$B$44:$K$48,10,FALSE)*$L8-W8,0)*C8</f>
        <v>589.46805290656027</v>
      </c>
      <c r="Z8" s="2">
        <f>SUMIFS(Wine1!$AB:$AB,Wine1!$AF:$AF,'Drink Dates 2'!Z$1,Wine1!$AA:$AA,'Drink Dates 2'!$A8)</f>
        <v>503.75999999999993</v>
      </c>
      <c r="AA8" s="2"/>
      <c r="AB8" s="2">
        <f ca="1">IF($A8-$A$2&lt;=VLOOKUP(AB$1,Table2[],3,FALSE),VLOOKUP('Drink Dates 2'!AB$1,Expenses!$B$44:$K$48,10,FALSE)*$L8-Z8,0)*D8</f>
        <v>437.07748298424303</v>
      </c>
      <c r="AC8" s="2">
        <f>SUMIFS(Wine1!$AB:$AB,Wine1!$AF:$AF,'Drink Dates 2'!AC$1,Wine1!$AA:$AA,'Drink Dates 2'!$A8)</f>
        <v>1358.56</v>
      </c>
      <c r="AD8" s="2">
        <f ca="1">VLOOKUP($AD$1,Expenses!$B$44:$K$48,3,FALSE)*I8</f>
        <v>1136.2878018554838</v>
      </c>
      <c r="AE8" s="2">
        <f t="shared" ca="1" si="11"/>
        <v>-222.2721981445161</v>
      </c>
      <c r="AF8" s="2">
        <f>SUMIFS(Wine1!$AB:$AB,Wine1!$AF:$AF,'Drink Dates 2'!AF$1,Wine1!$AA:$AA,'Drink Dates 2'!$A8)</f>
        <v>510.31</v>
      </c>
      <c r="AG8" s="44">
        <f ca="1">IF($A8-$A$2&lt;=VLOOKUP(AG$1,Table2[],3,FALSE),VLOOKUP('Drink Dates 2'!AG$1,Expenses!$B$44:$K$48,10,FALSE)*$L8-AF8,0)*F8</f>
        <v>347.61697151424289</v>
      </c>
      <c r="AH8" s="11">
        <f t="shared" si="8"/>
        <v>2565.0299999999997</v>
      </c>
      <c r="AI8" s="11">
        <f t="shared" ca="1" si="9"/>
        <v>1151.8903092605301</v>
      </c>
    </row>
    <row r="9" spans="1:37" x14ac:dyDescent="0.25">
      <c r="A9">
        <v>2026</v>
      </c>
      <c r="B9" s="37">
        <f t="shared" ca="1" si="0"/>
        <v>6</v>
      </c>
      <c r="C9" s="47">
        <f t="shared" ca="1" si="1"/>
        <v>0.25</v>
      </c>
      <c r="D9" s="47">
        <f t="shared" ca="1" si="2"/>
        <v>0.53846153846153844</v>
      </c>
      <c r="E9" s="47">
        <f t="shared" ca="1" si="2"/>
        <v>0.66666666666666674</v>
      </c>
      <c r="F9" s="47">
        <f t="shared" ca="1" si="2"/>
        <v>0.73913043478260865</v>
      </c>
      <c r="G9" s="50">
        <f ca="1">C9*VLOOKUP(G$1,Expenses!$B$45:$H$48,7,FALSE)*$L9</f>
        <v>32.5</v>
      </c>
      <c r="H9" s="50">
        <f ca="1">D9*VLOOKUP(H$1,Expenses!$B$45:$H$48,7,FALSE)*$L9</f>
        <v>28</v>
      </c>
      <c r="I9" s="50">
        <f ca="1">E9*VLOOKUP(I$1,Expenses!$B$45:$H$48,7,FALSE)*$L9</f>
        <v>24.000000000000004</v>
      </c>
      <c r="J9" s="50">
        <f ca="1">F9*VLOOKUP(J$1,Expenses!$B$45:$H$48,7,FALSE)*$L9</f>
        <v>6.6521739130434776</v>
      </c>
      <c r="K9" s="37">
        <f t="shared" ca="1" si="10"/>
        <v>2292</v>
      </c>
      <c r="L9" s="46">
        <f t="shared" ca="1" si="3"/>
        <v>1</v>
      </c>
      <c r="M9" s="37">
        <f>SUMIF(Wine1!AA:AA,A9,Wine1!I:I)</f>
        <v>78</v>
      </c>
      <c r="N9" s="37">
        <f>IFERROR(AVERAGEIF(Wine1!AA:AA,A9,Wine1!Z:Z),0)</f>
        <v>92.760718954248375</v>
      </c>
      <c r="O9" s="24">
        <f>COUNTIFS(Wine1!$AA:$AA,'Drink Dates 2'!$A9,Wine1!$AF:$AF,'Drink Dates 2'!O$1)</f>
        <v>2</v>
      </c>
      <c r="P9" s="48">
        <f t="shared" ca="1" si="4"/>
        <v>31</v>
      </c>
      <c r="Q9" s="24">
        <f>COUNTIFS(Wine1!$AA:$AA,'Drink Dates 2'!$A9,Wine1!$AF:$AF,'Drink Dates 2'!Q$1)</f>
        <v>25</v>
      </c>
      <c r="R9" s="48">
        <f t="shared" ca="1" si="5"/>
        <v>3</v>
      </c>
      <c r="S9" s="24">
        <f>COUNTIFS(Wine1!$AA:$AA,'Drink Dates 2'!$A9,Wine1!$AF:$AF,'Drink Dates 2'!S$1)</f>
        <v>45</v>
      </c>
      <c r="T9" s="48">
        <f t="shared" ca="1" si="6"/>
        <v>-21</v>
      </c>
      <c r="U9" s="24">
        <f>COUNTIFS(Wine1!$AA:$AA,'Drink Dates 2'!$A9,Wine1!$AF:$AF,'Drink Dates 2'!U$1)</f>
        <v>6</v>
      </c>
      <c r="V9" s="48">
        <f t="shared" ca="1" si="7"/>
        <v>1</v>
      </c>
      <c r="W9" s="42">
        <f>SUMIFS(Wine1!AB:AB,Wine1!AF:AF,'Drink Dates 2'!W$1,Wine1!AA:AA,'Drink Dates 2'!$A9)</f>
        <v>29.98</v>
      </c>
      <c r="X9" s="70"/>
      <c r="Y9" s="2">
        <f ca="1">IF($A9-$A$2&lt;=VLOOKUP(Y$1,Table2[],3,FALSE),VLOOKUP('Drink Dates 2'!Y$1,Expenses!$B$44:$K$48,10,FALSE)*$L9-W9,0)*C9</f>
        <v>433.58370193770685</v>
      </c>
      <c r="Z9" s="2">
        <f>SUMIFS(Wine1!$AB:$AB,Wine1!$AF:$AF,'Drink Dates 2'!Z$1,Wine1!$AA:$AA,'Drink Dates 2'!$A9)</f>
        <v>581.51929715198992</v>
      </c>
      <c r="AA9" s="2"/>
      <c r="AB9" s="2">
        <f ca="1">IF($A9-$A$2&lt;=VLOOKUP(AB$1,Table2[],3,FALSE),VLOOKUP('Drink Dates 2'!AB$1,Expenses!$B$44:$K$48,10,FALSE)*$L9-Z9,0)*D9</f>
        <v>340.57240683706419</v>
      </c>
      <c r="AC9" s="2">
        <f>SUMIFS(Wine1!$AB:$AB,Wine1!$AF:$AF,'Drink Dates 2'!AC$1,Wine1!$AA:$AA,'Drink Dates 2'!$A9)</f>
        <v>1743.5800000000002</v>
      </c>
      <c r="AD9" s="2">
        <f ca="1">VLOOKUP($AD$1,Expenses!$B$44:$K$48,3,FALSE)*I9</f>
        <v>1048.8810478666005</v>
      </c>
      <c r="AE9" s="2">
        <f t="shared" ca="1" si="11"/>
        <v>-694.69895213339964</v>
      </c>
      <c r="AF9" s="2">
        <f>SUMIFS(Wine1!$AB:$AB,Wine1!$AF:$AF,'Drink Dates 2'!AF$1,Wine1!$AA:$AA,'Drink Dates 2'!$A9)</f>
        <v>499.04</v>
      </c>
      <c r="AG9" s="44">
        <f ca="1">IF($A9-$A$2&lt;=VLOOKUP(AG$1,Table2[],3,FALSE),VLOOKUP('Drink Dates 2'!AG$1,Expenses!$B$44:$K$48,10,FALSE)*$L9-AF9,0)*F9</f>
        <v>336.63491754122936</v>
      </c>
      <c r="AH9" s="11">
        <f t="shared" si="8"/>
        <v>2854.1192971519899</v>
      </c>
      <c r="AI9" s="11">
        <f t="shared" ca="1" si="9"/>
        <v>416.09207418260075</v>
      </c>
    </row>
    <row r="10" spans="1:37" x14ac:dyDescent="0.25">
      <c r="A10">
        <v>2027</v>
      </c>
      <c r="B10" s="37">
        <f t="shared" ca="1" si="0"/>
        <v>7</v>
      </c>
      <c r="C10" s="47">
        <f t="shared" ca="1" si="1"/>
        <v>0.125</v>
      </c>
      <c r="D10" s="47">
        <f t="shared" ca="1" si="2"/>
        <v>0.46153846153846145</v>
      </c>
      <c r="E10" s="47">
        <f t="shared" ca="1" si="2"/>
        <v>0.61111111111111116</v>
      </c>
      <c r="F10" s="47">
        <f t="shared" ca="1" si="2"/>
        <v>0.69565217391304346</v>
      </c>
      <c r="G10" s="50">
        <f ca="1">C10*VLOOKUP(G$1,Expenses!$B$45:$H$48,7,FALSE)*$L10</f>
        <v>16.25</v>
      </c>
      <c r="H10" s="50">
        <f ca="1">D10*VLOOKUP(H$1,Expenses!$B$45:$H$48,7,FALSE)*$L10</f>
        <v>23.999999999999996</v>
      </c>
      <c r="I10" s="50">
        <f ca="1">E10*VLOOKUP(I$1,Expenses!$B$45:$H$48,7,FALSE)*$L10</f>
        <v>22</v>
      </c>
      <c r="J10" s="50">
        <f ca="1">F10*VLOOKUP(J$1,Expenses!$B$45:$H$48,7,FALSE)*$L10</f>
        <v>6.2608695652173907</v>
      </c>
      <c r="K10" s="37">
        <f t="shared" ca="1" si="10"/>
        <v>2657</v>
      </c>
      <c r="L10" s="46">
        <f t="shared" ca="1" si="3"/>
        <v>1</v>
      </c>
      <c r="M10" s="37">
        <f>SUMIF(Wine1!AA:AA,A10,Wine1!I:I)</f>
        <v>71</v>
      </c>
      <c r="N10" s="37">
        <f>IFERROR(AVERAGEIF(Wine1!AA:AA,A10,Wine1!Z:Z),0)</f>
        <v>93.077941176470574</v>
      </c>
      <c r="O10" s="24">
        <f>COUNTIFS(Wine1!$AA:$AA,'Drink Dates 2'!$A10,Wine1!$AF:$AF,'Drink Dates 2'!O$1)</f>
        <v>2</v>
      </c>
      <c r="P10" s="48">
        <f t="shared" ca="1" si="4"/>
        <v>14</v>
      </c>
      <c r="Q10" s="24">
        <f>COUNTIFS(Wine1!$AA:$AA,'Drink Dates 2'!$A10,Wine1!$AF:$AF,'Drink Dates 2'!Q$1)</f>
        <v>21</v>
      </c>
      <c r="R10" s="48">
        <f t="shared" ca="1" si="5"/>
        <v>3</v>
      </c>
      <c r="S10" s="24">
        <f>COUNTIFS(Wine1!$AA:$AA,'Drink Dates 2'!$A10,Wine1!$AF:$AF,'Drink Dates 2'!S$1)</f>
        <v>41</v>
      </c>
      <c r="T10" s="48">
        <f t="shared" ca="1" si="6"/>
        <v>-19</v>
      </c>
      <c r="U10" s="24">
        <f>COUNTIFS(Wine1!$AA:$AA,'Drink Dates 2'!$A10,Wine1!$AF:$AF,'Drink Dates 2'!U$1)</f>
        <v>7</v>
      </c>
      <c r="V10" s="48">
        <f t="shared" ca="1" si="7"/>
        <v>-1</v>
      </c>
      <c r="W10" s="42">
        <f>SUMIFS(Wine1!AB:AB,Wine1!AF:AF,'Drink Dates 2'!W$1,Wine1!AA:AA,'Drink Dates 2'!$A10)</f>
        <v>34.99</v>
      </c>
      <c r="X10" s="70"/>
      <c r="Y10" s="2">
        <f ca="1">IF($A10-$A$2&lt;=VLOOKUP(Y$1,Table2[],3,FALSE),VLOOKUP('Drink Dates 2'!Y$1,Expenses!$B$44:$K$48,10,FALSE)*$L10-W10,0)*C10</f>
        <v>216.16560096885343</v>
      </c>
      <c r="Z10" s="2">
        <f>SUMIFS(Wine1!$AB:$AB,Wine1!$AF:$AF,'Drink Dates 2'!Z$1,Wine1!$AA:$AA,'Drink Dates 2'!$A10)</f>
        <v>512.26</v>
      </c>
      <c r="AA10" s="2"/>
      <c r="AB10" s="2">
        <f ca="1">IF($A10-$A$2&lt;=VLOOKUP(AB$1,Table2[],3,FALSE),VLOOKUP('Drink Dates 2'!AB$1,Expenses!$B$44:$K$48,10,FALSE)*$L10-Z10,0)*D10</f>
        <v>323.88503531510531</v>
      </c>
      <c r="AC10" s="2">
        <f>SUMIFS(Wine1!$AB:$AB,Wine1!$AF:$AF,'Drink Dates 2'!AC$1,Wine1!$AA:$AA,'Drink Dates 2'!$A10)</f>
        <v>1778.9281370000003</v>
      </c>
      <c r="AD10" s="2">
        <f ca="1">VLOOKUP($AD$1,Expenses!$B$44:$K$48,3,FALSE)*I10</f>
        <v>961.47429387771706</v>
      </c>
      <c r="AE10" s="2">
        <f t="shared" ca="1" si="11"/>
        <v>-817.45384312228327</v>
      </c>
      <c r="AF10" s="2">
        <f>SUMIFS(Wine1!$AB:$AB,Wine1!$AF:$AF,'Drink Dates 2'!AF$1,Wine1!$AA:$AA,'Drink Dates 2'!$A10)</f>
        <v>715.38</v>
      </c>
      <c r="AG10" s="44">
        <f ca="1">IF($A10-$A$2&lt;=VLOOKUP(AG$1,Table2[],3,FALSE),VLOOKUP('Drink Dates 2'!AG$1,Expenses!$B$44:$K$48,10,FALSE)*$L10-AF10,0)*F10</f>
        <v>166.3354722638681</v>
      </c>
      <c r="AH10" s="11">
        <f t="shared" si="8"/>
        <v>3041.5581370000004</v>
      </c>
      <c r="AI10" s="11">
        <f t="shared" ca="1" si="9"/>
        <v>-111.06773457445644</v>
      </c>
    </row>
    <row r="11" spans="1:37" x14ac:dyDescent="0.25">
      <c r="A11">
        <v>2028</v>
      </c>
      <c r="B11" s="37">
        <f t="shared" ca="1" si="0"/>
        <v>8</v>
      </c>
      <c r="C11" s="47">
        <f t="shared" ca="1" si="1"/>
        <v>0</v>
      </c>
      <c r="D11" s="47">
        <f t="shared" ca="1" si="2"/>
        <v>0.38461538461538458</v>
      </c>
      <c r="E11" s="47">
        <f t="shared" ca="1" si="2"/>
        <v>0.55555555555555558</v>
      </c>
      <c r="F11" s="47">
        <f t="shared" ca="1" si="2"/>
        <v>0.65217391304347827</v>
      </c>
      <c r="G11" s="50">
        <f ca="1">C11*VLOOKUP(G$1,Expenses!$B$45:$H$48,7,FALSE)*$L11</f>
        <v>0</v>
      </c>
      <c r="H11" s="50">
        <f ca="1">D11*VLOOKUP(H$1,Expenses!$B$45:$H$48,7,FALSE)*$L11</f>
        <v>20</v>
      </c>
      <c r="I11" s="50">
        <f ca="1">E11*VLOOKUP(I$1,Expenses!$B$45:$H$48,7,FALSE)*$L11</f>
        <v>20</v>
      </c>
      <c r="J11" s="50">
        <f ca="1">F11*VLOOKUP(J$1,Expenses!$B$45:$H$48,7,FALSE)*$L11</f>
        <v>5.8695652173913047</v>
      </c>
      <c r="K11" s="37">
        <f t="shared" ca="1" si="10"/>
        <v>3022</v>
      </c>
      <c r="L11" s="46">
        <f t="shared" ca="1" si="3"/>
        <v>1</v>
      </c>
      <c r="M11" s="37">
        <f>SUMIF(Wine1!AA:AA,A11,Wine1!I:I)</f>
        <v>86</v>
      </c>
      <c r="N11" s="37">
        <f>IFERROR(AVERAGEIF(Wine1!AA:AA,A11,Wine1!Z:Z),0)</f>
        <v>93.286666666666662</v>
      </c>
      <c r="O11" s="24">
        <f>COUNTIFS(Wine1!$AA:$AA,'Drink Dates 2'!$A11,Wine1!$AF:$AF,'Drink Dates 2'!O$1)</f>
        <v>1</v>
      </c>
      <c r="P11" s="48">
        <f t="shared" ca="1" si="4"/>
        <v>-1</v>
      </c>
      <c r="Q11" s="24">
        <f>COUNTIFS(Wine1!$AA:$AA,'Drink Dates 2'!$A11,Wine1!$AF:$AF,'Drink Dates 2'!Q$1)</f>
        <v>21</v>
      </c>
      <c r="R11" s="48">
        <f t="shared" ca="1" si="5"/>
        <v>-1</v>
      </c>
      <c r="S11" s="24">
        <f>COUNTIFS(Wine1!$AA:$AA,'Drink Dates 2'!$A11,Wine1!$AF:$AF,'Drink Dates 2'!S$1)</f>
        <v>56</v>
      </c>
      <c r="T11" s="48">
        <f t="shared" ca="1" si="6"/>
        <v>-36</v>
      </c>
      <c r="U11" s="24">
        <f>COUNTIFS(Wine1!$AA:$AA,'Drink Dates 2'!$A11,Wine1!$AF:$AF,'Drink Dates 2'!U$1)</f>
        <v>8</v>
      </c>
      <c r="V11" s="48">
        <f t="shared" ca="1" si="7"/>
        <v>-2</v>
      </c>
      <c r="W11" s="42">
        <f>SUMIFS(Wine1!AB:AB,Wine1!AF:AF,'Drink Dates 2'!W$1,Wine1!AA:AA,'Drink Dates 2'!$A11)</f>
        <v>14.99</v>
      </c>
      <c r="X11" s="70"/>
      <c r="Y11" s="2">
        <f ca="1">IF($A11-$A$2&lt;=VLOOKUP(Y$1,Table2[],3,FALSE),VLOOKUP('Drink Dates 2'!Y$1,Expenses!$B$44:$K$48,10,FALSE)*$L11-W11,0)*C11</f>
        <v>0</v>
      </c>
      <c r="Z11" s="2">
        <f>SUMIFS(Wine1!$AB:$AB,Wine1!$AF:$AF,'Drink Dates 2'!Z$1,Wine1!$AA:$AA,'Drink Dates 2'!$A11)</f>
        <v>526.0100000000001</v>
      </c>
      <c r="AA11" s="2"/>
      <c r="AB11" s="2">
        <f ca="1">IF($A11-$A$2&lt;=VLOOKUP(AB$1,Table2[],3,FALSE),VLOOKUP('Drink Dates 2'!AB$1,Expenses!$B$44:$K$48,10,FALSE)*$L11-Z11,0)*D11</f>
        <v>264.61573455745952</v>
      </c>
      <c r="AC11" s="2">
        <f>SUMIFS(Wine1!$AB:$AB,Wine1!$AF:$AF,'Drink Dates 2'!AC$1,Wine1!$AA:$AA,'Drink Dates 2'!$A11)</f>
        <v>2458.8249999999998</v>
      </c>
      <c r="AD11" s="2">
        <f ca="1">VLOOKUP($AD$1,Expenses!$B$44:$K$48,3,FALSE)*I11</f>
        <v>874.06753988883361</v>
      </c>
      <c r="AE11" s="2">
        <f t="shared" ca="1" si="11"/>
        <v>-1584.7574601111662</v>
      </c>
      <c r="AF11" s="2">
        <f>SUMIFS(Wine1!$AB:$AB,Wine1!$AF:$AF,'Drink Dates 2'!AF$1,Wine1!$AA:$AA,'Drink Dates 2'!$A11)</f>
        <v>779.03</v>
      </c>
      <c r="AG11" s="44">
        <f ca="1">IF($A11-$A$2&lt;=VLOOKUP(AG$1,Table2[],3,FALSE),VLOOKUP('Drink Dates 2'!AG$1,Expenses!$B$44:$K$48,10,FALSE)*$L11-AF11,0)*F11</f>
        <v>114.42863568215895</v>
      </c>
      <c r="AH11" s="11">
        <f t="shared" si="8"/>
        <v>3778.8549999999996</v>
      </c>
      <c r="AI11" s="11">
        <f t="shared" ca="1" si="9"/>
        <v>-1205.7130898715477</v>
      </c>
    </row>
    <row r="12" spans="1:37" x14ac:dyDescent="0.25">
      <c r="A12">
        <v>2029</v>
      </c>
      <c r="B12" s="37">
        <f t="shared" ca="1" si="0"/>
        <v>9</v>
      </c>
      <c r="C12" s="47">
        <f t="shared" ca="1" si="1"/>
        <v>0</v>
      </c>
      <c r="D12" s="47">
        <f t="shared" ca="1" si="2"/>
        <v>0.30769230769230771</v>
      </c>
      <c r="E12" s="47">
        <f t="shared" ca="1" si="2"/>
        <v>0.5</v>
      </c>
      <c r="F12" s="47">
        <f t="shared" ca="1" si="2"/>
        <v>0.60869565217391308</v>
      </c>
      <c r="G12" s="50">
        <f ca="1">C12*VLOOKUP(G$1,Expenses!$B$45:$H$48,7,FALSE)*$L12</f>
        <v>0</v>
      </c>
      <c r="H12" s="50">
        <f ca="1">D12*VLOOKUP(H$1,Expenses!$B$45:$H$48,7,FALSE)*$L12</f>
        <v>16</v>
      </c>
      <c r="I12" s="50">
        <f ca="1">E12*VLOOKUP(I$1,Expenses!$B$45:$H$48,7,FALSE)*$L12</f>
        <v>18</v>
      </c>
      <c r="J12" s="50">
        <f ca="1">F12*VLOOKUP(J$1,Expenses!$B$45:$H$48,7,FALSE)*$L12</f>
        <v>5.4782608695652177</v>
      </c>
      <c r="K12" s="37">
        <f t="shared" ca="1" si="10"/>
        <v>3387</v>
      </c>
      <c r="L12" s="46">
        <f t="shared" ca="1" si="3"/>
        <v>1</v>
      </c>
      <c r="M12" s="37">
        <f>SUMIF(Wine1!AA:AA,A12,Wine1!I:I)</f>
        <v>64</v>
      </c>
      <c r="N12" s="37">
        <f>IFERROR(AVERAGEIF(Wine1!AA:AA,A12,Wine1!Z:Z),0)</f>
        <v>93.479508196721312</v>
      </c>
      <c r="O12" s="24">
        <f>COUNTIFS(Wine1!$AA:$AA,'Drink Dates 2'!$A12,Wine1!$AF:$AF,'Drink Dates 2'!O$1)</f>
        <v>1</v>
      </c>
      <c r="P12" s="48">
        <f t="shared" ca="1" si="4"/>
        <v>-1</v>
      </c>
      <c r="Q12" s="24">
        <f>COUNTIFS(Wine1!$AA:$AA,'Drink Dates 2'!$A12,Wine1!$AF:$AF,'Drink Dates 2'!Q$1)</f>
        <v>14</v>
      </c>
      <c r="R12" s="48">
        <f t="shared" ca="1" si="5"/>
        <v>2</v>
      </c>
      <c r="S12" s="24">
        <f>COUNTIFS(Wine1!$AA:$AA,'Drink Dates 2'!$A12,Wine1!$AF:$AF,'Drink Dates 2'!S$1)</f>
        <v>44</v>
      </c>
      <c r="T12" s="48">
        <f t="shared" ca="1" si="6"/>
        <v>-26</v>
      </c>
      <c r="U12" s="24">
        <f>COUNTIFS(Wine1!$AA:$AA,'Drink Dates 2'!$A12,Wine1!$AF:$AF,'Drink Dates 2'!U$1)</f>
        <v>5</v>
      </c>
      <c r="V12" s="48">
        <f t="shared" ca="1" si="7"/>
        <v>0</v>
      </c>
      <c r="W12" s="42">
        <f>SUMIFS(Wine1!AB:AB,Wine1!AF:AF,'Drink Dates 2'!W$1,Wine1!AA:AA,'Drink Dates 2'!$A12)</f>
        <v>14.99</v>
      </c>
      <c r="X12" s="70"/>
      <c r="Y12" s="2">
        <f ca="1">IF($A12-$A$2&lt;=VLOOKUP(Y$1,Table2[],3,FALSE),VLOOKUP('Drink Dates 2'!Y$1,Expenses!$B$44:$K$48,10,FALSE)*$L12-W12,0)*C12</f>
        <v>0</v>
      </c>
      <c r="Z12" s="2">
        <f>SUMIFS(Wine1!$AB:$AB,Wine1!$AF:$AF,'Drink Dates 2'!Z$1,Wine1!$AA:$AA,'Drink Dates 2'!$A12)</f>
        <v>366.51000000000005</v>
      </c>
      <c r="AA12" s="2"/>
      <c r="AB12" s="2">
        <f ca="1">IF($A12-$A$2&lt;=VLOOKUP(AB$1,Table2[],3,FALSE),VLOOKUP('Drink Dates 2'!AB$1,Expenses!$B$44:$K$48,10,FALSE)*$L12-Z12,0)*D12</f>
        <v>260.76951072289074</v>
      </c>
      <c r="AC12" s="2">
        <f>SUMIFS(Wine1!$AB:$AB,Wine1!$AF:$AF,'Drink Dates 2'!AC$1,Wine1!$AA:$AA,'Drink Dates 2'!$A12)</f>
        <v>1822.81</v>
      </c>
      <c r="AD12" s="2">
        <f ca="1">VLOOKUP($AD$1,Expenses!$B$44:$K$48,3,FALSE)*I12</f>
        <v>786.66078589995027</v>
      </c>
      <c r="AE12" s="2">
        <f t="shared" ca="1" si="11"/>
        <v>-1036.1492141000497</v>
      </c>
      <c r="AF12" s="2">
        <f>SUMIFS(Wine1!$AB:$AB,Wine1!$AF:$AF,'Drink Dates 2'!AF$1,Wine1!$AA:$AA,'Drink Dates 2'!$A12)</f>
        <v>666.51</v>
      </c>
      <c r="AG12" s="44">
        <f ca="1">IF($A12-$A$2&lt;=VLOOKUP(AG$1,Table2[],3,FALSE),VLOOKUP('Drink Dates 2'!AG$1,Expenses!$B$44:$K$48,10,FALSE)*$L12-AF12,0)*F12</f>
        <v>175.29049475262372</v>
      </c>
      <c r="AH12" s="11">
        <f t="shared" si="8"/>
        <v>2870.8199999999997</v>
      </c>
      <c r="AI12" s="11">
        <f t="shared" ca="1" si="9"/>
        <v>-600.0892086245351</v>
      </c>
    </row>
    <row r="13" spans="1:37" x14ac:dyDescent="0.25">
      <c r="A13">
        <v>2030</v>
      </c>
      <c r="B13" s="37">
        <f t="shared" ca="1" si="0"/>
        <v>10</v>
      </c>
      <c r="C13" s="47">
        <f t="shared" ca="1" si="1"/>
        <v>0</v>
      </c>
      <c r="D13" s="47">
        <f t="shared" ca="1" si="2"/>
        <v>0.23076923076923073</v>
      </c>
      <c r="E13" s="47">
        <f t="shared" ca="1" si="2"/>
        <v>0.44444444444444442</v>
      </c>
      <c r="F13" s="47">
        <f t="shared" ca="1" si="2"/>
        <v>0.56521739130434789</v>
      </c>
      <c r="G13" s="50">
        <f ca="1">C13*VLOOKUP(G$1,Expenses!$B$45:$H$48,7,FALSE)*$L13</f>
        <v>0</v>
      </c>
      <c r="H13" s="50">
        <f ca="1">D13*VLOOKUP(H$1,Expenses!$B$45:$H$48,7,FALSE)*$L13</f>
        <v>11.999999999999998</v>
      </c>
      <c r="I13" s="50">
        <f ca="1">E13*VLOOKUP(I$1,Expenses!$B$45:$H$48,7,FALSE)*$L13</f>
        <v>16</v>
      </c>
      <c r="J13" s="50">
        <f ca="1">F13*VLOOKUP(J$1,Expenses!$B$45:$H$48,7,FALSE)*$L13</f>
        <v>5.0869565217391308</v>
      </c>
      <c r="K13" s="37">
        <f t="shared" ca="1" si="10"/>
        <v>3752</v>
      </c>
      <c r="L13" s="46">
        <f t="shared" ca="1" si="3"/>
        <v>1</v>
      </c>
      <c r="M13" s="37">
        <f>SUMIF(Wine1!AA:AA,A13,Wine1!I:I)</f>
        <v>61</v>
      </c>
      <c r="N13" s="37">
        <f>IFERROR(AVERAGEIF(Wine1!AA:AA,A13,Wine1!Z:Z),0)</f>
        <v>93.55573770491803</v>
      </c>
      <c r="O13" s="24">
        <f>COUNTIFS(Wine1!$AA:$AA,'Drink Dates 2'!$A13,Wine1!$AF:$AF,'Drink Dates 2'!O$1)</f>
        <v>0</v>
      </c>
      <c r="P13" s="48">
        <f t="shared" ca="1" si="4"/>
        <v>0</v>
      </c>
      <c r="Q13" s="24">
        <f>COUNTIFS(Wine1!$AA:$AA,'Drink Dates 2'!$A13,Wine1!$AF:$AF,'Drink Dates 2'!Q$1)</f>
        <v>13</v>
      </c>
      <c r="R13" s="48">
        <f t="shared" ca="1" si="5"/>
        <v>-1</v>
      </c>
      <c r="S13" s="24">
        <f>COUNTIFS(Wine1!$AA:$AA,'Drink Dates 2'!$A13,Wine1!$AF:$AF,'Drink Dates 2'!S$1)</f>
        <v>42</v>
      </c>
      <c r="T13" s="48">
        <f t="shared" ca="1" si="6"/>
        <v>-26</v>
      </c>
      <c r="U13" s="24">
        <f>COUNTIFS(Wine1!$AA:$AA,'Drink Dates 2'!$A13,Wine1!$AF:$AF,'Drink Dates 2'!U$1)</f>
        <v>6</v>
      </c>
      <c r="V13" s="48">
        <f t="shared" ca="1" si="7"/>
        <v>-1</v>
      </c>
      <c r="W13" s="42">
        <f>SUMIFS(Wine1!AB:AB,Wine1!AF:AF,'Drink Dates 2'!W$1,Wine1!AA:AA,'Drink Dates 2'!$A13)</f>
        <v>0</v>
      </c>
      <c r="X13" s="70"/>
      <c r="Y13" s="2">
        <f ca="1">IF($A13-$A$2&lt;=VLOOKUP(Y$1,Table2[],3,FALSE),VLOOKUP('Drink Dates 2'!Y$1,Expenses!$B$44:$K$48,10,FALSE)*$L13-W13,0)*C13</f>
        <v>0</v>
      </c>
      <c r="Z13" s="2">
        <f>SUMIFS(Wine1!$AB:$AB,Wine1!$AF:$AF,'Drink Dates 2'!Z$1,Wine1!$AA:$AA,'Drink Dates 2'!$A13)</f>
        <v>322.24</v>
      </c>
      <c r="AA13" s="2"/>
      <c r="AB13" s="2">
        <f ca="1">IF($A13-$A$2&lt;=VLOOKUP(AB$1,Table2[],3,FALSE),VLOOKUP('Drink Dates 2'!AB$1,Expenses!$B$44:$K$48,10,FALSE)*$L13-Z13,0)*D13</f>
        <v>205.79328688832186</v>
      </c>
      <c r="AC13" s="2">
        <f>SUMIFS(Wine1!$AB:$AB,Wine1!$AF:$AF,'Drink Dates 2'!AC$1,Wine1!$AA:$AA,'Drink Dates 2'!$A13)</f>
        <v>1798.14</v>
      </c>
      <c r="AD13" s="2">
        <f ca="1">VLOOKUP($AD$1,Expenses!$B$44:$K$48,3,FALSE)*I13</f>
        <v>699.25403191106693</v>
      </c>
      <c r="AE13" s="2">
        <f t="shared" ca="1" si="11"/>
        <v>-1098.8859680889332</v>
      </c>
      <c r="AF13" s="2">
        <f>SUMIFS(Wine1!$AB:$AB,Wine1!$AF:$AF,'Drink Dates 2'!AF$1,Wine1!$AA:$AA,'Drink Dates 2'!$A13)</f>
        <v>642.38</v>
      </c>
      <c r="AG13" s="44">
        <f ca="1">IF($A13-$A$2&lt;=VLOOKUP(AG$1,Table2[],3,FALSE),VLOOKUP('Drink Dates 2'!AG$1,Expenses!$B$44:$K$48,10,FALSE)*$L13-AF13,0)*F13</f>
        <v>176.40844077961023</v>
      </c>
      <c r="AH13" s="11">
        <f t="shared" si="8"/>
        <v>2762.76</v>
      </c>
      <c r="AI13" s="11">
        <f t="shared" ca="1" si="9"/>
        <v>-716.68424042100105</v>
      </c>
    </row>
    <row r="14" spans="1:37" x14ac:dyDescent="0.25">
      <c r="A14">
        <v>2031</v>
      </c>
      <c r="B14" s="37">
        <f t="shared" ca="1" si="0"/>
        <v>11</v>
      </c>
      <c r="C14" s="47">
        <f t="shared" ca="1" si="1"/>
        <v>0</v>
      </c>
      <c r="D14" s="47">
        <f t="shared" ca="1" si="2"/>
        <v>0.15384615384615374</v>
      </c>
      <c r="E14" s="47">
        <f t="shared" ca="1" si="2"/>
        <v>0.38888888888888895</v>
      </c>
      <c r="F14" s="47">
        <f t="shared" ca="1" si="2"/>
        <v>0.52173913043478259</v>
      </c>
      <c r="G14" s="50">
        <f ca="1">C14*VLOOKUP(G$1,Expenses!$B$45:$H$48,7,FALSE)*$L14</f>
        <v>0</v>
      </c>
      <c r="H14" s="50">
        <f ca="1">D14*VLOOKUP(H$1,Expenses!$B$45:$H$48,7,FALSE)*$L14</f>
        <v>7.9999999999999947</v>
      </c>
      <c r="I14" s="50">
        <f ca="1">E14*VLOOKUP(I$1,Expenses!$B$45:$H$48,7,FALSE)*$L14</f>
        <v>14.000000000000002</v>
      </c>
      <c r="J14" s="50">
        <f ca="1">F14*VLOOKUP(J$1,Expenses!$B$45:$H$48,7,FALSE)*$L14</f>
        <v>4.695652173913043</v>
      </c>
      <c r="K14" s="37">
        <f t="shared" ca="1" si="10"/>
        <v>4117</v>
      </c>
      <c r="L14" s="46">
        <f t="shared" ca="1" si="3"/>
        <v>1</v>
      </c>
      <c r="M14" s="37">
        <f>SUMIF(Wine1!AA:AA,A14,Wine1!I:I)</f>
        <v>40</v>
      </c>
      <c r="N14" s="37">
        <f>IFERROR(AVERAGEIF(Wine1!AA:AA,A14,Wine1!Z:Z),0)</f>
        <v>93.778787878787867</v>
      </c>
      <c r="O14" s="24">
        <f>COUNTIFS(Wine1!$AA:$AA,'Drink Dates 2'!$A14,Wine1!$AF:$AF,'Drink Dates 2'!O$1)</f>
        <v>0</v>
      </c>
      <c r="P14" s="48">
        <f t="shared" ca="1" si="4"/>
        <v>0</v>
      </c>
      <c r="Q14" s="24">
        <f>COUNTIFS(Wine1!$AA:$AA,'Drink Dates 2'!$A14,Wine1!$AF:$AF,'Drink Dates 2'!Q$1)</f>
        <v>7</v>
      </c>
      <c r="R14" s="48">
        <f t="shared" ca="1" si="5"/>
        <v>1</v>
      </c>
      <c r="S14" s="24">
        <f>COUNTIFS(Wine1!$AA:$AA,'Drink Dates 2'!$A14,Wine1!$AF:$AF,'Drink Dates 2'!S$1)</f>
        <v>27</v>
      </c>
      <c r="T14" s="48">
        <f t="shared" ca="1" si="6"/>
        <v>-13</v>
      </c>
      <c r="U14" s="24">
        <f>COUNTIFS(Wine1!$AA:$AA,'Drink Dates 2'!$A14,Wine1!$AF:$AF,'Drink Dates 2'!U$1)</f>
        <v>6</v>
      </c>
      <c r="V14" s="48">
        <f t="shared" ca="1" si="7"/>
        <v>-1</v>
      </c>
      <c r="W14" s="42">
        <f>SUMIFS(Wine1!AB:AB,Wine1!AF:AF,'Drink Dates 2'!W$1,Wine1!AA:AA,'Drink Dates 2'!$A14)</f>
        <v>0</v>
      </c>
      <c r="X14" s="70"/>
      <c r="Y14" s="2">
        <f ca="1">IF($A14-$A$2&lt;=VLOOKUP(Y$1,Table2[],3,FALSE),VLOOKUP('Drink Dates 2'!Y$1,Expenses!$B$44:$K$48,10,FALSE)*$L14-W14,0)*C14</f>
        <v>0</v>
      </c>
      <c r="Z14" s="2">
        <f>SUMIFS(Wine1!$AB:$AB,Wine1!$AF:$AF,'Drink Dates 2'!Z$1,Wine1!$AA:$AA,'Drink Dates 2'!$A14)</f>
        <v>154.35</v>
      </c>
      <c r="AA14" s="2"/>
      <c r="AB14" s="2">
        <f ca="1">IF($A14-$A$2&lt;=VLOOKUP(AB$1,Table2[],3,FALSE),VLOOKUP('Drink Dates 2'!AB$1,Expenses!$B$44:$K$48,10,FALSE)*$L14-Z14,0)*D14</f>
        <v>163.02475536144527</v>
      </c>
      <c r="AC14" s="2">
        <f>SUMIFS(Wine1!$AB:$AB,Wine1!$AF:$AF,'Drink Dates 2'!AC$1,Wine1!$AA:$AA,'Drink Dates 2'!$A14)</f>
        <v>1151.5277001850698</v>
      </c>
      <c r="AD14" s="2">
        <f ca="1">VLOOKUP($AD$1,Expenses!$B$44:$K$48,3,FALSE)*I14</f>
        <v>611.84727792218359</v>
      </c>
      <c r="AE14" s="2">
        <f t="shared" ca="1" si="11"/>
        <v>-539.68042226288617</v>
      </c>
      <c r="AF14" s="2">
        <f>SUMIFS(Wine1!$AB:$AB,Wine1!$AF:$AF,'Drink Dates 2'!AF$1,Wine1!$AA:$AA,'Drink Dates 2'!$A14)</f>
        <v>468.74</v>
      </c>
      <c r="AG14" s="44">
        <f ca="1">IF($A14-$A$2&lt;=VLOOKUP(AG$1,Table2[],3,FALSE),VLOOKUP('Drink Dates 2'!AG$1,Expenses!$B$44:$K$48,10,FALSE)*$L14-AF14,0)*F14</f>
        <v>253.43334332833584</v>
      </c>
      <c r="AH14" s="11">
        <f t="shared" si="8"/>
        <v>1774.6177001850697</v>
      </c>
      <c r="AI14" s="11">
        <f t="shared" ca="1" si="9"/>
        <v>-123.22232357310506</v>
      </c>
    </row>
    <row r="15" spans="1:37" x14ac:dyDescent="0.25">
      <c r="A15">
        <v>2032</v>
      </c>
      <c r="B15" s="37">
        <f t="shared" ca="1" si="0"/>
        <v>12</v>
      </c>
      <c r="C15" s="47">
        <f t="shared" ca="1" si="1"/>
        <v>0</v>
      </c>
      <c r="D15" s="47">
        <f t="shared" ca="1" si="2"/>
        <v>7.6923076923076872E-2</v>
      </c>
      <c r="E15" s="47">
        <f t="shared" ca="1" si="2"/>
        <v>0.33333333333333337</v>
      </c>
      <c r="F15" s="47">
        <f t="shared" ca="1" si="2"/>
        <v>0.47826086956521741</v>
      </c>
      <c r="G15" s="50">
        <f ca="1">C15*VLOOKUP(G$1,Expenses!$B$45:$H$48,7,FALSE)*$L15</f>
        <v>0</v>
      </c>
      <c r="H15" s="50">
        <f ca="1">D15*VLOOKUP(H$1,Expenses!$B$45:$H$48,7,FALSE)*$L15</f>
        <v>3.9999999999999973</v>
      </c>
      <c r="I15" s="50">
        <f ca="1">E15*VLOOKUP(I$1,Expenses!$B$45:$H$48,7,FALSE)*$L15</f>
        <v>12.000000000000002</v>
      </c>
      <c r="J15" s="50">
        <f ca="1">F15*VLOOKUP(J$1,Expenses!$B$45:$H$48,7,FALSE)*$L15</f>
        <v>4.304347826086957</v>
      </c>
      <c r="K15" s="37">
        <f t="shared" ca="1" si="10"/>
        <v>4482</v>
      </c>
      <c r="L15" s="46">
        <f t="shared" ca="1" si="3"/>
        <v>1</v>
      </c>
      <c r="M15" s="37">
        <f>SUMIF(Wine1!AA:AA,A15,Wine1!I:I)</f>
        <v>33</v>
      </c>
      <c r="N15" s="37">
        <f>IFERROR(AVERAGEIF(Wine1!AA:AA,A15,Wine1!Z:Z),0)</f>
        <v>93.879032258064512</v>
      </c>
      <c r="O15" s="24">
        <f>COUNTIFS(Wine1!$AA:$AA,'Drink Dates 2'!$A15,Wine1!$AF:$AF,'Drink Dates 2'!O$1)</f>
        <v>0</v>
      </c>
      <c r="P15" s="48">
        <f t="shared" ca="1" si="4"/>
        <v>0</v>
      </c>
      <c r="Q15" s="24">
        <f>COUNTIFS(Wine1!$AA:$AA,'Drink Dates 2'!$A15,Wine1!$AF:$AF,'Drink Dates 2'!Q$1)</f>
        <v>2</v>
      </c>
      <c r="R15" s="48">
        <f t="shared" ca="1" si="5"/>
        <v>2</v>
      </c>
      <c r="S15" s="24">
        <f>COUNTIFS(Wine1!$AA:$AA,'Drink Dates 2'!$A15,Wine1!$AF:$AF,'Drink Dates 2'!S$1)</f>
        <v>28</v>
      </c>
      <c r="T15" s="48">
        <f t="shared" ca="1" si="6"/>
        <v>-16</v>
      </c>
      <c r="U15" s="24">
        <f>COUNTIFS(Wine1!$AA:$AA,'Drink Dates 2'!$A15,Wine1!$AF:$AF,'Drink Dates 2'!U$1)</f>
        <v>3</v>
      </c>
      <c r="V15" s="48">
        <f t="shared" ca="1" si="7"/>
        <v>1</v>
      </c>
      <c r="W15" s="42">
        <f>SUMIFS(Wine1!AB:AB,Wine1!AF:AF,'Drink Dates 2'!W$1,Wine1!AA:AA,'Drink Dates 2'!$A15)</f>
        <v>0</v>
      </c>
      <c r="X15" s="70"/>
      <c r="Y15" s="2">
        <f ca="1">IF($A15-$A$2&lt;=VLOOKUP(Y$1,Table2[],3,FALSE),VLOOKUP('Drink Dates 2'!Y$1,Expenses!$B$44:$K$48,10,FALSE)*$L15-W15,0)*C15</f>
        <v>0</v>
      </c>
      <c r="Z15" s="2">
        <f>SUMIFS(Wine1!$AB:$AB,Wine1!$AF:$AF,'Drink Dates 2'!Z$1,Wine1!$AA:$AA,'Drink Dates 2'!$A15)</f>
        <v>50.900000000000006</v>
      </c>
      <c r="AA15" s="2"/>
      <c r="AB15" s="2">
        <f ca="1">IF($A15-$A$2&lt;=VLOOKUP(AB$1,Table2[],3,FALSE),VLOOKUP('Drink Dates 2'!AB$1,Expenses!$B$44:$K$48,10,FALSE)*$L15-Z15,0)*D15</f>
        <v>89.47006998841492</v>
      </c>
      <c r="AC15" s="2">
        <f>SUMIFS(Wine1!$AB:$AB,Wine1!$AF:$AF,'Drink Dates 2'!AC$1,Wine1!$AA:$AA,'Drink Dates 2'!$A15)</f>
        <v>1215.0050000000001</v>
      </c>
      <c r="AD15" s="2">
        <f ca="1">VLOOKUP($AD$1,Expenses!$B$44:$K$48,3,FALSE)*I15</f>
        <v>524.44052393330026</v>
      </c>
      <c r="AE15" s="2">
        <f t="shared" ca="1" si="11"/>
        <v>-690.56447606669985</v>
      </c>
      <c r="AF15" s="2">
        <f>SUMIFS(Wine1!$AB:$AB,Wine1!$AF:$AF,'Drink Dates 2'!AF$1,Wine1!$AA:$AA,'Drink Dates 2'!$A15)</f>
        <v>341.28</v>
      </c>
      <c r="AG15" s="44">
        <f ca="1">IF($A15-$A$2&lt;=VLOOKUP(AG$1,Table2[],3,FALSE),VLOOKUP('Drink Dates 2'!AG$1,Expenses!$B$44:$K$48,10,FALSE)*$L15-AF15,0)*F15</f>
        <v>293.27302848575715</v>
      </c>
      <c r="AH15" s="11">
        <f t="shared" si="8"/>
        <v>1607.1850000000002</v>
      </c>
      <c r="AI15" s="11">
        <f t="shared" ca="1" si="9"/>
        <v>-307.82137759252777</v>
      </c>
    </row>
    <row r="16" spans="1:37" x14ac:dyDescent="0.25">
      <c r="A16">
        <v>2033</v>
      </c>
      <c r="B16" s="37">
        <f t="shared" ca="1" si="0"/>
        <v>13</v>
      </c>
      <c r="C16" s="47">
        <f t="shared" ca="1" si="1"/>
        <v>0</v>
      </c>
      <c r="D16" s="47">
        <f t="shared" ca="1" si="2"/>
        <v>0</v>
      </c>
      <c r="E16" s="47">
        <f t="shared" ca="1" si="2"/>
        <v>0.27777777777777779</v>
      </c>
      <c r="F16" s="47">
        <f t="shared" ca="1" si="2"/>
        <v>0.43478260869565222</v>
      </c>
      <c r="G16" s="50">
        <f ca="1">C16*VLOOKUP(G$1,Expenses!$B$45:$H$48,7,FALSE)*$L16</f>
        <v>0</v>
      </c>
      <c r="H16" s="50">
        <f ca="1">D16*VLOOKUP(H$1,Expenses!$B$45:$H$48,7,FALSE)*$L16</f>
        <v>0</v>
      </c>
      <c r="I16" s="50">
        <f ca="1">E16*VLOOKUP(I$1,Expenses!$B$45:$H$48,7,FALSE)*$L16</f>
        <v>10</v>
      </c>
      <c r="J16" s="50">
        <f ca="1">F16*VLOOKUP(J$1,Expenses!$B$45:$H$48,7,FALSE)*$L16</f>
        <v>3.9130434782608701</v>
      </c>
      <c r="K16" s="37">
        <f t="shared" ca="1" si="10"/>
        <v>4847</v>
      </c>
      <c r="L16" s="46">
        <f t="shared" ca="1" si="3"/>
        <v>1</v>
      </c>
      <c r="M16" s="37">
        <f>SUMIF(Wine1!AA:AA,A16,Wine1!I:I)</f>
        <v>35</v>
      </c>
      <c r="N16" s="37">
        <f>IFERROR(AVERAGEIF(Wine1!AA:AA,A16,Wine1!Z:Z),0)</f>
        <v>93.961764705882345</v>
      </c>
      <c r="O16" s="24">
        <f>COUNTIFS(Wine1!$AA:$AA,'Drink Dates 2'!$A16,Wine1!$AF:$AF,'Drink Dates 2'!O$1)</f>
        <v>0</v>
      </c>
      <c r="P16" s="48">
        <f t="shared" ca="1" si="4"/>
        <v>0</v>
      </c>
      <c r="Q16" s="24">
        <f>COUNTIFS(Wine1!$AA:$AA,'Drink Dates 2'!$A16,Wine1!$AF:$AF,'Drink Dates 2'!Q$1)</f>
        <v>4</v>
      </c>
      <c r="R16" s="48">
        <f t="shared" ca="1" si="5"/>
        <v>-4</v>
      </c>
      <c r="S16" s="24">
        <f>COUNTIFS(Wine1!$AA:$AA,'Drink Dates 2'!$A16,Wine1!$AF:$AF,'Drink Dates 2'!S$1)</f>
        <v>27</v>
      </c>
      <c r="T16" s="48">
        <f t="shared" ca="1" si="6"/>
        <v>-17</v>
      </c>
      <c r="U16" s="24">
        <f>COUNTIFS(Wine1!$AA:$AA,'Drink Dates 2'!$A16,Wine1!$AF:$AF,'Drink Dates 2'!U$1)</f>
        <v>4</v>
      </c>
      <c r="V16" s="48">
        <f t="shared" ca="1" si="7"/>
        <v>0</v>
      </c>
      <c r="W16" s="42">
        <f>SUMIFS(Wine1!AB:AB,Wine1!AF:AF,'Drink Dates 2'!W$1,Wine1!AA:AA,'Drink Dates 2'!$A16)</f>
        <v>0</v>
      </c>
      <c r="X16" s="70"/>
      <c r="Y16" s="2">
        <f ca="1">IF($A16-$A$2&lt;=VLOOKUP(Y$1,Table2[],3,FALSE),VLOOKUP('Drink Dates 2'!Y$1,Expenses!$B$44:$K$48,10,FALSE)*$L16-W16,0)*C16</f>
        <v>0</v>
      </c>
      <c r="Z16" s="2">
        <f>SUMIFS(Wine1!$AB:$AB,Wine1!$AF:$AF,'Drink Dates 2'!Z$1,Wine1!$AA:$AA,'Drink Dates 2'!$A16)</f>
        <v>84.41</v>
      </c>
      <c r="AA16" s="2"/>
      <c r="AB16" s="2">
        <f ca="1">IF($A16-$A$2&lt;=VLOOKUP(AB$1,Table2[],3,FALSE),VLOOKUP('Drink Dates 2'!AB$1,Expenses!$B$44:$K$48,10,FALSE)*$L16-Z16,0)*D16</f>
        <v>0</v>
      </c>
      <c r="AC16" s="2">
        <f>SUMIFS(Wine1!$AB:$AB,Wine1!$AF:$AF,'Drink Dates 2'!AC$1,Wine1!$AA:$AA,'Drink Dates 2'!$A16)</f>
        <v>1142.0300000000002</v>
      </c>
      <c r="AD16" s="2">
        <f ca="1">VLOOKUP($AD$1,Expenses!$B$44:$K$48,3,FALSE)*I16</f>
        <v>437.0337699444168</v>
      </c>
      <c r="AE16" s="2">
        <f t="shared" ca="1" si="11"/>
        <v>-704.9962300555834</v>
      </c>
      <c r="AF16" s="2">
        <f>SUMIFS(Wine1!$AB:$AB,Wine1!$AF:$AF,'Drink Dates 2'!AF$1,Wine1!$AA:$AA,'Drink Dates 2'!$A16)</f>
        <v>275.67</v>
      </c>
      <c r="AG16" s="44">
        <f ca="1">IF($A16-$A$2&lt;=VLOOKUP(AG$1,Table2[],3,FALSE),VLOOKUP('Drink Dates 2'!AG$1,Expenses!$B$44:$K$48,10,FALSE)*$L16-AF16,0)*F16</f>
        <v>295.13793103448285</v>
      </c>
      <c r="AH16" s="11">
        <f t="shared" si="8"/>
        <v>1502.1100000000004</v>
      </c>
      <c r="AI16" s="11">
        <f t="shared" ca="1" si="9"/>
        <v>-409.85829902110055</v>
      </c>
    </row>
    <row r="17" spans="1:35" x14ac:dyDescent="0.25">
      <c r="A17">
        <v>2034</v>
      </c>
      <c r="B17" s="37">
        <f t="shared" ca="1" si="0"/>
        <v>14</v>
      </c>
      <c r="C17" s="47">
        <f t="shared" ca="1" si="1"/>
        <v>0</v>
      </c>
      <c r="D17" s="47">
        <f t="shared" ca="1" si="2"/>
        <v>0</v>
      </c>
      <c r="E17" s="47">
        <f t="shared" ca="1" si="2"/>
        <v>0.22222222222222232</v>
      </c>
      <c r="F17" s="47">
        <f t="shared" ca="1" si="2"/>
        <v>0.39130434782608692</v>
      </c>
      <c r="G17" s="50">
        <f ca="1">C17*VLOOKUP(G$1,Expenses!$B$45:$H$48,7,FALSE)*$L17</f>
        <v>0</v>
      </c>
      <c r="H17" s="50">
        <f ca="1">D17*VLOOKUP(H$1,Expenses!$B$45:$H$48,7,FALSE)*$L17</f>
        <v>0</v>
      </c>
      <c r="I17" s="50">
        <f ca="1">E17*VLOOKUP(I$1,Expenses!$B$45:$H$48,7,FALSE)*$L17</f>
        <v>8.0000000000000036</v>
      </c>
      <c r="J17" s="50">
        <f ca="1">F17*VLOOKUP(J$1,Expenses!$B$45:$H$48,7,FALSE)*$L17</f>
        <v>3.5217391304347823</v>
      </c>
      <c r="K17" s="37">
        <f t="shared" ca="1" si="10"/>
        <v>5212</v>
      </c>
      <c r="L17" s="46">
        <f t="shared" ca="1" si="3"/>
        <v>1</v>
      </c>
      <c r="M17" s="37">
        <f>SUMIF(Wine1!AA:AA,A17,Wine1!I:I)</f>
        <v>28</v>
      </c>
      <c r="N17" s="37">
        <f>IFERROR(AVERAGEIF(Wine1!AA:AA,A17,Wine1!Z:Z),0)</f>
        <v>94.353703703703715</v>
      </c>
      <c r="O17" s="24">
        <f>COUNTIFS(Wine1!$AA:$AA,'Drink Dates 2'!$A17,Wine1!$AF:$AF,'Drink Dates 2'!O$1)</f>
        <v>0</v>
      </c>
      <c r="P17" s="48">
        <f t="shared" ca="1" si="4"/>
        <v>0</v>
      </c>
      <c r="Q17" s="24">
        <f>COUNTIFS(Wine1!$AA:$AA,'Drink Dates 2'!$A17,Wine1!$AF:$AF,'Drink Dates 2'!Q$1)</f>
        <v>2</v>
      </c>
      <c r="R17" s="48">
        <f t="shared" ca="1" si="5"/>
        <v>-2</v>
      </c>
      <c r="S17" s="24">
        <f>COUNTIFS(Wine1!$AA:$AA,'Drink Dates 2'!$A17,Wine1!$AF:$AF,'Drink Dates 2'!S$1)</f>
        <v>22</v>
      </c>
      <c r="T17" s="48">
        <f t="shared" ca="1" si="6"/>
        <v>-14</v>
      </c>
      <c r="U17" s="24">
        <f>COUNTIFS(Wine1!$AA:$AA,'Drink Dates 2'!$A17,Wine1!$AF:$AF,'Drink Dates 2'!U$1)</f>
        <v>4</v>
      </c>
      <c r="V17" s="48">
        <f t="shared" ca="1" si="7"/>
        <v>0</v>
      </c>
      <c r="W17" s="42">
        <f>SUMIFS(Wine1!AB:AB,Wine1!AF:AF,'Drink Dates 2'!W$1,Wine1!AA:AA,'Drink Dates 2'!$A17)</f>
        <v>0</v>
      </c>
      <c r="X17" s="70"/>
      <c r="Y17" s="2">
        <f ca="1">IF($A17-$A$2&lt;=VLOOKUP(Y$1,Table2[],3,FALSE),VLOOKUP('Drink Dates 2'!Y$1,Expenses!$B$44:$K$48,10,FALSE)*$L17-W17,0)*C17</f>
        <v>0</v>
      </c>
      <c r="Z17" s="2">
        <f>SUMIFS(Wine1!$AB:$AB,Wine1!$AF:$AF,'Drink Dates 2'!Z$1,Wine1!$AA:$AA,'Drink Dates 2'!$A17)</f>
        <v>50.900000000000006</v>
      </c>
      <c r="AA17" s="2"/>
      <c r="AB17" s="2">
        <f ca="1">IF($A17-$A$2&lt;=VLOOKUP(AB$1,Table2[],3,FALSE),VLOOKUP('Drink Dates 2'!AB$1,Expenses!$B$44:$K$48,10,FALSE)*$L17-Z17,0)*D17</f>
        <v>0</v>
      </c>
      <c r="AC17" s="2">
        <f>SUMIFS(Wine1!$AB:$AB,Wine1!$AF:$AF,'Drink Dates 2'!AC$1,Wine1!$AA:$AA,'Drink Dates 2'!$A17)</f>
        <v>909.05000000000007</v>
      </c>
      <c r="AD17" s="2">
        <f ca="1">VLOOKUP($AD$1,Expenses!$B$44:$K$48,3,FALSE)*I17</f>
        <v>349.62701595553364</v>
      </c>
      <c r="AE17" s="2">
        <f t="shared" ca="1" si="11"/>
        <v>-559.42298404446638</v>
      </c>
      <c r="AF17" s="2">
        <f>SUMIFS(Wine1!$AB:$AB,Wine1!$AF:$AF,'Drink Dates 2'!AF$1,Wine1!$AA:$AA,'Drink Dates 2'!$A17)</f>
        <v>551.95000000000005</v>
      </c>
      <c r="AG17" s="44">
        <f ca="1">IF($A17-$A$2&lt;=VLOOKUP(AG$1,Table2[],3,FALSE),VLOOKUP('Drink Dates 2'!AG$1,Expenses!$B$44:$K$48,10,FALSE)*$L17-AF17,0)*F17</f>
        <v>157.51457271364316</v>
      </c>
      <c r="AH17" s="11">
        <f t="shared" si="8"/>
        <v>1511.9</v>
      </c>
      <c r="AI17" s="11">
        <f t="shared" ca="1" si="9"/>
        <v>-401.90841133082324</v>
      </c>
    </row>
    <row r="18" spans="1:35" x14ac:dyDescent="0.25">
      <c r="A18">
        <v>2035</v>
      </c>
      <c r="B18" s="37">
        <f t="shared" ca="1" si="0"/>
        <v>15</v>
      </c>
      <c r="C18" s="47">
        <f t="shared" ca="1" si="1"/>
        <v>0</v>
      </c>
      <c r="D18" s="47">
        <f t="shared" ca="1" si="2"/>
        <v>0</v>
      </c>
      <c r="E18" s="47">
        <f t="shared" ca="1" si="2"/>
        <v>0.16666666666666674</v>
      </c>
      <c r="F18" s="47">
        <f t="shared" ca="1" si="2"/>
        <v>0.34782608695652173</v>
      </c>
      <c r="G18" s="50">
        <f ca="1">C18*VLOOKUP(G$1,Expenses!$B$45:$H$48,7,FALSE)*$L18</f>
        <v>0</v>
      </c>
      <c r="H18" s="50">
        <f ca="1">D18*VLOOKUP(H$1,Expenses!$B$45:$H$48,7,FALSE)*$L18</f>
        <v>0</v>
      </c>
      <c r="I18" s="50">
        <f ca="1">E18*VLOOKUP(I$1,Expenses!$B$45:$H$48,7,FALSE)*$L18</f>
        <v>6.0000000000000027</v>
      </c>
      <c r="J18" s="50">
        <f ca="1">F18*VLOOKUP(J$1,Expenses!$B$45:$H$48,7,FALSE)*$L18</f>
        <v>3.1304347826086953</v>
      </c>
      <c r="K18" s="37">
        <f t="shared" ca="1" si="10"/>
        <v>5577</v>
      </c>
      <c r="L18" s="46">
        <f t="shared" ca="1" si="3"/>
        <v>1</v>
      </c>
      <c r="M18" s="37">
        <f>SUMIF(Wine1!AA:AA,A18,Wine1!I:I)</f>
        <v>32</v>
      </c>
      <c r="N18" s="37">
        <f>IFERROR(AVERAGEIF(Wine1!AA:AA,A18,Wine1!Z:Z),0)</f>
        <v>94.83448275862068</v>
      </c>
      <c r="O18" s="24">
        <f>COUNTIFS(Wine1!$AA:$AA,'Drink Dates 2'!$A18,Wine1!$AF:$AF,'Drink Dates 2'!O$1)</f>
        <v>0</v>
      </c>
      <c r="P18" s="48">
        <f t="shared" ca="1" si="4"/>
        <v>0</v>
      </c>
      <c r="Q18" s="24">
        <f>COUNTIFS(Wine1!$AA:$AA,'Drink Dates 2'!$A18,Wine1!$AF:$AF,'Drink Dates 2'!Q$1)</f>
        <v>3</v>
      </c>
      <c r="R18" s="48">
        <f t="shared" ca="1" si="5"/>
        <v>-3</v>
      </c>
      <c r="S18" s="24">
        <f>COUNTIFS(Wine1!$AA:$AA,'Drink Dates 2'!$A18,Wine1!$AF:$AF,'Drink Dates 2'!S$1)</f>
        <v>19</v>
      </c>
      <c r="T18" s="48">
        <f t="shared" ca="1" si="6"/>
        <v>-13</v>
      </c>
      <c r="U18" s="24">
        <f>COUNTIFS(Wine1!$AA:$AA,'Drink Dates 2'!$A18,Wine1!$AF:$AF,'Drink Dates 2'!U$1)</f>
        <v>10</v>
      </c>
      <c r="V18" s="48">
        <f t="shared" ca="1" si="7"/>
        <v>-7</v>
      </c>
      <c r="W18" s="42">
        <f>SUMIFS(Wine1!AB:AB,Wine1!AF:AF,'Drink Dates 2'!W$1,Wine1!AA:AA,'Drink Dates 2'!$A18)</f>
        <v>0</v>
      </c>
      <c r="X18" s="70"/>
      <c r="Y18" s="2">
        <f ca="1">IF($A18-$A$2&lt;=VLOOKUP(Y$1,Table2[],3,FALSE),VLOOKUP('Drink Dates 2'!Y$1,Expenses!$B$44:$K$48,10,FALSE)*$L18-W18,0)*C18</f>
        <v>0</v>
      </c>
      <c r="Z18" s="2">
        <f>SUMIFS(Wine1!$AB:$AB,Wine1!$AF:$AF,'Drink Dates 2'!Z$1,Wine1!$AA:$AA,'Drink Dates 2'!$A18)</f>
        <v>62.900000000000006</v>
      </c>
      <c r="AA18" s="2"/>
      <c r="AB18" s="2">
        <f ca="1">IF($A18-$A$2&lt;=VLOOKUP(AB$1,Table2[],3,FALSE),VLOOKUP('Drink Dates 2'!AB$1,Expenses!$B$44:$K$48,10,FALSE)*$L18-Z18,0)*D18</f>
        <v>0</v>
      </c>
      <c r="AC18" s="2">
        <f>SUMIFS(Wine1!$AB:$AB,Wine1!$AF:$AF,'Drink Dates 2'!AC$1,Wine1!$AA:$AA,'Drink Dates 2'!$A18)</f>
        <v>892.43499999999995</v>
      </c>
      <c r="AD18" s="2">
        <f ca="1">VLOOKUP($AD$1,Expenses!$B$44:$K$48,3,FALSE)*I18</f>
        <v>262.22026196665024</v>
      </c>
      <c r="AE18" s="2">
        <f t="shared" ca="1" si="11"/>
        <v>-630.2147380333497</v>
      </c>
      <c r="AF18" s="2">
        <f>SUMIFS(Wine1!$AB:$AB,Wine1!$AF:$AF,'Drink Dates 2'!AF$1,Wine1!$AA:$AA,'Drink Dates 2'!$A18)</f>
        <v>1247.22</v>
      </c>
      <c r="AG18" s="44">
        <f ca="1">IF($A18-$A$2&lt;=VLOOKUP(AG$1,Table2[],3,FALSE),VLOOKUP('Drink Dates 2'!AG$1,Expenses!$B$44:$K$48,10,FALSE)*$L18-AF18,0)*F18</f>
        <v>-101.82008995502248</v>
      </c>
      <c r="AH18" s="11">
        <f t="shared" si="8"/>
        <v>2202.5549999999998</v>
      </c>
      <c r="AI18" s="11">
        <f t="shared" ca="1" si="9"/>
        <v>-732.03482798837217</v>
      </c>
    </row>
    <row r="19" spans="1:35" x14ac:dyDescent="0.25">
      <c r="A19">
        <v>2036</v>
      </c>
      <c r="B19" s="37">
        <f t="shared" ca="1" si="0"/>
        <v>16</v>
      </c>
      <c r="C19" s="47">
        <f t="shared" ca="1" si="1"/>
        <v>0</v>
      </c>
      <c r="D19" s="47">
        <f t="shared" ref="D19:F43" ca="1" si="12">IF(1-$B19*D$2&lt;=0,0,1-$B19*D$2)</f>
        <v>0</v>
      </c>
      <c r="E19" s="47">
        <f t="shared" ca="1" si="12"/>
        <v>0.11111111111111116</v>
      </c>
      <c r="F19" s="47">
        <f t="shared" ca="1" si="12"/>
        <v>0.30434782608695654</v>
      </c>
      <c r="G19" s="50">
        <f ca="1">C19*VLOOKUP(G$1,Expenses!$B$45:$H$48,7,FALSE)*$L19</f>
        <v>0</v>
      </c>
      <c r="H19" s="50">
        <f ca="1">D19*VLOOKUP(H$1,Expenses!$B$45:$H$48,7,FALSE)*$L19</f>
        <v>0</v>
      </c>
      <c r="I19" s="50">
        <f ca="1">E19*VLOOKUP(I$1,Expenses!$B$45:$H$48,7,FALSE)*$L19</f>
        <v>4.0000000000000018</v>
      </c>
      <c r="J19" s="50">
        <f ca="1">F19*VLOOKUP(J$1,Expenses!$B$45:$H$48,7,FALSE)*$L19</f>
        <v>2.7391304347826089</v>
      </c>
      <c r="K19" s="37">
        <f t="shared" ca="1" si="10"/>
        <v>5942</v>
      </c>
      <c r="L19" s="46">
        <f t="shared" ca="1" si="3"/>
        <v>1</v>
      </c>
      <c r="M19" s="37">
        <f>SUMIF(Wine1!AA:AA,A19,Wine1!I:I)</f>
        <v>17</v>
      </c>
      <c r="N19" s="37">
        <f>IFERROR(AVERAGEIF(Wine1!AA:AA,A19,Wine1!Z:Z),0)</f>
        <v>94.359375</v>
      </c>
      <c r="O19" s="24">
        <f>COUNTIFS(Wine1!$AA:$AA,'Drink Dates 2'!$A19,Wine1!$AF:$AF,'Drink Dates 2'!O$1)</f>
        <v>0</v>
      </c>
      <c r="P19" s="48">
        <f t="shared" ca="1" si="4"/>
        <v>0</v>
      </c>
      <c r="Q19" s="24">
        <f>COUNTIFS(Wine1!$AA:$AA,'Drink Dates 2'!$A19,Wine1!$AF:$AF,'Drink Dates 2'!Q$1)</f>
        <v>1</v>
      </c>
      <c r="R19" s="48">
        <f t="shared" ca="1" si="5"/>
        <v>-1</v>
      </c>
      <c r="S19" s="24">
        <f>COUNTIFS(Wine1!$AA:$AA,'Drink Dates 2'!$A19,Wine1!$AF:$AF,'Drink Dates 2'!S$1)</f>
        <v>10</v>
      </c>
      <c r="T19" s="48">
        <f t="shared" ca="1" si="6"/>
        <v>-6</v>
      </c>
      <c r="U19" s="24">
        <f>COUNTIFS(Wine1!$AA:$AA,'Drink Dates 2'!$A19,Wine1!$AF:$AF,'Drink Dates 2'!U$1)</f>
        <v>6</v>
      </c>
      <c r="V19" s="48">
        <f t="shared" ca="1" si="7"/>
        <v>-3</v>
      </c>
      <c r="W19" s="42">
        <f>SUMIFS(Wine1!AB:AB,Wine1!AF:AF,'Drink Dates 2'!W$1,Wine1!AA:AA,'Drink Dates 2'!$A19)</f>
        <v>0</v>
      </c>
      <c r="X19" s="70"/>
      <c r="Y19" s="2">
        <f ca="1">IF($A19-$A$2&lt;=VLOOKUP(Y$1,Table2[],3,FALSE),VLOOKUP('Drink Dates 2'!Y$1,Expenses!$B$44:$K$48,10,FALSE)*$L19-W19,0)*C19</f>
        <v>0</v>
      </c>
      <c r="Z19" s="2">
        <f>SUMIFS(Wine1!$AB:$AB,Wine1!$AF:$AF,'Drink Dates 2'!Z$1,Wine1!$AA:$AA,'Drink Dates 2'!$A19)</f>
        <v>17.91</v>
      </c>
      <c r="AA19" s="2"/>
      <c r="AB19" s="2">
        <f ca="1">IF($A19-$A$2&lt;=VLOOKUP(AB$1,Table2[],3,FALSE),VLOOKUP('Drink Dates 2'!AB$1,Expenses!$B$44:$K$48,10,FALSE)*$L19-Z19,0)*D19</f>
        <v>0</v>
      </c>
      <c r="AC19" s="2">
        <f>SUMIFS(Wine1!$AB:$AB,Wine1!$AF:$AF,'Drink Dates 2'!AC$1,Wine1!$AA:$AA,'Drink Dates 2'!$A19)</f>
        <v>512.21</v>
      </c>
      <c r="AD19" s="2">
        <f ca="1">VLOOKUP($AD$1,Expenses!$B$44:$K$48,3,FALSE)*I19</f>
        <v>174.81350797776682</v>
      </c>
      <c r="AE19" s="2">
        <f t="shared" ca="1" si="11"/>
        <v>-337.39649202223325</v>
      </c>
      <c r="AF19" s="2">
        <f>SUMIFS(Wine1!$AB:$AB,Wine1!$AF:$AF,'Drink Dates 2'!AF$1,Wine1!$AA:$AA,'Drink Dates 2'!$A19)</f>
        <v>502.02</v>
      </c>
      <c r="AG19" s="44">
        <f ca="1">IF($A19-$A$2&lt;=VLOOKUP(AG$1,Table2[],3,FALSE),VLOOKUP('Drink Dates 2'!AG$1,Expenses!$B$44:$K$48,10,FALSE)*$L19-AF19,0)*F19</f>
        <v>137.70742128935535</v>
      </c>
      <c r="AH19" s="11">
        <f t="shared" si="8"/>
        <v>1032.1399999999999</v>
      </c>
      <c r="AI19" s="11">
        <f t="shared" ca="1" si="9"/>
        <v>-199.68907073287789</v>
      </c>
    </row>
    <row r="20" spans="1:35" x14ac:dyDescent="0.25">
      <c r="A20">
        <v>2037</v>
      </c>
      <c r="B20" s="37">
        <f t="shared" ca="1" si="0"/>
        <v>17</v>
      </c>
      <c r="C20" s="47">
        <f t="shared" ca="1" si="1"/>
        <v>0</v>
      </c>
      <c r="D20" s="47">
        <f t="shared" ca="1" si="12"/>
        <v>0</v>
      </c>
      <c r="E20" s="47">
        <f t="shared" ca="1" si="12"/>
        <v>5.555555555555558E-2</v>
      </c>
      <c r="F20" s="47">
        <f t="shared" ca="1" si="12"/>
        <v>0.26086956521739135</v>
      </c>
      <c r="G20" s="50">
        <f ca="1">C20*VLOOKUP(G$1,Expenses!$B$45:$H$48,7,FALSE)*$L20</f>
        <v>0</v>
      </c>
      <c r="H20" s="50">
        <f ca="1">D20*VLOOKUP(H$1,Expenses!$B$45:$H$48,7,FALSE)*$L20</f>
        <v>0</v>
      </c>
      <c r="I20" s="50">
        <f ca="1">E20*VLOOKUP(I$1,Expenses!$B$45:$H$48,7,FALSE)*$L20</f>
        <v>2.0000000000000009</v>
      </c>
      <c r="J20" s="50">
        <f ca="1">F20*VLOOKUP(J$1,Expenses!$B$45:$H$48,7,FALSE)*$L20</f>
        <v>2.3478260869565224</v>
      </c>
      <c r="K20" s="37">
        <f t="shared" ca="1" si="10"/>
        <v>6307</v>
      </c>
      <c r="L20" s="46">
        <f t="shared" ca="1" si="3"/>
        <v>1</v>
      </c>
      <c r="M20" s="37">
        <f>SUMIF(Wine1!AA:AA,A20,Wine1!I:I)</f>
        <v>17</v>
      </c>
      <c r="N20" s="37">
        <f>IFERROR(AVERAGEIF(Wine1!AA:AA,A20,Wine1!Z:Z),0)</f>
        <v>94.821428571428569</v>
      </c>
      <c r="O20" s="24">
        <f>COUNTIFS(Wine1!$AA:$AA,'Drink Dates 2'!$A20,Wine1!$AF:$AF,'Drink Dates 2'!O$1)</f>
        <v>0</v>
      </c>
      <c r="P20" s="48">
        <f t="shared" ca="1" si="4"/>
        <v>0</v>
      </c>
      <c r="Q20" s="24">
        <f>COUNTIFS(Wine1!$AA:$AA,'Drink Dates 2'!$A20,Wine1!$AF:$AF,'Drink Dates 2'!Q$1)</f>
        <v>2</v>
      </c>
      <c r="R20" s="48">
        <f t="shared" ca="1" si="5"/>
        <v>-2</v>
      </c>
      <c r="S20" s="24">
        <f>COUNTIFS(Wine1!$AA:$AA,'Drink Dates 2'!$A20,Wine1!$AF:$AF,'Drink Dates 2'!S$1)</f>
        <v>12</v>
      </c>
      <c r="T20" s="48">
        <f t="shared" ca="1" si="6"/>
        <v>-10</v>
      </c>
      <c r="U20" s="24">
        <f>COUNTIFS(Wine1!$AA:$AA,'Drink Dates 2'!$A20,Wine1!$AF:$AF,'Drink Dates 2'!U$1)</f>
        <v>3</v>
      </c>
      <c r="V20" s="48">
        <f t="shared" ca="1" si="7"/>
        <v>-1</v>
      </c>
      <c r="W20" s="42">
        <f>SUMIFS(Wine1!AB:AB,Wine1!AF:AF,'Drink Dates 2'!W$1,Wine1!AA:AA,'Drink Dates 2'!$A20)</f>
        <v>0</v>
      </c>
      <c r="X20" s="70"/>
      <c r="Y20" s="2">
        <f ca="1">IF($A20-$A$2&lt;=VLOOKUP(Y$1,Table2[],3,FALSE),VLOOKUP('Drink Dates 2'!Y$1,Expenses!$B$44:$K$48,10,FALSE)*$L20-W20,0)*C20</f>
        <v>0</v>
      </c>
      <c r="Z20" s="2">
        <f>SUMIFS(Wine1!$AB:$AB,Wine1!$AF:$AF,'Drink Dates 2'!Z$1,Wine1!$AA:$AA,'Drink Dates 2'!$A20)</f>
        <v>45.06</v>
      </c>
      <c r="AA20" s="2"/>
      <c r="AB20" s="2">
        <f ca="1">IF($A20-$A$2&lt;=VLOOKUP(AB$1,Table2[],3,FALSE),VLOOKUP('Drink Dates 2'!AB$1,Expenses!$B$44:$K$48,10,FALSE)*$L20-Z20,0)*D20</f>
        <v>0</v>
      </c>
      <c r="AC20" s="2">
        <f>SUMIFS(Wine1!$AB:$AB,Wine1!$AF:$AF,'Drink Dates 2'!AC$1,Wine1!$AA:$AA,'Drink Dates 2'!$A20)</f>
        <v>593.86</v>
      </c>
      <c r="AD20" s="2">
        <f ca="1">VLOOKUP($AD$1,Expenses!$B$44:$K$48,3,FALSE)*I20</f>
        <v>87.406753988883409</v>
      </c>
      <c r="AE20" s="2">
        <f t="shared" ca="1" si="11"/>
        <v>-506.45324601111662</v>
      </c>
      <c r="AF20" s="2">
        <f>SUMIFS(Wine1!$AB:$AB,Wine1!$AF:$AF,'Drink Dates 2'!AF$1,Wine1!$AA:$AA,'Drink Dates 2'!$A20)</f>
        <v>232.02</v>
      </c>
      <c r="AG20" s="44">
        <f ca="1">IF($A20-$A$2&lt;=VLOOKUP(AG$1,Table2[],3,FALSE),VLOOKUP('Drink Dates 2'!AG$1,Expenses!$B$44:$K$48,10,FALSE)*$L20-AF20,0)*F20</f>
        <v>188.46971514242884</v>
      </c>
      <c r="AH20" s="11">
        <f t="shared" si="8"/>
        <v>870.94</v>
      </c>
      <c r="AI20" s="11">
        <f t="shared" ca="1" si="9"/>
        <v>-317.98353086868781</v>
      </c>
    </row>
    <row r="21" spans="1:35" x14ac:dyDescent="0.25">
      <c r="A21">
        <v>2038</v>
      </c>
      <c r="B21" s="37">
        <f t="shared" ca="1" si="0"/>
        <v>18</v>
      </c>
      <c r="C21" s="47">
        <f t="shared" ca="1" si="1"/>
        <v>0</v>
      </c>
      <c r="D21" s="47">
        <f t="shared" ca="1" si="12"/>
        <v>0</v>
      </c>
      <c r="E21" s="47">
        <f t="shared" ca="1" si="12"/>
        <v>0</v>
      </c>
      <c r="F21" s="47">
        <f t="shared" ca="1" si="12"/>
        <v>0.21739130434782616</v>
      </c>
      <c r="G21" s="50">
        <f ca="1">C21*VLOOKUP(G$1,Expenses!$B$45:$H$48,7,FALSE)*$L21</f>
        <v>0</v>
      </c>
      <c r="H21" s="50">
        <f ca="1">D21*VLOOKUP(H$1,Expenses!$B$45:$H$48,7,FALSE)*$L21</f>
        <v>0</v>
      </c>
      <c r="I21" s="50">
        <f ca="1">E21*VLOOKUP(I$1,Expenses!$B$45:$H$48,7,FALSE)*$L21</f>
        <v>0</v>
      </c>
      <c r="J21" s="50">
        <f ca="1">F21*VLOOKUP(J$1,Expenses!$B$45:$H$48,7,FALSE)*$L21</f>
        <v>1.9565217391304355</v>
      </c>
      <c r="K21" s="37">
        <f t="shared" ca="1" si="10"/>
        <v>6672</v>
      </c>
      <c r="L21" s="46">
        <f t="shared" ca="1" si="3"/>
        <v>1</v>
      </c>
      <c r="M21" s="37">
        <f>SUMIF(Wine1!AA:AA,A21,Wine1!I:I)</f>
        <v>15</v>
      </c>
      <c r="N21" s="37">
        <f>IFERROR(AVERAGEIF(Wine1!AA:AA,A21,Wine1!Z:Z),0)</f>
        <v>95.65</v>
      </c>
      <c r="O21" s="24">
        <f>COUNTIFS(Wine1!$AA:$AA,'Drink Dates 2'!$A21,Wine1!$AF:$AF,'Drink Dates 2'!O$1)</f>
        <v>0</v>
      </c>
      <c r="P21" s="48">
        <f t="shared" ca="1" si="4"/>
        <v>0</v>
      </c>
      <c r="Q21" s="24">
        <f>COUNTIFS(Wine1!$AA:$AA,'Drink Dates 2'!$A21,Wine1!$AF:$AF,'Drink Dates 2'!Q$1)</f>
        <v>0</v>
      </c>
      <c r="R21" s="48">
        <f t="shared" ca="1" si="5"/>
        <v>0</v>
      </c>
      <c r="S21" s="24">
        <f>COUNTIFS(Wine1!$AA:$AA,'Drink Dates 2'!$A21,Wine1!$AF:$AF,'Drink Dates 2'!S$1)</f>
        <v>9</v>
      </c>
      <c r="T21" s="48">
        <f t="shared" ca="1" si="6"/>
        <v>-9</v>
      </c>
      <c r="U21" s="24">
        <f>COUNTIFS(Wine1!$AA:$AA,'Drink Dates 2'!$A21,Wine1!$AF:$AF,'Drink Dates 2'!U$1)</f>
        <v>6</v>
      </c>
      <c r="V21" s="48">
        <f t="shared" ca="1" si="7"/>
        <v>-4</v>
      </c>
      <c r="W21" s="42">
        <f>SUMIFS(Wine1!AB:AB,Wine1!AF:AF,'Drink Dates 2'!W$1,Wine1!AA:AA,'Drink Dates 2'!$A21)</f>
        <v>0</v>
      </c>
      <c r="X21" s="70"/>
      <c r="Y21" s="2">
        <f ca="1">IF($A21-$A$2&lt;=VLOOKUP(Y$1,Table2[],3,FALSE),VLOOKUP('Drink Dates 2'!Y$1,Expenses!$B$44:$K$48,10,FALSE)*$L21-W21,0)*C21</f>
        <v>0</v>
      </c>
      <c r="Z21" s="2">
        <f>SUMIFS(Wine1!$AB:$AB,Wine1!$AF:$AF,'Drink Dates 2'!Z$1,Wine1!$AA:$AA,'Drink Dates 2'!$A21)</f>
        <v>0</v>
      </c>
      <c r="AA21" s="2"/>
      <c r="AB21" s="2">
        <f ca="1">IF($A21-$A$2&lt;=VLOOKUP(AB$1,Table2[],3,FALSE),VLOOKUP('Drink Dates 2'!AB$1,Expenses!$B$44:$K$48,10,FALSE)*$L21-Z21,0)*D21</f>
        <v>0</v>
      </c>
      <c r="AC21" s="2">
        <f>SUMIFS(Wine1!$AB:$AB,Wine1!$AF:$AF,'Drink Dates 2'!AC$1,Wine1!$AA:$AA,'Drink Dates 2'!$A21)</f>
        <v>431.59999999999997</v>
      </c>
      <c r="AD21" s="2">
        <f ca="1">VLOOKUP($AD$1,Expenses!$B$44:$K$48,3,FALSE)*I21</f>
        <v>0</v>
      </c>
      <c r="AE21" s="2">
        <f t="shared" ca="1" si="11"/>
        <v>-431.59999999999997</v>
      </c>
      <c r="AF21" s="2">
        <f>SUMIFS(Wine1!$AB:$AB,Wine1!$AF:$AF,'Drink Dates 2'!AF$1,Wine1!$AA:$AA,'Drink Dates 2'!$A21)</f>
        <v>708.88</v>
      </c>
      <c r="AG21" s="44">
        <f ca="1">IF($A21-$A$2&lt;=VLOOKUP(AG$1,Table2[],3,FALSE),VLOOKUP('Drink Dates 2'!AG$1,Expenses!$B$44:$K$48,10,FALSE)*$L21-AF21,0)*F21</f>
        <v>53.392878560719666</v>
      </c>
      <c r="AH21" s="11">
        <f t="shared" si="8"/>
        <v>1140.48</v>
      </c>
      <c r="AI21" s="11">
        <f t="shared" ca="1" si="9"/>
        <v>-378.20712143928029</v>
      </c>
    </row>
    <row r="22" spans="1:35" x14ac:dyDescent="0.25">
      <c r="A22">
        <v>2039</v>
      </c>
      <c r="B22" s="37">
        <f t="shared" ca="1" si="0"/>
        <v>19</v>
      </c>
      <c r="C22" s="47">
        <f t="shared" ca="1" si="1"/>
        <v>0</v>
      </c>
      <c r="D22" s="47">
        <f t="shared" ca="1" si="12"/>
        <v>0</v>
      </c>
      <c r="E22" s="47">
        <f t="shared" ca="1" si="12"/>
        <v>0</v>
      </c>
      <c r="F22" s="47">
        <f t="shared" ca="1" si="12"/>
        <v>0.17391304347826086</v>
      </c>
      <c r="G22" s="50">
        <f ca="1">C22*VLOOKUP(G$1,Expenses!$B$45:$H$48,7,FALSE)*$L22</f>
        <v>0</v>
      </c>
      <c r="H22" s="50">
        <f ca="1">D22*VLOOKUP(H$1,Expenses!$B$45:$H$48,7,FALSE)*$L22</f>
        <v>0</v>
      </c>
      <c r="I22" s="50">
        <f ca="1">E22*VLOOKUP(I$1,Expenses!$B$45:$H$48,7,FALSE)*$L22</f>
        <v>0</v>
      </c>
      <c r="J22" s="50">
        <f ca="1">F22*VLOOKUP(J$1,Expenses!$B$45:$H$48,7,FALSE)*$L22</f>
        <v>1.5652173913043477</v>
      </c>
      <c r="K22" s="37">
        <f t="shared" ca="1" si="10"/>
        <v>7037</v>
      </c>
      <c r="L22" s="46">
        <f t="shared" ca="1" si="3"/>
        <v>1</v>
      </c>
      <c r="M22" s="37">
        <f>SUMIF(Wine1!AA:AA,A22,Wine1!I:I)</f>
        <v>10</v>
      </c>
      <c r="N22" s="37">
        <f>IFERROR(AVERAGEIF(Wine1!AA:AA,A22,Wine1!Z:Z),0)</f>
        <v>95.111111111111114</v>
      </c>
      <c r="O22" s="24">
        <f>COUNTIFS(Wine1!$AA:$AA,'Drink Dates 2'!$A22,Wine1!$AF:$AF,'Drink Dates 2'!O$1)</f>
        <v>0</v>
      </c>
      <c r="P22" s="48">
        <f t="shared" ca="1" si="4"/>
        <v>0</v>
      </c>
      <c r="Q22" s="24">
        <f>COUNTIFS(Wine1!$AA:$AA,'Drink Dates 2'!$A22,Wine1!$AF:$AF,'Drink Dates 2'!Q$1)</f>
        <v>1</v>
      </c>
      <c r="R22" s="48">
        <f t="shared" ca="1" si="5"/>
        <v>-1</v>
      </c>
      <c r="S22" s="24">
        <f>COUNTIFS(Wine1!$AA:$AA,'Drink Dates 2'!$A22,Wine1!$AF:$AF,'Drink Dates 2'!S$1)</f>
        <v>7</v>
      </c>
      <c r="T22" s="48">
        <f t="shared" ca="1" si="6"/>
        <v>-7</v>
      </c>
      <c r="U22" s="24">
        <f>COUNTIFS(Wine1!$AA:$AA,'Drink Dates 2'!$A22,Wine1!$AF:$AF,'Drink Dates 2'!U$1)</f>
        <v>2</v>
      </c>
      <c r="V22" s="48">
        <f t="shared" ca="1" si="7"/>
        <v>0</v>
      </c>
      <c r="W22" s="42">
        <f>SUMIFS(Wine1!AB:AB,Wine1!AF:AF,'Drink Dates 2'!W$1,Wine1!AA:AA,'Drink Dates 2'!$A22)</f>
        <v>0</v>
      </c>
      <c r="X22" s="70"/>
      <c r="Y22" s="2">
        <f ca="1">IF($A22-$A$2&lt;=VLOOKUP(Y$1,Table2[],3,FALSE),VLOOKUP('Drink Dates 2'!Y$1,Expenses!$B$44:$K$48,10,FALSE)*$L22-W22,0)*C22</f>
        <v>0</v>
      </c>
      <c r="Z22" s="2">
        <f>SUMIFS(Wine1!$AB:$AB,Wine1!$AF:$AF,'Drink Dates 2'!Z$1,Wine1!$AA:$AA,'Drink Dates 2'!$A22)</f>
        <v>17.91</v>
      </c>
      <c r="AA22" s="2"/>
      <c r="AB22" s="2">
        <f ca="1">IF($A22-$A$2&lt;=VLOOKUP(AB$1,Table2[],3,FALSE),VLOOKUP('Drink Dates 2'!AB$1,Expenses!$B$44:$K$48,10,FALSE)*$L22-Z22,0)*D22</f>
        <v>0</v>
      </c>
      <c r="AC22" s="2">
        <f>SUMIFS(Wine1!$AB:$AB,Wine1!$AF:$AF,'Drink Dates 2'!AC$1,Wine1!$AA:$AA,'Drink Dates 2'!$A22)</f>
        <v>249.3</v>
      </c>
      <c r="AD22" s="2">
        <f ca="1">VLOOKUP($AD$1,Expenses!$B$44:$K$48,3,FALSE)*I22</f>
        <v>0</v>
      </c>
      <c r="AE22" s="2">
        <f t="shared" ca="1" si="11"/>
        <v>-249.3</v>
      </c>
      <c r="AF22" s="2">
        <f>SUMIFS(Wine1!$AB:$AB,Wine1!$AF:$AF,'Drink Dates 2'!AF$1,Wine1!$AA:$AA,'Drink Dates 2'!$A22)</f>
        <v>238.95</v>
      </c>
      <c r="AG22" s="44">
        <f ca="1">IF($A22-$A$2&lt;=VLOOKUP(AG$1,Table2[],3,FALSE),VLOOKUP('Drink Dates 2'!AG$1,Expenses!$B$44:$K$48,10,FALSE)*$L22-AF22,0)*F22</f>
        <v>124.44125937031485</v>
      </c>
      <c r="AH22" s="11">
        <f t="shared" si="8"/>
        <v>506.16</v>
      </c>
      <c r="AI22" s="11">
        <f t="shared" ca="1" si="9"/>
        <v>-124.85874062968516</v>
      </c>
    </row>
    <row r="23" spans="1:35" x14ac:dyDescent="0.25">
      <c r="A23">
        <v>2040</v>
      </c>
      <c r="B23" s="37">
        <f t="shared" ca="1" si="0"/>
        <v>20</v>
      </c>
      <c r="C23" s="47">
        <f t="shared" ca="1" si="1"/>
        <v>0</v>
      </c>
      <c r="D23" s="47">
        <f t="shared" ca="1" si="12"/>
        <v>0</v>
      </c>
      <c r="E23" s="47">
        <f t="shared" ca="1" si="12"/>
        <v>0</v>
      </c>
      <c r="F23" s="47">
        <f t="shared" ca="1" si="12"/>
        <v>0.13043478260869568</v>
      </c>
      <c r="G23" s="50">
        <f ca="1">C23*VLOOKUP(G$1,Expenses!$B$45:$H$48,7,FALSE)*$L23</f>
        <v>0</v>
      </c>
      <c r="H23" s="50">
        <f ca="1">D23*VLOOKUP(H$1,Expenses!$B$45:$H$48,7,FALSE)*$L23</f>
        <v>0</v>
      </c>
      <c r="I23" s="50">
        <f ca="1">E23*VLOOKUP(I$1,Expenses!$B$45:$H$48,7,FALSE)*$L23</f>
        <v>0</v>
      </c>
      <c r="J23" s="50">
        <f ca="1">F23*VLOOKUP(J$1,Expenses!$B$45:$H$48,7,FALSE)*$L23</f>
        <v>1.1739130434782612</v>
      </c>
      <c r="K23" s="37">
        <f t="shared" ca="1" si="10"/>
        <v>7402</v>
      </c>
      <c r="L23" s="46">
        <f t="shared" ca="1" si="3"/>
        <v>1</v>
      </c>
      <c r="M23" s="37">
        <f>SUMIF(Wine1!AA:AA,A23,Wine1!I:I)</f>
        <v>21</v>
      </c>
      <c r="N23" s="37">
        <f>IFERROR(AVERAGEIF(Wine1!AA:AA,A23,Wine1!Z:Z),0)</f>
        <v>95.712500000000006</v>
      </c>
      <c r="O23" s="24">
        <f>COUNTIFS(Wine1!$AA:$AA,'Drink Dates 2'!$A23,Wine1!$AF:$AF,'Drink Dates 2'!O$1)</f>
        <v>0</v>
      </c>
      <c r="P23" s="48">
        <f t="shared" ca="1" si="4"/>
        <v>0</v>
      </c>
      <c r="Q23" s="24">
        <f>COUNTIFS(Wine1!$AA:$AA,'Drink Dates 2'!$A23,Wine1!$AF:$AF,'Drink Dates 2'!Q$1)</f>
        <v>0</v>
      </c>
      <c r="R23" s="48">
        <f t="shared" ca="1" si="5"/>
        <v>0</v>
      </c>
      <c r="S23" s="24">
        <f>COUNTIFS(Wine1!$AA:$AA,'Drink Dates 2'!$A23,Wine1!$AF:$AF,'Drink Dates 2'!S$1)</f>
        <v>15</v>
      </c>
      <c r="T23" s="48">
        <f t="shared" ca="1" si="6"/>
        <v>-15</v>
      </c>
      <c r="U23" s="24">
        <f>COUNTIFS(Wine1!$AA:$AA,'Drink Dates 2'!$A23,Wine1!$AF:$AF,'Drink Dates 2'!U$1)</f>
        <v>6</v>
      </c>
      <c r="V23" s="48">
        <f t="shared" ca="1" si="7"/>
        <v>-5</v>
      </c>
      <c r="W23" s="42">
        <f>SUMIFS(Wine1!AB:AB,Wine1!AF:AF,'Drink Dates 2'!W$1,Wine1!AA:AA,'Drink Dates 2'!$A23)</f>
        <v>0</v>
      </c>
      <c r="X23" s="70"/>
      <c r="Y23" s="2">
        <f ca="1">IF($A23-$A$2&lt;=VLOOKUP(Y$1,Table2[],3,FALSE),VLOOKUP('Drink Dates 2'!Y$1,Expenses!$B$44:$K$48,10,FALSE)*$L23-W23,0)*C23</f>
        <v>0</v>
      </c>
      <c r="Z23" s="2">
        <f>SUMIFS(Wine1!$AB:$AB,Wine1!$AF:$AF,'Drink Dates 2'!Z$1,Wine1!$AA:$AA,'Drink Dates 2'!$A23)</f>
        <v>0</v>
      </c>
      <c r="AA23" s="2"/>
      <c r="AB23" s="2">
        <f ca="1">IF($A23-$A$2&lt;=VLOOKUP(AB$1,Table2[],3,FALSE),VLOOKUP('Drink Dates 2'!AB$1,Expenses!$B$44:$K$48,10,FALSE)*$L23-Z23,0)*D23</f>
        <v>0</v>
      </c>
      <c r="AC23" s="2">
        <f>SUMIFS(Wine1!$AB:$AB,Wine1!$AF:$AF,'Drink Dates 2'!AC$1,Wine1!$AA:$AA,'Drink Dates 2'!$A23)</f>
        <v>963.12000000000012</v>
      </c>
      <c r="AD23" s="2">
        <f ca="1">VLOOKUP($AD$1,Expenses!$B$44:$K$48,3,FALSE)*I23</f>
        <v>0</v>
      </c>
      <c r="AE23" s="2">
        <f t="shared" ca="1" si="11"/>
        <v>-963.12000000000012</v>
      </c>
      <c r="AF23" s="2">
        <f>SUMIFS(Wine1!$AB:$AB,Wine1!$AF:$AF,'Drink Dates 2'!AF$1,Wine1!$AA:$AA,'Drink Dates 2'!$A23)</f>
        <v>665.36000000000013</v>
      </c>
      <c r="AG23" s="44">
        <f ca="1">IF($A23-$A$2&lt;=VLOOKUP(AG$1,Table2[],3,FALSE),VLOOKUP('Drink Dates 2'!AG$1,Expenses!$B$44:$K$48,10,FALSE)*$L23-AF23,0)*F23</f>
        <v>37.71224887556221</v>
      </c>
      <c r="AH23" s="11">
        <f t="shared" si="8"/>
        <v>1628.4800000000002</v>
      </c>
      <c r="AI23" s="11">
        <f t="shared" ca="1" si="9"/>
        <v>-925.40775112443794</v>
      </c>
    </row>
    <row r="24" spans="1:35" x14ac:dyDescent="0.25">
      <c r="A24">
        <v>2041</v>
      </c>
      <c r="B24" s="37">
        <f t="shared" ca="1" si="0"/>
        <v>21</v>
      </c>
      <c r="C24" s="47">
        <f t="shared" ca="1" si="1"/>
        <v>0</v>
      </c>
      <c r="D24" s="47">
        <f t="shared" ca="1" si="12"/>
        <v>0</v>
      </c>
      <c r="E24" s="47">
        <f t="shared" ca="1" si="12"/>
        <v>0</v>
      </c>
      <c r="F24" s="47">
        <f t="shared" ca="1" si="12"/>
        <v>8.6956521739130488E-2</v>
      </c>
      <c r="G24" s="50">
        <f ca="1">C24*VLOOKUP(G$1,Expenses!$B$45:$H$48,7,FALSE)*$L24</f>
        <v>0</v>
      </c>
      <c r="H24" s="50">
        <f ca="1">D24*VLOOKUP(H$1,Expenses!$B$45:$H$48,7,FALSE)*$L24</f>
        <v>0</v>
      </c>
      <c r="I24" s="50">
        <f ca="1">E24*VLOOKUP(I$1,Expenses!$B$45:$H$48,7,FALSE)*$L24</f>
        <v>0</v>
      </c>
      <c r="J24" s="50">
        <f ca="1">F24*VLOOKUP(J$1,Expenses!$B$45:$H$48,7,FALSE)*$L24</f>
        <v>0.78260869565217439</v>
      </c>
      <c r="K24" s="37">
        <f t="shared" ca="1" si="10"/>
        <v>7767</v>
      </c>
      <c r="L24" s="46">
        <f t="shared" ca="1" si="3"/>
        <v>1</v>
      </c>
      <c r="M24" s="37">
        <f>SUMIF(Wine1!AA:AA,A24,Wine1!I:I)</f>
        <v>5</v>
      </c>
      <c r="N24" s="37">
        <f>IFERROR(AVERAGEIF(Wine1!AA:AA,A24,Wine1!Z:Z),0)</f>
        <v>92.333333333333329</v>
      </c>
      <c r="O24" s="24">
        <f>COUNTIFS(Wine1!$AA:$AA,'Drink Dates 2'!$A24,Wine1!$AF:$AF,'Drink Dates 2'!O$1)</f>
        <v>0</v>
      </c>
      <c r="P24" s="48">
        <f t="shared" ca="1" si="4"/>
        <v>0</v>
      </c>
      <c r="Q24" s="24">
        <f>COUNTIFS(Wine1!$AA:$AA,'Drink Dates 2'!$A24,Wine1!$AF:$AF,'Drink Dates 2'!Q$1)</f>
        <v>1</v>
      </c>
      <c r="R24" s="48">
        <f t="shared" ca="1" si="5"/>
        <v>-1</v>
      </c>
      <c r="S24" s="24">
        <f>COUNTIFS(Wine1!$AA:$AA,'Drink Dates 2'!$A24,Wine1!$AF:$AF,'Drink Dates 2'!S$1)</f>
        <v>3</v>
      </c>
      <c r="T24" s="48">
        <f t="shared" ca="1" si="6"/>
        <v>-3</v>
      </c>
      <c r="U24" s="24">
        <f>COUNTIFS(Wine1!$AA:$AA,'Drink Dates 2'!$A24,Wine1!$AF:$AF,'Drink Dates 2'!U$1)</f>
        <v>1</v>
      </c>
      <c r="V24" s="48">
        <f t="shared" ca="1" si="7"/>
        <v>0</v>
      </c>
      <c r="W24" s="42">
        <f>SUMIFS(Wine1!AB:AB,Wine1!AF:AF,'Drink Dates 2'!W$1,Wine1!AA:AA,'Drink Dates 2'!$A24)</f>
        <v>0</v>
      </c>
      <c r="X24" s="70"/>
      <c r="Y24" s="2">
        <f ca="1">IF($A24-$A$2&lt;=VLOOKUP(Y$1,Table2[],3,FALSE),VLOOKUP('Drink Dates 2'!Y$1,Expenses!$B$44:$K$48,10,FALSE)*$L24-W24,0)*C24</f>
        <v>0</v>
      </c>
      <c r="Z24" s="2">
        <f>SUMIFS(Wine1!$AB:$AB,Wine1!$AF:$AF,'Drink Dates 2'!Z$1,Wine1!$AA:$AA,'Drink Dates 2'!$A24)</f>
        <v>16.989999999999998</v>
      </c>
      <c r="AA24" s="2"/>
      <c r="AB24" s="2">
        <f ca="1">IF($A24-$A$2&lt;=VLOOKUP(AB$1,Table2[],3,FALSE),VLOOKUP('Drink Dates 2'!AB$1,Expenses!$B$44:$K$48,10,FALSE)*$L24-Z24,0)*D24</f>
        <v>0</v>
      </c>
      <c r="AC24" s="2">
        <f>SUMIFS(Wine1!$AB:$AB,Wine1!$AF:$AF,'Drink Dates 2'!AC$1,Wine1!$AA:$AA,'Drink Dates 2'!$A24)</f>
        <v>98.97</v>
      </c>
      <c r="AD24" s="2">
        <f ca="1">VLOOKUP($AD$1,Expenses!$B$44:$K$48,3,FALSE)*I24</f>
        <v>0</v>
      </c>
      <c r="AE24" s="2">
        <f t="shared" ca="1" si="11"/>
        <v>-98.97</v>
      </c>
      <c r="AF24" s="2">
        <f>SUMIFS(Wine1!$AB:$AB,Wine1!$AF:$AF,'Drink Dates 2'!AF$1,Wine1!$AA:$AA,'Drink Dates 2'!$A24)</f>
        <v>42.6</v>
      </c>
      <c r="AG24" s="44">
        <f ca="1">IF($A24-$A$2&lt;=VLOOKUP(AG$1,Table2[],3,FALSE),VLOOKUP('Drink Dates 2'!AG$1,Expenses!$B$44:$K$48,10,FALSE)*$L24-AF24,0)*F24</f>
        <v>79.294542728635733</v>
      </c>
      <c r="AH24" s="11">
        <f t="shared" si="8"/>
        <v>158.56</v>
      </c>
      <c r="AI24" s="11">
        <f t="shared" ca="1" si="9"/>
        <v>-19.675457271364266</v>
      </c>
    </row>
    <row r="25" spans="1:35" x14ac:dyDescent="0.25">
      <c r="A25">
        <v>2042</v>
      </c>
      <c r="B25" s="37">
        <f t="shared" ca="1" si="0"/>
        <v>22</v>
      </c>
      <c r="C25" s="47">
        <f t="shared" ca="1" si="1"/>
        <v>0</v>
      </c>
      <c r="D25" s="47">
        <f t="shared" ca="1" si="12"/>
        <v>0</v>
      </c>
      <c r="E25" s="47">
        <f t="shared" ca="1" si="12"/>
        <v>0</v>
      </c>
      <c r="F25" s="47">
        <f t="shared" ca="1" si="12"/>
        <v>4.3478260869565188E-2</v>
      </c>
      <c r="G25" s="50">
        <f ca="1">C25*VLOOKUP(G$1,Expenses!$B$45:$H$48,7,FALSE)*$L25</f>
        <v>0</v>
      </c>
      <c r="H25" s="50">
        <f ca="1">D25*VLOOKUP(H$1,Expenses!$B$45:$H$48,7,FALSE)*$L25</f>
        <v>0</v>
      </c>
      <c r="I25" s="50">
        <f ca="1">E25*VLOOKUP(I$1,Expenses!$B$45:$H$48,7,FALSE)*$L25</f>
        <v>0</v>
      </c>
      <c r="J25" s="50">
        <f ca="1">F25*VLOOKUP(J$1,Expenses!$B$45:$H$48,7,FALSE)*$L25</f>
        <v>0.3913043478260867</v>
      </c>
      <c r="K25" s="37">
        <f t="shared" ca="1" si="10"/>
        <v>8132</v>
      </c>
      <c r="L25" s="46">
        <f t="shared" ca="1" si="3"/>
        <v>1</v>
      </c>
      <c r="M25" s="37">
        <f>SUMIF(Wine1!AA:AA,A25,Wine1!I:I)</f>
        <v>12</v>
      </c>
      <c r="N25" s="37">
        <f>IFERROR(AVERAGEIF(Wine1!AA:AA,A25,Wine1!Z:Z),0)</f>
        <v>95.791666666666671</v>
      </c>
      <c r="O25" s="24">
        <f>COUNTIFS(Wine1!$AA:$AA,'Drink Dates 2'!$A25,Wine1!$AF:$AF,'Drink Dates 2'!O$1)</f>
        <v>0</v>
      </c>
      <c r="P25" s="48">
        <f t="shared" ca="1" si="4"/>
        <v>0</v>
      </c>
      <c r="Q25" s="24">
        <f>COUNTIFS(Wine1!$AA:$AA,'Drink Dates 2'!$A25,Wine1!$AF:$AF,'Drink Dates 2'!Q$1)</f>
        <v>0</v>
      </c>
      <c r="R25" s="48">
        <f t="shared" ca="1" si="5"/>
        <v>0</v>
      </c>
      <c r="S25" s="24">
        <f>COUNTIFS(Wine1!$AA:$AA,'Drink Dates 2'!$A25,Wine1!$AF:$AF,'Drink Dates 2'!S$1)</f>
        <v>7</v>
      </c>
      <c r="T25" s="48">
        <f t="shared" ca="1" si="6"/>
        <v>-7</v>
      </c>
      <c r="U25" s="24">
        <f>COUNTIFS(Wine1!$AA:$AA,'Drink Dates 2'!$A25,Wine1!$AF:$AF,'Drink Dates 2'!U$1)</f>
        <v>5</v>
      </c>
      <c r="V25" s="48">
        <f t="shared" ca="1" si="7"/>
        <v>-5</v>
      </c>
      <c r="W25" s="42">
        <f>SUMIFS(Wine1!AB:AB,Wine1!AF:AF,'Drink Dates 2'!W$1,Wine1!AA:AA,'Drink Dates 2'!$A25)</f>
        <v>0</v>
      </c>
      <c r="X25" s="70"/>
      <c r="Y25" s="2">
        <f ca="1">IF($A25-$A$2&lt;=VLOOKUP(Y$1,Table2[],3,FALSE),VLOOKUP('Drink Dates 2'!Y$1,Expenses!$B$44:$K$48,10,FALSE)*$L25-W25,0)*C25</f>
        <v>0</v>
      </c>
      <c r="Z25" s="2">
        <f>SUMIFS(Wine1!$AB:$AB,Wine1!$AF:$AF,'Drink Dates 2'!Z$1,Wine1!$AA:$AA,'Drink Dates 2'!$A25)</f>
        <v>0</v>
      </c>
      <c r="AA25" s="2"/>
      <c r="AB25" s="2">
        <f ca="1">IF($A25-$A$2&lt;=VLOOKUP(AB$1,Table2[],3,FALSE),VLOOKUP('Drink Dates 2'!AB$1,Expenses!$B$44:$K$48,10,FALSE)*$L25-Z25,0)*D25</f>
        <v>0</v>
      </c>
      <c r="AC25" s="2">
        <f>SUMIFS(Wine1!$AB:$AB,Wine1!$AF:$AF,'Drink Dates 2'!AC$1,Wine1!$AA:$AA,'Drink Dates 2'!$A25)</f>
        <v>394.17</v>
      </c>
      <c r="AD25" s="2">
        <f ca="1">VLOOKUP($AD$1,Expenses!$B$44:$K$48,3,FALSE)*I25</f>
        <v>0</v>
      </c>
      <c r="AE25" s="2">
        <f t="shared" ca="1" si="11"/>
        <v>-394.17</v>
      </c>
      <c r="AF25" s="2">
        <f>SUMIFS(Wine1!$AB:$AB,Wine1!$AF:$AF,'Drink Dates 2'!AF$1,Wine1!$AA:$AA,'Drink Dates 2'!$A25)</f>
        <v>764.23</v>
      </c>
      <c r="AG25" s="44">
        <f ca="1">IF($A25-$A$2&lt;=VLOOKUP(AG$1,Table2[],3,FALSE),VLOOKUP('Drink Dates 2'!AG$1,Expenses!$B$44:$K$48,10,FALSE)*$L25-AF25,0)*F25</f>
        <v>8.2720539730134881</v>
      </c>
      <c r="AH25" s="11">
        <f t="shared" si="8"/>
        <v>1158.4000000000001</v>
      </c>
      <c r="AI25" s="11">
        <f t="shared" ca="1" si="9"/>
        <v>-385.89794602698652</v>
      </c>
    </row>
    <row r="26" spans="1:35" x14ac:dyDescent="0.25">
      <c r="A26">
        <v>2043</v>
      </c>
      <c r="B26" s="37">
        <f t="shared" ca="1" si="0"/>
        <v>23</v>
      </c>
      <c r="C26" s="47">
        <f t="shared" ca="1" si="1"/>
        <v>0</v>
      </c>
      <c r="D26" s="47">
        <f t="shared" ca="1" si="12"/>
        <v>0</v>
      </c>
      <c r="E26" s="47">
        <f t="shared" ca="1" si="12"/>
        <v>0</v>
      </c>
      <c r="F26" s="47">
        <f t="shared" ca="1" si="12"/>
        <v>0</v>
      </c>
      <c r="G26" s="50">
        <f ca="1">C26*VLOOKUP(G$1,Expenses!$B$45:$H$48,7,FALSE)*$L26</f>
        <v>0</v>
      </c>
      <c r="H26" s="50">
        <f ca="1">D26*VLOOKUP(H$1,Expenses!$B$45:$H$48,7,FALSE)*$L26</f>
        <v>0</v>
      </c>
      <c r="I26" s="50">
        <f ca="1">E26*VLOOKUP(I$1,Expenses!$B$45:$H$48,7,FALSE)*$L26</f>
        <v>0</v>
      </c>
      <c r="J26" s="50">
        <f ca="1">F26*VLOOKUP(J$1,Expenses!$B$45:$H$48,7,FALSE)*$L26</f>
        <v>0</v>
      </c>
      <c r="K26" s="37">
        <f t="shared" ca="1" si="10"/>
        <v>8497</v>
      </c>
      <c r="L26" s="46">
        <f ca="1">IF(K26/365&gt;=1,1,K26/365)</f>
        <v>1</v>
      </c>
      <c r="M26" s="37">
        <f>SUMIF(Wine1!AA:AA,A26,Wine1!I:I)</f>
        <v>2</v>
      </c>
      <c r="N26" s="37">
        <f>IFERROR(AVERAGEIF(Wine1!AA:AA,A26,Wine1!Z:Z),0)</f>
        <v>91</v>
      </c>
      <c r="O26" s="24">
        <f>COUNTIFS(Wine1!$AA:$AA,'Drink Dates 2'!$A26,Wine1!$AF:$AF,'Drink Dates 2'!O$1)</f>
        <v>0</v>
      </c>
      <c r="P26" s="48">
        <f t="shared" ca="1" si="4"/>
        <v>0</v>
      </c>
      <c r="Q26" s="24">
        <f>COUNTIFS(Wine1!$AA:$AA,'Drink Dates 2'!$A26,Wine1!$AF:$AF,'Drink Dates 2'!Q$1)</f>
        <v>1</v>
      </c>
      <c r="R26" s="48">
        <f t="shared" ca="1" si="5"/>
        <v>-1</v>
      </c>
      <c r="S26" s="24">
        <f>COUNTIFS(Wine1!$AA:$AA,'Drink Dates 2'!$A26,Wine1!$AF:$AF,'Drink Dates 2'!S$1)</f>
        <v>1</v>
      </c>
      <c r="T26" s="48">
        <f t="shared" ca="1" si="6"/>
        <v>-1</v>
      </c>
      <c r="U26" s="24">
        <f>COUNTIFS(Wine1!$AA:$AA,'Drink Dates 2'!$A26,Wine1!$AF:$AF,'Drink Dates 2'!U$1)</f>
        <v>0</v>
      </c>
      <c r="V26" s="48">
        <f t="shared" ca="1" si="7"/>
        <v>0</v>
      </c>
      <c r="W26" s="42">
        <f>SUMIFS(Wine1!AB:AB,Wine1!AF:AF,'Drink Dates 2'!W$1,Wine1!AA:AA,'Drink Dates 2'!$A26)</f>
        <v>0</v>
      </c>
      <c r="X26" s="70"/>
      <c r="Y26" s="2">
        <f ca="1">IF($A26-$A$2&lt;=VLOOKUP(Y$1,Table2[],3,FALSE),VLOOKUP('Drink Dates 2'!Y$1,Expenses!$B$44:$K$48,10,FALSE)*$L26-W26,0)*C26</f>
        <v>0</v>
      </c>
      <c r="Z26" s="2">
        <f>SUMIFS(Wine1!$AB:$AB,Wine1!$AF:$AF,'Drink Dates 2'!Z$1,Wine1!$AA:$AA,'Drink Dates 2'!$A26)</f>
        <v>16.989999999999998</v>
      </c>
      <c r="AA26" s="2"/>
      <c r="AB26" s="2">
        <f ca="1">IF($A26-$A$2&lt;=VLOOKUP(AB$1,Table2[],3,FALSE),VLOOKUP('Drink Dates 2'!AB$1,Expenses!$B$44:$K$48,10,FALSE)*$L26-Z26,0)*D26</f>
        <v>0</v>
      </c>
      <c r="AC26" s="2">
        <f>SUMIFS(Wine1!$AB:$AB,Wine1!$AF:$AF,'Drink Dates 2'!AC$1,Wine1!$AA:$AA,'Drink Dates 2'!$A26)</f>
        <v>16.399999999999999</v>
      </c>
      <c r="AD26" s="2">
        <f ca="1">VLOOKUP($AD$1,Expenses!$B$44:$K$48,3,FALSE)*I26</f>
        <v>0</v>
      </c>
      <c r="AE26" s="2">
        <f t="shared" ca="1" si="11"/>
        <v>-16.399999999999999</v>
      </c>
      <c r="AF26" s="2">
        <f>SUMIFS(Wine1!$AB:$AB,Wine1!$AF:$AF,'Drink Dates 2'!AF$1,Wine1!$AA:$AA,'Drink Dates 2'!$A26)</f>
        <v>0</v>
      </c>
      <c r="AG26" s="44">
        <f ca="1">IF($A26-$A$2&lt;=VLOOKUP(AG$1,Table2[],3,FALSE),VLOOKUP('Drink Dates 2'!AG$1,Expenses!$B$44:$K$48,10,FALSE)*$L26-AF26,0)*F26</f>
        <v>0</v>
      </c>
      <c r="AH26" s="11">
        <f t="shared" si="8"/>
        <v>33.39</v>
      </c>
      <c r="AI26" s="11">
        <f t="shared" ca="1" si="9"/>
        <v>-16.399999999999999</v>
      </c>
    </row>
    <row r="27" spans="1:35" x14ac:dyDescent="0.25">
      <c r="A27">
        <v>2044</v>
      </c>
      <c r="B27" s="37">
        <f t="shared" ca="1" si="0"/>
        <v>24</v>
      </c>
      <c r="C27" s="47">
        <f t="shared" ca="1" si="1"/>
        <v>0</v>
      </c>
      <c r="D27" s="47">
        <f t="shared" ca="1" si="12"/>
        <v>0</v>
      </c>
      <c r="E27" s="47">
        <f t="shared" ca="1" si="12"/>
        <v>0</v>
      </c>
      <c r="F27" s="47">
        <f t="shared" ca="1" si="12"/>
        <v>0</v>
      </c>
      <c r="G27" s="50">
        <f ca="1">C27*VLOOKUP(G$1,Expenses!$B$45:$H$48,7,FALSE)*$L27</f>
        <v>0</v>
      </c>
      <c r="H27" s="50">
        <f ca="1">D27*VLOOKUP(H$1,Expenses!$B$45:$H$48,7,FALSE)*$L27</f>
        <v>0</v>
      </c>
      <c r="I27" s="50">
        <f ca="1">E27*VLOOKUP(I$1,Expenses!$B$45:$H$48,7,FALSE)*$L27</f>
        <v>0</v>
      </c>
      <c r="J27" s="50">
        <f ca="1">F27*VLOOKUP(J$1,Expenses!$B$45:$H$48,7,FALSE)*$L27</f>
        <v>0</v>
      </c>
      <c r="K27" s="37">
        <f t="shared" ca="1" si="10"/>
        <v>8862</v>
      </c>
      <c r="L27" s="46">
        <f t="shared" ca="1" si="3"/>
        <v>1</v>
      </c>
      <c r="M27" s="37">
        <f>SUMIF(Wine1!AA:AA,A27,Wine1!I:I)</f>
        <v>3</v>
      </c>
      <c r="N27" s="37">
        <f>IFERROR(AVERAGEIF(Wine1!AA:AA,A27,Wine1!Z:Z),0)</f>
        <v>95.416666666666671</v>
      </c>
      <c r="O27" s="24">
        <f>COUNTIFS(Wine1!$AA:$AA,'Drink Dates 2'!$A27,Wine1!$AF:$AF,'Drink Dates 2'!O$1)</f>
        <v>0</v>
      </c>
      <c r="P27" s="48">
        <f t="shared" ca="1" si="4"/>
        <v>0</v>
      </c>
      <c r="Q27" s="24">
        <f>COUNTIFS(Wine1!$AA:$AA,'Drink Dates 2'!$A27,Wine1!$AF:$AF,'Drink Dates 2'!Q$1)</f>
        <v>0</v>
      </c>
      <c r="R27" s="48">
        <f t="shared" ca="1" si="5"/>
        <v>0</v>
      </c>
      <c r="S27" s="24">
        <f>COUNTIFS(Wine1!$AA:$AA,'Drink Dates 2'!$A27,Wine1!$AF:$AF,'Drink Dates 2'!S$1)</f>
        <v>2</v>
      </c>
      <c r="T27" s="48">
        <f t="shared" ca="1" si="6"/>
        <v>-2</v>
      </c>
      <c r="U27" s="24">
        <f>COUNTIFS(Wine1!$AA:$AA,'Drink Dates 2'!$A27,Wine1!$AF:$AF,'Drink Dates 2'!U$1)</f>
        <v>1</v>
      </c>
      <c r="V27" s="48">
        <f t="shared" ca="1" si="7"/>
        <v>-1</v>
      </c>
      <c r="W27" s="42">
        <f>SUMIFS(Wine1!AB:AB,Wine1!AF:AF,'Drink Dates 2'!W$1,Wine1!AA:AA,'Drink Dates 2'!$A27)</f>
        <v>0</v>
      </c>
      <c r="X27" s="70"/>
      <c r="Y27" s="2">
        <f ca="1">IF($A27-$A$2&lt;=VLOOKUP(Y$1,Table2[],3,FALSE),VLOOKUP('Drink Dates 2'!Y$1,Expenses!$B$44:$K$48,10,FALSE)*$L27-W27,0)*C27</f>
        <v>0</v>
      </c>
      <c r="Z27" s="2">
        <f>SUMIFS(Wine1!$AB:$AB,Wine1!$AF:$AF,'Drink Dates 2'!Z$1,Wine1!$AA:$AA,'Drink Dates 2'!$A27)</f>
        <v>0</v>
      </c>
      <c r="AA27" s="2"/>
      <c r="AB27" s="2">
        <f ca="1">IF($A27-$A$2&lt;=VLOOKUP(AB$1,Table2[],3,FALSE),VLOOKUP('Drink Dates 2'!AB$1,Expenses!$B$44:$K$48,10,FALSE)*$L27-Z27,0)*D27</f>
        <v>0</v>
      </c>
      <c r="AC27" s="2">
        <f>SUMIFS(Wine1!$AB:$AB,Wine1!$AF:$AF,'Drink Dates 2'!AC$1,Wine1!$AA:$AA,'Drink Dates 2'!$A27)</f>
        <v>74.08</v>
      </c>
      <c r="AD27" s="2">
        <f ca="1">VLOOKUP($AD$1,Expenses!$B$44:$K$48,3,FALSE)*I27</f>
        <v>0</v>
      </c>
      <c r="AE27" s="2">
        <f t="shared" ca="1" si="11"/>
        <v>-74.08</v>
      </c>
      <c r="AF27" s="2">
        <f>SUMIFS(Wine1!$AB:$AB,Wine1!$AF:$AF,'Drink Dates 2'!AF$1,Wine1!$AA:$AA,'Drink Dates 2'!$A27)</f>
        <v>92.32</v>
      </c>
      <c r="AG27" s="44">
        <f ca="1">IF($A27-$A$2&lt;=VLOOKUP(AG$1,Table2[],3,FALSE),VLOOKUP('Drink Dates 2'!AG$1,Expenses!$B$44:$K$48,10,FALSE)*$L27-AF27,0)*F27</f>
        <v>0</v>
      </c>
      <c r="AH27" s="11">
        <f t="shared" si="8"/>
        <v>166.39999999999998</v>
      </c>
      <c r="AI27" s="11">
        <f t="shared" ca="1" si="9"/>
        <v>-74.08</v>
      </c>
    </row>
    <row r="28" spans="1:35" x14ac:dyDescent="0.25">
      <c r="A28">
        <v>2045</v>
      </c>
      <c r="B28" s="37">
        <f t="shared" ca="1" si="0"/>
        <v>25</v>
      </c>
      <c r="C28" s="47">
        <f t="shared" ca="1" si="1"/>
        <v>0</v>
      </c>
      <c r="D28" s="47">
        <f t="shared" ca="1" si="12"/>
        <v>0</v>
      </c>
      <c r="E28" s="47">
        <f t="shared" ca="1" si="12"/>
        <v>0</v>
      </c>
      <c r="F28" s="47">
        <f t="shared" ca="1" si="12"/>
        <v>0</v>
      </c>
      <c r="G28" s="50">
        <f ca="1">C28*VLOOKUP(G$1,Expenses!$B$45:$H$48,7,FALSE)*$L28</f>
        <v>0</v>
      </c>
      <c r="H28" s="50">
        <f ca="1">D28*VLOOKUP(H$1,Expenses!$B$45:$H$48,7,FALSE)*$L28</f>
        <v>0</v>
      </c>
      <c r="I28" s="50">
        <f ca="1">E28*VLOOKUP(I$1,Expenses!$B$45:$H$48,7,FALSE)*$L28</f>
        <v>0</v>
      </c>
      <c r="J28" s="50">
        <f ca="1">F28*VLOOKUP(J$1,Expenses!$B$45:$H$48,7,FALSE)*$L28</f>
        <v>0</v>
      </c>
      <c r="K28" s="37">
        <f t="shared" ca="1" si="10"/>
        <v>9227</v>
      </c>
      <c r="L28" s="46">
        <f t="shared" ca="1" si="3"/>
        <v>1</v>
      </c>
      <c r="M28" s="37">
        <f>SUMIF(Wine1!AA:AA,A28,Wine1!I:I)</f>
        <v>11</v>
      </c>
      <c r="N28" s="37">
        <f>IFERROR(AVERAGEIF(Wine1!AA:AA,A28,Wine1!Z:Z),0)</f>
        <v>96.75</v>
      </c>
      <c r="O28" s="24">
        <f>COUNTIFS(Wine1!$AA:$AA,'Drink Dates 2'!$A28,Wine1!$AF:$AF,'Drink Dates 2'!O$1)</f>
        <v>0</v>
      </c>
      <c r="P28" s="48">
        <f t="shared" ca="1" si="4"/>
        <v>0</v>
      </c>
      <c r="Q28" s="24">
        <f>COUNTIFS(Wine1!$AA:$AA,'Drink Dates 2'!$A28,Wine1!$AF:$AF,'Drink Dates 2'!Q$1)</f>
        <v>0</v>
      </c>
      <c r="R28" s="48">
        <f t="shared" ca="1" si="5"/>
        <v>0</v>
      </c>
      <c r="S28" s="24">
        <f>COUNTIFS(Wine1!$AA:$AA,'Drink Dates 2'!$A28,Wine1!$AF:$AF,'Drink Dates 2'!S$1)</f>
        <v>5</v>
      </c>
      <c r="T28" s="48">
        <f t="shared" ca="1" si="6"/>
        <v>-5</v>
      </c>
      <c r="U28" s="24">
        <f>COUNTIFS(Wine1!$AA:$AA,'Drink Dates 2'!$A28,Wine1!$AF:$AF,'Drink Dates 2'!U$1)</f>
        <v>6</v>
      </c>
      <c r="V28" s="48">
        <f t="shared" ca="1" si="7"/>
        <v>-6</v>
      </c>
      <c r="W28" s="42">
        <f>SUMIFS(Wine1!AB:AB,Wine1!AF:AF,'Drink Dates 2'!W$1,Wine1!AA:AA,'Drink Dates 2'!$A28)</f>
        <v>0</v>
      </c>
      <c r="X28" s="70"/>
      <c r="Y28" s="2">
        <f ca="1">IF($A28-$A$2&lt;=VLOOKUP(Y$1,Table2[],3,FALSE),VLOOKUP('Drink Dates 2'!Y$1,Expenses!$B$44:$K$48,10,FALSE)*$L28-W28,0)*C28</f>
        <v>0</v>
      </c>
      <c r="Z28" s="2">
        <f>SUMIFS(Wine1!$AB:$AB,Wine1!$AF:$AF,'Drink Dates 2'!Z$1,Wine1!$AA:$AA,'Drink Dates 2'!$A28)</f>
        <v>0</v>
      </c>
      <c r="AA28" s="2"/>
      <c r="AB28" s="2">
        <f ca="1">IF($A28-$A$2&lt;=VLOOKUP(AB$1,Table2[],3,FALSE),VLOOKUP('Drink Dates 2'!AB$1,Expenses!$B$44:$K$48,10,FALSE)*$L28-Z28,0)*D28</f>
        <v>0</v>
      </c>
      <c r="AC28" s="2">
        <f>SUMIFS(Wine1!$AB:$AB,Wine1!$AF:$AF,'Drink Dates 2'!AC$1,Wine1!$AA:$AA,'Drink Dates 2'!$A28)</f>
        <v>384.90000000000003</v>
      </c>
      <c r="AD28" s="2">
        <f ca="1">VLOOKUP($AD$1,Expenses!$B$44:$K$48,3,FALSE)*I28</f>
        <v>0</v>
      </c>
      <c r="AE28" s="2">
        <f t="shared" ca="1" si="11"/>
        <v>-384.90000000000003</v>
      </c>
      <c r="AF28" s="2">
        <f>SUMIFS(Wine1!$AB:$AB,Wine1!$AF:$AF,'Drink Dates 2'!AF$1,Wine1!$AA:$AA,'Drink Dates 2'!$A28)</f>
        <v>842.81</v>
      </c>
      <c r="AG28" s="44">
        <f ca="1">IF($A28-$A$2&lt;=VLOOKUP(AG$1,Table2[],3,FALSE),VLOOKUP('Drink Dates 2'!AG$1,Expenses!$B$44:$K$48,10,FALSE)*$L28-AF28,0)*F28</f>
        <v>0</v>
      </c>
      <c r="AH28" s="11">
        <f t="shared" si="8"/>
        <v>1227.71</v>
      </c>
      <c r="AI28" s="11">
        <f t="shared" ca="1" si="9"/>
        <v>-384.90000000000003</v>
      </c>
    </row>
    <row r="29" spans="1:35" x14ac:dyDescent="0.25">
      <c r="A29">
        <v>2046</v>
      </c>
      <c r="B29" s="37">
        <f t="shared" ca="1" si="0"/>
        <v>26</v>
      </c>
      <c r="C29" s="47">
        <f t="shared" ca="1" si="1"/>
        <v>0</v>
      </c>
      <c r="D29" s="47">
        <f t="shared" ca="1" si="12"/>
        <v>0</v>
      </c>
      <c r="E29" s="47">
        <f t="shared" ca="1" si="12"/>
        <v>0</v>
      </c>
      <c r="F29" s="47">
        <f t="shared" ca="1" si="12"/>
        <v>0</v>
      </c>
      <c r="G29" s="50">
        <f ca="1">C29*VLOOKUP(G$1,Expenses!$B$45:$H$48,7,FALSE)*$L29</f>
        <v>0</v>
      </c>
      <c r="H29" s="50">
        <f ca="1">D29*VLOOKUP(H$1,Expenses!$B$45:$H$48,7,FALSE)*$L29</f>
        <v>0</v>
      </c>
      <c r="I29" s="50">
        <f ca="1">E29*VLOOKUP(I$1,Expenses!$B$45:$H$48,7,FALSE)*$L29</f>
        <v>0</v>
      </c>
      <c r="J29" s="50">
        <f ca="1">F29*VLOOKUP(J$1,Expenses!$B$45:$H$48,7,FALSE)*$L29</f>
        <v>0</v>
      </c>
      <c r="K29" s="37">
        <f t="shared" ca="1" si="10"/>
        <v>9592</v>
      </c>
      <c r="L29" s="46">
        <f t="shared" ca="1" si="3"/>
        <v>1</v>
      </c>
      <c r="M29" s="37">
        <f>SUMIF(Wine1!AA:AA,A29,Wine1!I:I)</f>
        <v>3</v>
      </c>
      <c r="N29" s="37">
        <f>IFERROR(AVERAGEIF(Wine1!AA:AA,A29,Wine1!Z:Z),0)</f>
        <v>99</v>
      </c>
      <c r="O29" s="24">
        <f>COUNTIFS(Wine1!$AA:$AA,'Drink Dates 2'!$A29,Wine1!$AF:$AF,'Drink Dates 2'!O$1)</f>
        <v>0</v>
      </c>
      <c r="P29" s="48">
        <f t="shared" ca="1" si="4"/>
        <v>0</v>
      </c>
      <c r="Q29" s="24">
        <f>COUNTIFS(Wine1!$AA:$AA,'Drink Dates 2'!$A29,Wine1!$AF:$AF,'Drink Dates 2'!Q$1)</f>
        <v>0</v>
      </c>
      <c r="R29" s="48">
        <f t="shared" ca="1" si="5"/>
        <v>0</v>
      </c>
      <c r="S29" s="24">
        <f>COUNTIFS(Wine1!$AA:$AA,'Drink Dates 2'!$A29,Wine1!$AF:$AF,'Drink Dates 2'!S$1)</f>
        <v>0</v>
      </c>
      <c r="T29" s="48">
        <f t="shared" ca="1" si="6"/>
        <v>0</v>
      </c>
      <c r="U29" s="24">
        <f>COUNTIFS(Wine1!$AA:$AA,'Drink Dates 2'!$A29,Wine1!$AF:$AF,'Drink Dates 2'!U$1)</f>
        <v>3</v>
      </c>
      <c r="V29" s="48">
        <f t="shared" ca="1" si="7"/>
        <v>-3</v>
      </c>
      <c r="W29" s="42">
        <f>SUMIFS(Wine1!AB:AB,Wine1!AF:AF,'Drink Dates 2'!W$1,Wine1!AA:AA,'Drink Dates 2'!$A29)</f>
        <v>0</v>
      </c>
      <c r="X29" s="70"/>
      <c r="Y29" s="2">
        <f ca="1">IF($A29-$A$2&lt;=VLOOKUP(Y$1,Table2[],3,FALSE),VLOOKUP('Drink Dates 2'!Y$1,Expenses!$B$44:$K$48,10,FALSE)*$L29-W29,0)*C29</f>
        <v>0</v>
      </c>
      <c r="Z29" s="2">
        <f>SUMIFS(Wine1!$AB:$AB,Wine1!$AF:$AF,'Drink Dates 2'!Z$1,Wine1!$AA:$AA,'Drink Dates 2'!$A29)</f>
        <v>0</v>
      </c>
      <c r="AA29" s="2"/>
      <c r="AB29" s="2">
        <f ca="1">IF($A29-$A$2&lt;=VLOOKUP(AB$1,Table2[],3,FALSE),VLOOKUP('Drink Dates 2'!AB$1,Expenses!$B$44:$K$48,10,FALSE)*$L29-Z29,0)*D29</f>
        <v>0</v>
      </c>
      <c r="AC29" s="2">
        <f>SUMIFS(Wine1!$AB:$AB,Wine1!$AF:$AF,'Drink Dates 2'!AC$1,Wine1!$AA:$AA,'Drink Dates 2'!$A29)</f>
        <v>0</v>
      </c>
      <c r="AD29" s="2">
        <f ca="1">VLOOKUP($AD$1,Expenses!$B$44:$K$48,3,FALSE)*I29</f>
        <v>0</v>
      </c>
      <c r="AE29" s="2">
        <f t="shared" ca="1" si="11"/>
        <v>0</v>
      </c>
      <c r="AF29" s="2">
        <f>SUMIFS(Wine1!$AB:$AB,Wine1!$AF:$AF,'Drink Dates 2'!AF$1,Wine1!$AA:$AA,'Drink Dates 2'!$A29)</f>
        <v>362.62</v>
      </c>
      <c r="AG29" s="44">
        <f ca="1">IF($A29-$A$2&lt;=VLOOKUP(AG$1,Table2[],3,FALSE),VLOOKUP('Drink Dates 2'!AG$1,Expenses!$B$44:$K$48,10,FALSE)*$L29-AF29,0)*F29</f>
        <v>0</v>
      </c>
      <c r="AH29" s="11">
        <f t="shared" si="8"/>
        <v>362.62</v>
      </c>
      <c r="AI29" s="11">
        <f t="shared" ca="1" si="9"/>
        <v>0</v>
      </c>
    </row>
    <row r="30" spans="1:35" x14ac:dyDescent="0.25">
      <c r="A30">
        <v>2047</v>
      </c>
      <c r="B30" s="37">
        <f t="shared" ca="1" si="0"/>
        <v>27</v>
      </c>
      <c r="C30" s="47">
        <f t="shared" ca="1" si="1"/>
        <v>0</v>
      </c>
      <c r="D30" s="47">
        <f t="shared" ca="1" si="12"/>
        <v>0</v>
      </c>
      <c r="E30" s="47">
        <f t="shared" ca="1" si="12"/>
        <v>0</v>
      </c>
      <c r="F30" s="47">
        <f t="shared" ca="1" si="12"/>
        <v>0</v>
      </c>
      <c r="G30" s="50">
        <f ca="1">C30*VLOOKUP(G$1,Expenses!$B$45:$H$48,7,FALSE)*$L30</f>
        <v>0</v>
      </c>
      <c r="H30" s="50">
        <f ca="1">D30*VLOOKUP(H$1,Expenses!$B$45:$H$48,7,FALSE)*$L30</f>
        <v>0</v>
      </c>
      <c r="I30" s="50">
        <f ca="1">E30*VLOOKUP(I$1,Expenses!$B$45:$H$48,7,FALSE)*$L30</f>
        <v>0</v>
      </c>
      <c r="J30" s="50">
        <f ca="1">F30*VLOOKUP(J$1,Expenses!$B$45:$H$48,7,FALSE)*$L30</f>
        <v>0</v>
      </c>
      <c r="K30" s="37">
        <f t="shared" ca="1" si="10"/>
        <v>9957</v>
      </c>
      <c r="L30" s="46">
        <f t="shared" ca="1" si="3"/>
        <v>1</v>
      </c>
      <c r="M30" s="37">
        <f>SUMIF(Wine1!AA:AA,A30,Wine1!I:I)</f>
        <v>0</v>
      </c>
      <c r="N30" s="37">
        <f>IFERROR(AVERAGEIF(Wine1!AA:AA,A30,Wine1!Z:Z),0)</f>
        <v>0</v>
      </c>
      <c r="O30" s="24">
        <f>COUNTIFS(Wine1!$AA:$AA,'Drink Dates 2'!$A30,Wine1!$AF:$AF,'Drink Dates 2'!O$1)</f>
        <v>0</v>
      </c>
      <c r="P30" s="48">
        <f t="shared" ca="1" si="4"/>
        <v>0</v>
      </c>
      <c r="Q30" s="24">
        <f>COUNTIFS(Wine1!$AA:$AA,'Drink Dates 2'!$A30,Wine1!$AF:$AF,'Drink Dates 2'!Q$1)</f>
        <v>0</v>
      </c>
      <c r="R30" s="48">
        <f t="shared" ca="1" si="5"/>
        <v>0</v>
      </c>
      <c r="S30" s="24">
        <f>COUNTIFS(Wine1!$AA:$AA,'Drink Dates 2'!$A30,Wine1!$AF:$AF,'Drink Dates 2'!S$1)</f>
        <v>0</v>
      </c>
      <c r="T30" s="48">
        <f t="shared" ca="1" si="6"/>
        <v>0</v>
      </c>
      <c r="U30" s="24">
        <f>COUNTIFS(Wine1!$AA:$AA,'Drink Dates 2'!$A30,Wine1!$AF:$AF,'Drink Dates 2'!U$1)</f>
        <v>0</v>
      </c>
      <c r="V30" s="48">
        <f t="shared" ca="1" si="7"/>
        <v>0</v>
      </c>
      <c r="W30" s="42">
        <f>SUMIFS(Wine1!AB:AB,Wine1!AF:AF,'Drink Dates 2'!W$1,Wine1!AA:AA,'Drink Dates 2'!$A30)</f>
        <v>0</v>
      </c>
      <c r="X30" s="70"/>
      <c r="Y30" s="2">
        <f ca="1">IF($A30-$A$2&lt;=VLOOKUP(Y$1,Table2[],3,FALSE),VLOOKUP('Drink Dates 2'!Y$1,Expenses!$B$44:$K$48,10,FALSE)*$L30-W30,0)*C30</f>
        <v>0</v>
      </c>
      <c r="Z30" s="2">
        <f>SUMIFS(Wine1!$AB:$AB,Wine1!$AF:$AF,'Drink Dates 2'!Z$1,Wine1!$AA:$AA,'Drink Dates 2'!$A30)</f>
        <v>0</v>
      </c>
      <c r="AA30" s="2"/>
      <c r="AB30" s="2">
        <f ca="1">IF($A30-$A$2&lt;=VLOOKUP(AB$1,Table2[],3,FALSE),VLOOKUP('Drink Dates 2'!AB$1,Expenses!$B$44:$K$48,10,FALSE)*$L30-Z30,0)*D30</f>
        <v>0</v>
      </c>
      <c r="AC30" s="2">
        <f>SUMIFS(Wine1!$AB:$AB,Wine1!$AF:$AF,'Drink Dates 2'!AC$1,Wine1!$AA:$AA,'Drink Dates 2'!$A30)</f>
        <v>0</v>
      </c>
      <c r="AD30" s="2">
        <f ca="1">VLOOKUP($AD$1,Expenses!$B$44:$K$48,3,FALSE)*I30</f>
        <v>0</v>
      </c>
      <c r="AE30" s="2">
        <f t="shared" ca="1" si="11"/>
        <v>0</v>
      </c>
      <c r="AF30" s="2">
        <f>SUMIFS(Wine1!$AB:$AB,Wine1!$AF:$AF,'Drink Dates 2'!AF$1,Wine1!$AA:$AA,'Drink Dates 2'!$A30)</f>
        <v>0</v>
      </c>
      <c r="AG30" s="44">
        <f ca="1">IF($A30-$A$2&lt;=VLOOKUP(AG$1,Table2[],3,FALSE),VLOOKUP('Drink Dates 2'!AG$1,Expenses!$B$44:$K$48,10,FALSE)*$L30-AF30,0)*F30</f>
        <v>0</v>
      </c>
      <c r="AH30" s="11">
        <f t="shared" si="8"/>
        <v>0</v>
      </c>
      <c r="AI30" s="11">
        <f t="shared" ca="1" si="9"/>
        <v>0</v>
      </c>
    </row>
    <row r="31" spans="1:35" x14ac:dyDescent="0.25">
      <c r="A31">
        <v>2048</v>
      </c>
      <c r="B31" s="37">
        <f t="shared" ca="1" si="0"/>
        <v>28</v>
      </c>
      <c r="C31" s="47">
        <f t="shared" ca="1" si="1"/>
        <v>0</v>
      </c>
      <c r="D31" s="47">
        <f t="shared" ca="1" si="12"/>
        <v>0</v>
      </c>
      <c r="E31" s="47">
        <f t="shared" ca="1" si="12"/>
        <v>0</v>
      </c>
      <c r="F31" s="47">
        <f t="shared" ca="1" si="12"/>
        <v>0</v>
      </c>
      <c r="G31" s="50">
        <f ca="1">C31*VLOOKUP(G$1,Expenses!$B$45:$H$48,7,FALSE)*$L31</f>
        <v>0</v>
      </c>
      <c r="H31" s="50">
        <f ca="1">D31*VLOOKUP(H$1,Expenses!$B$45:$H$48,7,FALSE)*$L31</f>
        <v>0</v>
      </c>
      <c r="I31" s="50">
        <f ca="1">E31*VLOOKUP(I$1,Expenses!$B$45:$H$48,7,FALSE)*$L31</f>
        <v>0</v>
      </c>
      <c r="J31" s="50">
        <f ca="1">F31*VLOOKUP(J$1,Expenses!$B$45:$H$48,7,FALSE)*$L31</f>
        <v>0</v>
      </c>
      <c r="K31" s="37">
        <f t="shared" ca="1" si="10"/>
        <v>10322</v>
      </c>
      <c r="L31" s="46">
        <f t="shared" ca="1" si="3"/>
        <v>1</v>
      </c>
      <c r="M31" s="37">
        <f>SUMIF(Wine1!AA:AA,A31,Wine1!I:I)</f>
        <v>1</v>
      </c>
      <c r="N31" s="37">
        <f>IFERROR(AVERAGEIF(Wine1!AA:AA,A31,Wine1!Z:Z),0)</f>
        <v>95</v>
      </c>
      <c r="O31" s="24">
        <f>COUNTIFS(Wine1!$AA:$AA,'Drink Dates 2'!$A31,Wine1!$AF:$AF,'Drink Dates 2'!O$1)</f>
        <v>0</v>
      </c>
      <c r="P31" s="48">
        <f t="shared" ca="1" si="4"/>
        <v>0</v>
      </c>
      <c r="Q31" s="24">
        <f>COUNTIFS(Wine1!$AA:$AA,'Drink Dates 2'!$A31,Wine1!$AF:$AF,'Drink Dates 2'!Q$1)</f>
        <v>0</v>
      </c>
      <c r="R31" s="48">
        <f t="shared" ca="1" si="5"/>
        <v>0</v>
      </c>
      <c r="S31" s="24">
        <f>COUNTIFS(Wine1!$AA:$AA,'Drink Dates 2'!$A31,Wine1!$AF:$AF,'Drink Dates 2'!S$1)</f>
        <v>1</v>
      </c>
      <c r="T31" s="48">
        <f t="shared" ca="1" si="6"/>
        <v>-1</v>
      </c>
      <c r="U31" s="24">
        <f>COUNTIFS(Wine1!$AA:$AA,'Drink Dates 2'!$A31,Wine1!$AF:$AF,'Drink Dates 2'!U$1)</f>
        <v>0</v>
      </c>
      <c r="V31" s="48">
        <f t="shared" ca="1" si="7"/>
        <v>0</v>
      </c>
      <c r="W31" s="42">
        <f>SUMIFS(Wine1!AB:AB,Wine1!AF:AF,'Drink Dates 2'!W$1,Wine1!AA:AA,'Drink Dates 2'!$A31)</f>
        <v>0</v>
      </c>
      <c r="X31" s="70"/>
      <c r="Y31" s="2">
        <f ca="1">IF($A31-$A$2&lt;=VLOOKUP(Y$1,Table2[],3,FALSE),VLOOKUP('Drink Dates 2'!Y$1,Expenses!$B$44:$K$48,10,FALSE)*$L31-W31,0)*C31</f>
        <v>0</v>
      </c>
      <c r="Z31" s="2">
        <f>SUMIFS(Wine1!$AB:$AB,Wine1!$AF:$AF,'Drink Dates 2'!Z$1,Wine1!$AA:$AA,'Drink Dates 2'!$A31)</f>
        <v>0</v>
      </c>
      <c r="AA31" s="2"/>
      <c r="AB31" s="2">
        <f ca="1">IF($A31-$A$2&lt;=VLOOKUP(AB$1,Table2[],3,FALSE),VLOOKUP('Drink Dates 2'!AB$1,Expenses!$B$44:$K$48,10,FALSE)*$L31-Z31,0)*D31</f>
        <v>0</v>
      </c>
      <c r="AC31" s="2">
        <f>SUMIFS(Wine1!$AB:$AB,Wine1!$AF:$AF,'Drink Dates 2'!AC$1,Wine1!$AA:$AA,'Drink Dates 2'!$A31)</f>
        <v>16</v>
      </c>
      <c r="AD31" s="2">
        <f ca="1">VLOOKUP($AD$1,Expenses!$B$44:$K$48,3,FALSE)*I31</f>
        <v>0</v>
      </c>
      <c r="AE31" s="2">
        <f t="shared" ca="1" si="11"/>
        <v>-16</v>
      </c>
      <c r="AF31" s="2">
        <f>SUMIFS(Wine1!$AB:$AB,Wine1!$AF:$AF,'Drink Dates 2'!AF$1,Wine1!$AA:$AA,'Drink Dates 2'!$A31)</f>
        <v>0</v>
      </c>
      <c r="AG31" s="44">
        <f ca="1">IF($A31-$A$2&lt;=VLOOKUP(AG$1,Table2[],3,FALSE),VLOOKUP('Drink Dates 2'!AG$1,Expenses!$B$44:$K$48,10,FALSE)*$L31-AF31,0)*F31</f>
        <v>0</v>
      </c>
      <c r="AH31" s="11">
        <f t="shared" si="8"/>
        <v>16</v>
      </c>
      <c r="AI31" s="11">
        <f t="shared" ca="1" si="9"/>
        <v>-16</v>
      </c>
    </row>
    <row r="32" spans="1:35" x14ac:dyDescent="0.25">
      <c r="A32">
        <v>2049</v>
      </c>
      <c r="B32" s="37">
        <f t="shared" ca="1" si="0"/>
        <v>29</v>
      </c>
      <c r="C32" s="47">
        <f t="shared" ca="1" si="1"/>
        <v>0</v>
      </c>
      <c r="D32" s="47">
        <f t="shared" ca="1" si="12"/>
        <v>0</v>
      </c>
      <c r="E32" s="47">
        <f t="shared" ca="1" si="12"/>
        <v>0</v>
      </c>
      <c r="F32" s="47">
        <f t="shared" ca="1" si="12"/>
        <v>0</v>
      </c>
      <c r="G32" s="50">
        <f ca="1">C32*VLOOKUP(G$1,Expenses!$B$45:$H$48,7,FALSE)*$L32</f>
        <v>0</v>
      </c>
      <c r="H32" s="50">
        <f ca="1">D32*VLOOKUP(H$1,Expenses!$B$45:$H$48,7,FALSE)*$L32</f>
        <v>0</v>
      </c>
      <c r="I32" s="50">
        <f ca="1">E32*VLOOKUP(I$1,Expenses!$B$45:$H$48,7,FALSE)*$L32</f>
        <v>0</v>
      </c>
      <c r="J32" s="50">
        <f ca="1">F32*VLOOKUP(J$1,Expenses!$B$45:$H$48,7,FALSE)*$L32</f>
        <v>0</v>
      </c>
      <c r="K32" s="37">
        <f t="shared" ca="1" si="10"/>
        <v>10687</v>
      </c>
      <c r="L32" s="46">
        <f t="shared" ca="1" si="3"/>
        <v>1</v>
      </c>
      <c r="M32" s="37">
        <f>SUMIF(Wine1!AA:AA,A32,Wine1!I:I)</f>
        <v>1</v>
      </c>
      <c r="N32" s="37">
        <f>IFERROR(AVERAGEIF(Wine1!AA:AA,A32,Wine1!Z:Z),0)</f>
        <v>100</v>
      </c>
      <c r="O32" s="24">
        <f>COUNTIFS(Wine1!$AA:$AA,'Drink Dates 2'!$A32,Wine1!$AF:$AF,'Drink Dates 2'!O$1)</f>
        <v>0</v>
      </c>
      <c r="P32" s="48">
        <f t="shared" ca="1" si="4"/>
        <v>0</v>
      </c>
      <c r="Q32" s="24">
        <f>COUNTIFS(Wine1!$AA:$AA,'Drink Dates 2'!$A32,Wine1!$AF:$AF,'Drink Dates 2'!Q$1)</f>
        <v>0</v>
      </c>
      <c r="R32" s="48">
        <f t="shared" ca="1" si="5"/>
        <v>0</v>
      </c>
      <c r="S32" s="24">
        <f>COUNTIFS(Wine1!$AA:$AA,'Drink Dates 2'!$A32,Wine1!$AF:$AF,'Drink Dates 2'!S$1)</f>
        <v>0</v>
      </c>
      <c r="T32" s="48">
        <f t="shared" ca="1" si="6"/>
        <v>0</v>
      </c>
      <c r="U32" s="24">
        <f>COUNTIFS(Wine1!$AA:$AA,'Drink Dates 2'!$A32,Wine1!$AF:$AF,'Drink Dates 2'!U$1)</f>
        <v>1</v>
      </c>
      <c r="V32" s="48">
        <f t="shared" ca="1" si="7"/>
        <v>-1</v>
      </c>
      <c r="W32" s="42">
        <f>SUMIFS(Wine1!AB:AB,Wine1!AF:AF,'Drink Dates 2'!W$1,Wine1!AA:AA,'Drink Dates 2'!$A32)</f>
        <v>0</v>
      </c>
      <c r="X32" s="70"/>
      <c r="Y32" s="2">
        <f ca="1">IF($A32-$A$2&lt;=VLOOKUP(Y$1,Table2[],3,FALSE),VLOOKUP('Drink Dates 2'!Y$1,Expenses!$B$44:$K$48,10,FALSE)*$L32-W32,0)*C32</f>
        <v>0</v>
      </c>
      <c r="Z32" s="2">
        <f>SUMIFS(Wine1!$AB:$AB,Wine1!$AF:$AF,'Drink Dates 2'!Z$1,Wine1!$AA:$AA,'Drink Dates 2'!$A32)</f>
        <v>0</v>
      </c>
      <c r="AA32" s="2"/>
      <c r="AB32" s="2">
        <f ca="1">IF($A32-$A$2&lt;=VLOOKUP(AB$1,Table2[],3,FALSE),VLOOKUP('Drink Dates 2'!AB$1,Expenses!$B$44:$K$48,10,FALSE)*$L32-Z32,0)*D32</f>
        <v>0</v>
      </c>
      <c r="AC32" s="2">
        <f>SUMIFS(Wine1!$AB:$AB,Wine1!$AF:$AF,'Drink Dates 2'!AC$1,Wine1!$AA:$AA,'Drink Dates 2'!$A32)</f>
        <v>0</v>
      </c>
      <c r="AD32" s="2">
        <f ca="1">VLOOKUP($AD$1,Expenses!$B$44:$K$48,3,FALSE)*I32</f>
        <v>0</v>
      </c>
      <c r="AE32" s="2">
        <f t="shared" ca="1" si="11"/>
        <v>0</v>
      </c>
      <c r="AF32" s="2">
        <f>SUMIFS(Wine1!$AB:$AB,Wine1!$AF:$AF,'Drink Dates 2'!AF$1,Wine1!$AA:$AA,'Drink Dates 2'!$A32)</f>
        <v>225.32</v>
      </c>
      <c r="AG32" s="44">
        <f ca="1">IF($A32-$A$2&lt;=VLOOKUP(AG$1,Table2[],3,FALSE),VLOOKUP('Drink Dates 2'!AG$1,Expenses!$B$44:$K$48,10,FALSE)*$L32-AF32,0)*F32</f>
        <v>0</v>
      </c>
      <c r="AH32" s="11">
        <f t="shared" si="8"/>
        <v>225.32</v>
      </c>
      <c r="AI32" s="11">
        <f t="shared" ca="1" si="9"/>
        <v>0</v>
      </c>
    </row>
    <row r="33" spans="1:35" x14ac:dyDescent="0.25">
      <c r="A33">
        <v>2050</v>
      </c>
      <c r="B33" s="37">
        <f t="shared" ca="1" si="0"/>
        <v>30</v>
      </c>
      <c r="C33" s="47">
        <f t="shared" ca="1" si="1"/>
        <v>0</v>
      </c>
      <c r="D33" s="47">
        <f t="shared" ca="1" si="12"/>
        <v>0</v>
      </c>
      <c r="E33" s="47">
        <f t="shared" ca="1" si="12"/>
        <v>0</v>
      </c>
      <c r="F33" s="47">
        <f t="shared" ca="1" si="12"/>
        <v>0</v>
      </c>
      <c r="G33" s="50">
        <f ca="1">C33*VLOOKUP(G$1,Expenses!$B$45:$H$48,7,FALSE)*$L33</f>
        <v>0</v>
      </c>
      <c r="H33" s="50">
        <f ca="1">D33*VLOOKUP(H$1,Expenses!$B$45:$H$48,7,FALSE)*$L33</f>
        <v>0</v>
      </c>
      <c r="I33" s="50">
        <f ca="1">E33*VLOOKUP(I$1,Expenses!$B$45:$H$48,7,FALSE)*$L33</f>
        <v>0</v>
      </c>
      <c r="J33" s="50">
        <f ca="1">F33*VLOOKUP(J$1,Expenses!$B$45:$H$48,7,FALSE)*$L33</f>
        <v>0</v>
      </c>
      <c r="K33" s="37">
        <f t="shared" ca="1" si="10"/>
        <v>11052</v>
      </c>
      <c r="L33" s="46">
        <f t="shared" ca="1" si="3"/>
        <v>1</v>
      </c>
      <c r="M33" s="37">
        <f>SUMIF(Wine1!AA:AA,A33,Wine1!I:I)</f>
        <v>6</v>
      </c>
      <c r="N33" s="37">
        <f>IFERROR(AVERAGEIF(Wine1!AA:AA,A33,Wine1!Z:Z),0)</f>
        <v>98.5</v>
      </c>
      <c r="O33" s="24">
        <f>COUNTIFS(Wine1!$AA:$AA,'Drink Dates 2'!$A33,Wine1!$AF:$AF,'Drink Dates 2'!O$1)</f>
        <v>0</v>
      </c>
      <c r="P33" s="48">
        <f t="shared" ca="1" si="4"/>
        <v>0</v>
      </c>
      <c r="Q33" s="24">
        <f>COUNTIFS(Wine1!$AA:$AA,'Drink Dates 2'!$A33,Wine1!$AF:$AF,'Drink Dates 2'!Q$1)</f>
        <v>0</v>
      </c>
      <c r="R33" s="48">
        <f t="shared" ca="1" si="5"/>
        <v>0</v>
      </c>
      <c r="S33" s="24">
        <f>COUNTIFS(Wine1!$AA:$AA,'Drink Dates 2'!$A33,Wine1!$AF:$AF,'Drink Dates 2'!S$1)</f>
        <v>1</v>
      </c>
      <c r="T33" s="48">
        <f t="shared" ca="1" si="6"/>
        <v>-1</v>
      </c>
      <c r="U33" s="24">
        <f>COUNTIFS(Wine1!$AA:$AA,'Drink Dates 2'!$A33,Wine1!$AF:$AF,'Drink Dates 2'!U$1)</f>
        <v>5</v>
      </c>
      <c r="V33" s="48">
        <f t="shared" ca="1" si="7"/>
        <v>-5</v>
      </c>
      <c r="W33" s="42">
        <f>SUMIFS(Wine1!AB:AB,Wine1!AF:AF,'Drink Dates 2'!W$1,Wine1!AA:AA,'Drink Dates 2'!$A33)</f>
        <v>0</v>
      </c>
      <c r="X33" s="70"/>
      <c r="Y33" s="2">
        <f ca="1">IF($A33-$A$2&lt;=VLOOKUP(Y$1,Table2[],3,FALSE),VLOOKUP('Drink Dates 2'!Y$1,Expenses!$B$44:$K$48,10,FALSE)*$L33-W33,0)*C33</f>
        <v>0</v>
      </c>
      <c r="Z33" s="2">
        <f>SUMIFS(Wine1!$AB:$AB,Wine1!$AF:$AF,'Drink Dates 2'!Z$1,Wine1!$AA:$AA,'Drink Dates 2'!$A33)</f>
        <v>0</v>
      </c>
      <c r="AA33" s="2"/>
      <c r="AB33" s="2">
        <f ca="1">IF($A33-$A$2&lt;=VLOOKUP(AB$1,Table2[],3,FALSE),VLOOKUP('Drink Dates 2'!AB$1,Expenses!$B$44:$K$48,10,FALSE)*$L33-Z33,0)*D33</f>
        <v>0</v>
      </c>
      <c r="AC33" s="2">
        <f>SUMIFS(Wine1!$AB:$AB,Wine1!$AF:$AF,'Drink Dates 2'!AC$1,Wine1!$AA:$AA,'Drink Dates 2'!$A33)</f>
        <v>59.97</v>
      </c>
      <c r="AD33" s="2">
        <f ca="1">VLOOKUP($AD$1,Expenses!$B$44:$K$48,3,FALSE)*I33</f>
        <v>0</v>
      </c>
      <c r="AE33" s="2">
        <f t="shared" ca="1" si="11"/>
        <v>-59.97</v>
      </c>
      <c r="AF33" s="2">
        <f>SUMIFS(Wine1!$AB:$AB,Wine1!$AF:$AF,'Drink Dates 2'!AF$1,Wine1!$AA:$AA,'Drink Dates 2'!$A33)</f>
        <v>692.6</v>
      </c>
      <c r="AG33" s="44">
        <f ca="1">IF($A33-$A$2&lt;=VLOOKUP(AG$1,Table2[],3,FALSE),VLOOKUP('Drink Dates 2'!AG$1,Expenses!$B$44:$K$48,10,FALSE)*$L33-AF33,0)*F33</f>
        <v>0</v>
      </c>
      <c r="AH33" s="11">
        <f t="shared" si="8"/>
        <v>752.57</v>
      </c>
      <c r="AI33" s="11">
        <f t="shared" ca="1" si="9"/>
        <v>-59.97</v>
      </c>
    </row>
    <row r="34" spans="1:35" x14ac:dyDescent="0.25">
      <c r="A34">
        <v>2051</v>
      </c>
      <c r="B34" s="37">
        <f t="shared" ca="1" si="0"/>
        <v>31</v>
      </c>
      <c r="C34" s="47">
        <f t="shared" ca="1" si="1"/>
        <v>0</v>
      </c>
      <c r="D34" s="47">
        <f t="shared" ca="1" si="12"/>
        <v>0</v>
      </c>
      <c r="E34" s="47">
        <f t="shared" ca="1" si="12"/>
        <v>0</v>
      </c>
      <c r="F34" s="47">
        <f t="shared" ca="1" si="12"/>
        <v>0</v>
      </c>
      <c r="G34" s="50">
        <f ca="1">C34*VLOOKUP(G$1,Expenses!$B$45:$H$48,7,FALSE)*$L34</f>
        <v>0</v>
      </c>
      <c r="H34" s="50">
        <f ca="1">D34*VLOOKUP(H$1,Expenses!$B$45:$H$48,7,FALSE)*$L34</f>
        <v>0</v>
      </c>
      <c r="I34" s="50">
        <f ca="1">E34*VLOOKUP(I$1,Expenses!$B$45:$H$48,7,FALSE)*$L34</f>
        <v>0</v>
      </c>
      <c r="J34" s="50">
        <f ca="1">F34*VLOOKUP(J$1,Expenses!$B$45:$H$48,7,FALSE)*$L34</f>
        <v>0</v>
      </c>
      <c r="K34" s="37">
        <f t="shared" ca="1" si="10"/>
        <v>11417</v>
      </c>
      <c r="L34" s="46">
        <f t="shared" ca="1" si="3"/>
        <v>1</v>
      </c>
      <c r="M34" s="37">
        <f>SUMIF(Wine1!AA:AA,A34,Wine1!I:I)</f>
        <v>2</v>
      </c>
      <c r="N34" s="37">
        <f>IFERROR(AVERAGEIF(Wine1!AA:AA,A34,Wine1!Z:Z),0)</f>
        <v>95</v>
      </c>
      <c r="O34" s="24">
        <f>COUNTIFS(Wine1!$AA:$AA,'Drink Dates 2'!$A34,Wine1!$AF:$AF,'Drink Dates 2'!O$1)</f>
        <v>0</v>
      </c>
      <c r="P34" s="48">
        <f t="shared" ca="1" si="4"/>
        <v>0</v>
      </c>
      <c r="Q34" s="24">
        <f>COUNTIFS(Wine1!$AA:$AA,'Drink Dates 2'!$A34,Wine1!$AF:$AF,'Drink Dates 2'!Q$1)</f>
        <v>0</v>
      </c>
      <c r="R34" s="48">
        <f t="shared" ca="1" si="5"/>
        <v>0</v>
      </c>
      <c r="S34" s="24">
        <f>COUNTIFS(Wine1!$AA:$AA,'Drink Dates 2'!$A34,Wine1!$AF:$AF,'Drink Dates 2'!S$1)</f>
        <v>1</v>
      </c>
      <c r="T34" s="48">
        <f t="shared" ca="1" si="6"/>
        <v>-1</v>
      </c>
      <c r="U34" s="24">
        <f>COUNTIFS(Wine1!$AA:$AA,'Drink Dates 2'!$A34,Wine1!$AF:$AF,'Drink Dates 2'!U$1)</f>
        <v>1</v>
      </c>
      <c r="V34" s="48">
        <f t="shared" ca="1" si="7"/>
        <v>-1</v>
      </c>
      <c r="W34" s="42">
        <f>SUMIFS(Wine1!AB:AB,Wine1!AF:AF,'Drink Dates 2'!W$1,Wine1!AA:AA,'Drink Dates 2'!$A34)</f>
        <v>0</v>
      </c>
      <c r="X34" s="70"/>
      <c r="Y34" s="2">
        <f ca="1">IF($A34-$A$2&lt;=VLOOKUP(Y$1,Table2[],3,FALSE),VLOOKUP('Drink Dates 2'!Y$1,Expenses!$B$44:$K$48,10,FALSE)*$L34-W34,0)*C34</f>
        <v>0</v>
      </c>
      <c r="Z34" s="2">
        <f>SUMIFS(Wine1!$AB:$AB,Wine1!$AF:$AF,'Drink Dates 2'!Z$1,Wine1!$AA:$AA,'Drink Dates 2'!$A34)</f>
        <v>0</v>
      </c>
      <c r="AA34" s="2"/>
      <c r="AB34" s="2">
        <f ca="1">IF($A34-$A$2&lt;=VLOOKUP(AB$1,Table2[],3,FALSE),VLOOKUP('Drink Dates 2'!AB$1,Expenses!$B$44:$K$48,10,FALSE)*$L34-Z34,0)*D34</f>
        <v>0</v>
      </c>
      <c r="AC34" s="2">
        <f>SUMIFS(Wine1!$AB:$AB,Wine1!$AF:$AF,'Drink Dates 2'!AC$1,Wine1!$AA:$AA,'Drink Dates 2'!$A34)</f>
        <v>16</v>
      </c>
      <c r="AD34" s="2">
        <f ca="1">VLOOKUP($AD$1,Expenses!$B$44:$K$48,3,FALSE)*I34</f>
        <v>0</v>
      </c>
      <c r="AE34" s="2">
        <f t="shared" ca="1" si="11"/>
        <v>-16</v>
      </c>
      <c r="AF34" s="2">
        <f>SUMIFS(Wine1!$AB:$AB,Wine1!$AF:$AF,'Drink Dates 2'!AF$1,Wine1!$AA:$AA,'Drink Dates 2'!$A34)</f>
        <v>42.6</v>
      </c>
      <c r="AG34" s="44">
        <f ca="1">IF($A34-$A$2&lt;=VLOOKUP(AG$1,Table2[],3,FALSE),VLOOKUP('Drink Dates 2'!AG$1,Expenses!$B$44:$K$48,10,FALSE)*$L34-AF34,0)*F34</f>
        <v>0</v>
      </c>
      <c r="AH34" s="11">
        <f t="shared" si="8"/>
        <v>58.6</v>
      </c>
      <c r="AI34" s="11">
        <f t="shared" ca="1" si="9"/>
        <v>-16</v>
      </c>
    </row>
    <row r="35" spans="1:35" x14ac:dyDescent="0.25">
      <c r="A35">
        <v>2052</v>
      </c>
      <c r="B35" s="37">
        <f t="shared" ca="1" si="0"/>
        <v>32</v>
      </c>
      <c r="C35" s="47">
        <f t="shared" ca="1" si="1"/>
        <v>0</v>
      </c>
      <c r="D35" s="47">
        <f t="shared" ca="1" si="12"/>
        <v>0</v>
      </c>
      <c r="E35" s="47">
        <f t="shared" ca="1" si="12"/>
        <v>0</v>
      </c>
      <c r="F35" s="47">
        <f t="shared" ca="1" si="12"/>
        <v>0</v>
      </c>
      <c r="G35" s="50">
        <f ca="1">C35*VLOOKUP(G$1,Expenses!$B$45:$H$48,7,FALSE)*$L35</f>
        <v>0</v>
      </c>
      <c r="H35" s="50">
        <f ca="1">D35*VLOOKUP(H$1,Expenses!$B$45:$H$48,7,FALSE)*$L35</f>
        <v>0</v>
      </c>
      <c r="I35" s="50">
        <f ca="1">E35*VLOOKUP(I$1,Expenses!$B$45:$H$48,7,FALSE)*$L35</f>
        <v>0</v>
      </c>
      <c r="J35" s="50">
        <f ca="1">F35*VLOOKUP(J$1,Expenses!$B$45:$H$48,7,FALSE)*$L35</f>
        <v>0</v>
      </c>
      <c r="K35" s="37">
        <f t="shared" ca="1" si="10"/>
        <v>11782</v>
      </c>
      <c r="L35" s="46">
        <f t="shared" ca="1" si="3"/>
        <v>1</v>
      </c>
      <c r="M35" s="37">
        <f>SUMIF(Wine1!AA:AA,A35,Wine1!I:I)</f>
        <v>0</v>
      </c>
      <c r="N35" s="37">
        <f>IFERROR(AVERAGEIF(Wine1!AA:AA,A35,Wine1!Z:Z),0)</f>
        <v>0</v>
      </c>
      <c r="O35" s="24">
        <f>COUNTIFS(Wine1!$AA:$AA,'Drink Dates 2'!$A35,Wine1!$AF:$AF,'Drink Dates 2'!O$1)</f>
        <v>0</v>
      </c>
      <c r="P35" s="48">
        <f t="shared" ca="1" si="4"/>
        <v>0</v>
      </c>
      <c r="Q35" s="24">
        <f>COUNTIFS(Wine1!$AA:$AA,'Drink Dates 2'!$A35,Wine1!$AF:$AF,'Drink Dates 2'!Q$1)</f>
        <v>0</v>
      </c>
      <c r="R35" s="48">
        <f t="shared" ca="1" si="5"/>
        <v>0</v>
      </c>
      <c r="S35" s="24">
        <f>COUNTIFS(Wine1!$AA:$AA,'Drink Dates 2'!$A35,Wine1!$AF:$AF,'Drink Dates 2'!S$1)</f>
        <v>0</v>
      </c>
      <c r="T35" s="48">
        <f t="shared" ca="1" si="6"/>
        <v>0</v>
      </c>
      <c r="U35" s="24">
        <f>COUNTIFS(Wine1!$AA:$AA,'Drink Dates 2'!$A35,Wine1!$AF:$AF,'Drink Dates 2'!U$1)</f>
        <v>0</v>
      </c>
      <c r="V35" s="48">
        <f t="shared" ca="1" si="7"/>
        <v>0</v>
      </c>
      <c r="W35" s="42">
        <f>SUMIFS(Wine1!AB:AB,Wine1!AF:AF,'Drink Dates 2'!W$1,Wine1!AA:AA,'Drink Dates 2'!$A35)</f>
        <v>0</v>
      </c>
      <c r="X35" s="70"/>
      <c r="Y35" s="2">
        <f ca="1">IF($A35-$A$2&lt;=VLOOKUP(Y$1,Table2[],3,FALSE),VLOOKUP('Drink Dates 2'!Y$1,Expenses!$B$44:$K$48,10,FALSE)*$L35-W35,0)*C35</f>
        <v>0</v>
      </c>
      <c r="Z35" s="2">
        <f>SUMIFS(Wine1!$AB:$AB,Wine1!$AF:$AF,'Drink Dates 2'!Z$1,Wine1!$AA:$AA,'Drink Dates 2'!$A35)</f>
        <v>0</v>
      </c>
      <c r="AA35" s="2"/>
      <c r="AB35" s="2">
        <f ca="1">IF($A35-$A$2&lt;=VLOOKUP(AB$1,Table2[],3,FALSE),VLOOKUP('Drink Dates 2'!AB$1,Expenses!$B$44:$K$48,10,FALSE)*$L35-Z35,0)*D35</f>
        <v>0</v>
      </c>
      <c r="AC35" s="2">
        <f>SUMIFS(Wine1!$AB:$AB,Wine1!$AF:$AF,'Drink Dates 2'!AC$1,Wine1!$AA:$AA,'Drink Dates 2'!$A35)</f>
        <v>0</v>
      </c>
      <c r="AD35" s="2"/>
      <c r="AE35" s="2">
        <f t="shared" si="11"/>
        <v>0</v>
      </c>
      <c r="AF35" s="2">
        <f>SUMIFS(Wine1!$AB:$AB,Wine1!$AF:$AF,'Drink Dates 2'!AF$1,Wine1!$AA:$AA,'Drink Dates 2'!$A35)</f>
        <v>0</v>
      </c>
      <c r="AG35" s="44">
        <f ca="1">IF($A35-$A$2&lt;=VLOOKUP(AG$1,Table2[],3,FALSE),VLOOKUP('Drink Dates 2'!AG$1,Expenses!$B$44:$K$48,10,FALSE)*$L35-AF35,0)*F35</f>
        <v>0</v>
      </c>
      <c r="AH35" s="11">
        <f t="shared" si="8"/>
        <v>0</v>
      </c>
      <c r="AI35" s="11">
        <f t="shared" ca="1" si="9"/>
        <v>0</v>
      </c>
    </row>
    <row r="36" spans="1:35" x14ac:dyDescent="0.25">
      <c r="A36">
        <v>2053</v>
      </c>
      <c r="B36" s="37">
        <f t="shared" ca="1" si="0"/>
        <v>33</v>
      </c>
      <c r="C36" s="47">
        <f t="shared" ca="1" si="1"/>
        <v>0</v>
      </c>
      <c r="D36" s="47">
        <f t="shared" ca="1" si="12"/>
        <v>0</v>
      </c>
      <c r="E36" s="47">
        <f t="shared" ca="1" si="12"/>
        <v>0</v>
      </c>
      <c r="F36" s="47">
        <f t="shared" ca="1" si="12"/>
        <v>0</v>
      </c>
      <c r="G36" s="50">
        <f ca="1">C36*VLOOKUP(G$1,Expenses!$B$45:$H$48,7,FALSE)*$L36</f>
        <v>0</v>
      </c>
      <c r="H36" s="50">
        <f ca="1">D36*VLOOKUP(H$1,Expenses!$B$45:$H$48,7,FALSE)*$L36</f>
        <v>0</v>
      </c>
      <c r="I36" s="50">
        <f ca="1">E36*VLOOKUP(I$1,Expenses!$B$45:$H$48,7,FALSE)*$L36</f>
        <v>0</v>
      </c>
      <c r="J36" s="50">
        <f ca="1">F36*VLOOKUP(J$1,Expenses!$B$45:$H$48,7,FALSE)*$L36</f>
        <v>0</v>
      </c>
      <c r="K36" s="37">
        <f t="shared" ca="1" si="10"/>
        <v>12147</v>
      </c>
      <c r="L36" s="46">
        <f t="shared" ca="1" si="3"/>
        <v>1</v>
      </c>
      <c r="M36" s="37">
        <f>SUMIF(Wine1!AA:AA,A36,Wine1!I:I)</f>
        <v>0</v>
      </c>
      <c r="N36" s="37">
        <f>IFERROR(AVERAGEIF(Wine1!AA:AA,A36,Wine1!Z:Z),0)</f>
        <v>0</v>
      </c>
      <c r="O36" s="24">
        <f>COUNTIFS(Wine1!$AA:$AA,'Drink Dates 2'!$A36,Wine1!$AF:$AF,'Drink Dates 2'!O$1)</f>
        <v>0</v>
      </c>
      <c r="P36" s="48">
        <f t="shared" ca="1" si="4"/>
        <v>0</v>
      </c>
      <c r="Q36" s="24">
        <f>COUNTIFS(Wine1!$AA:$AA,'Drink Dates 2'!$A36,Wine1!$AF:$AF,'Drink Dates 2'!Q$1)</f>
        <v>0</v>
      </c>
      <c r="R36" s="48">
        <f t="shared" ca="1" si="5"/>
        <v>0</v>
      </c>
      <c r="S36" s="24">
        <f>COUNTIFS(Wine1!$AA:$AA,'Drink Dates 2'!$A36,Wine1!$AF:$AF,'Drink Dates 2'!S$1)</f>
        <v>0</v>
      </c>
      <c r="T36" s="48">
        <f t="shared" ca="1" si="6"/>
        <v>0</v>
      </c>
      <c r="U36" s="24">
        <f>COUNTIFS(Wine1!$AA:$AA,'Drink Dates 2'!$A36,Wine1!$AF:$AF,'Drink Dates 2'!U$1)</f>
        <v>0</v>
      </c>
      <c r="V36" s="48">
        <f t="shared" ca="1" si="7"/>
        <v>0</v>
      </c>
      <c r="W36" s="42">
        <f>SUMIFS(Wine1!AB:AB,Wine1!AF:AF,'Drink Dates 2'!W$1,Wine1!AA:AA,'Drink Dates 2'!$A36)</f>
        <v>0</v>
      </c>
      <c r="X36" s="70"/>
      <c r="Y36" s="2">
        <f ca="1">IF($A36-$A$2&lt;=VLOOKUP(Y$1,Table2[],3,FALSE),VLOOKUP('Drink Dates 2'!Y$1,Expenses!$B$44:$K$48,10,FALSE)*$L36-W36,0)*C36</f>
        <v>0</v>
      </c>
      <c r="Z36" s="2">
        <f>SUMIFS(Wine1!$AB:$AB,Wine1!$AF:$AF,'Drink Dates 2'!Z$1,Wine1!$AA:$AA,'Drink Dates 2'!$A36)</f>
        <v>0</v>
      </c>
      <c r="AA36" s="2"/>
      <c r="AB36" s="2">
        <f ca="1">IF($A36-$A$2&lt;=VLOOKUP(AB$1,Table2[],3,FALSE),VLOOKUP('Drink Dates 2'!AB$1,Expenses!$B$44:$K$48,10,FALSE)*$L36-Z36,0)*D36</f>
        <v>0</v>
      </c>
      <c r="AC36" s="2">
        <f>SUMIFS(Wine1!$AB:$AB,Wine1!$AF:$AF,'Drink Dates 2'!AC$1,Wine1!$AA:$AA,'Drink Dates 2'!$A36)</f>
        <v>0</v>
      </c>
      <c r="AD36" s="2"/>
      <c r="AE36" s="2">
        <f t="shared" si="11"/>
        <v>0</v>
      </c>
      <c r="AF36" s="2">
        <f>SUMIFS(Wine1!$AB:$AB,Wine1!$AF:$AF,'Drink Dates 2'!AF$1,Wine1!$AA:$AA,'Drink Dates 2'!$A36)</f>
        <v>0</v>
      </c>
      <c r="AG36" s="44">
        <f ca="1">IF($A36-$A$2&lt;=VLOOKUP(AG$1,Table2[],3,FALSE),VLOOKUP('Drink Dates 2'!AG$1,Expenses!$B$44:$K$48,10,FALSE)*$L36-AF36,0)*F36</f>
        <v>0</v>
      </c>
      <c r="AH36" s="11">
        <f t="shared" si="8"/>
        <v>0</v>
      </c>
      <c r="AI36" s="11">
        <f t="shared" ca="1" si="9"/>
        <v>0</v>
      </c>
    </row>
    <row r="37" spans="1:35" x14ac:dyDescent="0.25">
      <c r="A37">
        <v>2054</v>
      </c>
      <c r="B37" s="37">
        <f t="shared" ca="1" si="0"/>
        <v>34</v>
      </c>
      <c r="C37" s="47">
        <f t="shared" ca="1" si="1"/>
        <v>0</v>
      </c>
      <c r="D37" s="47">
        <f t="shared" ca="1" si="12"/>
        <v>0</v>
      </c>
      <c r="E37" s="47">
        <f t="shared" ca="1" si="12"/>
        <v>0</v>
      </c>
      <c r="F37" s="47">
        <f t="shared" ca="1" si="12"/>
        <v>0</v>
      </c>
      <c r="G37" s="50">
        <f ca="1">C37*VLOOKUP(G$1,Expenses!$B$45:$H$48,7,FALSE)*$L37</f>
        <v>0</v>
      </c>
      <c r="H37" s="50">
        <f ca="1">D37*VLOOKUP(H$1,Expenses!$B$45:$H$48,7,FALSE)*$L37</f>
        <v>0</v>
      </c>
      <c r="I37" s="50">
        <f ca="1">E37*VLOOKUP(I$1,Expenses!$B$45:$H$48,7,FALSE)*$L37</f>
        <v>0</v>
      </c>
      <c r="J37" s="50">
        <f ca="1">F37*VLOOKUP(J$1,Expenses!$B$45:$H$48,7,FALSE)*$L37</f>
        <v>0</v>
      </c>
      <c r="K37" s="37">
        <f t="shared" ca="1" si="10"/>
        <v>12512</v>
      </c>
      <c r="L37" s="46">
        <f t="shared" ca="1" si="3"/>
        <v>1</v>
      </c>
      <c r="M37" s="37">
        <f>SUMIF(Wine1!AA:AA,A37,Wine1!I:I)</f>
        <v>1</v>
      </c>
      <c r="N37" s="37">
        <f>IFERROR(AVERAGEIF(Wine1!AA:AA,A37,Wine1!Z:Z),0)</f>
        <v>95</v>
      </c>
      <c r="O37" s="24">
        <f>COUNTIFS(Wine1!$AA:$AA,'Drink Dates 2'!$A37,Wine1!$AF:$AF,'Drink Dates 2'!O$1)</f>
        <v>0</v>
      </c>
      <c r="P37" s="48">
        <f t="shared" ca="1" si="4"/>
        <v>0</v>
      </c>
      <c r="Q37" s="24">
        <f>COUNTIFS(Wine1!$AA:$AA,'Drink Dates 2'!$A37,Wine1!$AF:$AF,'Drink Dates 2'!Q$1)</f>
        <v>0</v>
      </c>
      <c r="R37" s="48">
        <f t="shared" ca="1" si="5"/>
        <v>0</v>
      </c>
      <c r="S37" s="24">
        <f>COUNTIFS(Wine1!$AA:$AA,'Drink Dates 2'!$A37,Wine1!$AF:$AF,'Drink Dates 2'!S$1)</f>
        <v>1</v>
      </c>
      <c r="T37" s="48">
        <f t="shared" ca="1" si="6"/>
        <v>-1</v>
      </c>
      <c r="U37" s="24">
        <f>COUNTIFS(Wine1!$AA:$AA,'Drink Dates 2'!$A37,Wine1!$AF:$AF,'Drink Dates 2'!U$1)</f>
        <v>0</v>
      </c>
      <c r="V37" s="48">
        <f t="shared" ca="1" si="7"/>
        <v>0</v>
      </c>
      <c r="W37" s="42">
        <f>SUMIFS(Wine1!AB:AB,Wine1!AF:AF,'Drink Dates 2'!W$1,Wine1!AA:AA,'Drink Dates 2'!$A37)</f>
        <v>0</v>
      </c>
      <c r="X37" s="70"/>
      <c r="Y37" s="2">
        <f ca="1">IF($A37-$A$2&lt;=VLOOKUP(Y$1,Table2[],3,FALSE),VLOOKUP('Drink Dates 2'!Y$1,Expenses!$B$44:$K$48,10,FALSE)*$L37-W37,0)*C37</f>
        <v>0</v>
      </c>
      <c r="Z37" s="2">
        <f>SUMIFS(Wine1!$AB:$AB,Wine1!$AF:$AF,'Drink Dates 2'!Z$1,Wine1!$AA:$AA,'Drink Dates 2'!$A37)</f>
        <v>0</v>
      </c>
      <c r="AA37" s="2"/>
      <c r="AB37" s="2">
        <f ca="1">IF($A37-$A$2&lt;=VLOOKUP(AB$1,Table2[],3,FALSE),VLOOKUP('Drink Dates 2'!AB$1,Expenses!$B$44:$K$48,10,FALSE)*$L37-Z37,0)*D37</f>
        <v>0</v>
      </c>
      <c r="AC37" s="2">
        <f>SUMIFS(Wine1!$AB:$AB,Wine1!$AF:$AF,'Drink Dates 2'!AC$1,Wine1!$AA:$AA,'Drink Dates 2'!$A37)</f>
        <v>16</v>
      </c>
      <c r="AD37" s="2"/>
      <c r="AE37" s="2">
        <f t="shared" si="11"/>
        <v>-16</v>
      </c>
      <c r="AF37" s="2">
        <f>SUMIFS(Wine1!$AB:$AB,Wine1!$AF:$AF,'Drink Dates 2'!AF$1,Wine1!$AA:$AA,'Drink Dates 2'!$A37)</f>
        <v>0</v>
      </c>
      <c r="AG37" s="44">
        <f ca="1">IF($A37-$A$2&lt;=VLOOKUP(AG$1,Table2[],3,FALSE),VLOOKUP('Drink Dates 2'!AG$1,Expenses!$B$44:$K$48,10,FALSE)*$L37-AF37,0)*F37</f>
        <v>0</v>
      </c>
      <c r="AH37" s="11">
        <f t="shared" si="8"/>
        <v>16</v>
      </c>
      <c r="AI37" s="11">
        <f t="shared" ca="1" si="9"/>
        <v>-16</v>
      </c>
    </row>
    <row r="38" spans="1:35" x14ac:dyDescent="0.25">
      <c r="A38">
        <v>2055</v>
      </c>
      <c r="B38" s="37">
        <f t="shared" ca="1" si="0"/>
        <v>35</v>
      </c>
      <c r="C38" s="47">
        <f t="shared" ca="1" si="1"/>
        <v>0</v>
      </c>
      <c r="D38" s="47">
        <f t="shared" ca="1" si="12"/>
        <v>0</v>
      </c>
      <c r="E38" s="47">
        <f t="shared" ca="1" si="12"/>
        <v>0</v>
      </c>
      <c r="F38" s="47">
        <f t="shared" ca="1" si="12"/>
        <v>0</v>
      </c>
      <c r="G38" s="50">
        <f ca="1">C38*VLOOKUP(G$1,Expenses!$B$45:$H$48,7,FALSE)*$L38</f>
        <v>0</v>
      </c>
      <c r="H38" s="50">
        <f ca="1">D38*VLOOKUP(H$1,Expenses!$B$45:$H$48,7,FALSE)*$L38</f>
        <v>0</v>
      </c>
      <c r="I38" s="50">
        <f ca="1">E38*VLOOKUP(I$1,Expenses!$B$45:$H$48,7,FALSE)*$L38</f>
        <v>0</v>
      </c>
      <c r="J38" s="50">
        <f ca="1">F38*VLOOKUP(J$1,Expenses!$B$45:$H$48,7,FALSE)*$L38</f>
        <v>0</v>
      </c>
      <c r="K38" s="37">
        <f t="shared" ca="1" si="10"/>
        <v>12877</v>
      </c>
      <c r="L38" s="46">
        <f t="shared" ca="1" si="3"/>
        <v>1</v>
      </c>
      <c r="M38" s="37">
        <f>SUMIF(Wine1!AA:AA,A38,Wine1!I:I)</f>
        <v>0</v>
      </c>
      <c r="N38" s="37">
        <f>IFERROR(AVERAGEIF(Wine1!AA:AA,A38,Wine1!Z:Z),0)</f>
        <v>0</v>
      </c>
      <c r="O38" s="24">
        <f>COUNTIFS(Wine1!$AA:$AA,'Drink Dates 2'!$A38,Wine1!$AF:$AF,'Drink Dates 2'!O$1)</f>
        <v>0</v>
      </c>
      <c r="P38" s="48">
        <f t="shared" ca="1" si="4"/>
        <v>0</v>
      </c>
      <c r="Q38" s="24">
        <f>COUNTIFS(Wine1!$AA:$AA,'Drink Dates 2'!$A38,Wine1!$AF:$AF,'Drink Dates 2'!Q$1)</f>
        <v>0</v>
      </c>
      <c r="R38" s="48">
        <f t="shared" ca="1" si="5"/>
        <v>0</v>
      </c>
      <c r="S38" s="24">
        <f>COUNTIFS(Wine1!$AA:$AA,'Drink Dates 2'!$A38,Wine1!$AF:$AF,'Drink Dates 2'!S$1)</f>
        <v>0</v>
      </c>
      <c r="T38" s="48">
        <f t="shared" ca="1" si="6"/>
        <v>0</v>
      </c>
      <c r="U38" s="24">
        <f>COUNTIFS(Wine1!$AA:$AA,'Drink Dates 2'!$A38,Wine1!$AF:$AF,'Drink Dates 2'!U$1)</f>
        <v>0</v>
      </c>
      <c r="V38" s="48">
        <f t="shared" ca="1" si="7"/>
        <v>0</v>
      </c>
      <c r="W38" s="42">
        <f>SUMIFS(Wine1!AB:AB,Wine1!AF:AF,'Drink Dates 2'!W$1,Wine1!AA:AA,'Drink Dates 2'!$A38)</f>
        <v>0</v>
      </c>
      <c r="X38" s="70"/>
      <c r="Y38" s="2">
        <f ca="1">IF($A38-$A$2&lt;=VLOOKUP(Y$1,Table2[],3,FALSE),VLOOKUP('Drink Dates 2'!Y$1,Expenses!$B$44:$K$48,10,FALSE)*$L38-W38,0)*C38</f>
        <v>0</v>
      </c>
      <c r="Z38" s="2">
        <f>SUMIFS(Wine1!$AB:$AB,Wine1!$AF:$AF,'Drink Dates 2'!Z$1,Wine1!$AA:$AA,'Drink Dates 2'!$A38)</f>
        <v>0</v>
      </c>
      <c r="AA38" s="2"/>
      <c r="AB38" s="2">
        <f ca="1">IF($A38-$A$2&lt;=VLOOKUP(AB$1,Table2[],3,FALSE),VLOOKUP('Drink Dates 2'!AB$1,Expenses!$B$44:$K$48,10,FALSE)*$L38-Z38,0)*D38</f>
        <v>0</v>
      </c>
      <c r="AC38" s="2">
        <f>SUMIFS(Wine1!$AB:$AB,Wine1!$AF:$AF,'Drink Dates 2'!AC$1,Wine1!$AA:$AA,'Drink Dates 2'!$A38)</f>
        <v>0</v>
      </c>
      <c r="AD38" s="2"/>
      <c r="AE38" s="2">
        <f t="shared" si="11"/>
        <v>0</v>
      </c>
      <c r="AF38" s="2">
        <f>SUMIFS(Wine1!$AB:$AB,Wine1!$AF:$AF,'Drink Dates 2'!AF$1,Wine1!$AA:$AA,'Drink Dates 2'!$A38)</f>
        <v>0</v>
      </c>
      <c r="AG38" s="44">
        <f ca="1">IF($A38-$A$2&lt;=VLOOKUP(AG$1,Table2[],3,FALSE),VLOOKUP('Drink Dates 2'!AG$1,Expenses!$B$44:$K$48,10,FALSE)*$L38-AF38,0)*F38</f>
        <v>0</v>
      </c>
      <c r="AH38" s="11">
        <f t="shared" si="8"/>
        <v>0</v>
      </c>
      <c r="AI38" s="11">
        <f t="shared" ca="1" si="9"/>
        <v>0</v>
      </c>
    </row>
    <row r="39" spans="1:35" x14ac:dyDescent="0.25">
      <c r="A39">
        <v>2056</v>
      </c>
      <c r="B39" s="37">
        <f t="shared" ca="1" si="0"/>
        <v>36</v>
      </c>
      <c r="C39" s="47">
        <f t="shared" ca="1" si="1"/>
        <v>0</v>
      </c>
      <c r="D39" s="47">
        <f t="shared" ca="1" si="12"/>
        <v>0</v>
      </c>
      <c r="E39" s="47">
        <f t="shared" ca="1" si="12"/>
        <v>0</v>
      </c>
      <c r="F39" s="47">
        <f t="shared" ca="1" si="12"/>
        <v>0</v>
      </c>
      <c r="G39" s="50">
        <f ca="1">C39*VLOOKUP(G$1,Expenses!$B$45:$H$48,7,FALSE)*$L39</f>
        <v>0</v>
      </c>
      <c r="H39" s="50">
        <f ca="1">D39*VLOOKUP(H$1,Expenses!$B$45:$H$48,7,FALSE)*$L39</f>
        <v>0</v>
      </c>
      <c r="I39" s="50">
        <f ca="1">E39*VLOOKUP(I$1,Expenses!$B$45:$H$48,7,FALSE)*$L39</f>
        <v>0</v>
      </c>
      <c r="J39" s="50">
        <f ca="1">F39*VLOOKUP(J$1,Expenses!$B$45:$H$48,7,FALSE)*$L39</f>
        <v>0</v>
      </c>
      <c r="K39" s="37">
        <f t="shared" ca="1" si="10"/>
        <v>13242</v>
      </c>
      <c r="L39" s="46">
        <f t="shared" ca="1" si="3"/>
        <v>1</v>
      </c>
      <c r="M39" s="37">
        <f>SUMIF(Wine1!AA:AA,A39,Wine1!I:I)</f>
        <v>0</v>
      </c>
      <c r="N39" s="37">
        <f>IFERROR(AVERAGEIF(Wine1!AA:AA,A39,Wine1!Z:Z),0)</f>
        <v>0</v>
      </c>
      <c r="O39" s="24">
        <f>COUNTIFS(Wine1!$AA:$AA,'Drink Dates 2'!$A39,Wine1!$AF:$AF,'Drink Dates 2'!O$1)</f>
        <v>0</v>
      </c>
      <c r="P39" s="48">
        <f t="shared" ca="1" si="4"/>
        <v>0</v>
      </c>
      <c r="Q39" s="24">
        <f>COUNTIFS(Wine1!$AA:$AA,'Drink Dates 2'!$A39,Wine1!$AF:$AF,'Drink Dates 2'!Q$1)</f>
        <v>0</v>
      </c>
      <c r="R39" s="48">
        <f t="shared" ca="1" si="5"/>
        <v>0</v>
      </c>
      <c r="S39" s="24">
        <f>COUNTIFS(Wine1!$AA:$AA,'Drink Dates 2'!$A39,Wine1!$AF:$AF,'Drink Dates 2'!S$1)</f>
        <v>0</v>
      </c>
      <c r="T39" s="48">
        <f t="shared" ca="1" si="6"/>
        <v>0</v>
      </c>
      <c r="U39" s="24">
        <f>COUNTIFS(Wine1!$AA:$AA,'Drink Dates 2'!$A39,Wine1!$AF:$AF,'Drink Dates 2'!U$1)</f>
        <v>0</v>
      </c>
      <c r="V39" s="48">
        <f t="shared" ca="1" si="7"/>
        <v>0</v>
      </c>
      <c r="W39" s="42">
        <f>SUMIFS(Wine1!AB:AB,Wine1!AF:AF,'Drink Dates 2'!W$1,Wine1!AA:AA,'Drink Dates 2'!$A39)</f>
        <v>0</v>
      </c>
      <c r="X39" s="70"/>
      <c r="Y39" s="2">
        <f ca="1">IF($A39-$A$2&lt;=VLOOKUP(Y$1,Table2[],3,FALSE),VLOOKUP('Drink Dates 2'!Y$1,Expenses!$B$44:$K$48,10,FALSE)*$L39-W39,0)*C39</f>
        <v>0</v>
      </c>
      <c r="Z39" s="2">
        <f>SUMIFS(Wine1!$AB:$AB,Wine1!$AF:$AF,'Drink Dates 2'!Z$1,Wine1!$AA:$AA,'Drink Dates 2'!$A39)</f>
        <v>0</v>
      </c>
      <c r="AA39" s="2"/>
      <c r="AB39" s="2">
        <f ca="1">IF($A39-$A$2&lt;=VLOOKUP(AB$1,Table2[],3,FALSE),VLOOKUP('Drink Dates 2'!AB$1,Expenses!$B$44:$K$48,10,FALSE)*$L39-Z39,0)*D39</f>
        <v>0</v>
      </c>
      <c r="AC39" s="2">
        <f>SUMIFS(Wine1!$AB:$AB,Wine1!$AF:$AF,'Drink Dates 2'!AC$1,Wine1!$AA:$AA,'Drink Dates 2'!$A39)</f>
        <v>0</v>
      </c>
      <c r="AD39" s="2"/>
      <c r="AE39" s="2">
        <f t="shared" si="11"/>
        <v>0</v>
      </c>
      <c r="AF39" s="2">
        <f>SUMIFS(Wine1!$AB:$AB,Wine1!$AF:$AF,'Drink Dates 2'!AF$1,Wine1!$AA:$AA,'Drink Dates 2'!$A39)</f>
        <v>0</v>
      </c>
      <c r="AG39" s="44">
        <f ca="1">IF($A39-$A$2&lt;=VLOOKUP(AG$1,Table2[],3,FALSE),VLOOKUP('Drink Dates 2'!AG$1,Expenses!$B$44:$K$48,10,FALSE)*$L39-AF39,0)*F39</f>
        <v>0</v>
      </c>
      <c r="AH39" s="11">
        <f t="shared" si="8"/>
        <v>0</v>
      </c>
      <c r="AI39" s="11">
        <f t="shared" ca="1" si="9"/>
        <v>0</v>
      </c>
    </row>
    <row r="40" spans="1:35" x14ac:dyDescent="0.25">
      <c r="A40">
        <v>2057</v>
      </c>
      <c r="B40" s="37">
        <f t="shared" ca="1" si="0"/>
        <v>37</v>
      </c>
      <c r="C40" s="47">
        <f t="shared" ca="1" si="1"/>
        <v>0</v>
      </c>
      <c r="D40" s="47">
        <f t="shared" ca="1" si="12"/>
        <v>0</v>
      </c>
      <c r="E40" s="47">
        <f t="shared" ca="1" si="12"/>
        <v>0</v>
      </c>
      <c r="F40" s="47">
        <f t="shared" ca="1" si="12"/>
        <v>0</v>
      </c>
      <c r="G40" s="50">
        <f ca="1">C40*VLOOKUP(G$1,Expenses!$B$45:$H$48,7,FALSE)*$L40</f>
        <v>0</v>
      </c>
      <c r="H40" s="50">
        <f ca="1">D40*VLOOKUP(H$1,Expenses!$B$45:$H$48,7,FALSE)*$L40</f>
        <v>0</v>
      </c>
      <c r="I40" s="50">
        <f ca="1">E40*VLOOKUP(I$1,Expenses!$B$45:$H$48,7,FALSE)*$L40</f>
        <v>0</v>
      </c>
      <c r="J40" s="50">
        <f ca="1">F40*VLOOKUP(J$1,Expenses!$B$45:$H$48,7,FALSE)*$L40</f>
        <v>0</v>
      </c>
      <c r="K40" s="37">
        <f t="shared" ca="1" si="10"/>
        <v>13607</v>
      </c>
      <c r="L40" s="46">
        <f t="shared" ca="1" si="3"/>
        <v>1</v>
      </c>
      <c r="M40" s="37">
        <f>SUMIF(Wine1!AA:AA,A40,Wine1!I:I)</f>
        <v>0</v>
      </c>
      <c r="N40" s="37">
        <f>IFERROR(AVERAGEIF(Wine1!AA:AA,A40,Wine1!Z:Z),0)</f>
        <v>0</v>
      </c>
      <c r="O40" s="24">
        <f>COUNTIFS(Wine1!$AA:$AA,'Drink Dates 2'!$A40,Wine1!$AF:$AF,'Drink Dates 2'!O$1)</f>
        <v>0</v>
      </c>
      <c r="P40" s="48">
        <f t="shared" ca="1" si="4"/>
        <v>0</v>
      </c>
      <c r="Q40" s="24">
        <f>COUNTIFS(Wine1!$AA:$AA,'Drink Dates 2'!$A40,Wine1!$AF:$AF,'Drink Dates 2'!Q$1)</f>
        <v>0</v>
      </c>
      <c r="R40" s="48">
        <f t="shared" ca="1" si="5"/>
        <v>0</v>
      </c>
      <c r="S40" s="24">
        <f>COUNTIFS(Wine1!$AA:$AA,'Drink Dates 2'!$A40,Wine1!$AF:$AF,'Drink Dates 2'!S$1)</f>
        <v>0</v>
      </c>
      <c r="T40" s="48">
        <f t="shared" ca="1" si="6"/>
        <v>0</v>
      </c>
      <c r="U40" s="24">
        <f>COUNTIFS(Wine1!$AA:$AA,'Drink Dates 2'!$A40,Wine1!$AF:$AF,'Drink Dates 2'!U$1)</f>
        <v>0</v>
      </c>
      <c r="V40" s="48">
        <f t="shared" ca="1" si="7"/>
        <v>0</v>
      </c>
      <c r="W40" s="42">
        <f>SUMIFS(Wine1!AB:AB,Wine1!AF:AF,'Drink Dates 2'!W$1,Wine1!AA:AA,'Drink Dates 2'!$A40)</f>
        <v>0</v>
      </c>
      <c r="X40" s="70"/>
      <c r="Y40" s="2">
        <f ca="1">IF($A40-$A$2&lt;=VLOOKUP(Y$1,Table2[],3,FALSE),VLOOKUP('Drink Dates 2'!Y$1,Expenses!$B$44:$K$48,10,FALSE)*$L40-W40,0)*C40</f>
        <v>0</v>
      </c>
      <c r="Z40" s="2">
        <f>SUMIFS(Wine1!$AB:$AB,Wine1!$AF:$AF,'Drink Dates 2'!Z$1,Wine1!$AA:$AA,'Drink Dates 2'!$A40)</f>
        <v>0</v>
      </c>
      <c r="AA40" s="2"/>
      <c r="AB40" s="2">
        <f ca="1">IF($A40-$A$2&lt;=VLOOKUP(AB$1,Table2[],3,FALSE),VLOOKUP('Drink Dates 2'!AB$1,Expenses!$B$44:$K$48,10,FALSE)*$L40-Z40,0)*D40</f>
        <v>0</v>
      </c>
      <c r="AC40" s="2">
        <f>SUMIFS(Wine1!$AB:$AB,Wine1!$AF:$AF,'Drink Dates 2'!AC$1,Wine1!$AA:$AA,'Drink Dates 2'!$A40)</f>
        <v>0</v>
      </c>
      <c r="AD40" s="2"/>
      <c r="AE40" s="2">
        <f t="shared" si="11"/>
        <v>0</v>
      </c>
      <c r="AF40" s="2">
        <f>SUMIFS(Wine1!$AB:$AB,Wine1!$AF:$AF,'Drink Dates 2'!AF$1,Wine1!$AA:$AA,'Drink Dates 2'!$A40)</f>
        <v>0</v>
      </c>
      <c r="AG40" s="44">
        <f ca="1">IF($A40-$A$2&lt;=VLOOKUP(AG$1,Table2[],3,FALSE),VLOOKUP('Drink Dates 2'!AG$1,Expenses!$B$44:$K$48,10,FALSE)*$L40-AF40,0)*F40</f>
        <v>0</v>
      </c>
      <c r="AH40" s="11">
        <f t="shared" si="8"/>
        <v>0</v>
      </c>
      <c r="AI40" s="11">
        <f t="shared" ca="1" si="9"/>
        <v>0</v>
      </c>
    </row>
    <row r="41" spans="1:35" x14ac:dyDescent="0.25">
      <c r="A41">
        <v>2058</v>
      </c>
      <c r="B41" s="37">
        <f t="shared" ca="1" si="0"/>
        <v>38</v>
      </c>
      <c r="C41" s="47">
        <f t="shared" ca="1" si="1"/>
        <v>0</v>
      </c>
      <c r="D41" s="47">
        <f t="shared" ca="1" si="12"/>
        <v>0</v>
      </c>
      <c r="E41" s="47">
        <f t="shared" ca="1" si="12"/>
        <v>0</v>
      </c>
      <c r="F41" s="47">
        <f t="shared" ca="1" si="12"/>
        <v>0</v>
      </c>
      <c r="G41" s="50">
        <f ca="1">C41*VLOOKUP(G$1,Expenses!$B$45:$H$48,7,FALSE)*$L41</f>
        <v>0</v>
      </c>
      <c r="H41" s="50">
        <f ca="1">D41*VLOOKUP(H$1,Expenses!$B$45:$H$48,7,FALSE)*$L41</f>
        <v>0</v>
      </c>
      <c r="I41" s="50">
        <f ca="1">E41*VLOOKUP(I$1,Expenses!$B$45:$H$48,7,FALSE)*$L41</f>
        <v>0</v>
      </c>
      <c r="J41" s="50">
        <f ca="1">F41*VLOOKUP(J$1,Expenses!$B$45:$H$48,7,FALSE)*$L41</f>
        <v>0</v>
      </c>
      <c r="K41" s="37">
        <f t="shared" ca="1" si="10"/>
        <v>13972</v>
      </c>
      <c r="L41" s="46">
        <f t="shared" ca="1" si="3"/>
        <v>1</v>
      </c>
      <c r="M41" s="37">
        <f>SUMIF(Wine1!AA:AA,A41,Wine1!I:I)</f>
        <v>0</v>
      </c>
      <c r="N41" s="37">
        <f>IFERROR(AVERAGEIF(Wine1!AA:AA,A41,Wine1!Z:Z),0)</f>
        <v>0</v>
      </c>
      <c r="O41" s="24">
        <f>COUNTIFS(Wine1!$AA:$AA,'Drink Dates 2'!$A41,Wine1!$AF:$AF,'Drink Dates 2'!O$1)</f>
        <v>0</v>
      </c>
      <c r="P41" s="48">
        <f t="shared" ca="1" si="4"/>
        <v>0</v>
      </c>
      <c r="Q41" s="24">
        <f>COUNTIFS(Wine1!$AA:$AA,'Drink Dates 2'!$A41,Wine1!$AF:$AF,'Drink Dates 2'!Q$1)</f>
        <v>0</v>
      </c>
      <c r="R41" s="48">
        <f t="shared" ca="1" si="5"/>
        <v>0</v>
      </c>
      <c r="S41" s="24">
        <f>COUNTIFS(Wine1!$AA:$AA,'Drink Dates 2'!$A41,Wine1!$AF:$AF,'Drink Dates 2'!S$1)</f>
        <v>0</v>
      </c>
      <c r="T41" s="48">
        <f t="shared" ca="1" si="6"/>
        <v>0</v>
      </c>
      <c r="U41" s="24">
        <f>COUNTIFS(Wine1!$AA:$AA,'Drink Dates 2'!$A41,Wine1!$AF:$AF,'Drink Dates 2'!U$1)</f>
        <v>0</v>
      </c>
      <c r="V41" s="48">
        <f t="shared" ca="1" si="7"/>
        <v>0</v>
      </c>
      <c r="W41" s="42">
        <f>SUMIFS(Wine1!AB:AB,Wine1!AF:AF,'Drink Dates 2'!W$1,Wine1!AA:AA,'Drink Dates 2'!$A41)</f>
        <v>0</v>
      </c>
      <c r="X41" s="70"/>
      <c r="Y41" s="2">
        <f ca="1">IF($A41-$A$2&lt;=VLOOKUP(Y$1,Table2[],3,FALSE),VLOOKUP('Drink Dates 2'!Y$1,Expenses!$B$44:$K$48,10,FALSE)*$L41-W41,0)*C41</f>
        <v>0</v>
      </c>
      <c r="Z41" s="2">
        <f>SUMIFS(Wine1!$AB:$AB,Wine1!$AF:$AF,'Drink Dates 2'!Z$1,Wine1!$AA:$AA,'Drink Dates 2'!$A41)</f>
        <v>0</v>
      </c>
      <c r="AA41" s="2"/>
      <c r="AB41" s="2">
        <f ca="1">IF($A41-$A$2&lt;=VLOOKUP(AB$1,Table2[],3,FALSE),VLOOKUP('Drink Dates 2'!AB$1,Expenses!$B$44:$K$48,10,FALSE)*$L41-Z41,0)*D41</f>
        <v>0</v>
      </c>
      <c r="AC41" s="2">
        <f>SUMIFS(Wine1!$AB:$AB,Wine1!$AF:$AF,'Drink Dates 2'!AC$1,Wine1!$AA:$AA,'Drink Dates 2'!$A41)</f>
        <v>0</v>
      </c>
      <c r="AD41" s="2"/>
      <c r="AE41" s="2">
        <f t="shared" si="11"/>
        <v>0</v>
      </c>
      <c r="AF41" s="2">
        <f>SUMIFS(Wine1!$AB:$AB,Wine1!$AF:$AF,'Drink Dates 2'!AF$1,Wine1!$AA:$AA,'Drink Dates 2'!$A41)</f>
        <v>0</v>
      </c>
      <c r="AG41" s="44">
        <f ca="1">IF($A41-$A$2&lt;=VLOOKUP(AG$1,Table2[],3,FALSE),VLOOKUP('Drink Dates 2'!AG$1,Expenses!$B$44:$K$48,10,FALSE)*$L41-AF41,0)*F41</f>
        <v>0</v>
      </c>
      <c r="AH41" s="11">
        <f t="shared" si="8"/>
        <v>0</v>
      </c>
      <c r="AI41" s="11">
        <f t="shared" ca="1" si="9"/>
        <v>0</v>
      </c>
    </row>
    <row r="42" spans="1:35" x14ac:dyDescent="0.25">
      <c r="A42">
        <v>2059</v>
      </c>
      <c r="B42" s="37">
        <f t="shared" ca="1" si="0"/>
        <v>39</v>
      </c>
      <c r="C42" s="47">
        <f t="shared" ca="1" si="1"/>
        <v>0</v>
      </c>
      <c r="D42" s="47">
        <f t="shared" ca="1" si="12"/>
        <v>0</v>
      </c>
      <c r="E42" s="47">
        <f t="shared" ca="1" si="12"/>
        <v>0</v>
      </c>
      <c r="F42" s="47">
        <f t="shared" ca="1" si="12"/>
        <v>0</v>
      </c>
      <c r="G42" s="50">
        <f ca="1">C42*VLOOKUP(G$1,Expenses!$B$45:$H$48,7,FALSE)*$L42</f>
        <v>0</v>
      </c>
      <c r="H42" s="50">
        <f ca="1">D42*VLOOKUP(H$1,Expenses!$B$45:$H$48,7,FALSE)*$L42</f>
        <v>0</v>
      </c>
      <c r="I42" s="50">
        <f ca="1">E42*VLOOKUP(I$1,Expenses!$B$45:$H$48,7,FALSE)*$L42</f>
        <v>0</v>
      </c>
      <c r="J42" s="50">
        <f ca="1">F42*VLOOKUP(J$1,Expenses!$B$45:$H$48,7,FALSE)*$L42</f>
        <v>0</v>
      </c>
      <c r="K42" s="37">
        <f t="shared" ca="1" si="10"/>
        <v>14337</v>
      </c>
      <c r="L42" s="46">
        <f t="shared" ca="1" si="3"/>
        <v>1</v>
      </c>
      <c r="M42" s="37">
        <f>SUMIF(Wine1!AA:AA,A42,Wine1!I:I)</f>
        <v>0</v>
      </c>
      <c r="N42" s="37">
        <f>IFERROR(AVERAGEIF(Wine1!AA:AA,A42,Wine1!Z:Z),0)</f>
        <v>0</v>
      </c>
      <c r="O42" s="24">
        <f>COUNTIFS(Wine1!$AA:$AA,'Drink Dates 2'!$A42,Wine1!$AF:$AF,'Drink Dates 2'!O$1)</f>
        <v>0</v>
      </c>
      <c r="P42" s="48">
        <f t="shared" ca="1" si="4"/>
        <v>0</v>
      </c>
      <c r="Q42" s="24">
        <f>COUNTIFS(Wine1!$AA:$AA,'Drink Dates 2'!$A42,Wine1!$AF:$AF,'Drink Dates 2'!Q$1)</f>
        <v>0</v>
      </c>
      <c r="R42" s="48">
        <f t="shared" ca="1" si="5"/>
        <v>0</v>
      </c>
      <c r="S42" s="24">
        <f>COUNTIFS(Wine1!$AA:$AA,'Drink Dates 2'!$A42,Wine1!$AF:$AF,'Drink Dates 2'!S$1)</f>
        <v>0</v>
      </c>
      <c r="T42" s="48">
        <f t="shared" ca="1" si="6"/>
        <v>0</v>
      </c>
      <c r="U42" s="24">
        <f>COUNTIFS(Wine1!$AA:$AA,'Drink Dates 2'!$A42,Wine1!$AF:$AF,'Drink Dates 2'!U$1)</f>
        <v>0</v>
      </c>
      <c r="V42" s="48">
        <f t="shared" ca="1" si="7"/>
        <v>0</v>
      </c>
      <c r="W42" s="42">
        <f>SUMIFS(Wine1!AB:AB,Wine1!AF:AF,'Drink Dates 2'!W$1,Wine1!AA:AA,'Drink Dates 2'!$A42)</f>
        <v>0</v>
      </c>
      <c r="X42" s="70"/>
      <c r="Y42" s="2">
        <f ca="1">IF($A42-$A$2&lt;=VLOOKUP(Y$1,Table2[],3,FALSE),VLOOKUP('Drink Dates 2'!Y$1,Expenses!$B$44:$K$48,10,FALSE)*$L42-W42,0)*C42</f>
        <v>0</v>
      </c>
      <c r="Z42" s="2">
        <f>SUMIFS(Wine1!$AB:$AB,Wine1!$AF:$AF,'Drink Dates 2'!Z$1,Wine1!$AA:$AA,'Drink Dates 2'!$A42)</f>
        <v>0</v>
      </c>
      <c r="AA42" s="2"/>
      <c r="AB42" s="2">
        <f ca="1">IF($A42-$A$2&lt;=VLOOKUP(AB$1,Table2[],3,FALSE),VLOOKUP('Drink Dates 2'!AB$1,Expenses!$B$44:$K$48,10,FALSE)*$L42-Z42,0)*D42</f>
        <v>0</v>
      </c>
      <c r="AC42" s="2">
        <f>SUMIFS(Wine1!$AB:$AB,Wine1!$AF:$AF,'Drink Dates 2'!AC$1,Wine1!$AA:$AA,'Drink Dates 2'!$A42)</f>
        <v>0</v>
      </c>
      <c r="AD42" s="2"/>
      <c r="AE42" s="2">
        <f t="shared" si="11"/>
        <v>0</v>
      </c>
      <c r="AF42" s="2">
        <f>SUMIFS(Wine1!$AB:$AB,Wine1!$AF:$AF,'Drink Dates 2'!AF$1,Wine1!$AA:$AA,'Drink Dates 2'!$A42)</f>
        <v>0</v>
      </c>
      <c r="AG42" s="44">
        <f ca="1">IF($A42-$A$2&lt;=VLOOKUP(AG$1,Table2[],3,FALSE),VLOOKUP('Drink Dates 2'!AG$1,Expenses!$B$44:$K$48,10,FALSE)*$L42-AF42,0)*F42</f>
        <v>0</v>
      </c>
      <c r="AH42" s="11">
        <f t="shared" si="8"/>
        <v>0</v>
      </c>
      <c r="AI42" s="11">
        <f t="shared" ca="1" si="9"/>
        <v>0</v>
      </c>
    </row>
    <row r="43" spans="1:35" x14ac:dyDescent="0.25">
      <c r="A43">
        <v>2060</v>
      </c>
      <c r="B43" s="37">
        <f t="shared" ca="1" si="0"/>
        <v>40</v>
      </c>
      <c r="C43" s="47">
        <f t="shared" ca="1" si="1"/>
        <v>0</v>
      </c>
      <c r="D43" s="47">
        <f t="shared" ca="1" si="12"/>
        <v>0</v>
      </c>
      <c r="E43" s="47">
        <f t="shared" ca="1" si="12"/>
        <v>0</v>
      </c>
      <c r="F43" s="47">
        <f t="shared" ca="1" si="12"/>
        <v>0</v>
      </c>
      <c r="G43" s="50">
        <f ca="1">C43*VLOOKUP(G$1,Expenses!$B$45:$H$48,7,FALSE)*$L43</f>
        <v>0</v>
      </c>
      <c r="H43" s="50">
        <f ca="1">D43*VLOOKUP(H$1,Expenses!$B$45:$H$48,7,FALSE)*$L43</f>
        <v>0</v>
      </c>
      <c r="I43" s="50">
        <f ca="1">E43*VLOOKUP(I$1,Expenses!$B$45:$H$48,7,FALSE)*$L43</f>
        <v>0</v>
      </c>
      <c r="J43" s="50">
        <f ca="1">F43*VLOOKUP(J$1,Expenses!$B$45:$H$48,7,FALSE)*$L43</f>
        <v>0</v>
      </c>
      <c r="K43" s="37">
        <f t="shared" ca="1" si="10"/>
        <v>14702</v>
      </c>
      <c r="L43" s="46">
        <f t="shared" ca="1" si="3"/>
        <v>1</v>
      </c>
      <c r="M43" s="37">
        <f>SUMIF(Wine1!AA:AA,A43,Wine1!I:I)</f>
        <v>0</v>
      </c>
      <c r="N43" s="37">
        <f>IFERROR(AVERAGEIF(Wine1!AA:AA,A43,Wine1!Z:Z),0)</f>
        <v>0</v>
      </c>
      <c r="O43" s="24">
        <f>COUNTIFS(Wine1!$AA:$AA,'Drink Dates 2'!$A43,Wine1!$AF:$AF,'Drink Dates 2'!O$1)</f>
        <v>0</v>
      </c>
      <c r="P43" s="48">
        <f t="shared" ca="1" si="4"/>
        <v>0</v>
      </c>
      <c r="Q43" s="24">
        <f>COUNTIFS(Wine1!$AA:$AA,'Drink Dates 2'!$A43,Wine1!$AF:$AF,'Drink Dates 2'!Q$1)</f>
        <v>0</v>
      </c>
      <c r="R43" s="48">
        <f t="shared" ca="1" si="5"/>
        <v>0</v>
      </c>
      <c r="S43" s="24">
        <f>COUNTIFS(Wine1!$AA:$AA,'Drink Dates 2'!$A43,Wine1!$AF:$AF,'Drink Dates 2'!S$1)</f>
        <v>0</v>
      </c>
      <c r="T43" s="48">
        <f t="shared" ca="1" si="6"/>
        <v>0</v>
      </c>
      <c r="U43" s="24">
        <f>COUNTIFS(Wine1!$AA:$AA,'Drink Dates 2'!$A43,Wine1!$AF:$AF,'Drink Dates 2'!U$1)</f>
        <v>0</v>
      </c>
      <c r="V43" s="48">
        <f t="shared" ca="1" si="7"/>
        <v>0</v>
      </c>
      <c r="W43" s="42">
        <f>SUMIFS(Wine1!AB:AB,Wine1!AF:AF,'Drink Dates 2'!W$1,Wine1!AA:AA,'Drink Dates 2'!$A43)</f>
        <v>0</v>
      </c>
      <c r="X43" s="70"/>
      <c r="Y43" s="2">
        <f ca="1">IF($A43-$A$2&lt;=VLOOKUP(Y$1,Table2[],3,FALSE),VLOOKUP('Drink Dates 2'!Y$1,Expenses!$B$44:$K$48,10,FALSE)*$L43-W43,0)*C43</f>
        <v>0</v>
      </c>
      <c r="Z43" s="2">
        <f>SUMIFS(Wine1!$AB:$AB,Wine1!$AF:$AF,'Drink Dates 2'!Z$1,Wine1!$AA:$AA,'Drink Dates 2'!$A43)</f>
        <v>0</v>
      </c>
      <c r="AA43" s="2"/>
      <c r="AB43" s="2">
        <f ca="1">IF($A43-$A$2&lt;=VLOOKUP(AB$1,Table2[],3,FALSE),VLOOKUP('Drink Dates 2'!AB$1,Expenses!$B$44:$K$48,10,FALSE)*$L43-Z43,0)*D43</f>
        <v>0</v>
      </c>
      <c r="AC43" s="2">
        <f>SUMIFS(Wine1!$AB:$AB,Wine1!$AF:$AF,'Drink Dates 2'!AC$1,Wine1!$AA:$AA,'Drink Dates 2'!$A43)</f>
        <v>0</v>
      </c>
      <c r="AD43" s="2"/>
      <c r="AE43" s="2">
        <f t="shared" si="11"/>
        <v>0</v>
      </c>
      <c r="AF43" s="2">
        <f>SUMIFS(Wine1!$AB:$AB,Wine1!$AF:$AF,'Drink Dates 2'!AF$1,Wine1!$AA:$AA,'Drink Dates 2'!$A43)</f>
        <v>0</v>
      </c>
      <c r="AG43" s="44">
        <f ca="1">IF($A43-$A$2&lt;=VLOOKUP(AG$1,Table2[],3,FALSE),VLOOKUP('Drink Dates 2'!AG$1,Expenses!$B$44:$K$48,10,FALSE)*$L43-AF43,0)*F43</f>
        <v>0</v>
      </c>
      <c r="AH43" s="11">
        <f t="shared" si="8"/>
        <v>0</v>
      </c>
      <c r="AI43" s="11">
        <f t="shared" ca="1" si="9"/>
        <v>0</v>
      </c>
    </row>
    <row r="44" spans="1:35" x14ac:dyDescent="0.25">
      <c r="G44" s="51">
        <f ca="1">SUM(G3:G43)</f>
        <v>491.32876712328766</v>
      </c>
      <c r="H44" s="51">
        <f ca="1">SUM(H3:H43)</f>
        <v>326.53150684931506</v>
      </c>
      <c r="I44" s="51">
        <f ca="1">SUM(I3:I43)</f>
        <v>316.06027397260277</v>
      </c>
      <c r="J44" s="51">
        <f ca="1">SUM(J3:J43)</f>
        <v>101.51506849315069</v>
      </c>
      <c r="O44" s="24">
        <f t="shared" ref="O44:V44" si="13">SUM(O3:O43)</f>
        <v>223</v>
      </c>
      <c r="P44" s="48">
        <f t="shared" ca="1" si="13"/>
        <v>269</v>
      </c>
      <c r="Q44" s="24">
        <f t="shared" si="13"/>
        <v>320</v>
      </c>
      <c r="R44" s="48">
        <f t="shared" ca="1" si="13"/>
        <v>7</v>
      </c>
      <c r="S44" s="24">
        <f t="shared" si="13"/>
        <v>628</v>
      </c>
      <c r="T44" s="48">
        <f t="shared" ca="1" si="13"/>
        <v>-312</v>
      </c>
      <c r="U44" s="24">
        <f t="shared" si="13"/>
        <v>145</v>
      </c>
      <c r="V44" s="48">
        <f t="shared" ca="1" si="13"/>
        <v>-43</v>
      </c>
      <c r="Y44" s="11">
        <f ca="1">SUM(Y3:Y43)</f>
        <v>4353.5813999145339</v>
      </c>
      <c r="AB44" s="11">
        <f ca="1">SUM(AB3:AB43)</f>
        <v>3021.7033826244551</v>
      </c>
      <c r="AE44" s="11">
        <f ca="1">SUM(AE3:AE43)</f>
        <v>-13042.044446118145</v>
      </c>
      <c r="AG44" s="49">
        <f ca="1">SUM(AG3:AG43)</f>
        <v>3908.4391630075384</v>
      </c>
      <c r="AI44" s="11">
        <f ca="1">SUM(AI3:AI43)</f>
        <v>-1758.3205005716184</v>
      </c>
    </row>
    <row r="45" spans="1:35" x14ac:dyDescent="0.25">
      <c r="G45" s="52">
        <f>VLOOKUP(G$1,Expenses!$B$45:$E$48,4,FALSE)</f>
        <v>13.571652367314057</v>
      </c>
      <c r="H45" s="52">
        <f>VLOOKUP(H$1,Expenses!$B$45:$E$48,4,FALSE)</f>
        <v>23.346363650949904</v>
      </c>
      <c r="I45" s="52">
        <f>VLOOKUP(I$1,Expenses!$B$45:$E$48,4,FALSE)</f>
        <v>43.703376994441683</v>
      </c>
      <c r="J45" s="52">
        <f>VLOOKUP(J$1,Expenses!$B$45:$E$48,4,FALSE)</f>
        <v>106.05413793103449</v>
      </c>
      <c r="Y45" s="11"/>
    </row>
    <row r="46" spans="1:35" x14ac:dyDescent="0.25">
      <c r="G46" s="52">
        <f ca="1">G44*G45</f>
        <v>6668.1432254582642</v>
      </c>
      <c r="H46" s="52">
        <f ca="1">H44*H45</f>
        <v>7623.3233023967487</v>
      </c>
      <c r="I46" s="52">
        <f ca="1">I44*I45</f>
        <v>13812.901306391184</v>
      </c>
      <c r="J46" s="52">
        <f ca="1">J44*J45</f>
        <v>10766.093076051016</v>
      </c>
    </row>
  </sheetData>
  <autoFilter ref="A2:AI44" xr:uid="{C5646EB9-9AA8-4EDD-8494-93A5C426E3F9}"/>
  <conditionalFormatting sqref="N3:N43">
    <cfRule type="dataBar" priority="1">
      <dataBar>
        <cfvo type="num" val="90"/>
        <cfvo type="num" val="96"/>
        <color rgb="FF7030A0"/>
      </dataBar>
      <extLst>
        <ext xmlns:x14="http://schemas.microsoft.com/office/spreadsheetml/2009/9/main" uri="{B025F937-C7B1-47D3-B67F-A62EFF666E3E}">
          <x14:id>{0A56224D-8BF1-48F4-9977-808BADF52593}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56224D-8BF1-48F4-9977-808BADF52593}">
            <x14:dataBar minLength="0" maxLength="100">
              <x14:cfvo type="num">
                <xm:f>90</xm:f>
              </x14:cfvo>
              <x14:cfvo type="num">
                <xm:f>96</xm:f>
              </x14:cfvo>
              <x14:negativeFillColor rgb="FFFF0000"/>
              <x14:axisColor rgb="FF000000"/>
            </x14:dataBar>
          </x14:cfRule>
          <xm:sqref>N3:N43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4021-7924-4624-A366-01401526C3C8}">
  <dimension ref="A1:E6"/>
  <sheetViews>
    <sheetView workbookViewId="0">
      <selection activeCell="D4" sqref="D4"/>
    </sheetView>
  </sheetViews>
  <sheetFormatPr defaultRowHeight="15" x14ac:dyDescent="0.25"/>
  <cols>
    <col min="2" max="2" width="9.140625" style="37"/>
  </cols>
  <sheetData>
    <row r="1" spans="1:5" s="37" customFormat="1" x14ac:dyDescent="0.25">
      <c r="A1" s="37" t="s">
        <v>209</v>
      </c>
      <c r="B1" s="37" t="s">
        <v>675</v>
      </c>
      <c r="C1" s="37" t="s">
        <v>665</v>
      </c>
      <c r="D1" s="37" t="s">
        <v>677</v>
      </c>
    </row>
    <row r="2" spans="1:5" x14ac:dyDescent="0.25">
      <c r="A2">
        <v>1</v>
      </c>
      <c r="B2" s="7">
        <f>VLOOKUP(A2,Expenses!$B$45:K48,7,FALSE)*VLOOKUP(A2,Table2[],2,FALSE)</f>
        <v>911.66535487932538</v>
      </c>
      <c r="C2">
        <f>'Drink Dates 2'!O44</f>
        <v>223</v>
      </c>
      <c r="D2" s="7">
        <f>B2-C2</f>
        <v>688.66535487932538</v>
      </c>
      <c r="E2" s="45">
        <f>C2/B2</f>
        <v>0.24460729894635286</v>
      </c>
    </row>
    <row r="3" spans="1:5" x14ac:dyDescent="0.25">
      <c r="A3">
        <v>2</v>
      </c>
      <c r="B3" s="7">
        <f>VLOOKUP(A3,Expenses!$B$45:K49,7,FALSE)*VLOOKUP(A3,Table2[],2,FALSE)</f>
        <v>626.7560606060606</v>
      </c>
      <c r="C3">
        <f>'Drink Dates 2'!Q44</f>
        <v>320</v>
      </c>
      <c r="D3" s="7">
        <f>B3-C3</f>
        <v>306.7560606060606</v>
      </c>
      <c r="E3" s="45">
        <f>C3/B3</f>
        <v>0.51056546575802775</v>
      </c>
    </row>
    <row r="4" spans="1:5" x14ac:dyDescent="0.25">
      <c r="A4">
        <v>3</v>
      </c>
      <c r="B4" s="7">
        <f>VLOOKUP(A4,Expenses!$B$45:K50,7,FALSE)*VLOOKUP(A4,Table2[],2,FALSE)</f>
        <v>637.08108108108104</v>
      </c>
      <c r="C4">
        <f>'Drink Dates 2'!S44</f>
        <v>628</v>
      </c>
      <c r="D4" s="7">
        <f>B4-C4</f>
        <v>9.0810810810810381</v>
      </c>
      <c r="E4" s="45">
        <f>C4/B4</f>
        <v>0.98574580010181578</v>
      </c>
    </row>
    <row r="5" spans="1:5" x14ac:dyDescent="0.25">
      <c r="A5">
        <v>4</v>
      </c>
      <c r="B5" s="7">
        <f>VLOOKUP(A5,Expenses!$B$45:K51,7,FALSE)*VLOOKUP(A5,Table2[],2,FALSE)</f>
        <v>200.57142857142856</v>
      </c>
      <c r="C5">
        <f>'Drink Dates 2'!U44</f>
        <v>145</v>
      </c>
      <c r="D5" s="7">
        <f>B5-C5</f>
        <v>55.571428571428555</v>
      </c>
      <c r="E5" s="45">
        <f>C5/B5</f>
        <v>0.72293447293447299</v>
      </c>
    </row>
    <row r="6" spans="1:5" x14ac:dyDescent="0.25">
      <c r="B6" s="7">
        <f>SUM(B2:B5)</f>
        <v>2376.0739251378955</v>
      </c>
      <c r="C6" s="7">
        <f>SUM(C2:C5)</f>
        <v>1316</v>
      </c>
      <c r="D6" s="7">
        <f>SUM(D2:D5)</f>
        <v>1060.0739251378955</v>
      </c>
      <c r="E6" s="45">
        <f>C6/B6</f>
        <v>0.55385482163549515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FB93-3F81-438A-A432-0522615A1C81}">
  <dimension ref="A1:BS118"/>
  <sheetViews>
    <sheetView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B75" sqref="B75"/>
    </sheetView>
  </sheetViews>
  <sheetFormatPr defaultRowHeight="15" x14ac:dyDescent="0.25"/>
  <cols>
    <col min="1" max="1" width="18.85546875" bestFit="1" customWidth="1"/>
    <col min="6" max="6" width="9.140625" style="37"/>
    <col min="7" max="7" width="10.7109375" bestFit="1" customWidth="1"/>
    <col min="8" max="11" width="10.7109375" style="37" customWidth="1"/>
    <col min="12" max="12" width="10.5703125" bestFit="1" customWidth="1"/>
  </cols>
  <sheetData>
    <row r="1" spans="1:71" x14ac:dyDescent="0.25">
      <c r="A1" t="s">
        <v>450</v>
      </c>
      <c r="B1" t="s">
        <v>451</v>
      </c>
      <c r="C1" t="s">
        <v>448</v>
      </c>
      <c r="E1" t="s">
        <v>599</v>
      </c>
      <c r="F1" s="37" t="s">
        <v>599</v>
      </c>
      <c r="G1" t="s">
        <v>598</v>
      </c>
      <c r="H1" s="53">
        <v>1</v>
      </c>
      <c r="I1" s="54">
        <v>2</v>
      </c>
      <c r="J1" s="54">
        <v>3</v>
      </c>
      <c r="K1" s="55">
        <v>4</v>
      </c>
      <c r="L1" t="s">
        <v>449</v>
      </c>
      <c r="M1" s="21">
        <v>2020</v>
      </c>
      <c r="N1" s="21">
        <v>2021</v>
      </c>
      <c r="O1" s="21">
        <v>2022</v>
      </c>
      <c r="P1" s="21">
        <v>2023</v>
      </c>
      <c r="Q1" s="21">
        <v>2024</v>
      </c>
      <c r="R1" s="21">
        <v>2025</v>
      </c>
      <c r="S1" s="21">
        <v>2026</v>
      </c>
      <c r="T1" s="21">
        <v>2027</v>
      </c>
      <c r="U1" s="21">
        <v>2028</v>
      </c>
      <c r="V1" s="21">
        <v>2029</v>
      </c>
      <c r="W1" s="21">
        <v>2030</v>
      </c>
      <c r="X1" s="21">
        <v>2031</v>
      </c>
      <c r="Y1" s="21">
        <v>2032</v>
      </c>
      <c r="Z1" s="21">
        <v>2033</v>
      </c>
      <c r="AA1" s="21">
        <v>2034</v>
      </c>
      <c r="AB1" s="21">
        <v>2035</v>
      </c>
      <c r="AC1" s="21">
        <v>2036</v>
      </c>
      <c r="AD1" s="21">
        <v>2037</v>
      </c>
      <c r="AE1" s="21">
        <v>2038</v>
      </c>
      <c r="AF1" s="21">
        <v>2039</v>
      </c>
      <c r="AG1" s="21">
        <v>2040</v>
      </c>
      <c r="AH1" s="21">
        <v>2041</v>
      </c>
      <c r="AI1" s="21">
        <v>2042</v>
      </c>
      <c r="AJ1" s="21">
        <v>2043</v>
      </c>
      <c r="AK1" s="21">
        <v>2044</v>
      </c>
      <c r="AL1" s="21">
        <v>2045</v>
      </c>
      <c r="AM1" s="21">
        <v>2046</v>
      </c>
      <c r="AN1" s="21">
        <v>2047</v>
      </c>
      <c r="AO1" s="21">
        <v>2048</v>
      </c>
      <c r="AP1" s="21">
        <v>2049</v>
      </c>
      <c r="AQ1" s="21">
        <v>2050</v>
      </c>
      <c r="AR1" s="21">
        <v>2051</v>
      </c>
      <c r="AS1" s="21">
        <v>2052</v>
      </c>
      <c r="AT1" s="21">
        <v>2053</v>
      </c>
      <c r="AU1" s="21">
        <v>2054</v>
      </c>
      <c r="AV1" s="21">
        <v>2055</v>
      </c>
      <c r="AW1" s="21">
        <v>2056</v>
      </c>
      <c r="AX1" s="21">
        <v>2057</v>
      </c>
      <c r="AY1" s="21">
        <v>2058</v>
      </c>
      <c r="AZ1" s="21">
        <v>2059</v>
      </c>
      <c r="BA1" s="21">
        <v>2060</v>
      </c>
      <c r="BB1" s="21">
        <v>2061</v>
      </c>
      <c r="BC1" s="21">
        <v>2062</v>
      </c>
      <c r="BD1" s="21">
        <v>2063</v>
      </c>
      <c r="BE1" s="21">
        <v>2064</v>
      </c>
      <c r="BF1" s="21">
        <v>2065</v>
      </c>
      <c r="BG1" s="21">
        <v>2066</v>
      </c>
      <c r="BH1" s="21">
        <v>2067</v>
      </c>
      <c r="BI1" s="21">
        <v>2068</v>
      </c>
      <c r="BJ1" s="21">
        <v>2069</v>
      </c>
      <c r="BK1" s="21">
        <v>2070</v>
      </c>
      <c r="BL1" s="21">
        <v>2071</v>
      </c>
      <c r="BM1" s="21">
        <v>2072</v>
      </c>
      <c r="BN1" s="21">
        <v>2073</v>
      </c>
      <c r="BO1" s="21">
        <v>2074</v>
      </c>
      <c r="BP1" s="21">
        <v>2075</v>
      </c>
      <c r="BQ1" s="21">
        <v>2076</v>
      </c>
      <c r="BR1" s="21">
        <v>2077</v>
      </c>
      <c r="BS1" s="21">
        <v>2078</v>
      </c>
    </row>
    <row r="2" spans="1:71" x14ac:dyDescent="0.25">
      <c r="A2" s="20" t="s">
        <v>25</v>
      </c>
      <c r="B2">
        <f>SUMIF(Wine1!K:K,Location!A2,Wine1!I:I)</f>
        <v>18</v>
      </c>
      <c r="C2">
        <v>18</v>
      </c>
      <c r="D2">
        <f t="shared" ref="D2:D18" si="0">C2-B2</f>
        <v>0</v>
      </c>
      <c r="E2" t="s">
        <v>600</v>
      </c>
      <c r="F2" s="37" t="s">
        <v>931</v>
      </c>
      <c r="G2" s="1">
        <v>43806</v>
      </c>
      <c r="H2" s="56">
        <f>COUNTIFS(Wine1!$K:$K,Location!$A2,Wine1!$AF:$AF,Location!H$1)</f>
        <v>1</v>
      </c>
      <c r="I2" s="57">
        <f>COUNTIFS(Wine1!$K:$K,Location!$A2,Wine1!$AF:$AF,Location!I$1)</f>
        <v>4</v>
      </c>
      <c r="J2" s="57">
        <f>COUNTIFS(Wine1!$K:$K,Location!$A2,Wine1!$AF:$AF,Location!J$1)</f>
        <v>11</v>
      </c>
      <c r="K2" s="58">
        <f>COUNTIFS(Wine1!$K:$K,Location!$A2,Wine1!$AF:$AF,Location!K$1)</f>
        <v>2</v>
      </c>
      <c r="L2" s="18">
        <f>IFERROR(AVERAGEIF(Wine1!K:K,Location!A2,Wine1!AA:AA),"Empty")</f>
        <v>2020.8333333333333</v>
      </c>
      <c r="M2">
        <f>SUMIFS(Wine1!$I:$I,Wine1!$K:$K,Location!$A2,Wine1!$AA:$AA,Location!M$1)</f>
        <v>5</v>
      </c>
      <c r="N2">
        <f>SUMIFS(Wine1!$I:$I,Wine1!$K:$K,Location!$A2,Wine1!$AA:$AA,Location!N$1)</f>
        <v>11</v>
      </c>
      <c r="O2">
        <f>SUMIFS(Wine1!$I:$I,Wine1!$K:$K,Location!$A2,Wine1!$AA:$AA,Location!O$1)</f>
        <v>2</v>
      </c>
      <c r="P2">
        <f>SUMIFS(Wine1!$I:$I,Wine1!$K:$K,Location!$A2,Wine1!$AA:$AA,Location!P$1)</f>
        <v>0</v>
      </c>
      <c r="Q2">
        <f>SUMIFS(Wine1!$I:$I,Wine1!$K:$K,Location!$A2,Wine1!$AA:$AA,Location!Q$1)</f>
        <v>0</v>
      </c>
      <c r="R2">
        <f>SUMIFS(Wine1!$I:$I,Wine1!$K:$K,Location!$A2,Wine1!$AA:$AA,Location!R$1)</f>
        <v>0</v>
      </c>
      <c r="S2">
        <f>SUMIFS(Wine1!$I:$I,Wine1!$K:$K,Location!$A2,Wine1!$AA:$AA,Location!S$1)</f>
        <v>0</v>
      </c>
      <c r="T2">
        <f>SUMIFS(Wine1!$I:$I,Wine1!$K:$K,Location!$A2,Wine1!$AA:$AA,Location!T$1)</f>
        <v>0</v>
      </c>
      <c r="U2">
        <f>SUMIFS(Wine1!$I:$I,Wine1!$K:$K,Location!$A2,Wine1!$AA:$AA,Location!U$1)</f>
        <v>0</v>
      </c>
      <c r="V2">
        <f>SUMIFS(Wine1!$I:$I,Wine1!$K:$K,Location!$A2,Wine1!$AA:$AA,Location!V$1)</f>
        <v>0</v>
      </c>
      <c r="W2">
        <f>SUMIFS(Wine1!$I:$I,Wine1!$K:$K,Location!$A2,Wine1!$AA:$AA,Location!W$1)</f>
        <v>0</v>
      </c>
      <c r="X2">
        <f>SUMIFS(Wine1!$I:$I,Wine1!$K:$K,Location!$A2,Wine1!$AA:$AA,Location!X$1)</f>
        <v>0</v>
      </c>
      <c r="Y2">
        <f>SUMIFS(Wine1!$I:$I,Wine1!$K:$K,Location!$A2,Wine1!$AA:$AA,Location!Y$1)</f>
        <v>0</v>
      </c>
      <c r="Z2">
        <f>SUMIFS(Wine1!$I:$I,Wine1!$K:$K,Location!$A2,Wine1!$AA:$AA,Location!Z$1)</f>
        <v>0</v>
      </c>
      <c r="AA2">
        <f>SUMIFS(Wine1!$I:$I,Wine1!$K:$K,Location!$A2,Wine1!$AA:$AA,Location!AA$1)</f>
        <v>0</v>
      </c>
      <c r="AB2">
        <f>SUMIFS(Wine1!$I:$I,Wine1!$K:$K,Location!$A2,Wine1!$AA:$AA,Location!AB$1)</f>
        <v>0</v>
      </c>
      <c r="AC2">
        <f>SUMIFS(Wine1!$I:$I,Wine1!$K:$K,Location!$A2,Wine1!$AA:$AA,Location!AC$1)</f>
        <v>0</v>
      </c>
      <c r="AD2">
        <f>SUMIFS(Wine1!$I:$I,Wine1!$K:$K,Location!$A2,Wine1!$AA:$AA,Location!AD$1)</f>
        <v>0</v>
      </c>
      <c r="AE2">
        <f>SUMIFS(Wine1!$I:$I,Wine1!$K:$K,Location!$A2,Wine1!$AA:$AA,Location!AE$1)</f>
        <v>0</v>
      </c>
      <c r="AF2">
        <f>SUMIFS(Wine1!$I:$I,Wine1!$K:$K,Location!$A2,Wine1!$AA:$AA,Location!AF$1)</f>
        <v>0</v>
      </c>
      <c r="AG2">
        <f>SUMIFS(Wine1!$I:$I,Wine1!$K:$K,Location!$A2,Wine1!$AA:$AA,Location!AG$1)</f>
        <v>0</v>
      </c>
      <c r="AH2">
        <f>SUMIFS(Wine1!$I:$I,Wine1!$K:$K,Location!$A2,Wine1!$AA:$AA,Location!AH$1)</f>
        <v>0</v>
      </c>
      <c r="AI2">
        <f>SUMIFS(Wine1!$I:$I,Wine1!$K:$K,Location!$A2,Wine1!$AA:$AA,Location!AI$1)</f>
        <v>0</v>
      </c>
      <c r="AJ2">
        <f>SUMIFS(Wine1!$I:$I,Wine1!$K:$K,Location!$A2,Wine1!$AA:$AA,Location!AJ$1)</f>
        <v>0</v>
      </c>
      <c r="AK2">
        <f>SUMIFS(Wine1!$I:$I,Wine1!$K:$K,Location!$A2,Wine1!$AA:$AA,Location!AK$1)</f>
        <v>0</v>
      </c>
      <c r="AL2">
        <f>SUMIFS(Wine1!$I:$I,Wine1!$K:$K,Location!$A2,Wine1!$AA:$AA,Location!AL$1)</f>
        <v>0</v>
      </c>
      <c r="AM2">
        <f>SUMIFS(Wine1!$I:$I,Wine1!$K:$K,Location!$A2,Wine1!$AA:$AA,Location!AM$1)</f>
        <v>0</v>
      </c>
      <c r="AN2">
        <f>SUMIFS(Wine1!$I:$I,Wine1!$K:$K,Location!$A2,Wine1!$AA:$AA,Location!AN$1)</f>
        <v>0</v>
      </c>
      <c r="AO2">
        <f>SUMIFS(Wine1!$I:$I,Wine1!$K:$K,Location!$A2,Wine1!$AA:$AA,Location!AO$1)</f>
        <v>0</v>
      </c>
      <c r="AP2">
        <f>SUMIFS(Wine1!$I:$I,Wine1!$K:$K,Location!$A2,Wine1!$AA:$AA,Location!AP$1)</f>
        <v>0</v>
      </c>
      <c r="AQ2">
        <f>SUMIFS(Wine1!$I:$I,Wine1!$K:$K,Location!$A2,Wine1!$AA:$AA,Location!AQ$1)</f>
        <v>0</v>
      </c>
      <c r="AR2">
        <f>SUMIFS(Wine1!$I:$I,Wine1!$K:$K,Location!$A2,Wine1!$AA:$AA,Location!AR$1)</f>
        <v>0</v>
      </c>
      <c r="AS2" s="37">
        <f>SUMIFS(Wine1!$I:$I,Wine1!$K:$K,Location!$A2,Wine1!$AA:$AA,Location!AS$1)</f>
        <v>0</v>
      </c>
      <c r="AT2" s="37">
        <f>SUMIFS(Wine1!$I:$I,Wine1!$K:$K,Location!$A2,Wine1!$AA:$AA,Location!AT$1)</f>
        <v>0</v>
      </c>
      <c r="AU2" s="37">
        <f>SUMIFS(Wine1!$I:$I,Wine1!$K:$K,Location!$A2,Wine1!$AA:$AA,Location!AU$1)</f>
        <v>0</v>
      </c>
      <c r="AV2" s="37">
        <f>SUMIFS(Wine1!$I:$I,Wine1!$K:$K,Location!$A2,Wine1!$AA:$AA,Location!AV$1)</f>
        <v>0</v>
      </c>
      <c r="AW2" s="37">
        <f>SUMIFS(Wine1!$I:$I,Wine1!$K:$K,Location!$A2,Wine1!$AA:$AA,Location!AW$1)</f>
        <v>0</v>
      </c>
      <c r="AX2" s="37">
        <f>SUMIFS(Wine1!$I:$I,Wine1!$K:$K,Location!$A2,Wine1!$AA:$AA,Location!AX$1)</f>
        <v>0</v>
      </c>
      <c r="AY2" s="37">
        <f>SUMIFS(Wine1!$I:$I,Wine1!$K:$K,Location!$A2,Wine1!$AA:$AA,Location!AY$1)</f>
        <v>0</v>
      </c>
      <c r="AZ2" s="37">
        <f>SUMIFS(Wine1!$I:$I,Wine1!$K:$K,Location!$A2,Wine1!$AA:$AA,Location!AZ$1)</f>
        <v>0</v>
      </c>
      <c r="BA2" s="37">
        <f>SUMIFS(Wine1!$I:$I,Wine1!$K:$K,Location!$A2,Wine1!$AA:$AA,Location!BA$1)</f>
        <v>0</v>
      </c>
      <c r="BB2" s="37">
        <f>SUMIFS(Wine1!$I:$I,Wine1!$K:$K,Location!$A2,Wine1!$AA:$AA,Location!BB$1)</f>
        <v>0</v>
      </c>
      <c r="BC2" s="37">
        <f>SUMIFS(Wine1!$I:$I,Wine1!$K:$K,Location!$A2,Wine1!$AA:$AA,Location!BC$1)</f>
        <v>0</v>
      </c>
      <c r="BD2" s="37">
        <f>SUMIFS(Wine1!$I:$I,Wine1!$K:$K,Location!$A2,Wine1!$AA:$AA,Location!BD$1)</f>
        <v>0</v>
      </c>
      <c r="BE2" s="37">
        <f>SUMIFS(Wine1!$I:$I,Wine1!$K:$K,Location!$A2,Wine1!$AA:$AA,Location!BE$1)</f>
        <v>0</v>
      </c>
      <c r="BF2" s="37">
        <f>SUMIFS(Wine1!$I:$I,Wine1!$K:$K,Location!$A2,Wine1!$AA:$AA,Location!BF$1)</f>
        <v>0</v>
      </c>
      <c r="BG2" s="37">
        <f>SUMIFS(Wine1!$I:$I,Wine1!$K:$K,Location!$A2,Wine1!$AA:$AA,Location!BG$1)</f>
        <v>0</v>
      </c>
      <c r="BH2" s="37">
        <f>SUMIFS(Wine1!$I:$I,Wine1!$K:$K,Location!$A2,Wine1!$AA:$AA,Location!BH$1)</f>
        <v>0</v>
      </c>
      <c r="BI2" s="37">
        <f>SUMIFS(Wine1!$I:$I,Wine1!$K:$K,Location!$A2,Wine1!$AA:$AA,Location!BI$1)</f>
        <v>0</v>
      </c>
    </row>
    <row r="3" spans="1:71" x14ac:dyDescent="0.25">
      <c r="A3" s="20" t="s">
        <v>102</v>
      </c>
      <c r="B3">
        <f>SUMIF(Wine1!K:K,Location!A3,Wine1!I:I)</f>
        <v>11</v>
      </c>
      <c r="C3">
        <v>12</v>
      </c>
      <c r="D3">
        <f t="shared" si="0"/>
        <v>1</v>
      </c>
      <c r="E3" t="s">
        <v>600</v>
      </c>
      <c r="F3" s="37" t="s">
        <v>931</v>
      </c>
      <c r="G3" s="1">
        <v>43806</v>
      </c>
      <c r="H3" s="56">
        <f>COUNTIFS(Wine1!$K:$K,Location!$A3,Wine1!$AF:$AF,Location!H$1)</f>
        <v>8</v>
      </c>
      <c r="I3" s="57">
        <f>COUNTIFS(Wine1!$K:$K,Location!$A3,Wine1!$AF:$AF,Location!I$1)</f>
        <v>2</v>
      </c>
      <c r="J3" s="57">
        <f>COUNTIFS(Wine1!$K:$K,Location!$A3,Wine1!$AF:$AF,Location!J$1)</f>
        <v>0</v>
      </c>
      <c r="K3" s="58">
        <f>COUNTIFS(Wine1!$K:$K,Location!$A3,Wine1!$AF:$AF,Location!K$1)</f>
        <v>1</v>
      </c>
      <c r="L3" s="18">
        <f>IFERROR(AVERAGEIF(Wine1!K:K,Location!A3,Wine1!AA:AA),"Empty")</f>
        <v>2020.909090909091</v>
      </c>
      <c r="M3">
        <f>SUMIFS(Wine1!$I:$I,Wine1!$K:$K,Location!$A3,Wine1!$AA:$AA,Location!M$1)</f>
        <v>1</v>
      </c>
      <c r="N3">
        <f>SUMIFS(Wine1!$I:$I,Wine1!$K:$K,Location!$A3,Wine1!$AA:$AA,Location!N$1)</f>
        <v>10</v>
      </c>
      <c r="O3">
        <f>SUMIFS(Wine1!$I:$I,Wine1!$K:$K,Location!$A3,Wine1!$AA:$AA,Location!O$1)</f>
        <v>0</v>
      </c>
      <c r="P3">
        <f>SUMIFS(Wine1!$I:$I,Wine1!$K:$K,Location!$A3,Wine1!$AA:$AA,Location!P$1)</f>
        <v>0</v>
      </c>
      <c r="Q3">
        <f>SUMIFS(Wine1!$I:$I,Wine1!$K:$K,Location!$A3,Wine1!$AA:$AA,Location!Q$1)</f>
        <v>0</v>
      </c>
      <c r="R3">
        <f>SUMIFS(Wine1!$I:$I,Wine1!$K:$K,Location!$A3,Wine1!$AA:$AA,Location!R$1)</f>
        <v>0</v>
      </c>
      <c r="S3">
        <f>SUMIFS(Wine1!$I:$I,Wine1!$K:$K,Location!$A3,Wine1!$AA:$AA,Location!S$1)</f>
        <v>0</v>
      </c>
      <c r="T3">
        <f>SUMIFS(Wine1!$I:$I,Wine1!$K:$K,Location!$A3,Wine1!$AA:$AA,Location!T$1)</f>
        <v>0</v>
      </c>
      <c r="U3">
        <f>SUMIFS(Wine1!$I:$I,Wine1!$K:$K,Location!$A3,Wine1!$AA:$AA,Location!U$1)</f>
        <v>0</v>
      </c>
      <c r="V3">
        <f>SUMIFS(Wine1!$I:$I,Wine1!$K:$K,Location!$A3,Wine1!$AA:$AA,Location!V$1)</f>
        <v>0</v>
      </c>
      <c r="W3">
        <f>SUMIFS(Wine1!$I:$I,Wine1!$K:$K,Location!$A3,Wine1!$AA:$AA,Location!W$1)</f>
        <v>0</v>
      </c>
      <c r="X3">
        <f>SUMIFS(Wine1!$I:$I,Wine1!$K:$K,Location!$A3,Wine1!$AA:$AA,Location!X$1)</f>
        <v>0</v>
      </c>
      <c r="Y3">
        <f>SUMIFS(Wine1!$I:$I,Wine1!$K:$K,Location!$A3,Wine1!$AA:$AA,Location!Y$1)</f>
        <v>0</v>
      </c>
      <c r="Z3">
        <f>SUMIFS(Wine1!$I:$I,Wine1!$K:$K,Location!$A3,Wine1!$AA:$AA,Location!Z$1)</f>
        <v>0</v>
      </c>
      <c r="AA3">
        <f>SUMIFS(Wine1!$I:$I,Wine1!$K:$K,Location!$A3,Wine1!$AA:$AA,Location!AA$1)</f>
        <v>0</v>
      </c>
      <c r="AB3">
        <f>SUMIFS(Wine1!$I:$I,Wine1!$K:$K,Location!$A3,Wine1!$AA:$AA,Location!AB$1)</f>
        <v>0</v>
      </c>
      <c r="AC3">
        <f>SUMIFS(Wine1!$I:$I,Wine1!$K:$K,Location!$A3,Wine1!$AA:$AA,Location!AC$1)</f>
        <v>0</v>
      </c>
      <c r="AD3">
        <f>SUMIFS(Wine1!$I:$I,Wine1!$K:$K,Location!$A3,Wine1!$AA:$AA,Location!AD$1)</f>
        <v>0</v>
      </c>
      <c r="AE3">
        <f>SUMIFS(Wine1!$I:$I,Wine1!$K:$K,Location!$A3,Wine1!$AA:$AA,Location!AE$1)</f>
        <v>0</v>
      </c>
      <c r="AF3">
        <f>SUMIFS(Wine1!$I:$I,Wine1!$K:$K,Location!$A3,Wine1!$AA:$AA,Location!AF$1)</f>
        <v>0</v>
      </c>
      <c r="AG3">
        <f>SUMIFS(Wine1!$I:$I,Wine1!$K:$K,Location!$A3,Wine1!$AA:$AA,Location!AG$1)</f>
        <v>0</v>
      </c>
      <c r="AH3">
        <f>SUMIFS(Wine1!$I:$I,Wine1!$K:$K,Location!$A3,Wine1!$AA:$AA,Location!AH$1)</f>
        <v>0</v>
      </c>
      <c r="AI3">
        <f>SUMIFS(Wine1!$I:$I,Wine1!$K:$K,Location!$A3,Wine1!$AA:$AA,Location!AI$1)</f>
        <v>0</v>
      </c>
      <c r="AJ3">
        <f>SUMIFS(Wine1!$I:$I,Wine1!$K:$K,Location!$A3,Wine1!$AA:$AA,Location!AJ$1)</f>
        <v>0</v>
      </c>
      <c r="AK3">
        <f>SUMIFS(Wine1!$I:$I,Wine1!$K:$K,Location!$A3,Wine1!$AA:$AA,Location!AK$1)</f>
        <v>0</v>
      </c>
      <c r="AL3">
        <f>SUMIFS(Wine1!$I:$I,Wine1!$K:$K,Location!$A3,Wine1!$AA:$AA,Location!AL$1)</f>
        <v>0</v>
      </c>
      <c r="AM3">
        <f>SUMIFS(Wine1!$I:$I,Wine1!$K:$K,Location!$A3,Wine1!$AA:$AA,Location!AM$1)</f>
        <v>0</v>
      </c>
      <c r="AN3">
        <f>SUMIFS(Wine1!$I:$I,Wine1!$K:$K,Location!$A3,Wine1!$AA:$AA,Location!AN$1)</f>
        <v>0</v>
      </c>
      <c r="AO3">
        <f>SUMIFS(Wine1!$I:$I,Wine1!$K:$K,Location!$A3,Wine1!$AA:$AA,Location!AO$1)</f>
        <v>0</v>
      </c>
      <c r="AP3">
        <f>SUMIFS(Wine1!$I:$I,Wine1!$K:$K,Location!$A3,Wine1!$AA:$AA,Location!AP$1)</f>
        <v>0</v>
      </c>
      <c r="AQ3">
        <f>SUMIFS(Wine1!$I:$I,Wine1!$K:$K,Location!$A3,Wine1!$AA:$AA,Location!AQ$1)</f>
        <v>0</v>
      </c>
      <c r="AR3">
        <f>SUMIFS(Wine1!$I:$I,Wine1!$K:$K,Location!$A3,Wine1!$AA:$AA,Location!AR$1)</f>
        <v>0</v>
      </c>
      <c r="AS3" s="37">
        <f>SUMIFS(Wine1!$I:$I,Wine1!$K:$K,Location!$A3,Wine1!$AA:$AA,Location!AS$1)</f>
        <v>0</v>
      </c>
      <c r="AT3" s="37">
        <f>SUMIFS(Wine1!$I:$I,Wine1!$K:$K,Location!$A3,Wine1!$AA:$AA,Location!AT$1)</f>
        <v>0</v>
      </c>
      <c r="AU3" s="37">
        <f>SUMIFS(Wine1!$I:$I,Wine1!$K:$K,Location!$A3,Wine1!$AA:$AA,Location!AU$1)</f>
        <v>0</v>
      </c>
      <c r="AV3" s="37">
        <f>SUMIFS(Wine1!$I:$I,Wine1!$K:$K,Location!$A3,Wine1!$AA:$AA,Location!AV$1)</f>
        <v>0</v>
      </c>
      <c r="AW3" s="37">
        <f>SUMIFS(Wine1!$I:$I,Wine1!$K:$K,Location!$A3,Wine1!$AA:$AA,Location!AW$1)</f>
        <v>0</v>
      </c>
      <c r="AX3" s="37">
        <f>SUMIFS(Wine1!$I:$I,Wine1!$K:$K,Location!$A3,Wine1!$AA:$AA,Location!AX$1)</f>
        <v>0</v>
      </c>
      <c r="AY3" s="37">
        <f>SUMIFS(Wine1!$I:$I,Wine1!$K:$K,Location!$A3,Wine1!$AA:$AA,Location!AY$1)</f>
        <v>0</v>
      </c>
      <c r="AZ3" s="37">
        <f>SUMIFS(Wine1!$I:$I,Wine1!$K:$K,Location!$A3,Wine1!$AA:$AA,Location!AZ$1)</f>
        <v>0</v>
      </c>
      <c r="BA3" s="37">
        <f>SUMIFS(Wine1!$I:$I,Wine1!$K:$K,Location!$A3,Wine1!$AA:$AA,Location!BA$1)</f>
        <v>0</v>
      </c>
      <c r="BB3" s="37">
        <f>SUMIFS(Wine1!$I:$I,Wine1!$K:$K,Location!$A3,Wine1!$AA:$AA,Location!BB$1)</f>
        <v>0</v>
      </c>
      <c r="BC3" s="37">
        <f>SUMIFS(Wine1!$I:$I,Wine1!$K:$K,Location!$A3,Wine1!$AA:$AA,Location!BC$1)</f>
        <v>0</v>
      </c>
      <c r="BD3" s="37">
        <f>SUMIFS(Wine1!$I:$I,Wine1!$K:$K,Location!$A3,Wine1!$AA:$AA,Location!BD$1)</f>
        <v>0</v>
      </c>
      <c r="BE3" s="37">
        <f>SUMIFS(Wine1!$I:$I,Wine1!$K:$K,Location!$A3,Wine1!$AA:$AA,Location!BE$1)</f>
        <v>0</v>
      </c>
      <c r="BF3" s="37">
        <f>SUMIFS(Wine1!$I:$I,Wine1!$K:$K,Location!$A3,Wine1!$AA:$AA,Location!BF$1)</f>
        <v>0</v>
      </c>
      <c r="BG3" s="37">
        <f>SUMIFS(Wine1!$I:$I,Wine1!$K:$K,Location!$A3,Wine1!$AA:$AA,Location!BG$1)</f>
        <v>0</v>
      </c>
      <c r="BH3" s="37">
        <f>SUMIFS(Wine1!$I:$I,Wine1!$K:$K,Location!$A3,Wine1!$AA:$AA,Location!BH$1)</f>
        <v>0</v>
      </c>
      <c r="BI3" s="37">
        <f>SUMIFS(Wine1!$I:$I,Wine1!$K:$K,Location!$A3,Wine1!$AA:$AA,Location!BI$1)</f>
        <v>0</v>
      </c>
    </row>
    <row r="4" spans="1:71" x14ac:dyDescent="0.25">
      <c r="A4" s="20" t="s">
        <v>58</v>
      </c>
      <c r="B4">
        <f>SUMIF(Wine1!K:K,Location!A4,Wine1!I:I)</f>
        <v>10</v>
      </c>
      <c r="C4">
        <v>12</v>
      </c>
      <c r="D4">
        <f t="shared" si="0"/>
        <v>2</v>
      </c>
      <c r="E4" t="s">
        <v>600</v>
      </c>
      <c r="F4" s="37" t="s">
        <v>931</v>
      </c>
      <c r="G4" s="1">
        <v>43806</v>
      </c>
      <c r="H4" s="56">
        <f>COUNTIFS(Wine1!$K:$K,Location!$A4,Wine1!$AF:$AF,Location!H$1)</f>
        <v>6</v>
      </c>
      <c r="I4" s="57">
        <f>COUNTIFS(Wine1!$K:$K,Location!$A4,Wine1!$AF:$AF,Location!I$1)</f>
        <v>4</v>
      </c>
      <c r="J4" s="57">
        <f>COUNTIFS(Wine1!$K:$K,Location!$A4,Wine1!$AF:$AF,Location!J$1)</f>
        <v>0</v>
      </c>
      <c r="K4" s="58">
        <f>COUNTIFS(Wine1!$K:$K,Location!$A4,Wine1!$AF:$AF,Location!K$1)</f>
        <v>0</v>
      </c>
      <c r="L4" s="18">
        <f>IFERROR(AVERAGEIF(Wine1!K:K,Location!A4,Wine1!AA:AA),"Empty")</f>
        <v>2020.4</v>
      </c>
      <c r="M4">
        <f>SUMIFS(Wine1!$I:$I,Wine1!$K:$K,Location!$A4,Wine1!$AA:$AA,Location!M$1)</f>
        <v>7</v>
      </c>
      <c r="N4">
        <f>SUMIFS(Wine1!$I:$I,Wine1!$K:$K,Location!$A4,Wine1!$AA:$AA,Location!N$1)</f>
        <v>2</v>
      </c>
      <c r="O4">
        <f>SUMIFS(Wine1!$I:$I,Wine1!$K:$K,Location!$A4,Wine1!$AA:$AA,Location!O$1)</f>
        <v>1</v>
      </c>
      <c r="P4">
        <f>SUMIFS(Wine1!$I:$I,Wine1!$K:$K,Location!$A4,Wine1!$AA:$AA,Location!P$1)</f>
        <v>0</v>
      </c>
      <c r="Q4">
        <f>SUMIFS(Wine1!$I:$I,Wine1!$K:$K,Location!$A4,Wine1!$AA:$AA,Location!Q$1)</f>
        <v>0</v>
      </c>
      <c r="R4">
        <f>SUMIFS(Wine1!$I:$I,Wine1!$K:$K,Location!$A4,Wine1!$AA:$AA,Location!R$1)</f>
        <v>0</v>
      </c>
      <c r="S4">
        <f>SUMIFS(Wine1!$I:$I,Wine1!$K:$K,Location!$A4,Wine1!$AA:$AA,Location!S$1)</f>
        <v>0</v>
      </c>
      <c r="T4">
        <f>SUMIFS(Wine1!$I:$I,Wine1!$K:$K,Location!$A4,Wine1!$AA:$AA,Location!T$1)</f>
        <v>0</v>
      </c>
      <c r="U4">
        <f>SUMIFS(Wine1!$I:$I,Wine1!$K:$K,Location!$A4,Wine1!$AA:$AA,Location!U$1)</f>
        <v>0</v>
      </c>
      <c r="V4">
        <f>SUMIFS(Wine1!$I:$I,Wine1!$K:$K,Location!$A4,Wine1!$AA:$AA,Location!V$1)</f>
        <v>0</v>
      </c>
      <c r="W4">
        <f>SUMIFS(Wine1!$I:$I,Wine1!$K:$K,Location!$A4,Wine1!$AA:$AA,Location!W$1)</f>
        <v>0</v>
      </c>
      <c r="X4">
        <f>SUMIFS(Wine1!$I:$I,Wine1!$K:$K,Location!$A4,Wine1!$AA:$AA,Location!X$1)</f>
        <v>0</v>
      </c>
      <c r="Y4">
        <f>SUMIFS(Wine1!$I:$I,Wine1!$K:$K,Location!$A4,Wine1!$AA:$AA,Location!Y$1)</f>
        <v>0</v>
      </c>
      <c r="Z4">
        <f>SUMIFS(Wine1!$I:$I,Wine1!$K:$K,Location!$A4,Wine1!$AA:$AA,Location!Z$1)</f>
        <v>0</v>
      </c>
      <c r="AA4">
        <f>SUMIFS(Wine1!$I:$I,Wine1!$K:$K,Location!$A4,Wine1!$AA:$AA,Location!AA$1)</f>
        <v>0</v>
      </c>
      <c r="AB4">
        <f>SUMIFS(Wine1!$I:$I,Wine1!$K:$K,Location!$A4,Wine1!$AA:$AA,Location!AB$1)</f>
        <v>0</v>
      </c>
      <c r="AC4">
        <f>SUMIFS(Wine1!$I:$I,Wine1!$K:$K,Location!$A4,Wine1!$AA:$AA,Location!AC$1)</f>
        <v>0</v>
      </c>
      <c r="AD4">
        <f>SUMIFS(Wine1!$I:$I,Wine1!$K:$K,Location!$A4,Wine1!$AA:$AA,Location!AD$1)</f>
        <v>0</v>
      </c>
      <c r="AE4">
        <f>SUMIFS(Wine1!$I:$I,Wine1!$K:$K,Location!$A4,Wine1!$AA:$AA,Location!AE$1)</f>
        <v>0</v>
      </c>
      <c r="AF4">
        <f>SUMIFS(Wine1!$I:$I,Wine1!$K:$K,Location!$A4,Wine1!$AA:$AA,Location!AF$1)</f>
        <v>0</v>
      </c>
      <c r="AG4">
        <f>SUMIFS(Wine1!$I:$I,Wine1!$K:$K,Location!$A4,Wine1!$AA:$AA,Location!AG$1)</f>
        <v>0</v>
      </c>
      <c r="AH4">
        <f>SUMIFS(Wine1!$I:$I,Wine1!$K:$K,Location!$A4,Wine1!$AA:$AA,Location!AH$1)</f>
        <v>0</v>
      </c>
      <c r="AI4">
        <f>SUMIFS(Wine1!$I:$I,Wine1!$K:$K,Location!$A4,Wine1!$AA:$AA,Location!AI$1)</f>
        <v>0</v>
      </c>
      <c r="AJ4">
        <f>SUMIFS(Wine1!$I:$I,Wine1!$K:$K,Location!$A4,Wine1!$AA:$AA,Location!AJ$1)</f>
        <v>0</v>
      </c>
      <c r="AK4">
        <f>SUMIFS(Wine1!$I:$I,Wine1!$K:$K,Location!$A4,Wine1!$AA:$AA,Location!AK$1)</f>
        <v>0</v>
      </c>
      <c r="AL4">
        <f>SUMIFS(Wine1!$I:$I,Wine1!$K:$K,Location!$A4,Wine1!$AA:$AA,Location!AL$1)</f>
        <v>0</v>
      </c>
      <c r="AM4">
        <f>SUMIFS(Wine1!$I:$I,Wine1!$K:$K,Location!$A4,Wine1!$AA:$AA,Location!AM$1)</f>
        <v>0</v>
      </c>
      <c r="AN4">
        <f>SUMIFS(Wine1!$I:$I,Wine1!$K:$K,Location!$A4,Wine1!$AA:$AA,Location!AN$1)</f>
        <v>0</v>
      </c>
      <c r="AO4">
        <f>SUMIFS(Wine1!$I:$I,Wine1!$K:$K,Location!$A4,Wine1!$AA:$AA,Location!AO$1)</f>
        <v>0</v>
      </c>
      <c r="AP4">
        <f>SUMIFS(Wine1!$I:$I,Wine1!$K:$K,Location!$A4,Wine1!$AA:$AA,Location!AP$1)</f>
        <v>0</v>
      </c>
      <c r="AQ4">
        <f>SUMIFS(Wine1!$I:$I,Wine1!$K:$K,Location!$A4,Wine1!$AA:$AA,Location!AQ$1)</f>
        <v>0</v>
      </c>
      <c r="AR4">
        <f>SUMIFS(Wine1!$I:$I,Wine1!$K:$K,Location!$A4,Wine1!$AA:$AA,Location!AR$1)</f>
        <v>0</v>
      </c>
      <c r="AS4" s="37">
        <f>SUMIFS(Wine1!$I:$I,Wine1!$K:$K,Location!$A4,Wine1!$AA:$AA,Location!AS$1)</f>
        <v>0</v>
      </c>
      <c r="AT4" s="37">
        <f>SUMIFS(Wine1!$I:$I,Wine1!$K:$K,Location!$A4,Wine1!$AA:$AA,Location!AT$1)</f>
        <v>0</v>
      </c>
      <c r="AU4" s="37">
        <f>SUMIFS(Wine1!$I:$I,Wine1!$K:$K,Location!$A4,Wine1!$AA:$AA,Location!AU$1)</f>
        <v>0</v>
      </c>
      <c r="AV4" s="37">
        <f>SUMIFS(Wine1!$I:$I,Wine1!$K:$K,Location!$A4,Wine1!$AA:$AA,Location!AV$1)</f>
        <v>0</v>
      </c>
      <c r="AW4" s="37">
        <f>SUMIFS(Wine1!$I:$I,Wine1!$K:$K,Location!$A4,Wine1!$AA:$AA,Location!AW$1)</f>
        <v>0</v>
      </c>
      <c r="AX4" s="37">
        <f>SUMIFS(Wine1!$I:$I,Wine1!$K:$K,Location!$A4,Wine1!$AA:$AA,Location!AX$1)</f>
        <v>0</v>
      </c>
      <c r="AY4" s="37">
        <f>SUMIFS(Wine1!$I:$I,Wine1!$K:$K,Location!$A4,Wine1!$AA:$AA,Location!AY$1)</f>
        <v>0</v>
      </c>
      <c r="AZ4" s="37">
        <f>SUMIFS(Wine1!$I:$I,Wine1!$K:$K,Location!$A4,Wine1!$AA:$AA,Location!AZ$1)</f>
        <v>0</v>
      </c>
      <c r="BA4" s="37">
        <f>SUMIFS(Wine1!$I:$I,Wine1!$K:$K,Location!$A4,Wine1!$AA:$AA,Location!BA$1)</f>
        <v>0</v>
      </c>
      <c r="BB4" s="37">
        <f>SUMIFS(Wine1!$I:$I,Wine1!$K:$K,Location!$A4,Wine1!$AA:$AA,Location!BB$1)</f>
        <v>0</v>
      </c>
      <c r="BC4" s="37">
        <f>SUMIFS(Wine1!$I:$I,Wine1!$K:$K,Location!$A4,Wine1!$AA:$AA,Location!BC$1)</f>
        <v>0</v>
      </c>
      <c r="BD4" s="37">
        <f>SUMIFS(Wine1!$I:$I,Wine1!$K:$K,Location!$A4,Wine1!$AA:$AA,Location!BD$1)</f>
        <v>0</v>
      </c>
      <c r="BE4" s="37">
        <f>SUMIFS(Wine1!$I:$I,Wine1!$K:$K,Location!$A4,Wine1!$AA:$AA,Location!BE$1)</f>
        <v>0</v>
      </c>
      <c r="BF4" s="37">
        <f>SUMIFS(Wine1!$I:$I,Wine1!$K:$K,Location!$A4,Wine1!$AA:$AA,Location!BF$1)</f>
        <v>0</v>
      </c>
      <c r="BG4" s="37">
        <f>SUMIFS(Wine1!$I:$I,Wine1!$K:$K,Location!$A4,Wine1!$AA:$AA,Location!BG$1)</f>
        <v>0</v>
      </c>
      <c r="BH4" s="37">
        <f>SUMIFS(Wine1!$I:$I,Wine1!$K:$K,Location!$A4,Wine1!$AA:$AA,Location!BH$1)</f>
        <v>0</v>
      </c>
      <c r="BI4" s="37">
        <f>SUMIFS(Wine1!$I:$I,Wine1!$K:$K,Location!$A4,Wine1!$AA:$AA,Location!BI$1)</f>
        <v>0</v>
      </c>
    </row>
    <row r="5" spans="1:71" x14ac:dyDescent="0.25">
      <c r="A5" s="38" t="s">
        <v>656</v>
      </c>
      <c r="B5">
        <f>SUMIF(Wine1!K:K,Location!A5,Wine1!I:I)</f>
        <v>12</v>
      </c>
      <c r="C5">
        <v>12</v>
      </c>
      <c r="D5">
        <f t="shared" si="0"/>
        <v>0</v>
      </c>
      <c r="E5" s="37" t="s">
        <v>603</v>
      </c>
      <c r="F5" s="37" t="s">
        <v>1533</v>
      </c>
      <c r="G5" s="1">
        <v>43806</v>
      </c>
      <c r="H5" s="56">
        <f>COUNTIFS(Wine1!$K:$K,Location!$A5,Wine1!$AF:$AF,Location!H$1)</f>
        <v>1</v>
      </c>
      <c r="I5" s="57">
        <f>COUNTIFS(Wine1!$K:$K,Location!$A5,Wine1!$AF:$AF,Location!I$1)</f>
        <v>1</v>
      </c>
      <c r="J5" s="57">
        <f>COUNTIFS(Wine1!$K:$K,Location!$A5,Wine1!$AF:$AF,Location!J$1)</f>
        <v>10</v>
      </c>
      <c r="K5" s="58">
        <f>COUNTIFS(Wine1!$K:$K,Location!$A5,Wine1!$AF:$AF,Location!K$1)</f>
        <v>0</v>
      </c>
      <c r="L5" s="18">
        <f>IFERROR(AVERAGEIF(Wine1!K:K,Location!A5,Wine1!AA:AA),"Empty")</f>
        <v>2027.8333333333333</v>
      </c>
      <c r="M5">
        <f>SUMIFS(Wine1!$I:$I,Wine1!$K:$K,Location!$A5,Wine1!$AA:$AA,Location!M$1)</f>
        <v>0</v>
      </c>
      <c r="N5">
        <f>SUMIFS(Wine1!$I:$I,Wine1!$K:$K,Location!$A5,Wine1!$AA:$AA,Location!N$1)</f>
        <v>0</v>
      </c>
      <c r="O5">
        <f>SUMIFS(Wine1!$I:$I,Wine1!$K:$K,Location!$A5,Wine1!$AA:$AA,Location!O$1)</f>
        <v>2</v>
      </c>
      <c r="P5">
        <f>SUMIFS(Wine1!$I:$I,Wine1!$K:$K,Location!$A5,Wine1!$AA:$AA,Location!P$1)</f>
        <v>1</v>
      </c>
      <c r="Q5">
        <f>SUMIFS(Wine1!$I:$I,Wine1!$K:$K,Location!$A5,Wine1!$AA:$AA,Location!Q$1)</f>
        <v>2</v>
      </c>
      <c r="R5">
        <f>SUMIFS(Wine1!$I:$I,Wine1!$K:$K,Location!$A5,Wine1!$AA:$AA,Location!R$1)</f>
        <v>1</v>
      </c>
      <c r="S5">
        <f>SUMIFS(Wine1!$I:$I,Wine1!$K:$K,Location!$A5,Wine1!$AA:$AA,Location!S$1)</f>
        <v>0</v>
      </c>
      <c r="T5">
        <f>SUMIFS(Wine1!$I:$I,Wine1!$K:$K,Location!$A5,Wine1!$AA:$AA,Location!T$1)</f>
        <v>0</v>
      </c>
      <c r="U5">
        <f>SUMIFS(Wine1!$I:$I,Wine1!$K:$K,Location!$A5,Wine1!$AA:$AA,Location!U$1)</f>
        <v>0</v>
      </c>
      <c r="V5">
        <f>SUMIFS(Wine1!$I:$I,Wine1!$K:$K,Location!$A5,Wine1!$AA:$AA,Location!V$1)</f>
        <v>2</v>
      </c>
      <c r="W5">
        <f>SUMIFS(Wine1!$I:$I,Wine1!$K:$K,Location!$A5,Wine1!$AA:$AA,Location!W$1)</f>
        <v>1</v>
      </c>
      <c r="X5">
        <f>SUMIFS(Wine1!$I:$I,Wine1!$K:$K,Location!$A5,Wine1!$AA:$AA,Location!X$1)</f>
        <v>0</v>
      </c>
      <c r="Y5">
        <f>SUMIFS(Wine1!$I:$I,Wine1!$K:$K,Location!$A5,Wine1!$AA:$AA,Location!Y$1)</f>
        <v>0</v>
      </c>
      <c r="Z5">
        <f>SUMIFS(Wine1!$I:$I,Wine1!$K:$K,Location!$A5,Wine1!$AA:$AA,Location!Z$1)</f>
        <v>1</v>
      </c>
      <c r="AA5">
        <f>SUMIFS(Wine1!$I:$I,Wine1!$K:$K,Location!$A5,Wine1!$AA:$AA,Location!AA$1)</f>
        <v>1</v>
      </c>
      <c r="AB5">
        <f>SUMIFS(Wine1!$I:$I,Wine1!$K:$K,Location!$A5,Wine1!$AA:$AA,Location!AB$1)</f>
        <v>0</v>
      </c>
      <c r="AC5">
        <f>SUMIFS(Wine1!$I:$I,Wine1!$K:$K,Location!$A5,Wine1!$AA:$AA,Location!AC$1)</f>
        <v>0</v>
      </c>
      <c r="AD5">
        <f>SUMIFS(Wine1!$I:$I,Wine1!$K:$K,Location!$A5,Wine1!$AA:$AA,Location!AD$1)</f>
        <v>0</v>
      </c>
      <c r="AE5">
        <f>SUMIFS(Wine1!$I:$I,Wine1!$K:$K,Location!$A5,Wine1!$AA:$AA,Location!AE$1)</f>
        <v>0</v>
      </c>
      <c r="AF5">
        <f>SUMIFS(Wine1!$I:$I,Wine1!$K:$K,Location!$A5,Wine1!$AA:$AA,Location!AF$1)</f>
        <v>1</v>
      </c>
      <c r="AG5">
        <f>SUMIFS(Wine1!$I:$I,Wine1!$K:$K,Location!$A5,Wine1!$AA:$AA,Location!AG$1)</f>
        <v>0</v>
      </c>
      <c r="AH5">
        <f>SUMIFS(Wine1!$I:$I,Wine1!$K:$K,Location!$A5,Wine1!$AA:$AA,Location!AH$1)</f>
        <v>0</v>
      </c>
      <c r="AI5">
        <f>SUMIFS(Wine1!$I:$I,Wine1!$K:$K,Location!$A5,Wine1!$AA:$AA,Location!AI$1)</f>
        <v>0</v>
      </c>
      <c r="AJ5">
        <f>SUMIFS(Wine1!$I:$I,Wine1!$K:$K,Location!$A5,Wine1!$AA:$AA,Location!AJ$1)</f>
        <v>0</v>
      </c>
      <c r="AK5">
        <f>SUMIFS(Wine1!$I:$I,Wine1!$K:$K,Location!$A5,Wine1!$AA:$AA,Location!AK$1)</f>
        <v>0</v>
      </c>
      <c r="AL5">
        <f>SUMIFS(Wine1!$I:$I,Wine1!$K:$K,Location!$A5,Wine1!$AA:$AA,Location!AL$1)</f>
        <v>0</v>
      </c>
      <c r="AM5">
        <f>SUMIFS(Wine1!$I:$I,Wine1!$K:$K,Location!$A5,Wine1!$AA:$AA,Location!AM$1)</f>
        <v>0</v>
      </c>
      <c r="AN5">
        <f>SUMIFS(Wine1!$I:$I,Wine1!$K:$K,Location!$A5,Wine1!$AA:$AA,Location!AN$1)</f>
        <v>0</v>
      </c>
      <c r="AO5">
        <f>SUMIFS(Wine1!$I:$I,Wine1!$K:$K,Location!$A5,Wine1!$AA:$AA,Location!AO$1)</f>
        <v>0</v>
      </c>
      <c r="AP5">
        <f>SUMIFS(Wine1!$I:$I,Wine1!$K:$K,Location!$A5,Wine1!$AA:$AA,Location!AP$1)</f>
        <v>0</v>
      </c>
      <c r="AQ5">
        <f>SUMIFS(Wine1!$I:$I,Wine1!$K:$K,Location!$A5,Wine1!$AA:$AA,Location!AQ$1)</f>
        <v>0</v>
      </c>
      <c r="AR5">
        <f>SUMIFS(Wine1!$I:$I,Wine1!$K:$K,Location!$A5,Wine1!$AA:$AA,Location!AR$1)</f>
        <v>0</v>
      </c>
      <c r="AS5" s="37">
        <f>SUMIFS(Wine1!$I:$I,Wine1!$K:$K,Location!$A5,Wine1!$AA:$AA,Location!AS$1)</f>
        <v>0</v>
      </c>
      <c r="AT5" s="37">
        <f>SUMIFS(Wine1!$I:$I,Wine1!$K:$K,Location!$A5,Wine1!$AA:$AA,Location!AT$1)</f>
        <v>0</v>
      </c>
      <c r="AU5" s="37">
        <f>SUMIFS(Wine1!$I:$I,Wine1!$K:$K,Location!$A5,Wine1!$AA:$AA,Location!AU$1)</f>
        <v>0</v>
      </c>
      <c r="AV5" s="37">
        <f>SUMIFS(Wine1!$I:$I,Wine1!$K:$K,Location!$A5,Wine1!$AA:$AA,Location!AV$1)</f>
        <v>0</v>
      </c>
      <c r="AW5" s="37">
        <f>SUMIFS(Wine1!$I:$I,Wine1!$K:$K,Location!$A5,Wine1!$AA:$AA,Location!AW$1)</f>
        <v>0</v>
      </c>
      <c r="AX5" s="37">
        <f>SUMIFS(Wine1!$I:$I,Wine1!$K:$K,Location!$A5,Wine1!$AA:$AA,Location!AX$1)</f>
        <v>0</v>
      </c>
      <c r="AY5" s="37">
        <f>SUMIFS(Wine1!$I:$I,Wine1!$K:$K,Location!$A5,Wine1!$AA:$AA,Location!AY$1)</f>
        <v>0</v>
      </c>
      <c r="AZ5" s="37">
        <f>SUMIFS(Wine1!$I:$I,Wine1!$K:$K,Location!$A5,Wine1!$AA:$AA,Location!AZ$1)</f>
        <v>0</v>
      </c>
      <c r="BA5" s="37">
        <f>SUMIFS(Wine1!$I:$I,Wine1!$K:$K,Location!$A5,Wine1!$AA:$AA,Location!BA$1)</f>
        <v>0</v>
      </c>
      <c r="BB5" s="37">
        <f>SUMIFS(Wine1!$I:$I,Wine1!$K:$K,Location!$A5,Wine1!$AA:$AA,Location!BB$1)</f>
        <v>0</v>
      </c>
      <c r="BC5" s="37">
        <f>SUMIFS(Wine1!$I:$I,Wine1!$K:$K,Location!$A5,Wine1!$AA:$AA,Location!BC$1)</f>
        <v>0</v>
      </c>
      <c r="BD5" s="37">
        <f>SUMIFS(Wine1!$I:$I,Wine1!$K:$K,Location!$A5,Wine1!$AA:$AA,Location!BD$1)</f>
        <v>0</v>
      </c>
      <c r="BE5" s="37">
        <f>SUMIFS(Wine1!$I:$I,Wine1!$K:$K,Location!$A5,Wine1!$AA:$AA,Location!BE$1)</f>
        <v>0</v>
      </c>
      <c r="BF5" s="37">
        <f>SUMIFS(Wine1!$I:$I,Wine1!$K:$K,Location!$A5,Wine1!$AA:$AA,Location!BF$1)</f>
        <v>0</v>
      </c>
      <c r="BG5" s="37">
        <f>SUMIFS(Wine1!$I:$I,Wine1!$K:$K,Location!$A5,Wine1!$AA:$AA,Location!BG$1)</f>
        <v>0</v>
      </c>
      <c r="BH5" s="37">
        <f>SUMIFS(Wine1!$I:$I,Wine1!$K:$K,Location!$A5,Wine1!$AA:$AA,Location!BH$1)</f>
        <v>0</v>
      </c>
      <c r="BI5" s="37">
        <f>SUMIFS(Wine1!$I:$I,Wine1!$K:$K,Location!$A5,Wine1!$AA:$AA,Location!BI$1)</f>
        <v>0</v>
      </c>
    </row>
    <row r="6" spans="1:71" x14ac:dyDescent="0.25">
      <c r="A6" s="38" t="s">
        <v>655</v>
      </c>
      <c r="B6" s="20">
        <f>SUMIF(Wine1!K:K,Location!A6,Wine1!I:I)</f>
        <v>12</v>
      </c>
      <c r="C6">
        <v>12</v>
      </c>
      <c r="D6">
        <f t="shared" si="0"/>
        <v>0</v>
      </c>
      <c r="E6" s="8" t="s">
        <v>603</v>
      </c>
      <c r="F6" s="37" t="s">
        <v>1533</v>
      </c>
      <c r="G6" s="1">
        <v>43806</v>
      </c>
      <c r="H6" s="56">
        <f>COUNTIFS(Wine1!$K:$K,Location!$A6,Wine1!$AF:$AF,Location!H$1)</f>
        <v>0</v>
      </c>
      <c r="I6" s="57">
        <f>COUNTIFS(Wine1!$K:$K,Location!$A6,Wine1!$AF:$AF,Location!I$1)</f>
        <v>5</v>
      </c>
      <c r="J6" s="57">
        <f>COUNTIFS(Wine1!$K:$K,Location!$A6,Wine1!$AF:$AF,Location!J$1)</f>
        <v>6</v>
      </c>
      <c r="K6" s="58">
        <f>COUNTIFS(Wine1!$K:$K,Location!$A6,Wine1!$AF:$AF,Location!K$1)</f>
        <v>1</v>
      </c>
      <c r="L6" s="18">
        <f>IFERROR(AVERAGEIF(Wine1!K:K,Location!A6,Wine1!AA:AA),"Empty")</f>
        <v>2024.25</v>
      </c>
      <c r="M6">
        <f>SUMIFS(Wine1!$I:$I,Wine1!$K:$K,Location!$A6,Wine1!$AA:$AA,Location!M$1)</f>
        <v>0</v>
      </c>
      <c r="N6">
        <f>SUMIFS(Wine1!$I:$I,Wine1!$K:$K,Location!$A6,Wine1!$AA:$AA,Location!N$1)</f>
        <v>0</v>
      </c>
      <c r="O6">
        <f>SUMIFS(Wine1!$I:$I,Wine1!$K:$K,Location!$A6,Wine1!$AA:$AA,Location!O$1)</f>
        <v>2</v>
      </c>
      <c r="P6">
        <f>SUMIFS(Wine1!$I:$I,Wine1!$K:$K,Location!$A6,Wine1!$AA:$AA,Location!P$1)</f>
        <v>2</v>
      </c>
      <c r="Q6">
        <f>SUMIFS(Wine1!$I:$I,Wine1!$K:$K,Location!$A6,Wine1!$AA:$AA,Location!Q$1)</f>
        <v>2</v>
      </c>
      <c r="R6">
        <f>SUMIFS(Wine1!$I:$I,Wine1!$K:$K,Location!$A6,Wine1!$AA:$AA,Location!R$1)</f>
        <v>4</v>
      </c>
      <c r="S6">
        <f>SUMIFS(Wine1!$I:$I,Wine1!$K:$K,Location!$A6,Wine1!$AA:$AA,Location!S$1)</f>
        <v>1</v>
      </c>
      <c r="T6">
        <f>SUMIFS(Wine1!$I:$I,Wine1!$K:$K,Location!$A6,Wine1!$AA:$AA,Location!T$1)</f>
        <v>1</v>
      </c>
      <c r="U6">
        <f>SUMIFS(Wine1!$I:$I,Wine1!$K:$K,Location!$A6,Wine1!$AA:$AA,Location!U$1)</f>
        <v>0</v>
      </c>
      <c r="V6">
        <f>SUMIFS(Wine1!$I:$I,Wine1!$K:$K,Location!$A6,Wine1!$AA:$AA,Location!V$1)</f>
        <v>0</v>
      </c>
      <c r="W6">
        <f>SUMIFS(Wine1!$I:$I,Wine1!$K:$K,Location!$A6,Wine1!$AA:$AA,Location!W$1)</f>
        <v>0</v>
      </c>
      <c r="X6">
        <f>SUMIFS(Wine1!$I:$I,Wine1!$K:$K,Location!$A6,Wine1!$AA:$AA,Location!X$1)</f>
        <v>0</v>
      </c>
      <c r="Y6">
        <f>SUMIFS(Wine1!$I:$I,Wine1!$K:$K,Location!$A6,Wine1!$AA:$AA,Location!Y$1)</f>
        <v>0</v>
      </c>
      <c r="Z6">
        <f>SUMIFS(Wine1!$I:$I,Wine1!$K:$K,Location!$A6,Wine1!$AA:$AA,Location!Z$1)</f>
        <v>0</v>
      </c>
      <c r="AA6">
        <f>SUMIFS(Wine1!$I:$I,Wine1!$K:$K,Location!$A6,Wine1!$AA:$AA,Location!AA$1)</f>
        <v>0</v>
      </c>
      <c r="AB6">
        <f>SUMIFS(Wine1!$I:$I,Wine1!$K:$K,Location!$A6,Wine1!$AA:$AA,Location!AB$1)</f>
        <v>0</v>
      </c>
      <c r="AC6">
        <f>SUMIFS(Wine1!$I:$I,Wine1!$K:$K,Location!$A6,Wine1!$AA:$AA,Location!AC$1)</f>
        <v>0</v>
      </c>
      <c r="AD6">
        <f>SUMIFS(Wine1!$I:$I,Wine1!$K:$K,Location!$A6,Wine1!$AA:$AA,Location!AD$1)</f>
        <v>0</v>
      </c>
      <c r="AE6">
        <f>SUMIFS(Wine1!$I:$I,Wine1!$K:$K,Location!$A6,Wine1!$AA:$AA,Location!AE$1)</f>
        <v>0</v>
      </c>
      <c r="AF6">
        <f>SUMIFS(Wine1!$I:$I,Wine1!$K:$K,Location!$A6,Wine1!$AA:$AA,Location!AF$1)</f>
        <v>0</v>
      </c>
      <c r="AG6">
        <f>SUMIFS(Wine1!$I:$I,Wine1!$K:$K,Location!$A6,Wine1!$AA:$AA,Location!AG$1)</f>
        <v>0</v>
      </c>
      <c r="AH6">
        <f>SUMIFS(Wine1!$I:$I,Wine1!$K:$K,Location!$A6,Wine1!$AA:$AA,Location!AH$1)</f>
        <v>0</v>
      </c>
      <c r="AI6">
        <f>SUMIFS(Wine1!$I:$I,Wine1!$K:$K,Location!$A6,Wine1!$AA:$AA,Location!AI$1)</f>
        <v>0</v>
      </c>
      <c r="AJ6">
        <f>SUMIFS(Wine1!$I:$I,Wine1!$K:$K,Location!$A6,Wine1!$AA:$AA,Location!AJ$1)</f>
        <v>0</v>
      </c>
      <c r="AK6">
        <f>SUMIFS(Wine1!$I:$I,Wine1!$K:$K,Location!$A6,Wine1!$AA:$AA,Location!AK$1)</f>
        <v>0</v>
      </c>
      <c r="AL6">
        <f>SUMIFS(Wine1!$I:$I,Wine1!$K:$K,Location!$A6,Wine1!$AA:$AA,Location!AL$1)</f>
        <v>0</v>
      </c>
      <c r="AM6">
        <f>SUMIFS(Wine1!$I:$I,Wine1!$K:$K,Location!$A6,Wine1!$AA:$AA,Location!AM$1)</f>
        <v>0</v>
      </c>
      <c r="AN6">
        <f>SUMIFS(Wine1!$I:$I,Wine1!$K:$K,Location!$A6,Wine1!$AA:$AA,Location!AN$1)</f>
        <v>0</v>
      </c>
      <c r="AO6">
        <f>SUMIFS(Wine1!$I:$I,Wine1!$K:$K,Location!$A6,Wine1!$AA:$AA,Location!AO$1)</f>
        <v>0</v>
      </c>
      <c r="AP6">
        <f>SUMIFS(Wine1!$I:$I,Wine1!$K:$K,Location!$A6,Wine1!$AA:$AA,Location!AP$1)</f>
        <v>0</v>
      </c>
      <c r="AQ6">
        <f>SUMIFS(Wine1!$I:$I,Wine1!$K:$K,Location!$A6,Wine1!$AA:$AA,Location!AQ$1)</f>
        <v>0</v>
      </c>
      <c r="AR6">
        <f>SUMIFS(Wine1!$I:$I,Wine1!$K:$K,Location!$A6,Wine1!$AA:$AA,Location!AR$1)</f>
        <v>0</v>
      </c>
      <c r="AS6" s="37">
        <f>SUMIFS(Wine1!$I:$I,Wine1!$K:$K,Location!$A6,Wine1!$AA:$AA,Location!AS$1)</f>
        <v>0</v>
      </c>
      <c r="AT6" s="37">
        <f>SUMIFS(Wine1!$I:$I,Wine1!$K:$K,Location!$A6,Wine1!$AA:$AA,Location!AT$1)</f>
        <v>0</v>
      </c>
      <c r="AU6" s="37">
        <f>SUMIFS(Wine1!$I:$I,Wine1!$K:$K,Location!$A6,Wine1!$AA:$AA,Location!AU$1)</f>
        <v>0</v>
      </c>
      <c r="AV6" s="37">
        <f>SUMIFS(Wine1!$I:$I,Wine1!$K:$K,Location!$A6,Wine1!$AA:$AA,Location!AV$1)</f>
        <v>0</v>
      </c>
      <c r="AW6" s="37">
        <f>SUMIFS(Wine1!$I:$I,Wine1!$K:$K,Location!$A6,Wine1!$AA:$AA,Location!AW$1)</f>
        <v>0</v>
      </c>
      <c r="AX6" s="37">
        <f>SUMIFS(Wine1!$I:$I,Wine1!$K:$K,Location!$A6,Wine1!$AA:$AA,Location!AX$1)</f>
        <v>0</v>
      </c>
      <c r="AY6" s="37">
        <f>SUMIFS(Wine1!$I:$I,Wine1!$K:$K,Location!$A6,Wine1!$AA:$AA,Location!AY$1)</f>
        <v>0</v>
      </c>
      <c r="AZ6" s="37">
        <f>SUMIFS(Wine1!$I:$I,Wine1!$K:$K,Location!$A6,Wine1!$AA:$AA,Location!AZ$1)</f>
        <v>0</v>
      </c>
      <c r="BA6" s="37">
        <f>SUMIFS(Wine1!$I:$I,Wine1!$K:$K,Location!$A6,Wine1!$AA:$AA,Location!BA$1)</f>
        <v>0</v>
      </c>
      <c r="BB6" s="37">
        <f>SUMIFS(Wine1!$I:$I,Wine1!$K:$K,Location!$A6,Wine1!$AA:$AA,Location!BB$1)</f>
        <v>0</v>
      </c>
      <c r="BC6" s="37">
        <f>SUMIFS(Wine1!$I:$I,Wine1!$K:$K,Location!$A6,Wine1!$AA:$AA,Location!BC$1)</f>
        <v>0</v>
      </c>
      <c r="BD6" s="37">
        <f>SUMIFS(Wine1!$I:$I,Wine1!$K:$K,Location!$A6,Wine1!$AA:$AA,Location!BD$1)</f>
        <v>0</v>
      </c>
      <c r="BE6" s="37">
        <f>SUMIFS(Wine1!$I:$I,Wine1!$K:$K,Location!$A6,Wine1!$AA:$AA,Location!BE$1)</f>
        <v>0</v>
      </c>
      <c r="BF6" s="37">
        <f>SUMIFS(Wine1!$I:$I,Wine1!$K:$K,Location!$A6,Wine1!$AA:$AA,Location!BF$1)</f>
        <v>0</v>
      </c>
      <c r="BG6" s="37">
        <f>SUMIFS(Wine1!$I:$I,Wine1!$K:$K,Location!$A6,Wine1!$AA:$AA,Location!BG$1)</f>
        <v>0</v>
      </c>
      <c r="BH6" s="37">
        <f>SUMIFS(Wine1!$I:$I,Wine1!$K:$K,Location!$A6,Wine1!$AA:$AA,Location!BH$1)</f>
        <v>0</v>
      </c>
      <c r="BI6" s="37">
        <f>SUMIFS(Wine1!$I:$I,Wine1!$K:$K,Location!$A6,Wine1!$AA:$AA,Location!BI$1)</f>
        <v>0</v>
      </c>
    </row>
    <row r="7" spans="1:71" x14ac:dyDescent="0.25">
      <c r="A7" s="38" t="s">
        <v>654</v>
      </c>
      <c r="B7">
        <f>SUMIF(Wine1!K:K,Location!A7,Wine1!I:I)</f>
        <v>12</v>
      </c>
      <c r="C7">
        <v>12</v>
      </c>
      <c r="D7">
        <f t="shared" si="0"/>
        <v>0</v>
      </c>
      <c r="E7" s="37" t="s">
        <v>603</v>
      </c>
      <c r="F7" s="37" t="s">
        <v>1533</v>
      </c>
      <c r="G7" s="1">
        <v>43806</v>
      </c>
      <c r="H7" s="56">
        <f>COUNTIFS(Wine1!$K:$K,Location!$A7,Wine1!$AF:$AF,Location!H$1)</f>
        <v>6</v>
      </c>
      <c r="I7" s="57">
        <f>COUNTIFS(Wine1!$K:$K,Location!$A7,Wine1!$AF:$AF,Location!I$1)</f>
        <v>6</v>
      </c>
      <c r="J7" s="57">
        <f>COUNTIFS(Wine1!$K:$K,Location!$A7,Wine1!$AF:$AF,Location!J$1)</f>
        <v>0</v>
      </c>
      <c r="K7" s="58">
        <f>COUNTIFS(Wine1!$K:$K,Location!$A7,Wine1!$AF:$AF,Location!K$1)</f>
        <v>0</v>
      </c>
      <c r="L7" s="18">
        <f>IFERROR(AVERAGEIF(Wine1!K:K,Location!A7,Wine1!AA:AA),"Empty")</f>
        <v>2023.3333333333333</v>
      </c>
      <c r="M7">
        <f>SUMIFS(Wine1!$I:$I,Wine1!$K:$K,Location!$A7,Wine1!$AA:$AA,Location!M$1)</f>
        <v>0</v>
      </c>
      <c r="N7">
        <f>SUMIFS(Wine1!$I:$I,Wine1!$K:$K,Location!$A7,Wine1!$AA:$AA,Location!N$1)</f>
        <v>0</v>
      </c>
      <c r="O7">
        <f>SUMIFS(Wine1!$I:$I,Wine1!$K:$K,Location!$A7,Wine1!$AA:$AA,Location!O$1)</f>
        <v>4</v>
      </c>
      <c r="P7">
        <f>SUMIFS(Wine1!$I:$I,Wine1!$K:$K,Location!$A7,Wine1!$AA:$AA,Location!P$1)</f>
        <v>3</v>
      </c>
      <c r="Q7">
        <f>SUMIFS(Wine1!$I:$I,Wine1!$K:$K,Location!$A7,Wine1!$AA:$AA,Location!Q$1)</f>
        <v>3</v>
      </c>
      <c r="R7">
        <f>SUMIFS(Wine1!$I:$I,Wine1!$K:$K,Location!$A7,Wine1!$AA:$AA,Location!R$1)</f>
        <v>1</v>
      </c>
      <c r="S7">
        <f>SUMIFS(Wine1!$I:$I,Wine1!$K:$K,Location!$A7,Wine1!$AA:$AA,Location!S$1)</f>
        <v>1</v>
      </c>
      <c r="T7">
        <f>SUMIFS(Wine1!$I:$I,Wine1!$K:$K,Location!$A7,Wine1!$AA:$AA,Location!T$1)</f>
        <v>0</v>
      </c>
      <c r="U7">
        <f>SUMIFS(Wine1!$I:$I,Wine1!$K:$K,Location!$A7,Wine1!$AA:$AA,Location!U$1)</f>
        <v>0</v>
      </c>
      <c r="V7">
        <f>SUMIFS(Wine1!$I:$I,Wine1!$K:$K,Location!$A7,Wine1!$AA:$AA,Location!V$1)</f>
        <v>0</v>
      </c>
      <c r="W7">
        <f>SUMIFS(Wine1!$I:$I,Wine1!$K:$K,Location!$A7,Wine1!$AA:$AA,Location!W$1)</f>
        <v>0</v>
      </c>
      <c r="X7">
        <f>SUMIFS(Wine1!$I:$I,Wine1!$K:$K,Location!$A7,Wine1!$AA:$AA,Location!X$1)</f>
        <v>0</v>
      </c>
      <c r="Y7">
        <f>SUMIFS(Wine1!$I:$I,Wine1!$K:$K,Location!$A7,Wine1!$AA:$AA,Location!Y$1)</f>
        <v>0</v>
      </c>
      <c r="Z7">
        <f>SUMIFS(Wine1!$I:$I,Wine1!$K:$K,Location!$A7,Wine1!$AA:$AA,Location!Z$1)</f>
        <v>0</v>
      </c>
      <c r="AA7">
        <f>SUMIFS(Wine1!$I:$I,Wine1!$K:$K,Location!$A7,Wine1!$AA:$AA,Location!AA$1)</f>
        <v>0</v>
      </c>
      <c r="AB7">
        <f>SUMIFS(Wine1!$I:$I,Wine1!$K:$K,Location!$A7,Wine1!$AA:$AA,Location!AB$1)</f>
        <v>0</v>
      </c>
      <c r="AC7">
        <f>SUMIFS(Wine1!$I:$I,Wine1!$K:$K,Location!$A7,Wine1!$AA:$AA,Location!AC$1)</f>
        <v>0</v>
      </c>
      <c r="AD7">
        <f>SUMIFS(Wine1!$I:$I,Wine1!$K:$K,Location!$A7,Wine1!$AA:$AA,Location!AD$1)</f>
        <v>0</v>
      </c>
      <c r="AE7">
        <f>SUMIFS(Wine1!$I:$I,Wine1!$K:$K,Location!$A7,Wine1!$AA:$AA,Location!AE$1)</f>
        <v>0</v>
      </c>
      <c r="AF7">
        <f>SUMIFS(Wine1!$I:$I,Wine1!$K:$K,Location!$A7,Wine1!$AA:$AA,Location!AF$1)</f>
        <v>0</v>
      </c>
      <c r="AG7">
        <f>SUMIFS(Wine1!$I:$I,Wine1!$K:$K,Location!$A7,Wine1!$AA:$AA,Location!AG$1)</f>
        <v>0</v>
      </c>
      <c r="AH7">
        <f>SUMIFS(Wine1!$I:$I,Wine1!$K:$K,Location!$A7,Wine1!$AA:$AA,Location!AH$1)</f>
        <v>0</v>
      </c>
      <c r="AI7">
        <f>SUMIFS(Wine1!$I:$I,Wine1!$K:$K,Location!$A7,Wine1!$AA:$AA,Location!AI$1)</f>
        <v>0</v>
      </c>
      <c r="AJ7">
        <f>SUMIFS(Wine1!$I:$I,Wine1!$K:$K,Location!$A7,Wine1!$AA:$AA,Location!AJ$1)</f>
        <v>0</v>
      </c>
      <c r="AK7">
        <f>SUMIFS(Wine1!$I:$I,Wine1!$K:$K,Location!$A7,Wine1!$AA:$AA,Location!AK$1)</f>
        <v>0</v>
      </c>
      <c r="AL7">
        <f>SUMIFS(Wine1!$I:$I,Wine1!$K:$K,Location!$A7,Wine1!$AA:$AA,Location!AL$1)</f>
        <v>0</v>
      </c>
      <c r="AM7">
        <f>SUMIFS(Wine1!$I:$I,Wine1!$K:$K,Location!$A7,Wine1!$AA:$AA,Location!AM$1)</f>
        <v>0</v>
      </c>
      <c r="AN7">
        <f>SUMIFS(Wine1!$I:$I,Wine1!$K:$K,Location!$A7,Wine1!$AA:$AA,Location!AN$1)</f>
        <v>0</v>
      </c>
      <c r="AO7">
        <f>SUMIFS(Wine1!$I:$I,Wine1!$K:$K,Location!$A7,Wine1!$AA:$AA,Location!AO$1)</f>
        <v>0</v>
      </c>
      <c r="AP7">
        <f>SUMIFS(Wine1!$I:$I,Wine1!$K:$K,Location!$A7,Wine1!$AA:$AA,Location!AP$1)</f>
        <v>0</v>
      </c>
      <c r="AQ7">
        <f>SUMIFS(Wine1!$I:$I,Wine1!$K:$K,Location!$A7,Wine1!$AA:$AA,Location!AQ$1)</f>
        <v>0</v>
      </c>
      <c r="AR7">
        <f>SUMIFS(Wine1!$I:$I,Wine1!$K:$K,Location!$A7,Wine1!$AA:$AA,Location!AR$1)</f>
        <v>0</v>
      </c>
      <c r="AS7" s="37">
        <f>SUMIFS(Wine1!$I:$I,Wine1!$K:$K,Location!$A7,Wine1!$AA:$AA,Location!AS$1)</f>
        <v>0</v>
      </c>
      <c r="AT7" s="37">
        <f>SUMIFS(Wine1!$I:$I,Wine1!$K:$K,Location!$A7,Wine1!$AA:$AA,Location!AT$1)</f>
        <v>0</v>
      </c>
      <c r="AU7" s="37">
        <f>SUMIFS(Wine1!$I:$I,Wine1!$K:$K,Location!$A7,Wine1!$AA:$AA,Location!AU$1)</f>
        <v>0</v>
      </c>
      <c r="AV7" s="37">
        <f>SUMIFS(Wine1!$I:$I,Wine1!$K:$K,Location!$A7,Wine1!$AA:$AA,Location!AV$1)</f>
        <v>0</v>
      </c>
      <c r="AW7" s="37">
        <f>SUMIFS(Wine1!$I:$I,Wine1!$K:$K,Location!$A7,Wine1!$AA:$AA,Location!AW$1)</f>
        <v>0</v>
      </c>
      <c r="AX7" s="37">
        <f>SUMIFS(Wine1!$I:$I,Wine1!$K:$K,Location!$A7,Wine1!$AA:$AA,Location!AX$1)</f>
        <v>0</v>
      </c>
      <c r="AY7" s="37">
        <f>SUMIFS(Wine1!$I:$I,Wine1!$K:$K,Location!$A7,Wine1!$AA:$AA,Location!AY$1)</f>
        <v>0</v>
      </c>
      <c r="AZ7" s="37">
        <f>SUMIFS(Wine1!$I:$I,Wine1!$K:$K,Location!$A7,Wine1!$AA:$AA,Location!AZ$1)</f>
        <v>0</v>
      </c>
      <c r="BA7" s="37">
        <f>SUMIFS(Wine1!$I:$I,Wine1!$K:$K,Location!$A7,Wine1!$AA:$AA,Location!BA$1)</f>
        <v>0</v>
      </c>
      <c r="BB7" s="37">
        <f>SUMIFS(Wine1!$I:$I,Wine1!$K:$K,Location!$A7,Wine1!$AA:$AA,Location!BB$1)</f>
        <v>0</v>
      </c>
      <c r="BC7" s="37">
        <f>SUMIFS(Wine1!$I:$I,Wine1!$K:$K,Location!$A7,Wine1!$AA:$AA,Location!BC$1)</f>
        <v>0</v>
      </c>
      <c r="BD7" s="37">
        <f>SUMIFS(Wine1!$I:$I,Wine1!$K:$K,Location!$A7,Wine1!$AA:$AA,Location!BD$1)</f>
        <v>0</v>
      </c>
      <c r="BE7" s="37">
        <f>SUMIFS(Wine1!$I:$I,Wine1!$K:$K,Location!$A7,Wine1!$AA:$AA,Location!BE$1)</f>
        <v>0</v>
      </c>
      <c r="BF7" s="37">
        <f>SUMIFS(Wine1!$I:$I,Wine1!$K:$K,Location!$A7,Wine1!$AA:$AA,Location!BF$1)</f>
        <v>0</v>
      </c>
      <c r="BG7" s="37">
        <f>SUMIFS(Wine1!$I:$I,Wine1!$K:$K,Location!$A7,Wine1!$AA:$AA,Location!BG$1)</f>
        <v>0</v>
      </c>
      <c r="BH7" s="37">
        <f>SUMIFS(Wine1!$I:$I,Wine1!$K:$K,Location!$A7,Wine1!$AA:$AA,Location!BH$1)</f>
        <v>0</v>
      </c>
      <c r="BI7" s="37">
        <f>SUMIFS(Wine1!$I:$I,Wine1!$K:$K,Location!$A7,Wine1!$AA:$AA,Location!BI$1)</f>
        <v>0</v>
      </c>
    </row>
    <row r="8" spans="1:71" x14ac:dyDescent="0.25">
      <c r="A8" s="38" t="s">
        <v>653</v>
      </c>
      <c r="B8">
        <f>SUMIF(Wine1!K:K,Location!A8,Wine1!I:I)</f>
        <v>12</v>
      </c>
      <c r="C8">
        <v>12</v>
      </c>
      <c r="D8">
        <f t="shared" si="0"/>
        <v>0</v>
      </c>
      <c r="E8" s="37" t="s">
        <v>603</v>
      </c>
      <c r="F8" s="37" t="s">
        <v>1533</v>
      </c>
      <c r="G8" s="1">
        <v>43806</v>
      </c>
      <c r="H8" s="56">
        <f>COUNTIFS(Wine1!$K:$K,Location!$A8,Wine1!$AF:$AF,Location!H$1)</f>
        <v>3</v>
      </c>
      <c r="I8" s="57">
        <f>COUNTIFS(Wine1!$K:$K,Location!$A8,Wine1!$AF:$AF,Location!I$1)</f>
        <v>2</v>
      </c>
      <c r="J8" s="57">
        <f>COUNTIFS(Wine1!$K:$K,Location!$A8,Wine1!$AF:$AF,Location!J$1)</f>
        <v>3</v>
      </c>
      <c r="K8" s="58">
        <f>COUNTIFS(Wine1!$K:$K,Location!$A8,Wine1!$AF:$AF,Location!K$1)</f>
        <v>4</v>
      </c>
      <c r="L8" s="18">
        <f>IFERROR(AVERAGEIF(Wine1!K:K,Location!A8,Wine1!AA:AA),"Empty")</f>
        <v>2024.8333333333333</v>
      </c>
      <c r="M8">
        <f>SUMIFS(Wine1!$I:$I,Wine1!$K:$K,Location!$A8,Wine1!$AA:$AA,Location!M$1)</f>
        <v>0</v>
      </c>
      <c r="N8">
        <f>SUMIFS(Wine1!$I:$I,Wine1!$K:$K,Location!$A8,Wine1!$AA:$AA,Location!N$1)</f>
        <v>0</v>
      </c>
      <c r="O8">
        <f>SUMIFS(Wine1!$I:$I,Wine1!$K:$K,Location!$A8,Wine1!$AA:$AA,Location!O$1)</f>
        <v>4</v>
      </c>
      <c r="P8">
        <f>SUMIFS(Wine1!$I:$I,Wine1!$K:$K,Location!$A8,Wine1!$AA:$AA,Location!P$1)</f>
        <v>1</v>
      </c>
      <c r="Q8">
        <f>SUMIFS(Wine1!$I:$I,Wine1!$K:$K,Location!$A8,Wine1!$AA:$AA,Location!Q$1)</f>
        <v>2</v>
      </c>
      <c r="R8">
        <f>SUMIFS(Wine1!$I:$I,Wine1!$K:$K,Location!$A8,Wine1!$AA:$AA,Location!R$1)</f>
        <v>1</v>
      </c>
      <c r="S8">
        <f>SUMIFS(Wine1!$I:$I,Wine1!$K:$K,Location!$A8,Wine1!$AA:$AA,Location!S$1)</f>
        <v>1</v>
      </c>
      <c r="T8">
        <f>SUMIFS(Wine1!$I:$I,Wine1!$K:$K,Location!$A8,Wine1!$AA:$AA,Location!T$1)</f>
        <v>0</v>
      </c>
      <c r="U8">
        <f>SUMIFS(Wine1!$I:$I,Wine1!$K:$K,Location!$A8,Wine1!$AA:$AA,Location!U$1)</f>
        <v>1</v>
      </c>
      <c r="V8">
        <f>SUMIFS(Wine1!$I:$I,Wine1!$K:$K,Location!$A8,Wine1!$AA:$AA,Location!V$1)</f>
        <v>0</v>
      </c>
      <c r="W8">
        <f>SUMIFS(Wine1!$I:$I,Wine1!$K:$K,Location!$A8,Wine1!$AA:$AA,Location!W$1)</f>
        <v>2</v>
      </c>
      <c r="X8">
        <f>SUMIFS(Wine1!$I:$I,Wine1!$K:$K,Location!$A8,Wine1!$AA:$AA,Location!X$1)</f>
        <v>0</v>
      </c>
      <c r="Y8">
        <f>SUMIFS(Wine1!$I:$I,Wine1!$K:$K,Location!$A8,Wine1!$AA:$AA,Location!Y$1)</f>
        <v>0</v>
      </c>
      <c r="Z8">
        <f>SUMIFS(Wine1!$I:$I,Wine1!$K:$K,Location!$A8,Wine1!$AA:$AA,Location!Z$1)</f>
        <v>0</v>
      </c>
      <c r="AA8">
        <f>SUMIFS(Wine1!$I:$I,Wine1!$K:$K,Location!$A8,Wine1!$AA:$AA,Location!AA$1)</f>
        <v>0</v>
      </c>
      <c r="AB8">
        <f>SUMIFS(Wine1!$I:$I,Wine1!$K:$K,Location!$A8,Wine1!$AA:$AA,Location!AB$1)</f>
        <v>0</v>
      </c>
      <c r="AC8">
        <f>SUMIFS(Wine1!$I:$I,Wine1!$K:$K,Location!$A8,Wine1!$AA:$AA,Location!AC$1)</f>
        <v>0</v>
      </c>
      <c r="AD8">
        <f>SUMIFS(Wine1!$I:$I,Wine1!$K:$K,Location!$A8,Wine1!$AA:$AA,Location!AD$1)</f>
        <v>0</v>
      </c>
      <c r="AE8">
        <f>SUMIFS(Wine1!$I:$I,Wine1!$K:$K,Location!$A8,Wine1!$AA:$AA,Location!AE$1)</f>
        <v>0</v>
      </c>
      <c r="AF8">
        <f>SUMIFS(Wine1!$I:$I,Wine1!$K:$K,Location!$A8,Wine1!$AA:$AA,Location!AF$1)</f>
        <v>0</v>
      </c>
      <c r="AG8">
        <f>SUMIFS(Wine1!$I:$I,Wine1!$K:$K,Location!$A8,Wine1!$AA:$AA,Location!AG$1)</f>
        <v>0</v>
      </c>
      <c r="AH8">
        <f>SUMIFS(Wine1!$I:$I,Wine1!$K:$K,Location!$A8,Wine1!$AA:$AA,Location!AH$1)</f>
        <v>0</v>
      </c>
      <c r="AI8">
        <f>SUMIFS(Wine1!$I:$I,Wine1!$K:$K,Location!$A8,Wine1!$AA:$AA,Location!AI$1)</f>
        <v>0</v>
      </c>
      <c r="AJ8">
        <f>SUMIFS(Wine1!$I:$I,Wine1!$K:$K,Location!$A8,Wine1!$AA:$AA,Location!AJ$1)</f>
        <v>0</v>
      </c>
      <c r="AK8">
        <f>SUMIFS(Wine1!$I:$I,Wine1!$K:$K,Location!$A8,Wine1!$AA:$AA,Location!AK$1)</f>
        <v>0</v>
      </c>
      <c r="AL8">
        <f>SUMIFS(Wine1!$I:$I,Wine1!$K:$K,Location!$A8,Wine1!$AA:$AA,Location!AL$1)</f>
        <v>0</v>
      </c>
      <c r="AM8">
        <f>SUMIFS(Wine1!$I:$I,Wine1!$K:$K,Location!$A8,Wine1!$AA:$AA,Location!AM$1)</f>
        <v>0</v>
      </c>
      <c r="AN8">
        <f>SUMIFS(Wine1!$I:$I,Wine1!$K:$K,Location!$A8,Wine1!$AA:$AA,Location!AN$1)</f>
        <v>0</v>
      </c>
      <c r="AO8">
        <f>SUMIFS(Wine1!$I:$I,Wine1!$K:$K,Location!$A8,Wine1!$AA:$AA,Location!AO$1)</f>
        <v>0</v>
      </c>
      <c r="AP8">
        <f>SUMIFS(Wine1!$I:$I,Wine1!$K:$K,Location!$A8,Wine1!$AA:$AA,Location!AP$1)</f>
        <v>0</v>
      </c>
      <c r="AQ8">
        <f>SUMIFS(Wine1!$I:$I,Wine1!$K:$K,Location!$A8,Wine1!$AA:$AA,Location!AQ$1)</f>
        <v>0</v>
      </c>
      <c r="AR8">
        <f>SUMIFS(Wine1!$I:$I,Wine1!$K:$K,Location!$A8,Wine1!$AA:$AA,Location!AR$1)</f>
        <v>0</v>
      </c>
      <c r="AS8" s="37">
        <f>SUMIFS(Wine1!$I:$I,Wine1!$K:$K,Location!$A8,Wine1!$AA:$AA,Location!AS$1)</f>
        <v>0</v>
      </c>
      <c r="AT8" s="37">
        <f>SUMIFS(Wine1!$I:$I,Wine1!$K:$K,Location!$A8,Wine1!$AA:$AA,Location!AT$1)</f>
        <v>0</v>
      </c>
      <c r="AU8" s="37">
        <f>SUMIFS(Wine1!$I:$I,Wine1!$K:$K,Location!$A8,Wine1!$AA:$AA,Location!AU$1)</f>
        <v>0</v>
      </c>
      <c r="AV8" s="37">
        <f>SUMIFS(Wine1!$I:$I,Wine1!$K:$K,Location!$A8,Wine1!$AA:$AA,Location!AV$1)</f>
        <v>0</v>
      </c>
      <c r="AW8" s="37">
        <f>SUMIFS(Wine1!$I:$I,Wine1!$K:$K,Location!$A8,Wine1!$AA:$AA,Location!AW$1)</f>
        <v>0</v>
      </c>
      <c r="AX8" s="37">
        <f>SUMIFS(Wine1!$I:$I,Wine1!$K:$K,Location!$A8,Wine1!$AA:$AA,Location!AX$1)</f>
        <v>0</v>
      </c>
      <c r="AY8" s="37">
        <f>SUMIFS(Wine1!$I:$I,Wine1!$K:$K,Location!$A8,Wine1!$AA:$AA,Location!AY$1)</f>
        <v>0</v>
      </c>
      <c r="AZ8" s="37">
        <f>SUMIFS(Wine1!$I:$I,Wine1!$K:$K,Location!$A8,Wine1!$AA:$AA,Location!AZ$1)</f>
        <v>0</v>
      </c>
      <c r="BA8" s="37">
        <f>SUMIFS(Wine1!$I:$I,Wine1!$K:$K,Location!$A8,Wine1!$AA:$AA,Location!BA$1)</f>
        <v>0</v>
      </c>
      <c r="BB8" s="37">
        <f>SUMIFS(Wine1!$I:$I,Wine1!$K:$K,Location!$A8,Wine1!$AA:$AA,Location!BB$1)</f>
        <v>0</v>
      </c>
      <c r="BC8" s="37">
        <f>SUMIFS(Wine1!$I:$I,Wine1!$K:$K,Location!$A8,Wine1!$AA:$AA,Location!BC$1)</f>
        <v>0</v>
      </c>
      <c r="BD8" s="37">
        <f>SUMIFS(Wine1!$I:$I,Wine1!$K:$K,Location!$A8,Wine1!$AA:$AA,Location!BD$1)</f>
        <v>0</v>
      </c>
      <c r="BE8" s="37">
        <f>SUMIFS(Wine1!$I:$I,Wine1!$K:$K,Location!$A8,Wine1!$AA:$AA,Location!BE$1)</f>
        <v>0</v>
      </c>
      <c r="BF8" s="37">
        <f>SUMIFS(Wine1!$I:$I,Wine1!$K:$K,Location!$A8,Wine1!$AA:$AA,Location!BF$1)</f>
        <v>0</v>
      </c>
      <c r="BG8" s="37">
        <f>SUMIFS(Wine1!$I:$I,Wine1!$K:$K,Location!$A8,Wine1!$AA:$AA,Location!BG$1)</f>
        <v>0</v>
      </c>
      <c r="BH8" s="37">
        <f>SUMIFS(Wine1!$I:$I,Wine1!$K:$K,Location!$A8,Wine1!$AA:$AA,Location!BH$1)</f>
        <v>0</v>
      </c>
      <c r="BI8" s="37">
        <f>SUMIFS(Wine1!$I:$I,Wine1!$K:$K,Location!$A8,Wine1!$AA:$AA,Location!BI$1)</f>
        <v>0</v>
      </c>
    </row>
    <row r="9" spans="1:71" x14ac:dyDescent="0.25">
      <c r="A9" s="20" t="s">
        <v>652</v>
      </c>
      <c r="B9">
        <f>SUMIF(Wine1!K:K,Location!A9,Wine1!I:I)</f>
        <v>6</v>
      </c>
      <c r="C9">
        <v>6</v>
      </c>
      <c r="D9">
        <f t="shared" si="0"/>
        <v>0</v>
      </c>
      <c r="E9" t="s">
        <v>600</v>
      </c>
      <c r="F9" s="37" t="s">
        <v>718</v>
      </c>
      <c r="H9" s="56">
        <f>COUNTIFS(Wine1!$K:$K,Location!$A9,Wine1!$AF:$AF,Location!H$1)</f>
        <v>5</v>
      </c>
      <c r="I9" s="57">
        <f>COUNTIFS(Wine1!$K:$K,Location!$A9,Wine1!$AF:$AF,Location!I$1)</f>
        <v>1</v>
      </c>
      <c r="J9" s="57">
        <f>COUNTIFS(Wine1!$K:$K,Location!$A9,Wine1!$AF:$AF,Location!J$1)</f>
        <v>0</v>
      </c>
      <c r="K9" s="58">
        <f>COUNTIFS(Wine1!$K:$K,Location!$A9,Wine1!$AF:$AF,Location!K$1)</f>
        <v>0</v>
      </c>
      <c r="L9" s="18">
        <f>IFERROR(AVERAGEIF(Wine1!K:K,Location!A9,Wine1!AA:AA),"Empty")</f>
        <v>2020.5</v>
      </c>
      <c r="M9">
        <f>SUMIFS(Wine1!$I:$I,Wine1!$K:$K,Location!$A9,Wine1!$AA:$AA,Location!M$1)</f>
        <v>3</v>
      </c>
      <c r="N9">
        <f>SUMIFS(Wine1!$I:$I,Wine1!$K:$K,Location!$A9,Wine1!$AA:$AA,Location!N$1)</f>
        <v>3</v>
      </c>
      <c r="O9">
        <f>SUMIFS(Wine1!$I:$I,Wine1!$K:$K,Location!$A9,Wine1!$AA:$AA,Location!O$1)</f>
        <v>0</v>
      </c>
      <c r="P9">
        <f>SUMIFS(Wine1!$I:$I,Wine1!$K:$K,Location!$A9,Wine1!$AA:$AA,Location!P$1)</f>
        <v>0</v>
      </c>
      <c r="Q9">
        <f>SUMIFS(Wine1!$I:$I,Wine1!$K:$K,Location!$A9,Wine1!$AA:$AA,Location!Q$1)</f>
        <v>0</v>
      </c>
      <c r="R9">
        <f>SUMIFS(Wine1!$I:$I,Wine1!$K:$K,Location!$A9,Wine1!$AA:$AA,Location!R$1)</f>
        <v>0</v>
      </c>
      <c r="S9">
        <f>SUMIFS(Wine1!$I:$I,Wine1!$K:$K,Location!$A9,Wine1!$AA:$AA,Location!S$1)</f>
        <v>0</v>
      </c>
      <c r="T9">
        <f>SUMIFS(Wine1!$I:$I,Wine1!$K:$K,Location!$A9,Wine1!$AA:$AA,Location!T$1)</f>
        <v>0</v>
      </c>
      <c r="U9">
        <f>SUMIFS(Wine1!$I:$I,Wine1!$K:$K,Location!$A9,Wine1!$AA:$AA,Location!U$1)</f>
        <v>0</v>
      </c>
      <c r="V9">
        <f>SUMIFS(Wine1!$I:$I,Wine1!$K:$K,Location!$A9,Wine1!$AA:$AA,Location!V$1)</f>
        <v>0</v>
      </c>
      <c r="W9">
        <f>SUMIFS(Wine1!$I:$I,Wine1!$K:$K,Location!$A9,Wine1!$AA:$AA,Location!W$1)</f>
        <v>0</v>
      </c>
      <c r="X9">
        <f>SUMIFS(Wine1!$I:$I,Wine1!$K:$K,Location!$A9,Wine1!$AA:$AA,Location!X$1)</f>
        <v>0</v>
      </c>
      <c r="Y9">
        <f>SUMIFS(Wine1!$I:$I,Wine1!$K:$K,Location!$A9,Wine1!$AA:$AA,Location!Y$1)</f>
        <v>0</v>
      </c>
      <c r="Z9">
        <f>SUMIFS(Wine1!$I:$I,Wine1!$K:$K,Location!$A9,Wine1!$AA:$AA,Location!Z$1)</f>
        <v>0</v>
      </c>
      <c r="AA9">
        <f>SUMIFS(Wine1!$I:$I,Wine1!$K:$K,Location!$A9,Wine1!$AA:$AA,Location!AA$1)</f>
        <v>0</v>
      </c>
      <c r="AB9">
        <f>SUMIFS(Wine1!$I:$I,Wine1!$K:$K,Location!$A9,Wine1!$AA:$AA,Location!AB$1)</f>
        <v>0</v>
      </c>
      <c r="AC9">
        <f>SUMIFS(Wine1!$I:$I,Wine1!$K:$K,Location!$A9,Wine1!$AA:$AA,Location!AC$1)</f>
        <v>0</v>
      </c>
      <c r="AD9">
        <f>SUMIFS(Wine1!$I:$I,Wine1!$K:$K,Location!$A9,Wine1!$AA:$AA,Location!AD$1)</f>
        <v>0</v>
      </c>
      <c r="AE9">
        <f>SUMIFS(Wine1!$I:$I,Wine1!$K:$K,Location!$A9,Wine1!$AA:$AA,Location!AE$1)</f>
        <v>0</v>
      </c>
      <c r="AF9">
        <f>SUMIFS(Wine1!$I:$I,Wine1!$K:$K,Location!$A9,Wine1!$AA:$AA,Location!AF$1)</f>
        <v>0</v>
      </c>
      <c r="AG9">
        <f>SUMIFS(Wine1!$I:$I,Wine1!$K:$K,Location!$A9,Wine1!$AA:$AA,Location!AG$1)</f>
        <v>0</v>
      </c>
      <c r="AH9">
        <f>SUMIFS(Wine1!$I:$I,Wine1!$K:$K,Location!$A9,Wine1!$AA:$AA,Location!AH$1)</f>
        <v>0</v>
      </c>
      <c r="AI9">
        <f>SUMIFS(Wine1!$I:$I,Wine1!$K:$K,Location!$A9,Wine1!$AA:$AA,Location!AI$1)</f>
        <v>0</v>
      </c>
      <c r="AJ9">
        <f>SUMIFS(Wine1!$I:$I,Wine1!$K:$K,Location!$A9,Wine1!$AA:$AA,Location!AJ$1)</f>
        <v>0</v>
      </c>
      <c r="AK9">
        <f>SUMIFS(Wine1!$I:$I,Wine1!$K:$K,Location!$A9,Wine1!$AA:$AA,Location!AK$1)</f>
        <v>0</v>
      </c>
      <c r="AL9">
        <f>SUMIFS(Wine1!$I:$I,Wine1!$K:$K,Location!$A9,Wine1!$AA:$AA,Location!AL$1)</f>
        <v>0</v>
      </c>
      <c r="AM9">
        <f>SUMIFS(Wine1!$I:$I,Wine1!$K:$K,Location!$A9,Wine1!$AA:$AA,Location!AM$1)</f>
        <v>0</v>
      </c>
      <c r="AN9">
        <f>SUMIFS(Wine1!$I:$I,Wine1!$K:$K,Location!$A9,Wine1!$AA:$AA,Location!AN$1)</f>
        <v>0</v>
      </c>
      <c r="AO9">
        <f>SUMIFS(Wine1!$I:$I,Wine1!$K:$K,Location!$A9,Wine1!$AA:$AA,Location!AO$1)</f>
        <v>0</v>
      </c>
      <c r="AP9">
        <f>SUMIFS(Wine1!$I:$I,Wine1!$K:$K,Location!$A9,Wine1!$AA:$AA,Location!AP$1)</f>
        <v>0</v>
      </c>
      <c r="AQ9">
        <f>SUMIFS(Wine1!$I:$I,Wine1!$K:$K,Location!$A9,Wine1!$AA:$AA,Location!AQ$1)</f>
        <v>0</v>
      </c>
      <c r="AR9">
        <f>SUMIFS(Wine1!$I:$I,Wine1!$K:$K,Location!$A9,Wine1!$AA:$AA,Location!AR$1)</f>
        <v>0</v>
      </c>
      <c r="AS9" s="37">
        <f>SUMIFS(Wine1!$I:$I,Wine1!$K:$K,Location!$A9,Wine1!$AA:$AA,Location!AS$1)</f>
        <v>0</v>
      </c>
      <c r="AT9" s="37">
        <f>SUMIFS(Wine1!$I:$I,Wine1!$K:$K,Location!$A9,Wine1!$AA:$AA,Location!AT$1)</f>
        <v>0</v>
      </c>
      <c r="AU9" s="37">
        <f>SUMIFS(Wine1!$I:$I,Wine1!$K:$K,Location!$A9,Wine1!$AA:$AA,Location!AU$1)</f>
        <v>0</v>
      </c>
      <c r="AV9" s="37">
        <f>SUMIFS(Wine1!$I:$I,Wine1!$K:$K,Location!$A9,Wine1!$AA:$AA,Location!AV$1)</f>
        <v>0</v>
      </c>
      <c r="AW9" s="37">
        <f>SUMIFS(Wine1!$I:$I,Wine1!$K:$K,Location!$A9,Wine1!$AA:$AA,Location!AW$1)</f>
        <v>0</v>
      </c>
      <c r="AX9" s="37">
        <f>SUMIFS(Wine1!$I:$I,Wine1!$K:$K,Location!$A9,Wine1!$AA:$AA,Location!AX$1)</f>
        <v>0</v>
      </c>
      <c r="AY9" s="37">
        <f>SUMIFS(Wine1!$I:$I,Wine1!$K:$K,Location!$A9,Wine1!$AA:$AA,Location!AY$1)</f>
        <v>0</v>
      </c>
      <c r="AZ9" s="37">
        <f>SUMIFS(Wine1!$I:$I,Wine1!$K:$K,Location!$A9,Wine1!$AA:$AA,Location!AZ$1)</f>
        <v>0</v>
      </c>
      <c r="BA9" s="37">
        <f>SUMIFS(Wine1!$I:$I,Wine1!$K:$K,Location!$A9,Wine1!$AA:$AA,Location!BA$1)</f>
        <v>0</v>
      </c>
      <c r="BB9" s="37">
        <f>SUMIFS(Wine1!$I:$I,Wine1!$K:$K,Location!$A9,Wine1!$AA:$AA,Location!BB$1)</f>
        <v>0</v>
      </c>
      <c r="BC9" s="37">
        <f>SUMIFS(Wine1!$I:$I,Wine1!$K:$K,Location!$A9,Wine1!$AA:$AA,Location!BC$1)</f>
        <v>0</v>
      </c>
      <c r="BD9" s="37">
        <f>SUMIFS(Wine1!$I:$I,Wine1!$K:$K,Location!$A9,Wine1!$AA:$AA,Location!BD$1)</f>
        <v>0</v>
      </c>
      <c r="BE9" s="37">
        <f>SUMIFS(Wine1!$I:$I,Wine1!$K:$K,Location!$A9,Wine1!$AA:$AA,Location!BE$1)</f>
        <v>0</v>
      </c>
      <c r="BF9" s="37">
        <f>SUMIFS(Wine1!$I:$I,Wine1!$K:$K,Location!$A9,Wine1!$AA:$AA,Location!BF$1)</f>
        <v>0</v>
      </c>
      <c r="BG9" s="37">
        <f>SUMIFS(Wine1!$I:$I,Wine1!$K:$K,Location!$A9,Wine1!$AA:$AA,Location!BG$1)</f>
        <v>0</v>
      </c>
      <c r="BH9" s="37">
        <f>SUMIFS(Wine1!$I:$I,Wine1!$K:$K,Location!$A9,Wine1!$AA:$AA,Location!BH$1)</f>
        <v>0</v>
      </c>
      <c r="BI9" s="37">
        <f>SUMIFS(Wine1!$I:$I,Wine1!$K:$K,Location!$A9,Wine1!$AA:$AA,Location!BI$1)</f>
        <v>0</v>
      </c>
    </row>
    <row r="10" spans="1:71" x14ac:dyDescent="0.25">
      <c r="A10" t="s">
        <v>651</v>
      </c>
      <c r="B10">
        <f>SUMIF(Wine1!K:K,Location!A10,Wine1!I:I)</f>
        <v>6</v>
      </c>
      <c r="C10">
        <v>6</v>
      </c>
      <c r="D10">
        <f t="shared" si="0"/>
        <v>0</v>
      </c>
      <c r="E10" t="s">
        <v>600</v>
      </c>
      <c r="F10" s="37" t="s">
        <v>718</v>
      </c>
      <c r="G10" s="1">
        <v>43806</v>
      </c>
      <c r="H10" s="56">
        <f>COUNTIFS(Wine1!$K:$K,Location!$A10,Wine1!$AF:$AF,Location!H$1)</f>
        <v>4</v>
      </c>
      <c r="I10" s="57">
        <f>COUNTIFS(Wine1!$K:$K,Location!$A10,Wine1!$AF:$AF,Location!I$1)</f>
        <v>2</v>
      </c>
      <c r="J10" s="57">
        <f>COUNTIFS(Wine1!$K:$K,Location!$A10,Wine1!$AF:$AF,Location!J$1)</f>
        <v>0</v>
      </c>
      <c r="K10" s="58">
        <f>COUNTIFS(Wine1!$K:$K,Location!$A10,Wine1!$AF:$AF,Location!K$1)</f>
        <v>0</v>
      </c>
      <c r="L10" s="18">
        <f>IFERROR(AVERAGEIF(Wine1!K:K,Location!A10,Wine1!AA:AA),"Empty")</f>
        <v>2020.5</v>
      </c>
      <c r="M10">
        <f>SUMIFS(Wine1!$I:$I,Wine1!$K:$K,Location!$A10,Wine1!$AA:$AA,Location!M$1)</f>
        <v>3</v>
      </c>
      <c r="N10">
        <f>SUMIFS(Wine1!$I:$I,Wine1!$K:$K,Location!$A10,Wine1!$AA:$AA,Location!N$1)</f>
        <v>3</v>
      </c>
      <c r="O10">
        <f>SUMIFS(Wine1!$I:$I,Wine1!$K:$K,Location!$A10,Wine1!$AA:$AA,Location!O$1)</f>
        <v>0</v>
      </c>
      <c r="P10">
        <f>SUMIFS(Wine1!$I:$I,Wine1!$K:$K,Location!$A10,Wine1!$AA:$AA,Location!P$1)</f>
        <v>0</v>
      </c>
      <c r="Q10">
        <f>SUMIFS(Wine1!$I:$I,Wine1!$K:$K,Location!$A10,Wine1!$AA:$AA,Location!Q$1)</f>
        <v>0</v>
      </c>
      <c r="R10">
        <f>SUMIFS(Wine1!$I:$I,Wine1!$K:$K,Location!$A10,Wine1!$AA:$AA,Location!R$1)</f>
        <v>0</v>
      </c>
      <c r="S10">
        <f>SUMIFS(Wine1!$I:$I,Wine1!$K:$K,Location!$A10,Wine1!$AA:$AA,Location!S$1)</f>
        <v>0</v>
      </c>
      <c r="T10">
        <f>SUMIFS(Wine1!$I:$I,Wine1!$K:$K,Location!$A10,Wine1!$AA:$AA,Location!T$1)</f>
        <v>0</v>
      </c>
      <c r="U10">
        <f>SUMIFS(Wine1!$I:$I,Wine1!$K:$K,Location!$A10,Wine1!$AA:$AA,Location!U$1)</f>
        <v>0</v>
      </c>
      <c r="V10">
        <f>SUMIFS(Wine1!$I:$I,Wine1!$K:$K,Location!$A10,Wine1!$AA:$AA,Location!V$1)</f>
        <v>0</v>
      </c>
      <c r="W10">
        <f>SUMIFS(Wine1!$I:$I,Wine1!$K:$K,Location!$A10,Wine1!$AA:$AA,Location!W$1)</f>
        <v>0</v>
      </c>
      <c r="X10">
        <f>SUMIFS(Wine1!$I:$I,Wine1!$K:$K,Location!$A10,Wine1!$AA:$AA,Location!X$1)</f>
        <v>0</v>
      </c>
      <c r="Y10">
        <f>SUMIFS(Wine1!$I:$I,Wine1!$K:$K,Location!$A10,Wine1!$AA:$AA,Location!Y$1)</f>
        <v>0</v>
      </c>
      <c r="Z10">
        <f>SUMIFS(Wine1!$I:$I,Wine1!$K:$K,Location!$A10,Wine1!$AA:$AA,Location!Z$1)</f>
        <v>0</v>
      </c>
      <c r="AA10">
        <f>SUMIFS(Wine1!$I:$I,Wine1!$K:$K,Location!$A10,Wine1!$AA:$AA,Location!AA$1)</f>
        <v>0</v>
      </c>
      <c r="AB10">
        <f>SUMIFS(Wine1!$I:$I,Wine1!$K:$K,Location!$A10,Wine1!$AA:$AA,Location!AB$1)</f>
        <v>0</v>
      </c>
      <c r="AC10">
        <f>SUMIFS(Wine1!$I:$I,Wine1!$K:$K,Location!$A10,Wine1!$AA:$AA,Location!AC$1)</f>
        <v>0</v>
      </c>
      <c r="AD10">
        <f>SUMIFS(Wine1!$I:$I,Wine1!$K:$K,Location!$A10,Wine1!$AA:$AA,Location!AD$1)</f>
        <v>0</v>
      </c>
      <c r="AE10">
        <f>SUMIFS(Wine1!$I:$I,Wine1!$K:$K,Location!$A10,Wine1!$AA:$AA,Location!AE$1)</f>
        <v>0</v>
      </c>
      <c r="AF10">
        <f>SUMIFS(Wine1!$I:$I,Wine1!$K:$K,Location!$A10,Wine1!$AA:$AA,Location!AF$1)</f>
        <v>0</v>
      </c>
      <c r="AG10">
        <f>SUMIFS(Wine1!$I:$I,Wine1!$K:$K,Location!$A10,Wine1!$AA:$AA,Location!AG$1)</f>
        <v>0</v>
      </c>
      <c r="AH10">
        <f>SUMIFS(Wine1!$I:$I,Wine1!$K:$K,Location!$A10,Wine1!$AA:$AA,Location!AH$1)</f>
        <v>0</v>
      </c>
      <c r="AI10">
        <f>SUMIFS(Wine1!$I:$I,Wine1!$K:$K,Location!$A10,Wine1!$AA:$AA,Location!AI$1)</f>
        <v>0</v>
      </c>
      <c r="AJ10">
        <f>SUMIFS(Wine1!$I:$I,Wine1!$K:$K,Location!$A10,Wine1!$AA:$AA,Location!AJ$1)</f>
        <v>0</v>
      </c>
      <c r="AK10">
        <f>SUMIFS(Wine1!$I:$I,Wine1!$K:$K,Location!$A10,Wine1!$AA:$AA,Location!AK$1)</f>
        <v>0</v>
      </c>
      <c r="AL10">
        <f>SUMIFS(Wine1!$I:$I,Wine1!$K:$K,Location!$A10,Wine1!$AA:$AA,Location!AL$1)</f>
        <v>0</v>
      </c>
      <c r="AM10">
        <f>SUMIFS(Wine1!$I:$I,Wine1!$K:$K,Location!$A10,Wine1!$AA:$AA,Location!AM$1)</f>
        <v>0</v>
      </c>
      <c r="AN10">
        <f>SUMIFS(Wine1!$I:$I,Wine1!$K:$K,Location!$A10,Wine1!$AA:$AA,Location!AN$1)</f>
        <v>0</v>
      </c>
      <c r="AO10">
        <f>SUMIFS(Wine1!$I:$I,Wine1!$K:$K,Location!$A10,Wine1!$AA:$AA,Location!AO$1)</f>
        <v>0</v>
      </c>
      <c r="AP10">
        <f>SUMIFS(Wine1!$I:$I,Wine1!$K:$K,Location!$A10,Wine1!$AA:$AA,Location!AP$1)</f>
        <v>0</v>
      </c>
      <c r="AQ10">
        <f>SUMIFS(Wine1!$I:$I,Wine1!$K:$K,Location!$A10,Wine1!$AA:$AA,Location!AQ$1)</f>
        <v>0</v>
      </c>
      <c r="AR10">
        <f>SUMIFS(Wine1!$I:$I,Wine1!$K:$K,Location!$A10,Wine1!$AA:$AA,Location!AR$1)</f>
        <v>0</v>
      </c>
      <c r="AS10" s="37">
        <f>SUMIFS(Wine1!$I:$I,Wine1!$K:$K,Location!$A10,Wine1!$AA:$AA,Location!AS$1)</f>
        <v>0</v>
      </c>
      <c r="AT10" s="37">
        <f>SUMIFS(Wine1!$I:$I,Wine1!$K:$K,Location!$A10,Wine1!$AA:$AA,Location!AT$1)</f>
        <v>0</v>
      </c>
      <c r="AU10" s="37">
        <f>SUMIFS(Wine1!$I:$I,Wine1!$K:$K,Location!$A10,Wine1!$AA:$AA,Location!AU$1)</f>
        <v>0</v>
      </c>
      <c r="AV10" s="37">
        <f>SUMIFS(Wine1!$I:$I,Wine1!$K:$K,Location!$A10,Wine1!$AA:$AA,Location!AV$1)</f>
        <v>0</v>
      </c>
      <c r="AW10" s="37">
        <f>SUMIFS(Wine1!$I:$I,Wine1!$K:$K,Location!$A10,Wine1!$AA:$AA,Location!AW$1)</f>
        <v>0</v>
      </c>
      <c r="AX10" s="37">
        <f>SUMIFS(Wine1!$I:$I,Wine1!$K:$K,Location!$A10,Wine1!$AA:$AA,Location!AX$1)</f>
        <v>0</v>
      </c>
      <c r="AY10" s="37">
        <f>SUMIFS(Wine1!$I:$I,Wine1!$K:$K,Location!$A10,Wine1!$AA:$AA,Location!AY$1)</f>
        <v>0</v>
      </c>
      <c r="AZ10" s="37">
        <f>SUMIFS(Wine1!$I:$I,Wine1!$K:$K,Location!$A10,Wine1!$AA:$AA,Location!AZ$1)</f>
        <v>0</v>
      </c>
      <c r="BA10" s="37">
        <f>SUMIFS(Wine1!$I:$I,Wine1!$K:$K,Location!$A10,Wine1!$AA:$AA,Location!BA$1)</f>
        <v>0</v>
      </c>
      <c r="BB10" s="37">
        <f>SUMIFS(Wine1!$I:$I,Wine1!$K:$K,Location!$A10,Wine1!$AA:$AA,Location!BB$1)</f>
        <v>0</v>
      </c>
      <c r="BC10" s="37">
        <f>SUMIFS(Wine1!$I:$I,Wine1!$K:$K,Location!$A10,Wine1!$AA:$AA,Location!BC$1)</f>
        <v>0</v>
      </c>
      <c r="BD10" s="37">
        <f>SUMIFS(Wine1!$I:$I,Wine1!$K:$K,Location!$A10,Wine1!$AA:$AA,Location!BD$1)</f>
        <v>0</v>
      </c>
      <c r="BE10" s="37">
        <f>SUMIFS(Wine1!$I:$I,Wine1!$K:$K,Location!$A10,Wine1!$AA:$AA,Location!BE$1)</f>
        <v>0</v>
      </c>
      <c r="BF10" s="37">
        <f>SUMIFS(Wine1!$I:$I,Wine1!$K:$K,Location!$A10,Wine1!$AA:$AA,Location!BF$1)</f>
        <v>0</v>
      </c>
      <c r="BG10" s="37">
        <f>SUMIFS(Wine1!$I:$I,Wine1!$K:$K,Location!$A10,Wine1!$AA:$AA,Location!BG$1)</f>
        <v>0</v>
      </c>
      <c r="BH10" s="37">
        <f>SUMIFS(Wine1!$I:$I,Wine1!$K:$K,Location!$A10,Wine1!$AA:$AA,Location!BH$1)</f>
        <v>0</v>
      </c>
      <c r="BI10" s="37">
        <f>SUMIFS(Wine1!$I:$I,Wine1!$K:$K,Location!$A10,Wine1!$AA:$AA,Location!BI$1)</f>
        <v>0</v>
      </c>
    </row>
    <row r="11" spans="1:71" x14ac:dyDescent="0.25">
      <c r="A11" s="38" t="s">
        <v>650</v>
      </c>
      <c r="B11">
        <f>SUMIF(Wine1!K:K,Location!A11,Wine1!I:I)</f>
        <v>12</v>
      </c>
      <c r="C11">
        <v>12</v>
      </c>
      <c r="D11">
        <f t="shared" si="0"/>
        <v>0</v>
      </c>
      <c r="E11" t="s">
        <v>603</v>
      </c>
      <c r="F11" s="37" t="s">
        <v>1533</v>
      </c>
      <c r="G11" s="1">
        <v>43806</v>
      </c>
      <c r="H11" s="56">
        <f>COUNTIFS(Wine1!$K:$K,Location!$A11,Wine1!$AF:$AF,Location!H$1)</f>
        <v>0</v>
      </c>
      <c r="I11" s="57">
        <f>COUNTIFS(Wine1!$K:$K,Location!$A11,Wine1!$AF:$AF,Location!I$1)</f>
        <v>2</v>
      </c>
      <c r="J11" s="57">
        <f>COUNTIFS(Wine1!$K:$K,Location!$A11,Wine1!$AF:$AF,Location!J$1)</f>
        <v>9</v>
      </c>
      <c r="K11" s="58">
        <f>COUNTIFS(Wine1!$K:$K,Location!$A11,Wine1!$AF:$AF,Location!K$1)</f>
        <v>1</v>
      </c>
      <c r="L11" s="18">
        <f>IFERROR(AVERAGEIF(Wine1!K:K,Location!A11,Wine1!AA:AA),"Empty")</f>
        <v>2024.4166666666667</v>
      </c>
      <c r="M11">
        <f>SUMIFS(Wine1!$I:$I,Wine1!$K:$K,Location!$A11,Wine1!$AA:$AA,Location!M$1)</f>
        <v>0</v>
      </c>
      <c r="N11">
        <f>SUMIFS(Wine1!$I:$I,Wine1!$K:$K,Location!$A11,Wine1!$AA:$AA,Location!N$1)</f>
        <v>0</v>
      </c>
      <c r="O11">
        <f>SUMIFS(Wine1!$I:$I,Wine1!$K:$K,Location!$A11,Wine1!$AA:$AA,Location!O$1)</f>
        <v>2</v>
      </c>
      <c r="P11">
        <f>SUMIFS(Wine1!$I:$I,Wine1!$K:$K,Location!$A11,Wine1!$AA:$AA,Location!P$1)</f>
        <v>2</v>
      </c>
      <c r="Q11">
        <f>SUMIFS(Wine1!$I:$I,Wine1!$K:$K,Location!$A11,Wine1!$AA:$AA,Location!Q$1)</f>
        <v>3</v>
      </c>
      <c r="R11">
        <f>SUMIFS(Wine1!$I:$I,Wine1!$K:$K,Location!$A11,Wine1!$AA:$AA,Location!R$1)</f>
        <v>0</v>
      </c>
      <c r="S11">
        <f>SUMIFS(Wine1!$I:$I,Wine1!$K:$K,Location!$A11,Wine1!$AA:$AA,Location!S$1)</f>
        <v>4</v>
      </c>
      <c r="T11">
        <f>SUMIFS(Wine1!$I:$I,Wine1!$K:$K,Location!$A11,Wine1!$AA:$AA,Location!T$1)</f>
        <v>1</v>
      </c>
      <c r="U11">
        <f>SUMIFS(Wine1!$I:$I,Wine1!$K:$K,Location!$A11,Wine1!$AA:$AA,Location!U$1)</f>
        <v>0</v>
      </c>
      <c r="V11">
        <f>SUMIFS(Wine1!$I:$I,Wine1!$K:$K,Location!$A11,Wine1!$AA:$AA,Location!V$1)</f>
        <v>0</v>
      </c>
      <c r="W11">
        <f>SUMIFS(Wine1!$I:$I,Wine1!$K:$K,Location!$A11,Wine1!$AA:$AA,Location!W$1)</f>
        <v>0</v>
      </c>
      <c r="X11">
        <f>SUMIFS(Wine1!$I:$I,Wine1!$K:$K,Location!$A11,Wine1!$AA:$AA,Location!X$1)</f>
        <v>0</v>
      </c>
      <c r="Y11">
        <f>SUMIFS(Wine1!$I:$I,Wine1!$K:$K,Location!$A11,Wine1!$AA:$AA,Location!Y$1)</f>
        <v>0</v>
      </c>
      <c r="Z11">
        <f>SUMIFS(Wine1!$I:$I,Wine1!$K:$K,Location!$A11,Wine1!$AA:$AA,Location!Z$1)</f>
        <v>0</v>
      </c>
      <c r="AA11">
        <f>SUMIFS(Wine1!$I:$I,Wine1!$K:$K,Location!$A11,Wine1!$AA:$AA,Location!AA$1)</f>
        <v>0</v>
      </c>
      <c r="AB11">
        <f>SUMIFS(Wine1!$I:$I,Wine1!$K:$K,Location!$A11,Wine1!$AA:$AA,Location!AB$1)</f>
        <v>0</v>
      </c>
      <c r="AC11">
        <f>SUMIFS(Wine1!$I:$I,Wine1!$K:$K,Location!$A11,Wine1!$AA:$AA,Location!AC$1)</f>
        <v>0</v>
      </c>
      <c r="AD11">
        <f>SUMIFS(Wine1!$I:$I,Wine1!$K:$K,Location!$A11,Wine1!$AA:$AA,Location!AD$1)</f>
        <v>0</v>
      </c>
      <c r="AE11">
        <f>SUMIFS(Wine1!$I:$I,Wine1!$K:$K,Location!$A11,Wine1!$AA:$AA,Location!AE$1)</f>
        <v>0</v>
      </c>
      <c r="AF11">
        <f>SUMIFS(Wine1!$I:$I,Wine1!$K:$K,Location!$A11,Wine1!$AA:$AA,Location!AF$1)</f>
        <v>0</v>
      </c>
      <c r="AG11">
        <f>SUMIFS(Wine1!$I:$I,Wine1!$K:$K,Location!$A11,Wine1!$AA:$AA,Location!AG$1)</f>
        <v>0</v>
      </c>
      <c r="AH11">
        <f>SUMIFS(Wine1!$I:$I,Wine1!$K:$K,Location!$A11,Wine1!$AA:$AA,Location!AH$1)</f>
        <v>0</v>
      </c>
      <c r="AI11">
        <f>SUMIFS(Wine1!$I:$I,Wine1!$K:$K,Location!$A11,Wine1!$AA:$AA,Location!AI$1)</f>
        <v>0</v>
      </c>
      <c r="AJ11">
        <f>SUMIFS(Wine1!$I:$I,Wine1!$K:$K,Location!$A11,Wine1!$AA:$AA,Location!AJ$1)</f>
        <v>0</v>
      </c>
      <c r="AK11">
        <f>SUMIFS(Wine1!$I:$I,Wine1!$K:$K,Location!$A11,Wine1!$AA:$AA,Location!AK$1)</f>
        <v>0</v>
      </c>
      <c r="AL11">
        <f>SUMIFS(Wine1!$I:$I,Wine1!$K:$K,Location!$A11,Wine1!$AA:$AA,Location!AL$1)</f>
        <v>0</v>
      </c>
      <c r="AM11">
        <f>SUMIFS(Wine1!$I:$I,Wine1!$K:$K,Location!$A11,Wine1!$AA:$AA,Location!AM$1)</f>
        <v>0</v>
      </c>
      <c r="AN11">
        <f>SUMIFS(Wine1!$I:$I,Wine1!$K:$K,Location!$A11,Wine1!$AA:$AA,Location!AN$1)</f>
        <v>0</v>
      </c>
      <c r="AO11">
        <f>SUMIFS(Wine1!$I:$I,Wine1!$K:$K,Location!$A11,Wine1!$AA:$AA,Location!AO$1)</f>
        <v>0</v>
      </c>
      <c r="AP11">
        <f>SUMIFS(Wine1!$I:$I,Wine1!$K:$K,Location!$A11,Wine1!$AA:$AA,Location!AP$1)</f>
        <v>0</v>
      </c>
      <c r="AQ11">
        <f>SUMIFS(Wine1!$I:$I,Wine1!$K:$K,Location!$A11,Wine1!$AA:$AA,Location!AQ$1)</f>
        <v>0</v>
      </c>
      <c r="AR11">
        <f>SUMIFS(Wine1!$I:$I,Wine1!$K:$K,Location!$A11,Wine1!$AA:$AA,Location!AR$1)</f>
        <v>0</v>
      </c>
      <c r="AS11" s="37">
        <f>SUMIFS(Wine1!$I:$I,Wine1!$K:$K,Location!$A11,Wine1!$AA:$AA,Location!AS$1)</f>
        <v>0</v>
      </c>
      <c r="AT11" s="37">
        <f>SUMIFS(Wine1!$I:$I,Wine1!$K:$K,Location!$A11,Wine1!$AA:$AA,Location!AT$1)</f>
        <v>0</v>
      </c>
      <c r="AU11" s="37">
        <f>SUMIFS(Wine1!$I:$I,Wine1!$K:$K,Location!$A11,Wine1!$AA:$AA,Location!AU$1)</f>
        <v>0</v>
      </c>
      <c r="AV11" s="37">
        <f>SUMIFS(Wine1!$I:$I,Wine1!$K:$K,Location!$A11,Wine1!$AA:$AA,Location!AV$1)</f>
        <v>0</v>
      </c>
      <c r="AW11" s="37">
        <f>SUMIFS(Wine1!$I:$I,Wine1!$K:$K,Location!$A11,Wine1!$AA:$AA,Location!AW$1)</f>
        <v>0</v>
      </c>
      <c r="AX11" s="37">
        <f>SUMIFS(Wine1!$I:$I,Wine1!$K:$K,Location!$A11,Wine1!$AA:$AA,Location!AX$1)</f>
        <v>0</v>
      </c>
      <c r="AY11" s="37">
        <f>SUMIFS(Wine1!$I:$I,Wine1!$K:$K,Location!$A11,Wine1!$AA:$AA,Location!AY$1)</f>
        <v>0</v>
      </c>
      <c r="AZ11" s="37">
        <f>SUMIFS(Wine1!$I:$I,Wine1!$K:$K,Location!$A11,Wine1!$AA:$AA,Location!AZ$1)</f>
        <v>0</v>
      </c>
      <c r="BA11" s="37">
        <f>SUMIFS(Wine1!$I:$I,Wine1!$K:$K,Location!$A11,Wine1!$AA:$AA,Location!BA$1)</f>
        <v>0</v>
      </c>
      <c r="BB11" s="37">
        <f>SUMIFS(Wine1!$I:$I,Wine1!$K:$K,Location!$A11,Wine1!$AA:$AA,Location!BB$1)</f>
        <v>0</v>
      </c>
      <c r="BC11" s="37">
        <f>SUMIFS(Wine1!$I:$I,Wine1!$K:$K,Location!$A11,Wine1!$AA:$AA,Location!BC$1)</f>
        <v>0</v>
      </c>
      <c r="BD11" s="37">
        <f>SUMIFS(Wine1!$I:$I,Wine1!$K:$K,Location!$A11,Wine1!$AA:$AA,Location!BD$1)</f>
        <v>0</v>
      </c>
      <c r="BE11" s="37">
        <f>SUMIFS(Wine1!$I:$I,Wine1!$K:$K,Location!$A11,Wine1!$AA:$AA,Location!BE$1)</f>
        <v>0</v>
      </c>
      <c r="BF11" s="37">
        <f>SUMIFS(Wine1!$I:$I,Wine1!$K:$K,Location!$A11,Wine1!$AA:$AA,Location!BF$1)</f>
        <v>0</v>
      </c>
      <c r="BG11" s="37">
        <f>SUMIFS(Wine1!$I:$I,Wine1!$K:$K,Location!$A11,Wine1!$AA:$AA,Location!BG$1)</f>
        <v>0</v>
      </c>
      <c r="BH11" s="37">
        <f>SUMIFS(Wine1!$I:$I,Wine1!$K:$K,Location!$A11,Wine1!$AA:$AA,Location!BH$1)</f>
        <v>0</v>
      </c>
      <c r="BI11" s="37">
        <f>SUMIFS(Wine1!$I:$I,Wine1!$K:$K,Location!$A11,Wine1!$AA:$AA,Location!BI$1)</f>
        <v>0</v>
      </c>
    </row>
    <row r="12" spans="1:71" x14ac:dyDescent="0.25">
      <c r="A12" s="38" t="s">
        <v>649</v>
      </c>
      <c r="B12">
        <f>SUMIF(Wine1!K:K,Location!A12,Wine1!I:I)</f>
        <v>12</v>
      </c>
      <c r="C12">
        <v>12</v>
      </c>
      <c r="D12">
        <f t="shared" si="0"/>
        <v>0</v>
      </c>
      <c r="E12" t="s">
        <v>603</v>
      </c>
      <c r="F12" s="37" t="s">
        <v>1533</v>
      </c>
      <c r="G12" s="1">
        <v>43806</v>
      </c>
      <c r="H12" s="56">
        <f>COUNTIFS(Wine1!$K:$K,Location!$A12,Wine1!$AF:$AF,Location!H$1)</f>
        <v>6</v>
      </c>
      <c r="I12" s="57">
        <f>COUNTIFS(Wine1!$K:$K,Location!$A12,Wine1!$AF:$AF,Location!I$1)</f>
        <v>6</v>
      </c>
      <c r="J12" s="57">
        <f>COUNTIFS(Wine1!$K:$K,Location!$A12,Wine1!$AF:$AF,Location!J$1)</f>
        <v>0</v>
      </c>
      <c r="K12" s="58">
        <f>COUNTIFS(Wine1!$K:$K,Location!$A12,Wine1!$AF:$AF,Location!K$1)</f>
        <v>0</v>
      </c>
      <c r="L12" s="18">
        <f>IFERROR(AVERAGEIF(Wine1!K:K,Location!A12,Wine1!AA:AA),"Empty")</f>
        <v>2024.5833333333333</v>
      </c>
      <c r="M12">
        <f>SUMIFS(Wine1!$I:$I,Wine1!$K:$K,Location!$A12,Wine1!$AA:$AA,Location!M$1)</f>
        <v>0</v>
      </c>
      <c r="N12">
        <f>SUMIFS(Wine1!$I:$I,Wine1!$K:$K,Location!$A12,Wine1!$AA:$AA,Location!N$1)</f>
        <v>0</v>
      </c>
      <c r="O12">
        <f>SUMIFS(Wine1!$I:$I,Wine1!$K:$K,Location!$A12,Wine1!$AA:$AA,Location!O$1)</f>
        <v>2</v>
      </c>
      <c r="P12">
        <f>SUMIFS(Wine1!$I:$I,Wine1!$K:$K,Location!$A12,Wine1!$AA:$AA,Location!P$1)</f>
        <v>2</v>
      </c>
      <c r="Q12">
        <f>SUMIFS(Wine1!$I:$I,Wine1!$K:$K,Location!$A12,Wine1!$AA:$AA,Location!Q$1)</f>
        <v>4</v>
      </c>
      <c r="R12">
        <f>SUMIFS(Wine1!$I:$I,Wine1!$K:$K,Location!$A12,Wine1!$AA:$AA,Location!R$1)</f>
        <v>1</v>
      </c>
      <c r="S12">
        <f>SUMIFS(Wine1!$I:$I,Wine1!$K:$K,Location!$A12,Wine1!$AA:$AA,Location!S$1)</f>
        <v>1</v>
      </c>
      <c r="T12">
        <f>SUMIFS(Wine1!$I:$I,Wine1!$K:$K,Location!$A12,Wine1!$AA:$AA,Location!T$1)</f>
        <v>0</v>
      </c>
      <c r="U12">
        <f>SUMIFS(Wine1!$I:$I,Wine1!$K:$K,Location!$A12,Wine1!$AA:$AA,Location!U$1)</f>
        <v>1</v>
      </c>
      <c r="V12">
        <f>SUMIFS(Wine1!$I:$I,Wine1!$K:$K,Location!$A12,Wine1!$AA:$AA,Location!V$1)</f>
        <v>0</v>
      </c>
      <c r="W12">
        <f>SUMIFS(Wine1!$I:$I,Wine1!$K:$K,Location!$A12,Wine1!$AA:$AA,Location!W$1)</f>
        <v>1</v>
      </c>
      <c r="X12">
        <f>SUMIFS(Wine1!$I:$I,Wine1!$K:$K,Location!$A12,Wine1!$AA:$AA,Location!X$1)</f>
        <v>0</v>
      </c>
      <c r="Y12">
        <f>SUMIFS(Wine1!$I:$I,Wine1!$K:$K,Location!$A12,Wine1!$AA:$AA,Location!Y$1)</f>
        <v>0</v>
      </c>
      <c r="Z12">
        <f>SUMIFS(Wine1!$I:$I,Wine1!$K:$K,Location!$A12,Wine1!$AA:$AA,Location!Z$1)</f>
        <v>0</v>
      </c>
      <c r="AA12">
        <f>SUMIFS(Wine1!$I:$I,Wine1!$K:$K,Location!$A12,Wine1!$AA:$AA,Location!AA$1)</f>
        <v>0</v>
      </c>
      <c r="AB12">
        <f>SUMIFS(Wine1!$I:$I,Wine1!$K:$K,Location!$A12,Wine1!$AA:$AA,Location!AB$1)</f>
        <v>0</v>
      </c>
      <c r="AC12">
        <f>SUMIFS(Wine1!$I:$I,Wine1!$K:$K,Location!$A12,Wine1!$AA:$AA,Location!AC$1)</f>
        <v>0</v>
      </c>
      <c r="AD12">
        <f>SUMIFS(Wine1!$I:$I,Wine1!$K:$K,Location!$A12,Wine1!$AA:$AA,Location!AD$1)</f>
        <v>0</v>
      </c>
      <c r="AE12">
        <f>SUMIFS(Wine1!$I:$I,Wine1!$K:$K,Location!$A12,Wine1!$AA:$AA,Location!AE$1)</f>
        <v>0</v>
      </c>
      <c r="AF12">
        <f>SUMIFS(Wine1!$I:$I,Wine1!$K:$K,Location!$A12,Wine1!$AA:$AA,Location!AF$1)</f>
        <v>0</v>
      </c>
      <c r="AG12">
        <f>SUMIFS(Wine1!$I:$I,Wine1!$K:$K,Location!$A12,Wine1!$AA:$AA,Location!AG$1)</f>
        <v>0</v>
      </c>
      <c r="AH12">
        <f>SUMIFS(Wine1!$I:$I,Wine1!$K:$K,Location!$A12,Wine1!$AA:$AA,Location!AH$1)</f>
        <v>0</v>
      </c>
      <c r="AI12">
        <f>SUMIFS(Wine1!$I:$I,Wine1!$K:$K,Location!$A12,Wine1!$AA:$AA,Location!AI$1)</f>
        <v>0</v>
      </c>
      <c r="AJ12">
        <f>SUMIFS(Wine1!$I:$I,Wine1!$K:$K,Location!$A12,Wine1!$AA:$AA,Location!AJ$1)</f>
        <v>0</v>
      </c>
      <c r="AK12">
        <f>SUMIFS(Wine1!$I:$I,Wine1!$K:$K,Location!$A12,Wine1!$AA:$AA,Location!AK$1)</f>
        <v>0</v>
      </c>
      <c r="AL12">
        <f>SUMIFS(Wine1!$I:$I,Wine1!$K:$K,Location!$A12,Wine1!$AA:$AA,Location!AL$1)</f>
        <v>0</v>
      </c>
      <c r="AM12">
        <f>SUMIFS(Wine1!$I:$I,Wine1!$K:$K,Location!$A12,Wine1!$AA:$AA,Location!AM$1)</f>
        <v>0</v>
      </c>
      <c r="AN12">
        <f>SUMIFS(Wine1!$I:$I,Wine1!$K:$K,Location!$A12,Wine1!$AA:$AA,Location!AN$1)</f>
        <v>0</v>
      </c>
      <c r="AO12">
        <f>SUMIFS(Wine1!$I:$I,Wine1!$K:$K,Location!$A12,Wine1!$AA:$AA,Location!AO$1)</f>
        <v>0</v>
      </c>
      <c r="AP12">
        <f>SUMIFS(Wine1!$I:$I,Wine1!$K:$K,Location!$A12,Wine1!$AA:$AA,Location!AP$1)</f>
        <v>0</v>
      </c>
      <c r="AQ12">
        <f>SUMIFS(Wine1!$I:$I,Wine1!$K:$K,Location!$A12,Wine1!$AA:$AA,Location!AQ$1)</f>
        <v>0</v>
      </c>
      <c r="AR12">
        <f>SUMIFS(Wine1!$I:$I,Wine1!$K:$K,Location!$A12,Wine1!$AA:$AA,Location!AR$1)</f>
        <v>0</v>
      </c>
      <c r="AS12" s="37">
        <f>SUMIFS(Wine1!$I:$I,Wine1!$K:$K,Location!$A12,Wine1!$AA:$AA,Location!AS$1)</f>
        <v>0</v>
      </c>
      <c r="AT12" s="37">
        <f>SUMIFS(Wine1!$I:$I,Wine1!$K:$K,Location!$A12,Wine1!$AA:$AA,Location!AT$1)</f>
        <v>0</v>
      </c>
      <c r="AU12" s="37">
        <f>SUMIFS(Wine1!$I:$I,Wine1!$K:$K,Location!$A12,Wine1!$AA:$AA,Location!AU$1)</f>
        <v>0</v>
      </c>
      <c r="AV12" s="37">
        <f>SUMIFS(Wine1!$I:$I,Wine1!$K:$K,Location!$A12,Wine1!$AA:$AA,Location!AV$1)</f>
        <v>0</v>
      </c>
      <c r="AW12" s="37">
        <f>SUMIFS(Wine1!$I:$I,Wine1!$K:$K,Location!$A12,Wine1!$AA:$AA,Location!AW$1)</f>
        <v>0</v>
      </c>
      <c r="AX12" s="37">
        <f>SUMIFS(Wine1!$I:$I,Wine1!$K:$K,Location!$A12,Wine1!$AA:$AA,Location!AX$1)</f>
        <v>0</v>
      </c>
      <c r="AY12" s="37">
        <f>SUMIFS(Wine1!$I:$I,Wine1!$K:$K,Location!$A12,Wine1!$AA:$AA,Location!AY$1)</f>
        <v>0</v>
      </c>
      <c r="AZ12" s="37">
        <f>SUMIFS(Wine1!$I:$I,Wine1!$K:$K,Location!$A12,Wine1!$AA:$AA,Location!AZ$1)</f>
        <v>0</v>
      </c>
      <c r="BA12" s="37">
        <f>SUMIFS(Wine1!$I:$I,Wine1!$K:$K,Location!$A12,Wine1!$AA:$AA,Location!BA$1)</f>
        <v>0</v>
      </c>
      <c r="BB12" s="37">
        <f>SUMIFS(Wine1!$I:$I,Wine1!$K:$K,Location!$A12,Wine1!$AA:$AA,Location!BB$1)</f>
        <v>0</v>
      </c>
      <c r="BC12" s="37">
        <f>SUMIFS(Wine1!$I:$I,Wine1!$K:$K,Location!$A12,Wine1!$AA:$AA,Location!BC$1)</f>
        <v>0</v>
      </c>
      <c r="BD12" s="37">
        <f>SUMIFS(Wine1!$I:$I,Wine1!$K:$K,Location!$A12,Wine1!$AA:$AA,Location!BD$1)</f>
        <v>0</v>
      </c>
      <c r="BE12" s="37">
        <f>SUMIFS(Wine1!$I:$I,Wine1!$K:$K,Location!$A12,Wine1!$AA:$AA,Location!BE$1)</f>
        <v>0</v>
      </c>
      <c r="BF12" s="37">
        <f>SUMIFS(Wine1!$I:$I,Wine1!$K:$K,Location!$A12,Wine1!$AA:$AA,Location!BF$1)</f>
        <v>0</v>
      </c>
      <c r="BG12" s="37">
        <f>SUMIFS(Wine1!$I:$I,Wine1!$K:$K,Location!$A12,Wine1!$AA:$AA,Location!BG$1)</f>
        <v>0</v>
      </c>
      <c r="BH12" s="37">
        <f>SUMIFS(Wine1!$I:$I,Wine1!$K:$K,Location!$A12,Wine1!$AA:$AA,Location!BH$1)</f>
        <v>0</v>
      </c>
      <c r="BI12" s="37">
        <f>SUMIFS(Wine1!$I:$I,Wine1!$K:$K,Location!$A12,Wine1!$AA:$AA,Location!BI$1)</f>
        <v>0</v>
      </c>
    </row>
    <row r="13" spans="1:71" x14ac:dyDescent="0.25">
      <c r="A13" s="38" t="s">
        <v>648</v>
      </c>
      <c r="B13">
        <f>SUMIF(Wine1!K:K,Location!A13,Wine1!I:I)</f>
        <v>12</v>
      </c>
      <c r="C13">
        <v>12</v>
      </c>
      <c r="D13">
        <f t="shared" si="0"/>
        <v>0</v>
      </c>
      <c r="E13" t="s">
        <v>603</v>
      </c>
      <c r="F13" s="37" t="s">
        <v>1533</v>
      </c>
      <c r="G13" s="1">
        <v>43810</v>
      </c>
      <c r="H13" s="56">
        <f>COUNTIFS(Wine1!$K:$K,Location!$A13,Wine1!$AF:$AF,Location!H$1)</f>
        <v>0</v>
      </c>
      <c r="I13" s="57">
        <f>COUNTIFS(Wine1!$K:$K,Location!$A13,Wine1!$AF:$AF,Location!I$1)</f>
        <v>2</v>
      </c>
      <c r="J13" s="57">
        <f>COUNTIFS(Wine1!$K:$K,Location!$A13,Wine1!$AF:$AF,Location!J$1)</f>
        <v>10</v>
      </c>
      <c r="K13" s="58">
        <f>COUNTIFS(Wine1!$K:$K,Location!$A13,Wine1!$AF:$AF,Location!K$1)</f>
        <v>0</v>
      </c>
      <c r="L13" s="18">
        <f>IFERROR(AVERAGEIF(Wine1!K:K,Location!A13,Wine1!AA:AA),"Empty")</f>
        <v>2029.4166666666667</v>
      </c>
      <c r="M13">
        <f>SUMIFS(Wine1!$I:$I,Wine1!$K:$K,Location!$A13,Wine1!$AA:$AA,Location!M$1)</f>
        <v>0</v>
      </c>
      <c r="N13">
        <f>SUMIFS(Wine1!$I:$I,Wine1!$K:$K,Location!$A13,Wine1!$AA:$AA,Location!N$1)</f>
        <v>0</v>
      </c>
      <c r="O13">
        <f>SUMIFS(Wine1!$I:$I,Wine1!$K:$K,Location!$A13,Wine1!$AA:$AA,Location!O$1)</f>
        <v>0</v>
      </c>
      <c r="P13">
        <f>SUMIFS(Wine1!$I:$I,Wine1!$K:$K,Location!$A13,Wine1!$AA:$AA,Location!P$1)</f>
        <v>0</v>
      </c>
      <c r="Q13">
        <f>SUMIFS(Wine1!$I:$I,Wine1!$K:$K,Location!$A13,Wine1!$AA:$AA,Location!Q$1)</f>
        <v>1</v>
      </c>
      <c r="R13">
        <f>SUMIFS(Wine1!$I:$I,Wine1!$K:$K,Location!$A13,Wine1!$AA:$AA,Location!R$1)</f>
        <v>1</v>
      </c>
      <c r="S13">
        <f>SUMIFS(Wine1!$I:$I,Wine1!$K:$K,Location!$A13,Wine1!$AA:$AA,Location!S$1)</f>
        <v>0</v>
      </c>
      <c r="T13">
        <f>SUMIFS(Wine1!$I:$I,Wine1!$K:$K,Location!$A13,Wine1!$AA:$AA,Location!T$1)</f>
        <v>2</v>
      </c>
      <c r="U13">
        <f>SUMIFS(Wine1!$I:$I,Wine1!$K:$K,Location!$A13,Wine1!$AA:$AA,Location!U$1)</f>
        <v>1</v>
      </c>
      <c r="V13">
        <f>SUMIFS(Wine1!$I:$I,Wine1!$K:$K,Location!$A13,Wine1!$AA:$AA,Location!V$1)</f>
        <v>1</v>
      </c>
      <c r="W13">
        <f>SUMIFS(Wine1!$I:$I,Wine1!$K:$K,Location!$A13,Wine1!$AA:$AA,Location!W$1)</f>
        <v>4</v>
      </c>
      <c r="X13">
        <f>SUMIFS(Wine1!$I:$I,Wine1!$K:$K,Location!$A13,Wine1!$AA:$AA,Location!X$1)</f>
        <v>0</v>
      </c>
      <c r="Y13">
        <f>SUMIFS(Wine1!$I:$I,Wine1!$K:$K,Location!$A13,Wine1!$AA:$AA,Location!Y$1)</f>
        <v>1</v>
      </c>
      <c r="Z13">
        <f>SUMIFS(Wine1!$I:$I,Wine1!$K:$K,Location!$A13,Wine1!$AA:$AA,Location!Z$1)</f>
        <v>0</v>
      </c>
      <c r="AA13">
        <f>SUMIFS(Wine1!$I:$I,Wine1!$K:$K,Location!$A13,Wine1!$AA:$AA,Location!AA$1)</f>
        <v>0</v>
      </c>
      <c r="AB13">
        <f>SUMIFS(Wine1!$I:$I,Wine1!$K:$K,Location!$A13,Wine1!$AA:$AA,Location!AB$1)</f>
        <v>0</v>
      </c>
      <c r="AC13">
        <f>SUMIFS(Wine1!$I:$I,Wine1!$K:$K,Location!$A13,Wine1!$AA:$AA,Location!AC$1)</f>
        <v>0</v>
      </c>
      <c r="AD13">
        <f>SUMIFS(Wine1!$I:$I,Wine1!$K:$K,Location!$A13,Wine1!$AA:$AA,Location!AD$1)</f>
        <v>0</v>
      </c>
      <c r="AE13">
        <f>SUMIFS(Wine1!$I:$I,Wine1!$K:$K,Location!$A13,Wine1!$AA:$AA,Location!AE$1)</f>
        <v>0</v>
      </c>
      <c r="AF13">
        <f>SUMIFS(Wine1!$I:$I,Wine1!$K:$K,Location!$A13,Wine1!$AA:$AA,Location!AF$1)</f>
        <v>0</v>
      </c>
      <c r="AG13">
        <f>SUMIFS(Wine1!$I:$I,Wine1!$K:$K,Location!$A13,Wine1!$AA:$AA,Location!AG$1)</f>
        <v>0</v>
      </c>
      <c r="AH13">
        <f>SUMIFS(Wine1!$I:$I,Wine1!$K:$K,Location!$A13,Wine1!$AA:$AA,Location!AH$1)</f>
        <v>1</v>
      </c>
      <c r="AI13">
        <f>SUMIFS(Wine1!$I:$I,Wine1!$K:$K,Location!$A13,Wine1!$AA:$AA,Location!AI$1)</f>
        <v>0</v>
      </c>
      <c r="AJ13">
        <f>SUMIFS(Wine1!$I:$I,Wine1!$K:$K,Location!$A13,Wine1!$AA:$AA,Location!AJ$1)</f>
        <v>0</v>
      </c>
      <c r="AK13">
        <f>SUMIFS(Wine1!$I:$I,Wine1!$K:$K,Location!$A13,Wine1!$AA:$AA,Location!AK$1)</f>
        <v>0</v>
      </c>
      <c r="AL13">
        <f>SUMIFS(Wine1!$I:$I,Wine1!$K:$K,Location!$A13,Wine1!$AA:$AA,Location!AL$1)</f>
        <v>0</v>
      </c>
      <c r="AM13">
        <f>SUMIFS(Wine1!$I:$I,Wine1!$K:$K,Location!$A13,Wine1!$AA:$AA,Location!AM$1)</f>
        <v>0</v>
      </c>
      <c r="AN13">
        <f>SUMIFS(Wine1!$I:$I,Wine1!$K:$K,Location!$A13,Wine1!$AA:$AA,Location!AN$1)</f>
        <v>0</v>
      </c>
      <c r="AO13">
        <f>SUMIFS(Wine1!$I:$I,Wine1!$K:$K,Location!$A13,Wine1!$AA:$AA,Location!AO$1)</f>
        <v>0</v>
      </c>
      <c r="AP13">
        <f>SUMIFS(Wine1!$I:$I,Wine1!$K:$K,Location!$A13,Wine1!$AA:$AA,Location!AP$1)</f>
        <v>0</v>
      </c>
      <c r="AQ13">
        <f>SUMIFS(Wine1!$I:$I,Wine1!$K:$K,Location!$A13,Wine1!$AA:$AA,Location!AQ$1)</f>
        <v>0</v>
      </c>
      <c r="AR13">
        <f>SUMIFS(Wine1!$I:$I,Wine1!$K:$K,Location!$A13,Wine1!$AA:$AA,Location!AR$1)</f>
        <v>0</v>
      </c>
      <c r="AS13" s="37">
        <f>SUMIFS(Wine1!$I:$I,Wine1!$K:$K,Location!$A13,Wine1!$AA:$AA,Location!AS$1)</f>
        <v>0</v>
      </c>
      <c r="AT13" s="37">
        <f>SUMIFS(Wine1!$I:$I,Wine1!$K:$K,Location!$A13,Wine1!$AA:$AA,Location!AT$1)</f>
        <v>0</v>
      </c>
      <c r="AU13" s="37">
        <f>SUMIFS(Wine1!$I:$I,Wine1!$K:$K,Location!$A13,Wine1!$AA:$AA,Location!AU$1)</f>
        <v>0</v>
      </c>
      <c r="AV13" s="37">
        <f>SUMIFS(Wine1!$I:$I,Wine1!$K:$K,Location!$A13,Wine1!$AA:$AA,Location!AV$1)</f>
        <v>0</v>
      </c>
      <c r="AW13" s="37">
        <f>SUMIFS(Wine1!$I:$I,Wine1!$K:$K,Location!$A13,Wine1!$AA:$AA,Location!AW$1)</f>
        <v>0</v>
      </c>
      <c r="AX13" s="37">
        <f>SUMIFS(Wine1!$I:$I,Wine1!$K:$K,Location!$A13,Wine1!$AA:$AA,Location!AX$1)</f>
        <v>0</v>
      </c>
      <c r="AY13" s="37">
        <f>SUMIFS(Wine1!$I:$I,Wine1!$K:$K,Location!$A13,Wine1!$AA:$AA,Location!AY$1)</f>
        <v>0</v>
      </c>
      <c r="AZ13" s="37">
        <f>SUMIFS(Wine1!$I:$I,Wine1!$K:$K,Location!$A13,Wine1!$AA:$AA,Location!AZ$1)</f>
        <v>0</v>
      </c>
      <c r="BA13" s="37">
        <f>SUMIFS(Wine1!$I:$I,Wine1!$K:$K,Location!$A13,Wine1!$AA:$AA,Location!BA$1)</f>
        <v>0</v>
      </c>
      <c r="BB13" s="37">
        <f>SUMIFS(Wine1!$I:$I,Wine1!$K:$K,Location!$A13,Wine1!$AA:$AA,Location!BB$1)</f>
        <v>0</v>
      </c>
      <c r="BC13" s="37">
        <f>SUMIFS(Wine1!$I:$I,Wine1!$K:$K,Location!$A13,Wine1!$AA:$AA,Location!BC$1)</f>
        <v>0</v>
      </c>
      <c r="BD13" s="37">
        <f>SUMIFS(Wine1!$I:$I,Wine1!$K:$K,Location!$A13,Wine1!$AA:$AA,Location!BD$1)</f>
        <v>0</v>
      </c>
      <c r="BE13" s="37">
        <f>SUMIFS(Wine1!$I:$I,Wine1!$K:$K,Location!$A13,Wine1!$AA:$AA,Location!BE$1)</f>
        <v>0</v>
      </c>
      <c r="BF13" s="37">
        <f>SUMIFS(Wine1!$I:$I,Wine1!$K:$K,Location!$A13,Wine1!$AA:$AA,Location!BF$1)</f>
        <v>0</v>
      </c>
      <c r="BG13" s="37">
        <f>SUMIFS(Wine1!$I:$I,Wine1!$K:$K,Location!$A13,Wine1!$AA:$AA,Location!BG$1)</f>
        <v>0</v>
      </c>
      <c r="BH13" s="37">
        <f>SUMIFS(Wine1!$I:$I,Wine1!$K:$K,Location!$A13,Wine1!$AA:$AA,Location!BH$1)</f>
        <v>0</v>
      </c>
      <c r="BI13" s="37">
        <f>SUMIFS(Wine1!$I:$I,Wine1!$K:$K,Location!$A13,Wine1!$AA:$AA,Location!BI$1)</f>
        <v>0</v>
      </c>
    </row>
    <row r="14" spans="1:71" x14ac:dyDescent="0.25">
      <c r="A14" s="38" t="s">
        <v>647</v>
      </c>
      <c r="B14" s="64">
        <f>SUMIF(Wine1!K:K,Location!A14,Wine1!I:I)</f>
        <v>11</v>
      </c>
      <c r="C14">
        <v>12</v>
      </c>
      <c r="D14">
        <f t="shared" si="0"/>
        <v>1</v>
      </c>
      <c r="E14" s="37" t="s">
        <v>603</v>
      </c>
      <c r="F14" s="37" t="s">
        <v>1533</v>
      </c>
      <c r="G14" s="1">
        <v>43806</v>
      </c>
      <c r="H14" s="56">
        <f>COUNTIFS(Wine1!$K:$K,Location!$A14,Wine1!$AF:$AF,Location!H$1)</f>
        <v>2</v>
      </c>
      <c r="I14" s="57">
        <f>COUNTIFS(Wine1!$K:$K,Location!$A14,Wine1!$AF:$AF,Location!I$1)</f>
        <v>9</v>
      </c>
      <c r="J14" s="57">
        <f>COUNTIFS(Wine1!$K:$K,Location!$A14,Wine1!$AF:$AF,Location!J$1)</f>
        <v>0</v>
      </c>
      <c r="K14" s="58">
        <f>COUNTIFS(Wine1!$K:$K,Location!$A14,Wine1!$AF:$AF,Location!K$1)</f>
        <v>0</v>
      </c>
      <c r="L14" s="18">
        <f>IFERROR(AVERAGEIF(Wine1!K:K,Location!A14,Wine1!AA:AA),"Empty")</f>
        <v>2024.8181818181818</v>
      </c>
      <c r="M14">
        <f>SUMIFS(Wine1!$I:$I,Wine1!$K:$K,Location!$A14,Wine1!$AA:$AA,Location!M$1)</f>
        <v>0</v>
      </c>
      <c r="N14">
        <f>SUMIFS(Wine1!$I:$I,Wine1!$K:$K,Location!$A14,Wine1!$AA:$AA,Location!N$1)</f>
        <v>1</v>
      </c>
      <c r="O14">
        <f>SUMIFS(Wine1!$I:$I,Wine1!$K:$K,Location!$A14,Wine1!$AA:$AA,Location!O$1)</f>
        <v>1</v>
      </c>
      <c r="P14">
        <f>SUMIFS(Wine1!$I:$I,Wine1!$K:$K,Location!$A14,Wine1!$AA:$AA,Location!P$1)</f>
        <v>1</v>
      </c>
      <c r="Q14">
        <f>SUMIFS(Wine1!$I:$I,Wine1!$K:$K,Location!$A14,Wine1!$AA:$AA,Location!Q$1)</f>
        <v>2</v>
      </c>
      <c r="R14">
        <f>SUMIFS(Wine1!$I:$I,Wine1!$K:$K,Location!$A14,Wine1!$AA:$AA,Location!R$1)</f>
        <v>3</v>
      </c>
      <c r="S14">
        <f>SUMIFS(Wine1!$I:$I,Wine1!$K:$K,Location!$A14,Wine1!$AA:$AA,Location!S$1)</f>
        <v>0</v>
      </c>
      <c r="T14">
        <f>SUMIFS(Wine1!$I:$I,Wine1!$K:$K,Location!$A14,Wine1!$AA:$AA,Location!T$1)</f>
        <v>1</v>
      </c>
      <c r="U14">
        <f>SUMIFS(Wine1!$I:$I,Wine1!$K:$K,Location!$A14,Wine1!$AA:$AA,Location!U$1)</f>
        <v>1</v>
      </c>
      <c r="V14">
        <f>SUMIFS(Wine1!$I:$I,Wine1!$K:$K,Location!$A14,Wine1!$AA:$AA,Location!V$1)</f>
        <v>1</v>
      </c>
      <c r="W14">
        <f>SUMIFS(Wine1!$I:$I,Wine1!$K:$K,Location!$A14,Wine1!$AA:$AA,Location!W$1)</f>
        <v>0</v>
      </c>
      <c r="X14">
        <f>SUMIFS(Wine1!$I:$I,Wine1!$K:$K,Location!$A14,Wine1!$AA:$AA,Location!X$1)</f>
        <v>0</v>
      </c>
      <c r="Y14">
        <f>SUMIFS(Wine1!$I:$I,Wine1!$K:$K,Location!$A14,Wine1!$AA:$AA,Location!Y$1)</f>
        <v>0</v>
      </c>
      <c r="Z14">
        <f>SUMIFS(Wine1!$I:$I,Wine1!$K:$K,Location!$A14,Wine1!$AA:$AA,Location!Z$1)</f>
        <v>0</v>
      </c>
      <c r="AA14">
        <f>SUMIFS(Wine1!$I:$I,Wine1!$K:$K,Location!$A14,Wine1!$AA:$AA,Location!AA$1)</f>
        <v>0</v>
      </c>
      <c r="AB14">
        <f>SUMIFS(Wine1!$I:$I,Wine1!$K:$K,Location!$A14,Wine1!$AA:$AA,Location!AB$1)</f>
        <v>0</v>
      </c>
      <c r="AC14">
        <f>SUMIFS(Wine1!$I:$I,Wine1!$K:$K,Location!$A14,Wine1!$AA:$AA,Location!AC$1)</f>
        <v>0</v>
      </c>
      <c r="AD14">
        <f>SUMIFS(Wine1!$I:$I,Wine1!$K:$K,Location!$A14,Wine1!$AA:$AA,Location!AD$1)</f>
        <v>0</v>
      </c>
      <c r="AE14">
        <f>SUMIFS(Wine1!$I:$I,Wine1!$K:$K,Location!$A14,Wine1!$AA:$AA,Location!AE$1)</f>
        <v>0</v>
      </c>
      <c r="AF14">
        <f>SUMIFS(Wine1!$I:$I,Wine1!$K:$K,Location!$A14,Wine1!$AA:$AA,Location!AF$1)</f>
        <v>0</v>
      </c>
      <c r="AG14">
        <f>SUMIFS(Wine1!$I:$I,Wine1!$K:$K,Location!$A14,Wine1!$AA:$AA,Location!AG$1)</f>
        <v>0</v>
      </c>
      <c r="AH14">
        <f>SUMIFS(Wine1!$I:$I,Wine1!$K:$K,Location!$A14,Wine1!$AA:$AA,Location!AH$1)</f>
        <v>0</v>
      </c>
      <c r="AI14">
        <f>SUMIFS(Wine1!$I:$I,Wine1!$K:$K,Location!$A14,Wine1!$AA:$AA,Location!AI$1)</f>
        <v>0</v>
      </c>
      <c r="AJ14">
        <f>SUMIFS(Wine1!$I:$I,Wine1!$K:$K,Location!$A14,Wine1!$AA:$AA,Location!AJ$1)</f>
        <v>0</v>
      </c>
      <c r="AK14">
        <f>SUMIFS(Wine1!$I:$I,Wine1!$K:$K,Location!$A14,Wine1!$AA:$AA,Location!AK$1)</f>
        <v>0</v>
      </c>
      <c r="AL14">
        <f>SUMIFS(Wine1!$I:$I,Wine1!$K:$K,Location!$A14,Wine1!$AA:$AA,Location!AL$1)</f>
        <v>0</v>
      </c>
      <c r="AM14">
        <f>SUMIFS(Wine1!$I:$I,Wine1!$K:$K,Location!$A14,Wine1!$AA:$AA,Location!AM$1)</f>
        <v>0</v>
      </c>
      <c r="AN14">
        <f>SUMIFS(Wine1!$I:$I,Wine1!$K:$K,Location!$A14,Wine1!$AA:$AA,Location!AN$1)</f>
        <v>0</v>
      </c>
      <c r="AO14">
        <f>SUMIFS(Wine1!$I:$I,Wine1!$K:$K,Location!$A14,Wine1!$AA:$AA,Location!AO$1)</f>
        <v>0</v>
      </c>
      <c r="AP14">
        <f>SUMIFS(Wine1!$I:$I,Wine1!$K:$K,Location!$A14,Wine1!$AA:$AA,Location!AP$1)</f>
        <v>0</v>
      </c>
      <c r="AQ14">
        <f>SUMIFS(Wine1!$I:$I,Wine1!$K:$K,Location!$A14,Wine1!$AA:$AA,Location!AQ$1)</f>
        <v>0</v>
      </c>
      <c r="AR14">
        <f>SUMIFS(Wine1!$I:$I,Wine1!$K:$K,Location!$A14,Wine1!$AA:$AA,Location!AR$1)</f>
        <v>0</v>
      </c>
      <c r="AS14" s="37">
        <f>SUMIFS(Wine1!$I:$I,Wine1!$K:$K,Location!$A14,Wine1!$AA:$AA,Location!AS$1)</f>
        <v>0</v>
      </c>
      <c r="AT14" s="37">
        <f>SUMIFS(Wine1!$I:$I,Wine1!$K:$K,Location!$A14,Wine1!$AA:$AA,Location!AT$1)</f>
        <v>0</v>
      </c>
      <c r="AU14" s="37">
        <f>SUMIFS(Wine1!$I:$I,Wine1!$K:$K,Location!$A14,Wine1!$AA:$AA,Location!AU$1)</f>
        <v>0</v>
      </c>
      <c r="AV14" s="37">
        <f>SUMIFS(Wine1!$I:$I,Wine1!$K:$K,Location!$A14,Wine1!$AA:$AA,Location!AV$1)</f>
        <v>0</v>
      </c>
      <c r="AW14" s="37">
        <f>SUMIFS(Wine1!$I:$I,Wine1!$K:$K,Location!$A14,Wine1!$AA:$AA,Location!AW$1)</f>
        <v>0</v>
      </c>
      <c r="AX14" s="37">
        <f>SUMIFS(Wine1!$I:$I,Wine1!$K:$K,Location!$A14,Wine1!$AA:$AA,Location!AX$1)</f>
        <v>0</v>
      </c>
      <c r="AY14" s="37">
        <f>SUMIFS(Wine1!$I:$I,Wine1!$K:$K,Location!$A14,Wine1!$AA:$AA,Location!AY$1)</f>
        <v>0</v>
      </c>
      <c r="AZ14" s="37">
        <f>SUMIFS(Wine1!$I:$I,Wine1!$K:$K,Location!$A14,Wine1!$AA:$AA,Location!AZ$1)</f>
        <v>0</v>
      </c>
      <c r="BA14" s="37">
        <f>SUMIFS(Wine1!$I:$I,Wine1!$K:$K,Location!$A14,Wine1!$AA:$AA,Location!BA$1)</f>
        <v>0</v>
      </c>
      <c r="BB14" s="37">
        <f>SUMIFS(Wine1!$I:$I,Wine1!$K:$K,Location!$A14,Wine1!$AA:$AA,Location!BB$1)</f>
        <v>0</v>
      </c>
      <c r="BC14" s="37">
        <f>SUMIFS(Wine1!$I:$I,Wine1!$K:$K,Location!$A14,Wine1!$AA:$AA,Location!BC$1)</f>
        <v>0</v>
      </c>
      <c r="BD14" s="37">
        <f>SUMIFS(Wine1!$I:$I,Wine1!$K:$K,Location!$A14,Wine1!$AA:$AA,Location!BD$1)</f>
        <v>0</v>
      </c>
      <c r="BE14" s="37">
        <f>SUMIFS(Wine1!$I:$I,Wine1!$K:$K,Location!$A14,Wine1!$AA:$AA,Location!BE$1)</f>
        <v>0</v>
      </c>
      <c r="BF14" s="37">
        <f>SUMIFS(Wine1!$I:$I,Wine1!$K:$K,Location!$A14,Wine1!$AA:$AA,Location!BF$1)</f>
        <v>0</v>
      </c>
      <c r="BG14" s="37">
        <f>SUMIFS(Wine1!$I:$I,Wine1!$K:$K,Location!$A14,Wine1!$AA:$AA,Location!BG$1)</f>
        <v>0</v>
      </c>
      <c r="BH14" s="37">
        <f>SUMIFS(Wine1!$I:$I,Wine1!$K:$K,Location!$A14,Wine1!$AA:$AA,Location!BH$1)</f>
        <v>0</v>
      </c>
      <c r="BI14" s="37">
        <f>SUMIFS(Wine1!$I:$I,Wine1!$K:$K,Location!$A14,Wine1!$AA:$AA,Location!BI$1)</f>
        <v>0</v>
      </c>
    </row>
    <row r="15" spans="1:71" x14ac:dyDescent="0.25">
      <c r="A15" s="38" t="s">
        <v>646</v>
      </c>
      <c r="B15">
        <f>SUMIF(Wine1!K:K,Location!A15,Wine1!I:I)</f>
        <v>12</v>
      </c>
      <c r="C15">
        <v>12</v>
      </c>
      <c r="D15">
        <f t="shared" si="0"/>
        <v>0</v>
      </c>
      <c r="E15" t="s">
        <v>603</v>
      </c>
      <c r="F15" s="37" t="s">
        <v>1533</v>
      </c>
      <c r="G15" s="1">
        <v>43806</v>
      </c>
      <c r="H15" s="56">
        <f>COUNTIFS(Wine1!$K:$K,Location!$A15,Wine1!$AF:$AF,Location!H$1)</f>
        <v>0</v>
      </c>
      <c r="I15" s="57">
        <f>COUNTIFS(Wine1!$K:$K,Location!$A15,Wine1!$AF:$AF,Location!I$1)</f>
        <v>4</v>
      </c>
      <c r="J15" s="57">
        <f>COUNTIFS(Wine1!$K:$K,Location!$A15,Wine1!$AF:$AF,Location!J$1)</f>
        <v>8</v>
      </c>
      <c r="K15" s="58">
        <f>COUNTIFS(Wine1!$K:$K,Location!$A15,Wine1!$AF:$AF,Location!K$1)</f>
        <v>0</v>
      </c>
      <c r="L15" s="18">
        <f>IFERROR(AVERAGEIF(Wine1!K:K,Location!A15,Wine1!AA:AA),"Empty")</f>
        <v>2027.1666666666667</v>
      </c>
      <c r="M15">
        <f>SUMIFS(Wine1!$I:$I,Wine1!$K:$K,Location!$A15,Wine1!$AA:$AA,Location!M$1)</f>
        <v>0</v>
      </c>
      <c r="N15">
        <f>SUMIFS(Wine1!$I:$I,Wine1!$K:$K,Location!$A15,Wine1!$AA:$AA,Location!N$1)</f>
        <v>0</v>
      </c>
      <c r="O15">
        <f>SUMIFS(Wine1!$I:$I,Wine1!$K:$K,Location!$A15,Wine1!$AA:$AA,Location!O$1)</f>
        <v>1</v>
      </c>
      <c r="P15">
        <f>SUMIFS(Wine1!$I:$I,Wine1!$K:$K,Location!$A15,Wine1!$AA:$AA,Location!P$1)</f>
        <v>0</v>
      </c>
      <c r="Q15">
        <f>SUMIFS(Wine1!$I:$I,Wine1!$K:$K,Location!$A15,Wine1!$AA:$AA,Location!Q$1)</f>
        <v>1</v>
      </c>
      <c r="R15">
        <f>SUMIFS(Wine1!$I:$I,Wine1!$K:$K,Location!$A15,Wine1!$AA:$AA,Location!R$1)</f>
        <v>3</v>
      </c>
      <c r="S15">
        <f>SUMIFS(Wine1!$I:$I,Wine1!$K:$K,Location!$A15,Wine1!$AA:$AA,Location!S$1)</f>
        <v>0</v>
      </c>
      <c r="T15">
        <f>SUMIFS(Wine1!$I:$I,Wine1!$K:$K,Location!$A15,Wine1!$AA:$AA,Location!T$1)</f>
        <v>2</v>
      </c>
      <c r="U15">
        <f>SUMIFS(Wine1!$I:$I,Wine1!$K:$K,Location!$A15,Wine1!$AA:$AA,Location!U$1)</f>
        <v>0</v>
      </c>
      <c r="V15">
        <f>SUMIFS(Wine1!$I:$I,Wine1!$K:$K,Location!$A15,Wine1!$AA:$AA,Location!V$1)</f>
        <v>2</v>
      </c>
      <c r="W15">
        <f>SUMIFS(Wine1!$I:$I,Wine1!$K:$K,Location!$A15,Wine1!$AA:$AA,Location!W$1)</f>
        <v>2</v>
      </c>
      <c r="X15">
        <f>SUMIFS(Wine1!$I:$I,Wine1!$K:$K,Location!$A15,Wine1!$AA:$AA,Location!X$1)</f>
        <v>0</v>
      </c>
      <c r="Y15">
        <f>SUMIFS(Wine1!$I:$I,Wine1!$K:$K,Location!$A15,Wine1!$AA:$AA,Location!Y$1)</f>
        <v>0</v>
      </c>
      <c r="Z15">
        <f>SUMIFS(Wine1!$I:$I,Wine1!$K:$K,Location!$A15,Wine1!$AA:$AA,Location!Z$1)</f>
        <v>1</v>
      </c>
      <c r="AA15">
        <f>SUMIFS(Wine1!$I:$I,Wine1!$K:$K,Location!$A15,Wine1!$AA:$AA,Location!AA$1)</f>
        <v>0</v>
      </c>
      <c r="AB15">
        <f>SUMIFS(Wine1!$I:$I,Wine1!$K:$K,Location!$A15,Wine1!$AA:$AA,Location!AB$1)</f>
        <v>0</v>
      </c>
      <c r="AC15">
        <f>SUMIFS(Wine1!$I:$I,Wine1!$K:$K,Location!$A15,Wine1!$AA:$AA,Location!AC$1)</f>
        <v>0</v>
      </c>
      <c r="AD15">
        <f>SUMIFS(Wine1!$I:$I,Wine1!$K:$K,Location!$A15,Wine1!$AA:$AA,Location!AD$1)</f>
        <v>0</v>
      </c>
      <c r="AE15">
        <f>SUMIFS(Wine1!$I:$I,Wine1!$K:$K,Location!$A15,Wine1!$AA:$AA,Location!AE$1)</f>
        <v>0</v>
      </c>
      <c r="AF15">
        <f>SUMIFS(Wine1!$I:$I,Wine1!$K:$K,Location!$A15,Wine1!$AA:$AA,Location!AF$1)</f>
        <v>0</v>
      </c>
      <c r="AG15">
        <f>SUMIFS(Wine1!$I:$I,Wine1!$K:$K,Location!$A15,Wine1!$AA:$AA,Location!AG$1)</f>
        <v>0</v>
      </c>
      <c r="AH15">
        <f>SUMIFS(Wine1!$I:$I,Wine1!$K:$K,Location!$A15,Wine1!$AA:$AA,Location!AH$1)</f>
        <v>0</v>
      </c>
      <c r="AI15">
        <f>SUMIFS(Wine1!$I:$I,Wine1!$K:$K,Location!$A15,Wine1!$AA:$AA,Location!AI$1)</f>
        <v>0</v>
      </c>
      <c r="AJ15">
        <f>SUMIFS(Wine1!$I:$I,Wine1!$K:$K,Location!$A15,Wine1!$AA:$AA,Location!AJ$1)</f>
        <v>0</v>
      </c>
      <c r="AK15">
        <f>SUMIFS(Wine1!$I:$I,Wine1!$K:$K,Location!$A15,Wine1!$AA:$AA,Location!AK$1)</f>
        <v>0</v>
      </c>
      <c r="AL15">
        <f>SUMIFS(Wine1!$I:$I,Wine1!$K:$K,Location!$A15,Wine1!$AA:$AA,Location!AL$1)</f>
        <v>0</v>
      </c>
      <c r="AM15">
        <f>SUMIFS(Wine1!$I:$I,Wine1!$K:$K,Location!$A15,Wine1!$AA:$AA,Location!AM$1)</f>
        <v>0</v>
      </c>
      <c r="AN15">
        <f>SUMIFS(Wine1!$I:$I,Wine1!$K:$K,Location!$A15,Wine1!$AA:$AA,Location!AN$1)</f>
        <v>0</v>
      </c>
      <c r="AO15">
        <f>SUMIFS(Wine1!$I:$I,Wine1!$K:$K,Location!$A15,Wine1!$AA:$AA,Location!AO$1)</f>
        <v>0</v>
      </c>
      <c r="AP15">
        <f>SUMIFS(Wine1!$I:$I,Wine1!$K:$K,Location!$A15,Wine1!$AA:$AA,Location!AP$1)</f>
        <v>0</v>
      </c>
      <c r="AQ15">
        <f>SUMIFS(Wine1!$I:$I,Wine1!$K:$K,Location!$A15,Wine1!$AA:$AA,Location!AQ$1)</f>
        <v>0</v>
      </c>
      <c r="AR15">
        <f>SUMIFS(Wine1!$I:$I,Wine1!$K:$K,Location!$A15,Wine1!$AA:$AA,Location!AR$1)</f>
        <v>0</v>
      </c>
      <c r="AS15" s="37">
        <f>SUMIFS(Wine1!$I:$I,Wine1!$K:$K,Location!$A15,Wine1!$AA:$AA,Location!AS$1)</f>
        <v>0</v>
      </c>
      <c r="AT15" s="37">
        <f>SUMIFS(Wine1!$I:$I,Wine1!$K:$K,Location!$A15,Wine1!$AA:$AA,Location!AT$1)</f>
        <v>0</v>
      </c>
      <c r="AU15" s="37">
        <f>SUMIFS(Wine1!$I:$I,Wine1!$K:$K,Location!$A15,Wine1!$AA:$AA,Location!AU$1)</f>
        <v>0</v>
      </c>
      <c r="AV15" s="37">
        <f>SUMIFS(Wine1!$I:$I,Wine1!$K:$K,Location!$A15,Wine1!$AA:$AA,Location!AV$1)</f>
        <v>0</v>
      </c>
      <c r="AW15" s="37">
        <f>SUMIFS(Wine1!$I:$I,Wine1!$K:$K,Location!$A15,Wine1!$AA:$AA,Location!AW$1)</f>
        <v>0</v>
      </c>
      <c r="AX15" s="37">
        <f>SUMIFS(Wine1!$I:$I,Wine1!$K:$K,Location!$A15,Wine1!$AA:$AA,Location!AX$1)</f>
        <v>0</v>
      </c>
      <c r="AY15" s="37">
        <f>SUMIFS(Wine1!$I:$I,Wine1!$K:$K,Location!$A15,Wine1!$AA:$AA,Location!AY$1)</f>
        <v>0</v>
      </c>
      <c r="AZ15" s="37">
        <f>SUMIFS(Wine1!$I:$I,Wine1!$K:$K,Location!$A15,Wine1!$AA:$AA,Location!AZ$1)</f>
        <v>0</v>
      </c>
      <c r="BA15" s="37">
        <f>SUMIFS(Wine1!$I:$I,Wine1!$K:$K,Location!$A15,Wine1!$AA:$AA,Location!BA$1)</f>
        <v>0</v>
      </c>
      <c r="BB15" s="37">
        <f>SUMIFS(Wine1!$I:$I,Wine1!$K:$K,Location!$A15,Wine1!$AA:$AA,Location!BB$1)</f>
        <v>0</v>
      </c>
      <c r="BC15" s="37">
        <f>SUMIFS(Wine1!$I:$I,Wine1!$K:$K,Location!$A15,Wine1!$AA:$AA,Location!BC$1)</f>
        <v>0</v>
      </c>
      <c r="BD15" s="37">
        <f>SUMIFS(Wine1!$I:$I,Wine1!$K:$K,Location!$A15,Wine1!$AA:$AA,Location!BD$1)</f>
        <v>0</v>
      </c>
      <c r="BE15" s="37">
        <f>SUMIFS(Wine1!$I:$I,Wine1!$K:$K,Location!$A15,Wine1!$AA:$AA,Location!BE$1)</f>
        <v>0</v>
      </c>
      <c r="BF15" s="37">
        <f>SUMIFS(Wine1!$I:$I,Wine1!$K:$K,Location!$A15,Wine1!$AA:$AA,Location!BF$1)</f>
        <v>0</v>
      </c>
      <c r="BG15" s="37">
        <f>SUMIFS(Wine1!$I:$I,Wine1!$K:$K,Location!$A15,Wine1!$AA:$AA,Location!BG$1)</f>
        <v>0</v>
      </c>
      <c r="BH15" s="37">
        <f>SUMIFS(Wine1!$I:$I,Wine1!$K:$K,Location!$A15,Wine1!$AA:$AA,Location!BH$1)</f>
        <v>0</v>
      </c>
      <c r="BI15" s="37">
        <f>SUMIFS(Wine1!$I:$I,Wine1!$K:$K,Location!$A15,Wine1!$AA:$AA,Location!BI$1)</f>
        <v>0</v>
      </c>
    </row>
    <row r="16" spans="1:71" x14ac:dyDescent="0.25">
      <c r="A16" s="38" t="s">
        <v>645</v>
      </c>
      <c r="B16">
        <f>SUMIF(Wine1!K:K,Location!A16,Wine1!I:I)</f>
        <v>12</v>
      </c>
      <c r="C16">
        <v>12</v>
      </c>
      <c r="D16">
        <f t="shared" si="0"/>
        <v>0</v>
      </c>
      <c r="E16" t="s">
        <v>603</v>
      </c>
      <c r="F16" s="37" t="s">
        <v>1533</v>
      </c>
      <c r="G16" s="1">
        <v>43806</v>
      </c>
      <c r="H16" s="56">
        <f>COUNTIFS(Wine1!$K:$K,Location!$A16,Wine1!$AF:$AF,Location!H$1)</f>
        <v>0</v>
      </c>
      <c r="I16" s="57">
        <f>COUNTIFS(Wine1!$K:$K,Location!$A16,Wine1!$AF:$AF,Location!I$1)</f>
        <v>7</v>
      </c>
      <c r="J16" s="57">
        <f>COUNTIFS(Wine1!$K:$K,Location!$A16,Wine1!$AF:$AF,Location!J$1)</f>
        <v>4</v>
      </c>
      <c r="K16" s="58">
        <f>COUNTIFS(Wine1!$K:$K,Location!$A16,Wine1!$AF:$AF,Location!K$1)</f>
        <v>1</v>
      </c>
      <c r="L16" s="18">
        <f>IFERROR(AVERAGEIF(Wine1!K:K,Location!A16,Wine1!AA:AA),"Empty")</f>
        <v>2026.9166666666667</v>
      </c>
      <c r="M16">
        <f>SUMIFS(Wine1!$I:$I,Wine1!$K:$K,Location!$A16,Wine1!$AA:$AA,Location!M$1)</f>
        <v>0</v>
      </c>
      <c r="N16">
        <f>SUMIFS(Wine1!$I:$I,Wine1!$K:$K,Location!$A16,Wine1!$AA:$AA,Location!N$1)</f>
        <v>0</v>
      </c>
      <c r="O16">
        <f>SUMIFS(Wine1!$I:$I,Wine1!$K:$K,Location!$A16,Wine1!$AA:$AA,Location!O$1)</f>
        <v>1</v>
      </c>
      <c r="P16">
        <f>SUMIFS(Wine1!$I:$I,Wine1!$K:$K,Location!$A16,Wine1!$AA:$AA,Location!P$1)</f>
        <v>1</v>
      </c>
      <c r="Q16">
        <f>SUMIFS(Wine1!$I:$I,Wine1!$K:$K,Location!$A16,Wine1!$AA:$AA,Location!Q$1)</f>
        <v>2</v>
      </c>
      <c r="R16">
        <f>SUMIFS(Wine1!$I:$I,Wine1!$K:$K,Location!$A16,Wine1!$AA:$AA,Location!R$1)</f>
        <v>2</v>
      </c>
      <c r="S16">
        <f>SUMIFS(Wine1!$I:$I,Wine1!$K:$K,Location!$A16,Wine1!$AA:$AA,Location!S$1)</f>
        <v>2</v>
      </c>
      <c r="T16">
        <f>SUMIFS(Wine1!$I:$I,Wine1!$K:$K,Location!$A16,Wine1!$AA:$AA,Location!T$1)</f>
        <v>1</v>
      </c>
      <c r="U16">
        <f>SUMIFS(Wine1!$I:$I,Wine1!$K:$K,Location!$A16,Wine1!$AA:$AA,Location!U$1)</f>
        <v>2</v>
      </c>
      <c r="V16">
        <f>SUMIFS(Wine1!$I:$I,Wine1!$K:$K,Location!$A16,Wine1!$AA:$AA,Location!V$1)</f>
        <v>0</v>
      </c>
      <c r="W16">
        <f>SUMIFS(Wine1!$I:$I,Wine1!$K:$K,Location!$A16,Wine1!$AA:$AA,Location!W$1)</f>
        <v>0</v>
      </c>
      <c r="X16">
        <f>SUMIFS(Wine1!$I:$I,Wine1!$K:$K,Location!$A16,Wine1!$AA:$AA,Location!X$1)</f>
        <v>0</v>
      </c>
      <c r="Y16">
        <f>SUMIFS(Wine1!$I:$I,Wine1!$K:$K,Location!$A16,Wine1!$AA:$AA,Location!Y$1)</f>
        <v>0</v>
      </c>
      <c r="Z16">
        <f>SUMIFS(Wine1!$I:$I,Wine1!$K:$K,Location!$A16,Wine1!$AA:$AA,Location!Z$1)</f>
        <v>0</v>
      </c>
      <c r="AA16">
        <f>SUMIFS(Wine1!$I:$I,Wine1!$K:$K,Location!$A16,Wine1!$AA:$AA,Location!AA$1)</f>
        <v>0</v>
      </c>
      <c r="AB16">
        <f>SUMIFS(Wine1!$I:$I,Wine1!$K:$K,Location!$A16,Wine1!$AA:$AA,Location!AB$1)</f>
        <v>0</v>
      </c>
      <c r="AC16">
        <f>SUMIFS(Wine1!$I:$I,Wine1!$K:$K,Location!$A16,Wine1!$AA:$AA,Location!AC$1)</f>
        <v>0</v>
      </c>
      <c r="AD16">
        <f>SUMIFS(Wine1!$I:$I,Wine1!$K:$K,Location!$A16,Wine1!$AA:$AA,Location!AD$1)</f>
        <v>0</v>
      </c>
      <c r="AE16">
        <f>SUMIFS(Wine1!$I:$I,Wine1!$K:$K,Location!$A16,Wine1!$AA:$AA,Location!AE$1)</f>
        <v>0</v>
      </c>
      <c r="AF16">
        <f>SUMIFS(Wine1!$I:$I,Wine1!$K:$K,Location!$A16,Wine1!$AA:$AA,Location!AF$1)</f>
        <v>0</v>
      </c>
      <c r="AG16">
        <f>SUMIFS(Wine1!$I:$I,Wine1!$K:$K,Location!$A16,Wine1!$AA:$AA,Location!AG$1)</f>
        <v>0</v>
      </c>
      <c r="AH16">
        <f>SUMIFS(Wine1!$I:$I,Wine1!$K:$K,Location!$A16,Wine1!$AA:$AA,Location!AH$1)</f>
        <v>0</v>
      </c>
      <c r="AI16">
        <f>SUMIFS(Wine1!$I:$I,Wine1!$K:$K,Location!$A16,Wine1!$AA:$AA,Location!AI$1)</f>
        <v>0</v>
      </c>
      <c r="AJ16">
        <f>SUMIFS(Wine1!$I:$I,Wine1!$K:$K,Location!$A16,Wine1!$AA:$AA,Location!AJ$1)</f>
        <v>0</v>
      </c>
      <c r="AK16">
        <f>SUMIFS(Wine1!$I:$I,Wine1!$K:$K,Location!$A16,Wine1!$AA:$AA,Location!AK$1)</f>
        <v>0</v>
      </c>
      <c r="AL16">
        <f>SUMIFS(Wine1!$I:$I,Wine1!$K:$K,Location!$A16,Wine1!$AA:$AA,Location!AL$1)</f>
        <v>1</v>
      </c>
      <c r="AM16">
        <f>SUMIFS(Wine1!$I:$I,Wine1!$K:$K,Location!$A16,Wine1!$AA:$AA,Location!AM$1)</f>
        <v>0</v>
      </c>
      <c r="AN16">
        <f>SUMIFS(Wine1!$I:$I,Wine1!$K:$K,Location!$A16,Wine1!$AA:$AA,Location!AN$1)</f>
        <v>0</v>
      </c>
      <c r="AO16">
        <f>SUMIFS(Wine1!$I:$I,Wine1!$K:$K,Location!$A16,Wine1!$AA:$AA,Location!AO$1)</f>
        <v>0</v>
      </c>
      <c r="AP16">
        <f>SUMIFS(Wine1!$I:$I,Wine1!$K:$K,Location!$A16,Wine1!$AA:$AA,Location!AP$1)</f>
        <v>0</v>
      </c>
      <c r="AQ16">
        <f>SUMIFS(Wine1!$I:$I,Wine1!$K:$K,Location!$A16,Wine1!$AA:$AA,Location!AQ$1)</f>
        <v>0</v>
      </c>
      <c r="AR16">
        <f>SUMIFS(Wine1!$I:$I,Wine1!$K:$K,Location!$A16,Wine1!$AA:$AA,Location!AR$1)</f>
        <v>0</v>
      </c>
      <c r="AS16" s="37">
        <f>SUMIFS(Wine1!$I:$I,Wine1!$K:$K,Location!$A16,Wine1!$AA:$AA,Location!AS$1)</f>
        <v>0</v>
      </c>
      <c r="AT16" s="37">
        <f>SUMIFS(Wine1!$I:$I,Wine1!$K:$K,Location!$A16,Wine1!$AA:$AA,Location!AT$1)</f>
        <v>0</v>
      </c>
      <c r="AU16" s="37">
        <f>SUMIFS(Wine1!$I:$I,Wine1!$K:$K,Location!$A16,Wine1!$AA:$AA,Location!AU$1)</f>
        <v>0</v>
      </c>
      <c r="AV16" s="37">
        <f>SUMIFS(Wine1!$I:$I,Wine1!$K:$K,Location!$A16,Wine1!$AA:$AA,Location!AV$1)</f>
        <v>0</v>
      </c>
      <c r="AW16" s="37">
        <f>SUMIFS(Wine1!$I:$I,Wine1!$K:$K,Location!$A16,Wine1!$AA:$AA,Location!AW$1)</f>
        <v>0</v>
      </c>
      <c r="AX16" s="37">
        <f>SUMIFS(Wine1!$I:$I,Wine1!$K:$K,Location!$A16,Wine1!$AA:$AA,Location!AX$1)</f>
        <v>0</v>
      </c>
      <c r="AY16" s="37">
        <f>SUMIFS(Wine1!$I:$I,Wine1!$K:$K,Location!$A16,Wine1!$AA:$AA,Location!AY$1)</f>
        <v>0</v>
      </c>
      <c r="AZ16" s="37">
        <f>SUMIFS(Wine1!$I:$I,Wine1!$K:$K,Location!$A16,Wine1!$AA:$AA,Location!AZ$1)</f>
        <v>0</v>
      </c>
      <c r="BA16" s="37">
        <f>SUMIFS(Wine1!$I:$I,Wine1!$K:$K,Location!$A16,Wine1!$AA:$AA,Location!BA$1)</f>
        <v>0</v>
      </c>
      <c r="BB16" s="37">
        <f>SUMIFS(Wine1!$I:$I,Wine1!$K:$K,Location!$A16,Wine1!$AA:$AA,Location!BB$1)</f>
        <v>0</v>
      </c>
      <c r="BC16" s="37">
        <f>SUMIFS(Wine1!$I:$I,Wine1!$K:$K,Location!$A16,Wine1!$AA:$AA,Location!BC$1)</f>
        <v>0</v>
      </c>
      <c r="BD16" s="37">
        <f>SUMIFS(Wine1!$I:$I,Wine1!$K:$K,Location!$A16,Wine1!$AA:$AA,Location!BD$1)</f>
        <v>0</v>
      </c>
      <c r="BE16" s="37">
        <f>SUMIFS(Wine1!$I:$I,Wine1!$K:$K,Location!$A16,Wine1!$AA:$AA,Location!BE$1)</f>
        <v>0</v>
      </c>
      <c r="BF16" s="37">
        <f>SUMIFS(Wine1!$I:$I,Wine1!$K:$K,Location!$A16,Wine1!$AA:$AA,Location!BF$1)</f>
        <v>0</v>
      </c>
      <c r="BG16" s="37">
        <f>SUMIFS(Wine1!$I:$I,Wine1!$K:$K,Location!$A16,Wine1!$AA:$AA,Location!BG$1)</f>
        <v>0</v>
      </c>
      <c r="BH16" s="37">
        <f>SUMIFS(Wine1!$I:$I,Wine1!$K:$K,Location!$A16,Wine1!$AA:$AA,Location!BH$1)</f>
        <v>0</v>
      </c>
      <c r="BI16" s="37">
        <f>SUMIFS(Wine1!$I:$I,Wine1!$K:$K,Location!$A16,Wine1!$AA:$AA,Location!BI$1)</f>
        <v>0</v>
      </c>
    </row>
    <row r="17" spans="1:61" x14ac:dyDescent="0.25">
      <c r="A17" s="38" t="s">
        <v>644</v>
      </c>
      <c r="B17">
        <f>SUMIF(Wine1!K:K,Location!A17,Wine1!I:I)</f>
        <v>12</v>
      </c>
      <c r="C17">
        <v>12</v>
      </c>
      <c r="D17">
        <f t="shared" si="0"/>
        <v>0</v>
      </c>
      <c r="E17" s="37" t="s">
        <v>603</v>
      </c>
      <c r="F17" s="37" t="s">
        <v>1533</v>
      </c>
      <c r="G17" s="1">
        <v>43806</v>
      </c>
      <c r="H17" s="56">
        <f>COUNTIFS(Wine1!$K:$K,Location!$A17,Wine1!$AF:$AF,Location!H$1)</f>
        <v>1</v>
      </c>
      <c r="I17" s="57">
        <f>COUNTIFS(Wine1!$K:$K,Location!$A17,Wine1!$AF:$AF,Location!I$1)</f>
        <v>4</v>
      </c>
      <c r="J17" s="57">
        <f>COUNTIFS(Wine1!$K:$K,Location!$A17,Wine1!$AF:$AF,Location!J$1)</f>
        <v>7</v>
      </c>
      <c r="K17" s="58">
        <f>COUNTIFS(Wine1!$K:$K,Location!$A17,Wine1!$AF:$AF,Location!K$1)</f>
        <v>0</v>
      </c>
      <c r="L17" s="18">
        <f>IFERROR(AVERAGEIF(Wine1!K:K,Location!A17,Wine1!AA:AA),"Empty")</f>
        <v>2027.4166666666667</v>
      </c>
      <c r="M17">
        <f>SUMIFS(Wine1!$I:$I,Wine1!$K:$K,Location!$A17,Wine1!$AA:$AA,Location!M$1)</f>
        <v>0</v>
      </c>
      <c r="N17">
        <f>SUMIFS(Wine1!$I:$I,Wine1!$K:$K,Location!$A17,Wine1!$AA:$AA,Location!N$1)</f>
        <v>0</v>
      </c>
      <c r="O17">
        <f>SUMIFS(Wine1!$I:$I,Wine1!$K:$K,Location!$A17,Wine1!$AA:$AA,Location!O$1)</f>
        <v>0</v>
      </c>
      <c r="P17">
        <f>SUMIFS(Wine1!$I:$I,Wine1!$K:$K,Location!$A17,Wine1!$AA:$AA,Location!P$1)</f>
        <v>4</v>
      </c>
      <c r="Q17">
        <f>SUMIFS(Wine1!$I:$I,Wine1!$K:$K,Location!$A17,Wine1!$AA:$AA,Location!Q$1)</f>
        <v>0</v>
      </c>
      <c r="R17">
        <f>SUMIFS(Wine1!$I:$I,Wine1!$K:$K,Location!$A17,Wine1!$AA:$AA,Location!R$1)</f>
        <v>0</v>
      </c>
      <c r="S17">
        <f>SUMIFS(Wine1!$I:$I,Wine1!$K:$K,Location!$A17,Wine1!$AA:$AA,Location!S$1)</f>
        <v>2</v>
      </c>
      <c r="T17">
        <f>SUMIFS(Wine1!$I:$I,Wine1!$K:$K,Location!$A17,Wine1!$AA:$AA,Location!T$1)</f>
        <v>1</v>
      </c>
      <c r="U17">
        <f>SUMIFS(Wine1!$I:$I,Wine1!$K:$K,Location!$A17,Wine1!$AA:$AA,Location!U$1)</f>
        <v>2</v>
      </c>
      <c r="V17">
        <f>SUMIFS(Wine1!$I:$I,Wine1!$K:$K,Location!$A17,Wine1!$AA:$AA,Location!V$1)</f>
        <v>0</v>
      </c>
      <c r="W17">
        <f>SUMIFS(Wine1!$I:$I,Wine1!$K:$K,Location!$A17,Wine1!$AA:$AA,Location!W$1)</f>
        <v>0</v>
      </c>
      <c r="X17">
        <f>SUMIFS(Wine1!$I:$I,Wine1!$K:$K,Location!$A17,Wine1!$AA:$AA,Location!X$1)</f>
        <v>0</v>
      </c>
      <c r="Y17">
        <f>SUMIFS(Wine1!$I:$I,Wine1!$K:$K,Location!$A17,Wine1!$AA:$AA,Location!Y$1)</f>
        <v>1</v>
      </c>
      <c r="Z17">
        <f>SUMIFS(Wine1!$I:$I,Wine1!$K:$K,Location!$A17,Wine1!$AA:$AA,Location!Z$1)</f>
        <v>0</v>
      </c>
      <c r="AA17">
        <f>SUMIFS(Wine1!$I:$I,Wine1!$K:$K,Location!$A17,Wine1!$AA:$AA,Location!AA$1)</f>
        <v>1</v>
      </c>
      <c r="AB17">
        <f>SUMIFS(Wine1!$I:$I,Wine1!$K:$K,Location!$A17,Wine1!$AA:$AA,Location!AB$1)</f>
        <v>0</v>
      </c>
      <c r="AC17">
        <f>SUMIFS(Wine1!$I:$I,Wine1!$K:$K,Location!$A17,Wine1!$AA:$AA,Location!AC$1)</f>
        <v>1</v>
      </c>
      <c r="AD17">
        <f>SUMIFS(Wine1!$I:$I,Wine1!$K:$K,Location!$A17,Wine1!$AA:$AA,Location!AD$1)</f>
        <v>0</v>
      </c>
      <c r="AE17">
        <f>SUMIFS(Wine1!$I:$I,Wine1!$K:$K,Location!$A17,Wine1!$AA:$AA,Location!AE$1)</f>
        <v>0</v>
      </c>
      <c r="AF17">
        <f>SUMIFS(Wine1!$I:$I,Wine1!$K:$K,Location!$A17,Wine1!$AA:$AA,Location!AF$1)</f>
        <v>0</v>
      </c>
      <c r="AG17">
        <f>SUMIFS(Wine1!$I:$I,Wine1!$K:$K,Location!$A17,Wine1!$AA:$AA,Location!AG$1)</f>
        <v>0</v>
      </c>
      <c r="AH17">
        <f>SUMIFS(Wine1!$I:$I,Wine1!$K:$K,Location!$A17,Wine1!$AA:$AA,Location!AH$1)</f>
        <v>0</v>
      </c>
      <c r="AI17">
        <f>SUMIFS(Wine1!$I:$I,Wine1!$K:$K,Location!$A17,Wine1!$AA:$AA,Location!AI$1)</f>
        <v>0</v>
      </c>
      <c r="AJ17">
        <f>SUMIFS(Wine1!$I:$I,Wine1!$K:$K,Location!$A17,Wine1!$AA:$AA,Location!AJ$1)</f>
        <v>0</v>
      </c>
      <c r="AK17">
        <f>SUMIFS(Wine1!$I:$I,Wine1!$K:$K,Location!$A17,Wine1!$AA:$AA,Location!AK$1)</f>
        <v>0</v>
      </c>
      <c r="AL17">
        <f>SUMIFS(Wine1!$I:$I,Wine1!$K:$K,Location!$A17,Wine1!$AA:$AA,Location!AL$1)</f>
        <v>0</v>
      </c>
      <c r="AM17">
        <f>SUMIFS(Wine1!$I:$I,Wine1!$K:$K,Location!$A17,Wine1!$AA:$AA,Location!AM$1)</f>
        <v>0</v>
      </c>
      <c r="AN17">
        <f>SUMIFS(Wine1!$I:$I,Wine1!$K:$K,Location!$A17,Wine1!$AA:$AA,Location!AN$1)</f>
        <v>0</v>
      </c>
      <c r="AO17">
        <f>SUMIFS(Wine1!$I:$I,Wine1!$K:$K,Location!$A17,Wine1!$AA:$AA,Location!AO$1)</f>
        <v>0</v>
      </c>
      <c r="AP17">
        <f>SUMIFS(Wine1!$I:$I,Wine1!$K:$K,Location!$A17,Wine1!$AA:$AA,Location!AP$1)</f>
        <v>0</v>
      </c>
      <c r="AQ17">
        <f>SUMIFS(Wine1!$I:$I,Wine1!$K:$K,Location!$A17,Wine1!$AA:$AA,Location!AQ$1)</f>
        <v>0</v>
      </c>
      <c r="AR17">
        <f>SUMIFS(Wine1!$I:$I,Wine1!$K:$K,Location!$A17,Wine1!$AA:$AA,Location!AR$1)</f>
        <v>0</v>
      </c>
      <c r="AS17" s="37">
        <f>SUMIFS(Wine1!$I:$I,Wine1!$K:$K,Location!$A17,Wine1!$AA:$AA,Location!AS$1)</f>
        <v>0</v>
      </c>
      <c r="AT17" s="37">
        <f>SUMIFS(Wine1!$I:$I,Wine1!$K:$K,Location!$A17,Wine1!$AA:$AA,Location!AT$1)</f>
        <v>0</v>
      </c>
      <c r="AU17" s="37">
        <f>SUMIFS(Wine1!$I:$I,Wine1!$K:$K,Location!$A17,Wine1!$AA:$AA,Location!AU$1)</f>
        <v>0</v>
      </c>
      <c r="AV17" s="37">
        <f>SUMIFS(Wine1!$I:$I,Wine1!$K:$K,Location!$A17,Wine1!$AA:$AA,Location!AV$1)</f>
        <v>0</v>
      </c>
      <c r="AW17" s="37">
        <f>SUMIFS(Wine1!$I:$I,Wine1!$K:$K,Location!$A17,Wine1!$AA:$AA,Location!AW$1)</f>
        <v>0</v>
      </c>
      <c r="AX17" s="37">
        <f>SUMIFS(Wine1!$I:$I,Wine1!$K:$K,Location!$A17,Wine1!$AA:$AA,Location!AX$1)</f>
        <v>0</v>
      </c>
      <c r="AY17" s="37">
        <f>SUMIFS(Wine1!$I:$I,Wine1!$K:$K,Location!$A17,Wine1!$AA:$AA,Location!AY$1)</f>
        <v>0</v>
      </c>
      <c r="AZ17" s="37">
        <f>SUMIFS(Wine1!$I:$I,Wine1!$K:$K,Location!$A17,Wine1!$AA:$AA,Location!AZ$1)</f>
        <v>0</v>
      </c>
      <c r="BA17" s="37">
        <f>SUMIFS(Wine1!$I:$I,Wine1!$K:$K,Location!$A17,Wine1!$AA:$AA,Location!BA$1)</f>
        <v>0</v>
      </c>
      <c r="BB17" s="37">
        <f>SUMIFS(Wine1!$I:$I,Wine1!$K:$K,Location!$A17,Wine1!$AA:$AA,Location!BB$1)</f>
        <v>0</v>
      </c>
      <c r="BC17" s="37">
        <f>SUMIFS(Wine1!$I:$I,Wine1!$K:$K,Location!$A17,Wine1!$AA:$AA,Location!BC$1)</f>
        <v>0</v>
      </c>
      <c r="BD17" s="37">
        <f>SUMIFS(Wine1!$I:$I,Wine1!$K:$K,Location!$A17,Wine1!$AA:$AA,Location!BD$1)</f>
        <v>0</v>
      </c>
      <c r="BE17" s="37">
        <f>SUMIFS(Wine1!$I:$I,Wine1!$K:$K,Location!$A17,Wine1!$AA:$AA,Location!BE$1)</f>
        <v>0</v>
      </c>
      <c r="BF17" s="37">
        <f>SUMIFS(Wine1!$I:$I,Wine1!$K:$K,Location!$A17,Wine1!$AA:$AA,Location!BF$1)</f>
        <v>0</v>
      </c>
      <c r="BG17" s="37">
        <f>SUMIFS(Wine1!$I:$I,Wine1!$K:$K,Location!$A17,Wine1!$AA:$AA,Location!BG$1)</f>
        <v>0</v>
      </c>
      <c r="BH17" s="37">
        <f>SUMIFS(Wine1!$I:$I,Wine1!$K:$K,Location!$A17,Wine1!$AA:$AA,Location!BH$1)</f>
        <v>0</v>
      </c>
      <c r="BI17" s="37">
        <f>SUMIFS(Wine1!$I:$I,Wine1!$K:$K,Location!$A17,Wine1!$AA:$AA,Location!BI$1)</f>
        <v>0</v>
      </c>
    </row>
    <row r="18" spans="1:61" x14ac:dyDescent="0.25">
      <c r="A18" s="38" t="s">
        <v>643</v>
      </c>
      <c r="B18" s="64">
        <f>SUMIF(Wine1!K:K,Location!A18,Wine1!I:I)</f>
        <v>12</v>
      </c>
      <c r="C18">
        <v>12</v>
      </c>
      <c r="D18">
        <f t="shared" si="0"/>
        <v>0</v>
      </c>
      <c r="E18" s="37" t="s">
        <v>603</v>
      </c>
      <c r="F18" s="37" t="s">
        <v>1533</v>
      </c>
      <c r="G18" s="1">
        <v>43806</v>
      </c>
      <c r="H18" s="56">
        <f>COUNTIFS(Wine1!$K:$K,Location!$A18,Wine1!$AF:$AF,Location!H$1)</f>
        <v>5</v>
      </c>
      <c r="I18" s="57">
        <f>COUNTIFS(Wine1!$K:$K,Location!$A18,Wine1!$AF:$AF,Location!I$1)</f>
        <v>3</v>
      </c>
      <c r="J18" s="57">
        <f>COUNTIFS(Wine1!$K:$K,Location!$A18,Wine1!$AF:$AF,Location!J$1)</f>
        <v>3</v>
      </c>
      <c r="K18" s="58">
        <f>COUNTIFS(Wine1!$K:$K,Location!$A18,Wine1!$AF:$AF,Location!K$1)</f>
        <v>1</v>
      </c>
      <c r="L18" s="18">
        <f>IFERROR(AVERAGEIF(Wine1!K:K,Location!A18,Wine1!AA:AA),"Empty")</f>
        <v>2026.75</v>
      </c>
      <c r="M18">
        <f>SUMIFS(Wine1!$I:$I,Wine1!$K:$K,Location!$A18,Wine1!$AA:$AA,Location!M$1)</f>
        <v>0</v>
      </c>
      <c r="N18">
        <f>SUMIFS(Wine1!$I:$I,Wine1!$K:$K,Location!$A18,Wine1!$AA:$AA,Location!N$1)</f>
        <v>0</v>
      </c>
      <c r="O18">
        <f>SUMIFS(Wine1!$I:$I,Wine1!$K:$K,Location!$A18,Wine1!$AA:$AA,Location!O$1)</f>
        <v>4</v>
      </c>
      <c r="P18">
        <f>SUMIFS(Wine1!$I:$I,Wine1!$K:$K,Location!$A18,Wine1!$AA:$AA,Location!P$1)</f>
        <v>2</v>
      </c>
      <c r="Q18">
        <f>SUMIFS(Wine1!$I:$I,Wine1!$K:$K,Location!$A18,Wine1!$AA:$AA,Location!Q$1)</f>
        <v>0</v>
      </c>
      <c r="R18">
        <f>SUMIFS(Wine1!$I:$I,Wine1!$K:$K,Location!$A18,Wine1!$AA:$AA,Location!R$1)</f>
        <v>1</v>
      </c>
      <c r="S18">
        <f>SUMIFS(Wine1!$I:$I,Wine1!$K:$K,Location!$A18,Wine1!$AA:$AA,Location!S$1)</f>
        <v>0</v>
      </c>
      <c r="T18">
        <f>SUMIFS(Wine1!$I:$I,Wine1!$K:$K,Location!$A18,Wine1!$AA:$AA,Location!T$1)</f>
        <v>0</v>
      </c>
      <c r="U18">
        <f>SUMIFS(Wine1!$I:$I,Wine1!$K:$K,Location!$A18,Wine1!$AA:$AA,Location!U$1)</f>
        <v>0</v>
      </c>
      <c r="V18">
        <f>SUMIFS(Wine1!$I:$I,Wine1!$K:$K,Location!$A18,Wine1!$AA:$AA,Location!V$1)</f>
        <v>1</v>
      </c>
      <c r="W18">
        <f>SUMIFS(Wine1!$I:$I,Wine1!$K:$K,Location!$A18,Wine1!$AA:$AA,Location!W$1)</f>
        <v>1</v>
      </c>
      <c r="X18">
        <f>SUMIFS(Wine1!$I:$I,Wine1!$K:$K,Location!$A18,Wine1!$AA:$AA,Location!X$1)</f>
        <v>0</v>
      </c>
      <c r="Y18">
        <f>SUMIFS(Wine1!$I:$I,Wine1!$K:$K,Location!$A18,Wine1!$AA:$AA,Location!Y$1)</f>
        <v>1</v>
      </c>
      <c r="Z18">
        <f>SUMIFS(Wine1!$I:$I,Wine1!$K:$K,Location!$A18,Wine1!$AA:$AA,Location!Z$1)</f>
        <v>0</v>
      </c>
      <c r="AA18">
        <f>SUMIFS(Wine1!$I:$I,Wine1!$K:$K,Location!$A18,Wine1!$AA:$AA,Location!AA$1)</f>
        <v>1</v>
      </c>
      <c r="AB18">
        <f>SUMIFS(Wine1!$I:$I,Wine1!$K:$K,Location!$A18,Wine1!$AA:$AA,Location!AB$1)</f>
        <v>0</v>
      </c>
      <c r="AC18">
        <f>SUMIFS(Wine1!$I:$I,Wine1!$K:$K,Location!$A18,Wine1!$AA:$AA,Location!AC$1)</f>
        <v>0</v>
      </c>
      <c r="AD18">
        <f>SUMIFS(Wine1!$I:$I,Wine1!$K:$K,Location!$A18,Wine1!$AA:$AA,Location!AD$1)</f>
        <v>1</v>
      </c>
      <c r="AE18">
        <f>SUMIFS(Wine1!$I:$I,Wine1!$K:$K,Location!$A18,Wine1!$AA:$AA,Location!AE$1)</f>
        <v>0</v>
      </c>
      <c r="AF18">
        <f>SUMIFS(Wine1!$I:$I,Wine1!$K:$K,Location!$A18,Wine1!$AA:$AA,Location!AF$1)</f>
        <v>0</v>
      </c>
      <c r="AG18">
        <f>SUMIFS(Wine1!$I:$I,Wine1!$K:$K,Location!$A18,Wine1!$AA:$AA,Location!AG$1)</f>
        <v>0</v>
      </c>
      <c r="AH18">
        <f>SUMIFS(Wine1!$I:$I,Wine1!$K:$K,Location!$A18,Wine1!$AA:$AA,Location!AH$1)</f>
        <v>0</v>
      </c>
      <c r="AI18">
        <f>SUMIFS(Wine1!$I:$I,Wine1!$K:$K,Location!$A18,Wine1!$AA:$AA,Location!AI$1)</f>
        <v>0</v>
      </c>
      <c r="AJ18">
        <f>SUMIFS(Wine1!$I:$I,Wine1!$K:$K,Location!$A18,Wine1!$AA:$AA,Location!AJ$1)</f>
        <v>0</v>
      </c>
      <c r="AK18">
        <f>SUMIFS(Wine1!$I:$I,Wine1!$K:$K,Location!$A18,Wine1!$AA:$AA,Location!AK$1)</f>
        <v>0</v>
      </c>
      <c r="AL18">
        <f>SUMIFS(Wine1!$I:$I,Wine1!$K:$K,Location!$A18,Wine1!$AA:$AA,Location!AL$1)</f>
        <v>0</v>
      </c>
      <c r="AM18">
        <f>SUMIFS(Wine1!$I:$I,Wine1!$K:$K,Location!$A18,Wine1!$AA:$AA,Location!AM$1)</f>
        <v>0</v>
      </c>
      <c r="AN18">
        <f>SUMIFS(Wine1!$I:$I,Wine1!$K:$K,Location!$A18,Wine1!$AA:$AA,Location!AN$1)</f>
        <v>0</v>
      </c>
      <c r="AO18">
        <f>SUMIFS(Wine1!$I:$I,Wine1!$K:$K,Location!$A18,Wine1!$AA:$AA,Location!AO$1)</f>
        <v>0</v>
      </c>
      <c r="AP18">
        <f>SUMIFS(Wine1!$I:$I,Wine1!$K:$K,Location!$A18,Wine1!$AA:$AA,Location!AP$1)</f>
        <v>0</v>
      </c>
      <c r="AQ18">
        <f>SUMIFS(Wine1!$I:$I,Wine1!$K:$K,Location!$A18,Wine1!$AA:$AA,Location!AQ$1)</f>
        <v>0</v>
      </c>
      <c r="AR18">
        <f>SUMIFS(Wine1!$I:$I,Wine1!$K:$K,Location!$A18,Wine1!$AA:$AA,Location!AR$1)</f>
        <v>0</v>
      </c>
      <c r="AS18" s="37">
        <f>SUMIFS(Wine1!$I:$I,Wine1!$K:$K,Location!$A18,Wine1!$AA:$AA,Location!AS$1)</f>
        <v>0</v>
      </c>
      <c r="AT18" s="37">
        <f>SUMIFS(Wine1!$I:$I,Wine1!$K:$K,Location!$A18,Wine1!$AA:$AA,Location!AT$1)</f>
        <v>0</v>
      </c>
      <c r="AU18" s="37">
        <f>SUMIFS(Wine1!$I:$I,Wine1!$K:$K,Location!$A18,Wine1!$AA:$AA,Location!AU$1)</f>
        <v>0</v>
      </c>
      <c r="AV18" s="37">
        <f>SUMIFS(Wine1!$I:$I,Wine1!$K:$K,Location!$A18,Wine1!$AA:$AA,Location!AV$1)</f>
        <v>0</v>
      </c>
      <c r="AW18" s="37">
        <f>SUMIFS(Wine1!$I:$I,Wine1!$K:$K,Location!$A18,Wine1!$AA:$AA,Location!AW$1)</f>
        <v>0</v>
      </c>
      <c r="AX18" s="37">
        <f>SUMIFS(Wine1!$I:$I,Wine1!$K:$K,Location!$A18,Wine1!$AA:$AA,Location!AX$1)</f>
        <v>0</v>
      </c>
      <c r="AY18" s="37">
        <f>SUMIFS(Wine1!$I:$I,Wine1!$K:$K,Location!$A18,Wine1!$AA:$AA,Location!AY$1)</f>
        <v>0</v>
      </c>
      <c r="AZ18" s="37">
        <f>SUMIFS(Wine1!$I:$I,Wine1!$K:$K,Location!$A18,Wine1!$AA:$AA,Location!AZ$1)</f>
        <v>0</v>
      </c>
      <c r="BA18" s="37">
        <f>SUMIFS(Wine1!$I:$I,Wine1!$K:$K,Location!$A18,Wine1!$AA:$AA,Location!BA$1)</f>
        <v>0</v>
      </c>
      <c r="BB18" s="37">
        <f>SUMIFS(Wine1!$I:$I,Wine1!$K:$K,Location!$A18,Wine1!$AA:$AA,Location!BB$1)</f>
        <v>0</v>
      </c>
      <c r="BC18" s="37">
        <f>SUMIFS(Wine1!$I:$I,Wine1!$K:$K,Location!$A18,Wine1!$AA:$AA,Location!BC$1)</f>
        <v>0</v>
      </c>
      <c r="BD18" s="37">
        <f>SUMIFS(Wine1!$I:$I,Wine1!$K:$K,Location!$A18,Wine1!$AA:$AA,Location!BD$1)</f>
        <v>0</v>
      </c>
      <c r="BE18" s="37">
        <f>SUMIFS(Wine1!$I:$I,Wine1!$K:$K,Location!$A18,Wine1!$AA:$AA,Location!BE$1)</f>
        <v>0</v>
      </c>
      <c r="BF18" s="37">
        <f>SUMIFS(Wine1!$I:$I,Wine1!$K:$K,Location!$A18,Wine1!$AA:$AA,Location!BF$1)</f>
        <v>0</v>
      </c>
      <c r="BG18" s="37">
        <f>SUMIFS(Wine1!$I:$I,Wine1!$K:$K,Location!$A18,Wine1!$AA:$AA,Location!BG$1)</f>
        <v>0</v>
      </c>
      <c r="BH18" s="37">
        <f>SUMIFS(Wine1!$I:$I,Wine1!$K:$K,Location!$A18,Wine1!$AA:$AA,Location!BH$1)</f>
        <v>0</v>
      </c>
      <c r="BI18" s="37">
        <f>SUMIFS(Wine1!$I:$I,Wine1!$K:$K,Location!$A18,Wine1!$AA:$AA,Location!BI$1)</f>
        <v>0</v>
      </c>
    </row>
    <row r="19" spans="1:61" x14ac:dyDescent="0.25">
      <c r="A19" s="38" t="s">
        <v>642</v>
      </c>
      <c r="B19">
        <f>SUMIF(Wine1!K:K,Location!A19,Wine1!I:I)</f>
        <v>12</v>
      </c>
      <c r="C19">
        <v>12</v>
      </c>
      <c r="D19">
        <f t="shared" ref="D19:D89" si="1">C19-B19</f>
        <v>0</v>
      </c>
      <c r="E19" s="37" t="s">
        <v>603</v>
      </c>
      <c r="F19" s="37" t="s">
        <v>1533</v>
      </c>
      <c r="G19" s="1">
        <v>43806</v>
      </c>
      <c r="H19" s="56">
        <f>COUNTIFS(Wine1!$K:$K,Location!$A19,Wine1!$AF:$AF,Location!H$1)</f>
        <v>1</v>
      </c>
      <c r="I19" s="57">
        <f>COUNTIFS(Wine1!$K:$K,Location!$A19,Wine1!$AF:$AF,Location!I$1)</f>
        <v>5</v>
      </c>
      <c r="J19" s="57">
        <f>COUNTIFS(Wine1!$K:$K,Location!$A19,Wine1!$AF:$AF,Location!J$1)</f>
        <v>4</v>
      </c>
      <c r="K19" s="58">
        <f>COUNTIFS(Wine1!$K:$K,Location!$A19,Wine1!$AF:$AF,Location!K$1)</f>
        <v>2</v>
      </c>
      <c r="L19" s="18">
        <f>IFERROR(AVERAGEIF(Wine1!K:K,Location!A19,Wine1!AA:AA),"Empty")</f>
        <v>2028</v>
      </c>
      <c r="M19">
        <f>SUMIFS(Wine1!$I:$I,Wine1!$K:$K,Location!$A19,Wine1!$AA:$AA,Location!M$1)</f>
        <v>0</v>
      </c>
      <c r="N19">
        <f>SUMIFS(Wine1!$I:$I,Wine1!$K:$K,Location!$A19,Wine1!$AA:$AA,Location!N$1)</f>
        <v>0</v>
      </c>
      <c r="O19">
        <f>SUMIFS(Wine1!$I:$I,Wine1!$K:$K,Location!$A19,Wine1!$AA:$AA,Location!O$1)</f>
        <v>2</v>
      </c>
      <c r="P19">
        <f>SUMIFS(Wine1!$I:$I,Wine1!$K:$K,Location!$A19,Wine1!$AA:$AA,Location!P$1)</f>
        <v>2</v>
      </c>
      <c r="Q19">
        <f>SUMIFS(Wine1!$I:$I,Wine1!$K:$K,Location!$A19,Wine1!$AA:$AA,Location!Q$1)</f>
        <v>2</v>
      </c>
      <c r="R19">
        <f>SUMIFS(Wine1!$I:$I,Wine1!$K:$K,Location!$A19,Wine1!$AA:$AA,Location!R$1)</f>
        <v>0</v>
      </c>
      <c r="S19">
        <f>SUMIFS(Wine1!$I:$I,Wine1!$K:$K,Location!$A19,Wine1!$AA:$AA,Location!S$1)</f>
        <v>0</v>
      </c>
      <c r="T19">
        <f>SUMIFS(Wine1!$I:$I,Wine1!$K:$K,Location!$A19,Wine1!$AA:$AA,Location!T$1)</f>
        <v>0</v>
      </c>
      <c r="U19">
        <f>SUMIFS(Wine1!$I:$I,Wine1!$K:$K,Location!$A19,Wine1!$AA:$AA,Location!U$1)</f>
        <v>2</v>
      </c>
      <c r="V19">
        <f>SUMIFS(Wine1!$I:$I,Wine1!$K:$K,Location!$A19,Wine1!$AA:$AA,Location!V$1)</f>
        <v>0</v>
      </c>
      <c r="W19">
        <f>SUMIFS(Wine1!$I:$I,Wine1!$K:$K,Location!$A19,Wine1!$AA:$AA,Location!W$1)</f>
        <v>1</v>
      </c>
      <c r="X19">
        <f>SUMIFS(Wine1!$I:$I,Wine1!$K:$K,Location!$A19,Wine1!$AA:$AA,Location!X$1)</f>
        <v>0</v>
      </c>
      <c r="Y19">
        <f>SUMIFS(Wine1!$I:$I,Wine1!$K:$K,Location!$A19,Wine1!$AA:$AA,Location!Y$1)</f>
        <v>1</v>
      </c>
      <c r="Z19">
        <f>SUMIFS(Wine1!$I:$I,Wine1!$K:$K,Location!$A19,Wine1!$AA:$AA,Location!Z$1)</f>
        <v>0</v>
      </c>
      <c r="AA19">
        <f>SUMIFS(Wine1!$I:$I,Wine1!$K:$K,Location!$A19,Wine1!$AA:$AA,Location!AA$1)</f>
        <v>0</v>
      </c>
      <c r="AB19">
        <f>SUMIFS(Wine1!$I:$I,Wine1!$K:$K,Location!$A19,Wine1!$AA:$AA,Location!AB$1)</f>
        <v>1</v>
      </c>
      <c r="AC19">
        <f>SUMIFS(Wine1!$I:$I,Wine1!$K:$K,Location!$A19,Wine1!$AA:$AA,Location!AC$1)</f>
        <v>0</v>
      </c>
      <c r="AD19">
        <f>SUMIFS(Wine1!$I:$I,Wine1!$K:$K,Location!$A19,Wine1!$AA:$AA,Location!AD$1)</f>
        <v>0</v>
      </c>
      <c r="AE19">
        <f>SUMIFS(Wine1!$I:$I,Wine1!$K:$K,Location!$A19,Wine1!$AA:$AA,Location!AE$1)</f>
        <v>0</v>
      </c>
      <c r="AF19">
        <f>SUMIFS(Wine1!$I:$I,Wine1!$K:$K,Location!$A19,Wine1!$AA:$AA,Location!AF$1)</f>
        <v>0</v>
      </c>
      <c r="AG19">
        <f>SUMIFS(Wine1!$I:$I,Wine1!$K:$K,Location!$A19,Wine1!$AA:$AA,Location!AG$1)</f>
        <v>0</v>
      </c>
      <c r="AH19">
        <f>SUMIFS(Wine1!$I:$I,Wine1!$K:$K,Location!$A19,Wine1!$AA:$AA,Location!AH$1)</f>
        <v>0</v>
      </c>
      <c r="AI19">
        <f>SUMIFS(Wine1!$I:$I,Wine1!$K:$K,Location!$A19,Wine1!$AA:$AA,Location!AI$1)</f>
        <v>0</v>
      </c>
      <c r="AJ19">
        <f>SUMIFS(Wine1!$I:$I,Wine1!$K:$K,Location!$A19,Wine1!$AA:$AA,Location!AJ$1)</f>
        <v>0</v>
      </c>
      <c r="AK19">
        <f>SUMIFS(Wine1!$I:$I,Wine1!$K:$K,Location!$A19,Wine1!$AA:$AA,Location!AK$1)</f>
        <v>0</v>
      </c>
      <c r="AL19">
        <f>SUMIFS(Wine1!$I:$I,Wine1!$K:$K,Location!$A19,Wine1!$AA:$AA,Location!AL$1)</f>
        <v>1</v>
      </c>
      <c r="AM19">
        <f>SUMIFS(Wine1!$I:$I,Wine1!$K:$K,Location!$A19,Wine1!$AA:$AA,Location!AM$1)</f>
        <v>0</v>
      </c>
      <c r="AN19">
        <f>SUMIFS(Wine1!$I:$I,Wine1!$K:$K,Location!$A19,Wine1!$AA:$AA,Location!AN$1)</f>
        <v>0</v>
      </c>
      <c r="AO19">
        <f>SUMIFS(Wine1!$I:$I,Wine1!$K:$K,Location!$A19,Wine1!$AA:$AA,Location!AO$1)</f>
        <v>0</v>
      </c>
      <c r="AP19">
        <f>SUMIFS(Wine1!$I:$I,Wine1!$K:$K,Location!$A19,Wine1!$AA:$AA,Location!AP$1)</f>
        <v>0</v>
      </c>
      <c r="AQ19">
        <f>SUMIFS(Wine1!$I:$I,Wine1!$K:$K,Location!$A19,Wine1!$AA:$AA,Location!AQ$1)</f>
        <v>0</v>
      </c>
      <c r="AR19">
        <f>SUMIFS(Wine1!$I:$I,Wine1!$K:$K,Location!$A19,Wine1!$AA:$AA,Location!AR$1)</f>
        <v>0</v>
      </c>
      <c r="AS19" s="37">
        <f>SUMIFS(Wine1!$I:$I,Wine1!$K:$K,Location!$A19,Wine1!$AA:$AA,Location!AS$1)</f>
        <v>0</v>
      </c>
      <c r="AT19" s="37">
        <f>SUMIFS(Wine1!$I:$I,Wine1!$K:$K,Location!$A19,Wine1!$AA:$AA,Location!AT$1)</f>
        <v>0</v>
      </c>
      <c r="AU19" s="37">
        <f>SUMIFS(Wine1!$I:$I,Wine1!$K:$K,Location!$A19,Wine1!$AA:$AA,Location!AU$1)</f>
        <v>0</v>
      </c>
      <c r="AV19" s="37">
        <f>SUMIFS(Wine1!$I:$I,Wine1!$K:$K,Location!$A19,Wine1!$AA:$AA,Location!AV$1)</f>
        <v>0</v>
      </c>
      <c r="AW19" s="37">
        <f>SUMIFS(Wine1!$I:$I,Wine1!$K:$K,Location!$A19,Wine1!$AA:$AA,Location!AW$1)</f>
        <v>0</v>
      </c>
      <c r="AX19" s="37">
        <f>SUMIFS(Wine1!$I:$I,Wine1!$K:$K,Location!$A19,Wine1!$AA:$AA,Location!AX$1)</f>
        <v>0</v>
      </c>
      <c r="AY19" s="37">
        <f>SUMIFS(Wine1!$I:$I,Wine1!$K:$K,Location!$A19,Wine1!$AA:$AA,Location!AY$1)</f>
        <v>0</v>
      </c>
      <c r="AZ19" s="37">
        <f>SUMIFS(Wine1!$I:$I,Wine1!$K:$K,Location!$A19,Wine1!$AA:$AA,Location!AZ$1)</f>
        <v>0</v>
      </c>
      <c r="BA19" s="37">
        <f>SUMIFS(Wine1!$I:$I,Wine1!$K:$K,Location!$A19,Wine1!$AA:$AA,Location!BA$1)</f>
        <v>0</v>
      </c>
      <c r="BB19" s="37">
        <f>SUMIFS(Wine1!$I:$I,Wine1!$K:$K,Location!$A19,Wine1!$AA:$AA,Location!BB$1)</f>
        <v>0</v>
      </c>
      <c r="BC19" s="37">
        <f>SUMIFS(Wine1!$I:$I,Wine1!$K:$K,Location!$A19,Wine1!$AA:$AA,Location!BC$1)</f>
        <v>0</v>
      </c>
      <c r="BD19" s="37">
        <f>SUMIFS(Wine1!$I:$I,Wine1!$K:$K,Location!$A19,Wine1!$AA:$AA,Location!BD$1)</f>
        <v>0</v>
      </c>
      <c r="BE19" s="37">
        <f>SUMIFS(Wine1!$I:$I,Wine1!$K:$K,Location!$A19,Wine1!$AA:$AA,Location!BE$1)</f>
        <v>0</v>
      </c>
      <c r="BF19" s="37">
        <f>SUMIFS(Wine1!$I:$I,Wine1!$K:$K,Location!$A19,Wine1!$AA:$AA,Location!BF$1)</f>
        <v>0</v>
      </c>
      <c r="BG19" s="37">
        <f>SUMIFS(Wine1!$I:$I,Wine1!$K:$K,Location!$A19,Wine1!$AA:$AA,Location!BG$1)</f>
        <v>0</v>
      </c>
      <c r="BH19" s="37">
        <f>SUMIFS(Wine1!$I:$I,Wine1!$K:$K,Location!$A19,Wine1!$AA:$AA,Location!BH$1)</f>
        <v>0</v>
      </c>
      <c r="BI19" s="37">
        <f>SUMIFS(Wine1!$I:$I,Wine1!$K:$K,Location!$A19,Wine1!$AA:$AA,Location!BI$1)</f>
        <v>0</v>
      </c>
    </row>
    <row r="20" spans="1:61" x14ac:dyDescent="0.25">
      <c r="A20" s="38" t="s">
        <v>641</v>
      </c>
      <c r="B20">
        <f>SUMIF(Wine1!K:K,Location!A20,Wine1!I:I)</f>
        <v>12</v>
      </c>
      <c r="C20">
        <v>12</v>
      </c>
      <c r="D20">
        <f t="shared" si="1"/>
        <v>0</v>
      </c>
      <c r="E20" t="s">
        <v>603</v>
      </c>
      <c r="F20" s="37" t="s">
        <v>1533</v>
      </c>
      <c r="G20" s="1">
        <v>43810</v>
      </c>
      <c r="H20" s="56">
        <f>COUNTIFS(Wine1!$K:$K,Location!$A20,Wine1!$AF:$AF,Location!H$1)</f>
        <v>0</v>
      </c>
      <c r="I20" s="57">
        <f>COUNTIFS(Wine1!$K:$K,Location!$A20,Wine1!$AF:$AF,Location!I$1)</f>
        <v>4</v>
      </c>
      <c r="J20" s="57">
        <f>COUNTIFS(Wine1!$K:$K,Location!$A20,Wine1!$AF:$AF,Location!J$1)</f>
        <v>8</v>
      </c>
      <c r="K20" s="58">
        <f>COUNTIFS(Wine1!$K:$K,Location!$A20,Wine1!$AF:$AF,Location!K$1)</f>
        <v>0</v>
      </c>
      <c r="L20" s="18">
        <f>IFERROR(AVERAGEIF(Wine1!K:K,Location!A20,Wine1!AA:AA),"Empty")</f>
        <v>2031.25</v>
      </c>
      <c r="M20">
        <f>SUMIFS(Wine1!$I:$I,Wine1!$K:$K,Location!$A20,Wine1!$AA:$AA,Location!M$1)</f>
        <v>0</v>
      </c>
      <c r="N20">
        <f>SUMIFS(Wine1!$I:$I,Wine1!$K:$K,Location!$A20,Wine1!$AA:$AA,Location!N$1)</f>
        <v>0</v>
      </c>
      <c r="O20">
        <f>SUMIFS(Wine1!$I:$I,Wine1!$K:$K,Location!$A20,Wine1!$AA:$AA,Location!O$1)</f>
        <v>0</v>
      </c>
      <c r="P20">
        <f>SUMIFS(Wine1!$I:$I,Wine1!$K:$K,Location!$A20,Wine1!$AA:$AA,Location!P$1)</f>
        <v>0</v>
      </c>
      <c r="Q20">
        <f>SUMIFS(Wine1!$I:$I,Wine1!$K:$K,Location!$A20,Wine1!$AA:$AA,Location!Q$1)</f>
        <v>0</v>
      </c>
      <c r="R20">
        <f>SUMIFS(Wine1!$I:$I,Wine1!$K:$K,Location!$A20,Wine1!$AA:$AA,Location!R$1)</f>
        <v>0</v>
      </c>
      <c r="S20">
        <f>SUMIFS(Wine1!$I:$I,Wine1!$K:$K,Location!$A20,Wine1!$AA:$AA,Location!S$1)</f>
        <v>1</v>
      </c>
      <c r="T20">
        <f>SUMIFS(Wine1!$I:$I,Wine1!$K:$K,Location!$A20,Wine1!$AA:$AA,Location!T$1)</f>
        <v>1</v>
      </c>
      <c r="U20">
        <f>SUMIFS(Wine1!$I:$I,Wine1!$K:$K,Location!$A20,Wine1!$AA:$AA,Location!U$1)</f>
        <v>1</v>
      </c>
      <c r="V20">
        <f>SUMIFS(Wine1!$I:$I,Wine1!$K:$K,Location!$A20,Wine1!$AA:$AA,Location!V$1)</f>
        <v>2</v>
      </c>
      <c r="W20">
        <f>SUMIFS(Wine1!$I:$I,Wine1!$K:$K,Location!$A20,Wine1!$AA:$AA,Location!W$1)</f>
        <v>3</v>
      </c>
      <c r="X20">
        <f>SUMIFS(Wine1!$I:$I,Wine1!$K:$K,Location!$A20,Wine1!$AA:$AA,Location!X$1)</f>
        <v>0</v>
      </c>
      <c r="Y20">
        <f>SUMIFS(Wine1!$I:$I,Wine1!$K:$K,Location!$A20,Wine1!$AA:$AA,Location!Y$1)</f>
        <v>0</v>
      </c>
      <c r="Z20">
        <f>SUMIFS(Wine1!$I:$I,Wine1!$K:$K,Location!$A20,Wine1!$AA:$AA,Location!Z$1)</f>
        <v>0</v>
      </c>
      <c r="AA20">
        <f>SUMIFS(Wine1!$I:$I,Wine1!$K:$K,Location!$A20,Wine1!$AA:$AA,Location!AA$1)</f>
        <v>2</v>
      </c>
      <c r="AB20">
        <f>SUMIFS(Wine1!$I:$I,Wine1!$K:$K,Location!$A20,Wine1!$AA:$AA,Location!AB$1)</f>
        <v>0</v>
      </c>
      <c r="AC20">
        <f>SUMIFS(Wine1!$I:$I,Wine1!$K:$K,Location!$A20,Wine1!$AA:$AA,Location!AC$1)</f>
        <v>1</v>
      </c>
      <c r="AD20">
        <f>SUMIFS(Wine1!$I:$I,Wine1!$K:$K,Location!$A20,Wine1!$AA:$AA,Location!AD$1)</f>
        <v>0</v>
      </c>
      <c r="AE20">
        <f>SUMIFS(Wine1!$I:$I,Wine1!$K:$K,Location!$A20,Wine1!$AA:$AA,Location!AE$1)</f>
        <v>0</v>
      </c>
      <c r="AF20">
        <f>SUMIFS(Wine1!$I:$I,Wine1!$K:$K,Location!$A20,Wine1!$AA:$AA,Location!AF$1)</f>
        <v>0</v>
      </c>
      <c r="AG20">
        <f>SUMIFS(Wine1!$I:$I,Wine1!$K:$K,Location!$A20,Wine1!$AA:$AA,Location!AG$1)</f>
        <v>0</v>
      </c>
      <c r="AH20">
        <f>SUMIFS(Wine1!$I:$I,Wine1!$K:$K,Location!$A20,Wine1!$AA:$AA,Location!AH$1)</f>
        <v>0</v>
      </c>
      <c r="AI20">
        <f>SUMIFS(Wine1!$I:$I,Wine1!$K:$K,Location!$A20,Wine1!$AA:$AA,Location!AI$1)</f>
        <v>1</v>
      </c>
      <c r="AJ20">
        <f>SUMIFS(Wine1!$I:$I,Wine1!$K:$K,Location!$A20,Wine1!$AA:$AA,Location!AJ$1)</f>
        <v>0</v>
      </c>
      <c r="AK20">
        <f>SUMIFS(Wine1!$I:$I,Wine1!$K:$K,Location!$A20,Wine1!$AA:$AA,Location!AK$1)</f>
        <v>0</v>
      </c>
      <c r="AL20">
        <f>SUMIFS(Wine1!$I:$I,Wine1!$K:$K,Location!$A20,Wine1!$AA:$AA,Location!AL$1)</f>
        <v>0</v>
      </c>
      <c r="AM20">
        <f>SUMIFS(Wine1!$I:$I,Wine1!$K:$K,Location!$A20,Wine1!$AA:$AA,Location!AM$1)</f>
        <v>0</v>
      </c>
      <c r="AN20">
        <f>SUMIFS(Wine1!$I:$I,Wine1!$K:$K,Location!$A20,Wine1!$AA:$AA,Location!AN$1)</f>
        <v>0</v>
      </c>
      <c r="AO20">
        <f>SUMIFS(Wine1!$I:$I,Wine1!$K:$K,Location!$A20,Wine1!$AA:$AA,Location!AO$1)</f>
        <v>0</v>
      </c>
      <c r="AP20">
        <f>SUMIFS(Wine1!$I:$I,Wine1!$K:$K,Location!$A20,Wine1!$AA:$AA,Location!AP$1)</f>
        <v>0</v>
      </c>
      <c r="AQ20">
        <f>SUMIFS(Wine1!$I:$I,Wine1!$K:$K,Location!$A20,Wine1!$AA:$AA,Location!AQ$1)</f>
        <v>0</v>
      </c>
      <c r="AR20">
        <f>SUMIFS(Wine1!$I:$I,Wine1!$K:$K,Location!$A20,Wine1!$AA:$AA,Location!AR$1)</f>
        <v>0</v>
      </c>
      <c r="AS20" s="37">
        <f>SUMIFS(Wine1!$I:$I,Wine1!$K:$K,Location!$A20,Wine1!$AA:$AA,Location!AS$1)</f>
        <v>0</v>
      </c>
      <c r="AT20" s="37">
        <f>SUMIFS(Wine1!$I:$I,Wine1!$K:$K,Location!$A20,Wine1!$AA:$AA,Location!AT$1)</f>
        <v>0</v>
      </c>
      <c r="AU20" s="37">
        <f>SUMIFS(Wine1!$I:$I,Wine1!$K:$K,Location!$A20,Wine1!$AA:$AA,Location!AU$1)</f>
        <v>0</v>
      </c>
      <c r="AV20" s="37">
        <f>SUMIFS(Wine1!$I:$I,Wine1!$K:$K,Location!$A20,Wine1!$AA:$AA,Location!AV$1)</f>
        <v>0</v>
      </c>
      <c r="AW20" s="37">
        <f>SUMIFS(Wine1!$I:$I,Wine1!$K:$K,Location!$A20,Wine1!$AA:$AA,Location!AW$1)</f>
        <v>0</v>
      </c>
      <c r="AX20" s="37">
        <f>SUMIFS(Wine1!$I:$I,Wine1!$K:$K,Location!$A20,Wine1!$AA:$AA,Location!AX$1)</f>
        <v>0</v>
      </c>
      <c r="AY20" s="37">
        <f>SUMIFS(Wine1!$I:$I,Wine1!$K:$K,Location!$A20,Wine1!$AA:$AA,Location!AY$1)</f>
        <v>0</v>
      </c>
      <c r="AZ20" s="37">
        <f>SUMIFS(Wine1!$I:$I,Wine1!$K:$K,Location!$A20,Wine1!$AA:$AA,Location!AZ$1)</f>
        <v>0</v>
      </c>
      <c r="BA20" s="37">
        <f>SUMIFS(Wine1!$I:$I,Wine1!$K:$K,Location!$A20,Wine1!$AA:$AA,Location!BA$1)</f>
        <v>0</v>
      </c>
      <c r="BB20" s="37">
        <f>SUMIFS(Wine1!$I:$I,Wine1!$K:$K,Location!$A20,Wine1!$AA:$AA,Location!BB$1)</f>
        <v>0</v>
      </c>
      <c r="BC20" s="37">
        <f>SUMIFS(Wine1!$I:$I,Wine1!$K:$K,Location!$A20,Wine1!$AA:$AA,Location!BC$1)</f>
        <v>0</v>
      </c>
      <c r="BD20" s="37">
        <f>SUMIFS(Wine1!$I:$I,Wine1!$K:$K,Location!$A20,Wine1!$AA:$AA,Location!BD$1)</f>
        <v>0</v>
      </c>
      <c r="BE20" s="37">
        <f>SUMIFS(Wine1!$I:$I,Wine1!$K:$K,Location!$A20,Wine1!$AA:$AA,Location!BE$1)</f>
        <v>0</v>
      </c>
      <c r="BF20" s="37">
        <f>SUMIFS(Wine1!$I:$I,Wine1!$K:$K,Location!$A20,Wine1!$AA:$AA,Location!BF$1)</f>
        <v>0</v>
      </c>
      <c r="BG20" s="37">
        <f>SUMIFS(Wine1!$I:$I,Wine1!$K:$K,Location!$A20,Wine1!$AA:$AA,Location!BG$1)</f>
        <v>0</v>
      </c>
      <c r="BH20" s="37">
        <f>SUMIFS(Wine1!$I:$I,Wine1!$K:$K,Location!$A20,Wine1!$AA:$AA,Location!BH$1)</f>
        <v>0</v>
      </c>
      <c r="BI20" s="37">
        <f>SUMIFS(Wine1!$I:$I,Wine1!$K:$K,Location!$A20,Wine1!$AA:$AA,Location!BI$1)</f>
        <v>0</v>
      </c>
    </row>
    <row r="21" spans="1:61" x14ac:dyDescent="0.25">
      <c r="A21" s="20" t="s">
        <v>589</v>
      </c>
      <c r="B21">
        <f>SUMIF(Wine1!K:K,Location!A21,Wine1!I:I)</f>
        <v>12</v>
      </c>
      <c r="C21">
        <v>12</v>
      </c>
      <c r="D21">
        <f t="shared" si="1"/>
        <v>0</v>
      </c>
      <c r="E21" t="s">
        <v>600</v>
      </c>
      <c r="F21" s="37" t="s">
        <v>718</v>
      </c>
      <c r="G21" s="1">
        <v>43806</v>
      </c>
      <c r="H21" s="56">
        <f>COUNTIFS(Wine1!$K:$K,Location!$A21,Wine1!$AF:$AF,Location!H$1)</f>
        <v>5</v>
      </c>
      <c r="I21" s="57">
        <f>COUNTIFS(Wine1!$K:$K,Location!$A21,Wine1!$AF:$AF,Location!I$1)</f>
        <v>4</v>
      </c>
      <c r="J21" s="57">
        <f>COUNTIFS(Wine1!$K:$K,Location!$A21,Wine1!$AF:$AF,Location!J$1)</f>
        <v>3</v>
      </c>
      <c r="K21" s="58">
        <f>COUNTIFS(Wine1!$K:$K,Location!$A21,Wine1!$AF:$AF,Location!K$1)</f>
        <v>0</v>
      </c>
      <c r="L21" s="18">
        <f>IFERROR(AVERAGEIF(Wine1!K:K,Location!A21,Wine1!AA:AA),"Empty")</f>
        <v>2020.5</v>
      </c>
      <c r="M21">
        <f>SUMIFS(Wine1!$I:$I,Wine1!$K:$K,Location!$A21,Wine1!$AA:$AA,Location!M$1)</f>
        <v>6</v>
      </c>
      <c r="N21">
        <f>SUMIFS(Wine1!$I:$I,Wine1!$K:$K,Location!$A21,Wine1!$AA:$AA,Location!N$1)</f>
        <v>6</v>
      </c>
      <c r="O21">
        <f>SUMIFS(Wine1!$I:$I,Wine1!$K:$K,Location!$A21,Wine1!$AA:$AA,Location!O$1)</f>
        <v>0</v>
      </c>
      <c r="P21">
        <f>SUMIFS(Wine1!$I:$I,Wine1!$K:$K,Location!$A21,Wine1!$AA:$AA,Location!P$1)</f>
        <v>0</v>
      </c>
      <c r="Q21">
        <f>SUMIFS(Wine1!$I:$I,Wine1!$K:$K,Location!$A21,Wine1!$AA:$AA,Location!Q$1)</f>
        <v>0</v>
      </c>
      <c r="R21">
        <f>SUMIFS(Wine1!$I:$I,Wine1!$K:$K,Location!$A21,Wine1!$AA:$AA,Location!R$1)</f>
        <v>0</v>
      </c>
      <c r="S21">
        <f>SUMIFS(Wine1!$I:$I,Wine1!$K:$K,Location!$A21,Wine1!$AA:$AA,Location!S$1)</f>
        <v>0</v>
      </c>
      <c r="T21">
        <f>SUMIFS(Wine1!$I:$I,Wine1!$K:$K,Location!$A21,Wine1!$AA:$AA,Location!T$1)</f>
        <v>0</v>
      </c>
      <c r="U21">
        <f>SUMIFS(Wine1!$I:$I,Wine1!$K:$K,Location!$A21,Wine1!$AA:$AA,Location!U$1)</f>
        <v>0</v>
      </c>
      <c r="V21">
        <f>SUMIFS(Wine1!$I:$I,Wine1!$K:$K,Location!$A21,Wine1!$AA:$AA,Location!V$1)</f>
        <v>0</v>
      </c>
      <c r="W21">
        <f>SUMIFS(Wine1!$I:$I,Wine1!$K:$K,Location!$A21,Wine1!$AA:$AA,Location!W$1)</f>
        <v>0</v>
      </c>
      <c r="X21">
        <f>SUMIFS(Wine1!$I:$I,Wine1!$K:$K,Location!$A21,Wine1!$AA:$AA,Location!X$1)</f>
        <v>0</v>
      </c>
      <c r="Y21">
        <f>SUMIFS(Wine1!$I:$I,Wine1!$K:$K,Location!$A21,Wine1!$AA:$AA,Location!Y$1)</f>
        <v>0</v>
      </c>
      <c r="Z21">
        <f>SUMIFS(Wine1!$I:$I,Wine1!$K:$K,Location!$A21,Wine1!$AA:$AA,Location!Z$1)</f>
        <v>0</v>
      </c>
      <c r="AA21">
        <f>SUMIFS(Wine1!$I:$I,Wine1!$K:$K,Location!$A21,Wine1!$AA:$AA,Location!AA$1)</f>
        <v>0</v>
      </c>
      <c r="AB21">
        <f>SUMIFS(Wine1!$I:$I,Wine1!$K:$K,Location!$A21,Wine1!$AA:$AA,Location!AB$1)</f>
        <v>0</v>
      </c>
      <c r="AC21">
        <f>SUMIFS(Wine1!$I:$I,Wine1!$K:$K,Location!$A21,Wine1!$AA:$AA,Location!AC$1)</f>
        <v>0</v>
      </c>
      <c r="AD21">
        <f>SUMIFS(Wine1!$I:$I,Wine1!$K:$K,Location!$A21,Wine1!$AA:$AA,Location!AD$1)</f>
        <v>0</v>
      </c>
      <c r="AE21">
        <f>SUMIFS(Wine1!$I:$I,Wine1!$K:$K,Location!$A21,Wine1!$AA:$AA,Location!AE$1)</f>
        <v>0</v>
      </c>
      <c r="AF21">
        <f>SUMIFS(Wine1!$I:$I,Wine1!$K:$K,Location!$A21,Wine1!$AA:$AA,Location!AF$1)</f>
        <v>0</v>
      </c>
      <c r="AG21">
        <f>SUMIFS(Wine1!$I:$I,Wine1!$K:$K,Location!$A21,Wine1!$AA:$AA,Location!AG$1)</f>
        <v>0</v>
      </c>
      <c r="AH21">
        <f>SUMIFS(Wine1!$I:$I,Wine1!$K:$K,Location!$A21,Wine1!$AA:$AA,Location!AH$1)</f>
        <v>0</v>
      </c>
      <c r="AI21">
        <f>SUMIFS(Wine1!$I:$I,Wine1!$K:$K,Location!$A21,Wine1!$AA:$AA,Location!AI$1)</f>
        <v>0</v>
      </c>
      <c r="AJ21">
        <f>SUMIFS(Wine1!$I:$I,Wine1!$K:$K,Location!$A21,Wine1!$AA:$AA,Location!AJ$1)</f>
        <v>0</v>
      </c>
      <c r="AK21">
        <f>SUMIFS(Wine1!$I:$I,Wine1!$K:$K,Location!$A21,Wine1!$AA:$AA,Location!AK$1)</f>
        <v>0</v>
      </c>
      <c r="AL21">
        <f>SUMIFS(Wine1!$I:$I,Wine1!$K:$K,Location!$A21,Wine1!$AA:$AA,Location!AL$1)</f>
        <v>0</v>
      </c>
      <c r="AM21">
        <f>SUMIFS(Wine1!$I:$I,Wine1!$K:$K,Location!$A21,Wine1!$AA:$AA,Location!AM$1)</f>
        <v>0</v>
      </c>
      <c r="AN21">
        <f>SUMIFS(Wine1!$I:$I,Wine1!$K:$K,Location!$A21,Wine1!$AA:$AA,Location!AN$1)</f>
        <v>0</v>
      </c>
      <c r="AO21">
        <f>SUMIFS(Wine1!$I:$I,Wine1!$K:$K,Location!$A21,Wine1!$AA:$AA,Location!AO$1)</f>
        <v>0</v>
      </c>
      <c r="AP21">
        <f>SUMIFS(Wine1!$I:$I,Wine1!$K:$K,Location!$A21,Wine1!$AA:$AA,Location!AP$1)</f>
        <v>0</v>
      </c>
      <c r="AQ21">
        <f>SUMIFS(Wine1!$I:$I,Wine1!$K:$K,Location!$A21,Wine1!$AA:$AA,Location!AQ$1)</f>
        <v>0</v>
      </c>
      <c r="AR21">
        <f>SUMIFS(Wine1!$I:$I,Wine1!$K:$K,Location!$A21,Wine1!$AA:$AA,Location!AR$1)</f>
        <v>0</v>
      </c>
      <c r="AS21" s="37">
        <f>SUMIFS(Wine1!$I:$I,Wine1!$K:$K,Location!$A21,Wine1!$AA:$AA,Location!AS$1)</f>
        <v>0</v>
      </c>
      <c r="AT21" s="37">
        <f>SUMIFS(Wine1!$I:$I,Wine1!$K:$K,Location!$A21,Wine1!$AA:$AA,Location!AT$1)</f>
        <v>0</v>
      </c>
      <c r="AU21" s="37">
        <f>SUMIFS(Wine1!$I:$I,Wine1!$K:$K,Location!$A21,Wine1!$AA:$AA,Location!AU$1)</f>
        <v>0</v>
      </c>
      <c r="AV21" s="37">
        <f>SUMIFS(Wine1!$I:$I,Wine1!$K:$K,Location!$A21,Wine1!$AA:$AA,Location!AV$1)</f>
        <v>0</v>
      </c>
      <c r="AW21" s="37">
        <f>SUMIFS(Wine1!$I:$I,Wine1!$K:$K,Location!$A21,Wine1!$AA:$AA,Location!AW$1)</f>
        <v>0</v>
      </c>
      <c r="AX21" s="37">
        <f>SUMIFS(Wine1!$I:$I,Wine1!$K:$K,Location!$A21,Wine1!$AA:$AA,Location!AX$1)</f>
        <v>0</v>
      </c>
      <c r="AY21" s="37">
        <f>SUMIFS(Wine1!$I:$I,Wine1!$K:$K,Location!$A21,Wine1!$AA:$AA,Location!AY$1)</f>
        <v>0</v>
      </c>
      <c r="AZ21" s="37">
        <f>SUMIFS(Wine1!$I:$I,Wine1!$K:$K,Location!$A21,Wine1!$AA:$AA,Location!AZ$1)</f>
        <v>0</v>
      </c>
      <c r="BA21" s="37">
        <f>SUMIFS(Wine1!$I:$I,Wine1!$K:$K,Location!$A21,Wine1!$AA:$AA,Location!BA$1)</f>
        <v>0</v>
      </c>
      <c r="BB21" s="37">
        <f>SUMIFS(Wine1!$I:$I,Wine1!$K:$K,Location!$A21,Wine1!$AA:$AA,Location!BB$1)</f>
        <v>0</v>
      </c>
      <c r="BC21" s="37">
        <f>SUMIFS(Wine1!$I:$I,Wine1!$K:$K,Location!$A21,Wine1!$AA:$AA,Location!BC$1)</f>
        <v>0</v>
      </c>
      <c r="BD21" s="37">
        <f>SUMIFS(Wine1!$I:$I,Wine1!$K:$K,Location!$A21,Wine1!$AA:$AA,Location!BD$1)</f>
        <v>0</v>
      </c>
      <c r="BE21" s="37">
        <f>SUMIFS(Wine1!$I:$I,Wine1!$K:$K,Location!$A21,Wine1!$AA:$AA,Location!BE$1)</f>
        <v>0</v>
      </c>
      <c r="BF21" s="37">
        <f>SUMIFS(Wine1!$I:$I,Wine1!$K:$K,Location!$A21,Wine1!$AA:$AA,Location!BF$1)</f>
        <v>0</v>
      </c>
      <c r="BG21" s="37">
        <f>SUMIFS(Wine1!$I:$I,Wine1!$K:$K,Location!$A21,Wine1!$AA:$AA,Location!BG$1)</f>
        <v>0</v>
      </c>
      <c r="BH21" s="37">
        <f>SUMIFS(Wine1!$I:$I,Wine1!$K:$K,Location!$A21,Wine1!$AA:$AA,Location!BH$1)</f>
        <v>0</v>
      </c>
      <c r="BI21" s="37">
        <f>SUMIFS(Wine1!$I:$I,Wine1!$K:$K,Location!$A21,Wine1!$AA:$AA,Location!BI$1)</f>
        <v>0</v>
      </c>
    </row>
    <row r="22" spans="1:61" x14ac:dyDescent="0.25">
      <c r="A22" s="38" t="s">
        <v>590</v>
      </c>
      <c r="B22">
        <f>SUMIF(Wine1!K:K,Location!A22,Wine1!I:I)</f>
        <v>12</v>
      </c>
      <c r="C22">
        <v>12</v>
      </c>
      <c r="D22">
        <f t="shared" si="1"/>
        <v>0</v>
      </c>
      <c r="E22" t="s">
        <v>603</v>
      </c>
      <c r="F22" s="37" t="s">
        <v>1533</v>
      </c>
      <c r="G22" s="1">
        <v>43806</v>
      </c>
      <c r="H22" s="56">
        <f>COUNTIFS(Wine1!$K:$K,Location!$A22,Wine1!$AF:$AF,Location!H$1)</f>
        <v>5</v>
      </c>
      <c r="I22" s="57">
        <f>COUNTIFS(Wine1!$K:$K,Location!$A22,Wine1!$AF:$AF,Location!I$1)</f>
        <v>5</v>
      </c>
      <c r="J22" s="57">
        <f>COUNTIFS(Wine1!$K:$K,Location!$A22,Wine1!$AF:$AF,Location!J$1)</f>
        <v>1</v>
      </c>
      <c r="K22" s="58">
        <f>COUNTIFS(Wine1!$K:$K,Location!$A22,Wine1!$AF:$AF,Location!K$1)</f>
        <v>1</v>
      </c>
      <c r="L22" s="18">
        <f>IFERROR(AVERAGEIF(Wine1!K:K,Location!A22,Wine1!AA:AA),"Empty")</f>
        <v>2025</v>
      </c>
      <c r="M22">
        <f>SUMIFS(Wine1!$I:$I,Wine1!$K:$K,Location!$A22,Wine1!$AA:$AA,Location!M$1)</f>
        <v>0</v>
      </c>
      <c r="N22">
        <f>SUMIFS(Wine1!$I:$I,Wine1!$K:$K,Location!$A22,Wine1!$AA:$AA,Location!N$1)</f>
        <v>0</v>
      </c>
      <c r="O22">
        <f>SUMIFS(Wine1!$I:$I,Wine1!$K:$K,Location!$A22,Wine1!$AA:$AA,Location!O$1)</f>
        <v>5</v>
      </c>
      <c r="P22">
        <f>SUMIFS(Wine1!$I:$I,Wine1!$K:$K,Location!$A22,Wine1!$AA:$AA,Location!P$1)</f>
        <v>3</v>
      </c>
      <c r="Q22">
        <f>SUMIFS(Wine1!$I:$I,Wine1!$K:$K,Location!$A22,Wine1!$AA:$AA,Location!Q$1)</f>
        <v>1</v>
      </c>
      <c r="R22">
        <f>SUMIFS(Wine1!$I:$I,Wine1!$K:$K,Location!$A22,Wine1!$AA:$AA,Location!R$1)</f>
        <v>0</v>
      </c>
      <c r="S22">
        <f>SUMIFS(Wine1!$I:$I,Wine1!$K:$K,Location!$A22,Wine1!$AA:$AA,Location!S$1)</f>
        <v>1</v>
      </c>
      <c r="T22">
        <f>SUMIFS(Wine1!$I:$I,Wine1!$K:$K,Location!$A22,Wine1!$AA:$AA,Location!T$1)</f>
        <v>0</v>
      </c>
      <c r="U22">
        <f>SUMIFS(Wine1!$I:$I,Wine1!$K:$K,Location!$A22,Wine1!$AA:$AA,Location!U$1)</f>
        <v>0</v>
      </c>
      <c r="V22">
        <f>SUMIFS(Wine1!$I:$I,Wine1!$K:$K,Location!$A22,Wine1!$AA:$AA,Location!V$1)</f>
        <v>0</v>
      </c>
      <c r="W22">
        <f>SUMIFS(Wine1!$I:$I,Wine1!$K:$K,Location!$A22,Wine1!$AA:$AA,Location!W$1)</f>
        <v>0</v>
      </c>
      <c r="X22">
        <f>SUMIFS(Wine1!$I:$I,Wine1!$K:$K,Location!$A22,Wine1!$AA:$AA,Location!X$1)</f>
        <v>1</v>
      </c>
      <c r="Y22">
        <f>SUMIFS(Wine1!$I:$I,Wine1!$K:$K,Location!$A22,Wine1!$AA:$AA,Location!Y$1)</f>
        <v>0</v>
      </c>
      <c r="Z22">
        <f>SUMIFS(Wine1!$I:$I,Wine1!$K:$K,Location!$A22,Wine1!$AA:$AA,Location!Z$1)</f>
        <v>0</v>
      </c>
      <c r="AA22">
        <f>SUMIFS(Wine1!$I:$I,Wine1!$K:$K,Location!$A22,Wine1!$AA:$AA,Location!AA$1)</f>
        <v>0</v>
      </c>
      <c r="AB22">
        <f>SUMIFS(Wine1!$I:$I,Wine1!$K:$K,Location!$A22,Wine1!$AA:$AA,Location!AB$1)</f>
        <v>0</v>
      </c>
      <c r="AC22">
        <f>SUMIFS(Wine1!$I:$I,Wine1!$K:$K,Location!$A22,Wine1!$AA:$AA,Location!AC$1)</f>
        <v>0</v>
      </c>
      <c r="AD22">
        <f>SUMIFS(Wine1!$I:$I,Wine1!$K:$K,Location!$A22,Wine1!$AA:$AA,Location!AD$1)</f>
        <v>0</v>
      </c>
      <c r="AE22">
        <f>SUMIFS(Wine1!$I:$I,Wine1!$K:$K,Location!$A22,Wine1!$AA:$AA,Location!AE$1)</f>
        <v>0</v>
      </c>
      <c r="AF22">
        <f>SUMIFS(Wine1!$I:$I,Wine1!$K:$K,Location!$A22,Wine1!$AA:$AA,Location!AF$1)</f>
        <v>0</v>
      </c>
      <c r="AG22">
        <f>SUMIFS(Wine1!$I:$I,Wine1!$K:$K,Location!$A22,Wine1!$AA:$AA,Location!AG$1)</f>
        <v>1</v>
      </c>
      <c r="AH22">
        <f>SUMIFS(Wine1!$I:$I,Wine1!$K:$K,Location!$A22,Wine1!$AA:$AA,Location!AH$1)</f>
        <v>0</v>
      </c>
      <c r="AI22">
        <f>SUMIFS(Wine1!$I:$I,Wine1!$K:$K,Location!$A22,Wine1!$AA:$AA,Location!AI$1)</f>
        <v>0</v>
      </c>
      <c r="AJ22">
        <f>SUMIFS(Wine1!$I:$I,Wine1!$K:$K,Location!$A22,Wine1!$AA:$AA,Location!AJ$1)</f>
        <v>0</v>
      </c>
      <c r="AK22">
        <f>SUMIFS(Wine1!$I:$I,Wine1!$K:$K,Location!$A22,Wine1!$AA:$AA,Location!AK$1)</f>
        <v>0</v>
      </c>
      <c r="AL22">
        <f>SUMIFS(Wine1!$I:$I,Wine1!$K:$K,Location!$A22,Wine1!$AA:$AA,Location!AL$1)</f>
        <v>0</v>
      </c>
      <c r="AM22">
        <f>SUMIFS(Wine1!$I:$I,Wine1!$K:$K,Location!$A22,Wine1!$AA:$AA,Location!AM$1)</f>
        <v>0</v>
      </c>
      <c r="AN22">
        <f>SUMIFS(Wine1!$I:$I,Wine1!$K:$K,Location!$A22,Wine1!$AA:$AA,Location!AN$1)</f>
        <v>0</v>
      </c>
      <c r="AO22">
        <f>SUMIFS(Wine1!$I:$I,Wine1!$K:$K,Location!$A22,Wine1!$AA:$AA,Location!AO$1)</f>
        <v>0</v>
      </c>
      <c r="AP22">
        <f>SUMIFS(Wine1!$I:$I,Wine1!$K:$K,Location!$A22,Wine1!$AA:$AA,Location!AP$1)</f>
        <v>0</v>
      </c>
      <c r="AQ22">
        <f>SUMIFS(Wine1!$I:$I,Wine1!$K:$K,Location!$A22,Wine1!$AA:$AA,Location!AQ$1)</f>
        <v>0</v>
      </c>
      <c r="AR22">
        <f>SUMIFS(Wine1!$I:$I,Wine1!$K:$K,Location!$A22,Wine1!$AA:$AA,Location!AR$1)</f>
        <v>0</v>
      </c>
      <c r="AS22" s="37">
        <f>SUMIFS(Wine1!$I:$I,Wine1!$K:$K,Location!$A22,Wine1!$AA:$AA,Location!AS$1)</f>
        <v>0</v>
      </c>
      <c r="AT22" s="37">
        <f>SUMIFS(Wine1!$I:$I,Wine1!$K:$K,Location!$A22,Wine1!$AA:$AA,Location!AT$1)</f>
        <v>0</v>
      </c>
      <c r="AU22" s="37">
        <f>SUMIFS(Wine1!$I:$I,Wine1!$K:$K,Location!$A22,Wine1!$AA:$AA,Location!AU$1)</f>
        <v>0</v>
      </c>
      <c r="AV22" s="37">
        <f>SUMIFS(Wine1!$I:$I,Wine1!$K:$K,Location!$A22,Wine1!$AA:$AA,Location!AV$1)</f>
        <v>0</v>
      </c>
      <c r="AW22" s="37">
        <f>SUMIFS(Wine1!$I:$I,Wine1!$K:$K,Location!$A22,Wine1!$AA:$AA,Location!AW$1)</f>
        <v>0</v>
      </c>
      <c r="AX22" s="37">
        <f>SUMIFS(Wine1!$I:$I,Wine1!$K:$K,Location!$A22,Wine1!$AA:$AA,Location!AX$1)</f>
        <v>0</v>
      </c>
      <c r="AY22" s="37">
        <f>SUMIFS(Wine1!$I:$I,Wine1!$K:$K,Location!$A22,Wine1!$AA:$AA,Location!AY$1)</f>
        <v>0</v>
      </c>
      <c r="AZ22" s="37">
        <f>SUMIFS(Wine1!$I:$I,Wine1!$K:$K,Location!$A22,Wine1!$AA:$AA,Location!AZ$1)</f>
        <v>0</v>
      </c>
      <c r="BA22" s="37">
        <f>SUMIFS(Wine1!$I:$I,Wine1!$K:$K,Location!$A22,Wine1!$AA:$AA,Location!BA$1)</f>
        <v>0</v>
      </c>
      <c r="BB22" s="37">
        <f>SUMIFS(Wine1!$I:$I,Wine1!$K:$K,Location!$A22,Wine1!$AA:$AA,Location!BB$1)</f>
        <v>0</v>
      </c>
      <c r="BC22" s="37">
        <f>SUMIFS(Wine1!$I:$I,Wine1!$K:$K,Location!$A22,Wine1!$AA:$AA,Location!BC$1)</f>
        <v>0</v>
      </c>
      <c r="BD22" s="37">
        <f>SUMIFS(Wine1!$I:$I,Wine1!$K:$K,Location!$A22,Wine1!$AA:$AA,Location!BD$1)</f>
        <v>0</v>
      </c>
      <c r="BE22" s="37">
        <f>SUMIFS(Wine1!$I:$I,Wine1!$K:$K,Location!$A22,Wine1!$AA:$AA,Location!BE$1)</f>
        <v>0</v>
      </c>
      <c r="BF22" s="37">
        <f>SUMIFS(Wine1!$I:$I,Wine1!$K:$K,Location!$A22,Wine1!$AA:$AA,Location!BF$1)</f>
        <v>0</v>
      </c>
      <c r="BG22" s="37">
        <f>SUMIFS(Wine1!$I:$I,Wine1!$K:$K,Location!$A22,Wine1!$AA:$AA,Location!BG$1)</f>
        <v>0</v>
      </c>
      <c r="BH22" s="37">
        <f>SUMIFS(Wine1!$I:$I,Wine1!$K:$K,Location!$A22,Wine1!$AA:$AA,Location!BH$1)</f>
        <v>0</v>
      </c>
      <c r="BI22" s="37">
        <f>SUMIFS(Wine1!$I:$I,Wine1!$K:$K,Location!$A22,Wine1!$AA:$AA,Location!BI$1)</f>
        <v>0</v>
      </c>
    </row>
    <row r="23" spans="1:61" x14ac:dyDescent="0.25">
      <c r="A23" s="38" t="s">
        <v>591</v>
      </c>
      <c r="B23">
        <f>SUMIF(Wine1!K:K,Location!A23,Wine1!I:I)</f>
        <v>12</v>
      </c>
      <c r="C23">
        <v>12</v>
      </c>
      <c r="D23">
        <f t="shared" si="1"/>
        <v>0</v>
      </c>
      <c r="E23" t="s">
        <v>603</v>
      </c>
      <c r="F23" s="37" t="s">
        <v>1533</v>
      </c>
      <c r="G23" s="1">
        <v>43806</v>
      </c>
      <c r="H23" s="56">
        <f>COUNTIFS(Wine1!$K:$K,Location!$A23,Wine1!$AF:$AF,Location!H$1)</f>
        <v>7</v>
      </c>
      <c r="I23" s="57">
        <f>COUNTIFS(Wine1!$K:$K,Location!$A23,Wine1!$AF:$AF,Location!I$1)</f>
        <v>4</v>
      </c>
      <c r="J23" s="57">
        <f>COUNTIFS(Wine1!$K:$K,Location!$A23,Wine1!$AF:$AF,Location!J$1)</f>
        <v>1</v>
      </c>
      <c r="K23" s="58">
        <f>COUNTIFS(Wine1!$K:$K,Location!$A23,Wine1!$AF:$AF,Location!K$1)</f>
        <v>0</v>
      </c>
      <c r="L23" s="18">
        <f>IFERROR(AVERAGEIF(Wine1!K:K,Location!A23,Wine1!AA:AA),"Empty")</f>
        <v>2025.5833333333333</v>
      </c>
      <c r="M23">
        <f>SUMIFS(Wine1!$I:$I,Wine1!$K:$K,Location!$A23,Wine1!$AA:$AA,Location!M$1)</f>
        <v>0</v>
      </c>
      <c r="N23">
        <f>SUMIFS(Wine1!$I:$I,Wine1!$K:$K,Location!$A23,Wine1!$AA:$AA,Location!N$1)</f>
        <v>0</v>
      </c>
      <c r="O23">
        <f>SUMIFS(Wine1!$I:$I,Wine1!$K:$K,Location!$A23,Wine1!$AA:$AA,Location!O$1)</f>
        <v>0</v>
      </c>
      <c r="P23">
        <f>SUMIFS(Wine1!$I:$I,Wine1!$K:$K,Location!$A23,Wine1!$AA:$AA,Location!P$1)</f>
        <v>1</v>
      </c>
      <c r="Q23">
        <f>SUMIFS(Wine1!$I:$I,Wine1!$K:$K,Location!$A23,Wine1!$AA:$AA,Location!Q$1)</f>
        <v>2</v>
      </c>
      <c r="R23">
        <f>SUMIFS(Wine1!$I:$I,Wine1!$K:$K,Location!$A23,Wine1!$AA:$AA,Location!R$1)</f>
        <v>3</v>
      </c>
      <c r="S23">
        <f>SUMIFS(Wine1!$I:$I,Wine1!$K:$K,Location!$A23,Wine1!$AA:$AA,Location!S$1)</f>
        <v>3</v>
      </c>
      <c r="T23">
        <f>SUMIFS(Wine1!$I:$I,Wine1!$K:$K,Location!$A23,Wine1!$AA:$AA,Location!T$1)</f>
        <v>1</v>
      </c>
      <c r="U23">
        <f>SUMIFS(Wine1!$I:$I,Wine1!$K:$K,Location!$A23,Wine1!$AA:$AA,Location!U$1)</f>
        <v>2</v>
      </c>
      <c r="V23">
        <f>SUMIFS(Wine1!$I:$I,Wine1!$K:$K,Location!$A23,Wine1!$AA:$AA,Location!V$1)</f>
        <v>0</v>
      </c>
      <c r="W23">
        <f>SUMIFS(Wine1!$I:$I,Wine1!$K:$K,Location!$A23,Wine1!$AA:$AA,Location!W$1)</f>
        <v>0</v>
      </c>
      <c r="X23">
        <f>SUMIFS(Wine1!$I:$I,Wine1!$K:$K,Location!$A23,Wine1!$AA:$AA,Location!X$1)</f>
        <v>0</v>
      </c>
      <c r="Y23">
        <f>SUMIFS(Wine1!$I:$I,Wine1!$K:$K,Location!$A23,Wine1!$AA:$AA,Location!Y$1)</f>
        <v>0</v>
      </c>
      <c r="Z23">
        <f>SUMIFS(Wine1!$I:$I,Wine1!$K:$K,Location!$A23,Wine1!$AA:$AA,Location!Z$1)</f>
        <v>0</v>
      </c>
      <c r="AA23">
        <f>SUMIFS(Wine1!$I:$I,Wine1!$K:$K,Location!$A23,Wine1!$AA:$AA,Location!AA$1)</f>
        <v>0</v>
      </c>
      <c r="AB23">
        <f>SUMIFS(Wine1!$I:$I,Wine1!$K:$K,Location!$A23,Wine1!$AA:$AA,Location!AB$1)</f>
        <v>0</v>
      </c>
      <c r="AC23">
        <f>SUMIFS(Wine1!$I:$I,Wine1!$K:$K,Location!$A23,Wine1!$AA:$AA,Location!AC$1)</f>
        <v>0</v>
      </c>
      <c r="AD23">
        <f>SUMIFS(Wine1!$I:$I,Wine1!$K:$K,Location!$A23,Wine1!$AA:$AA,Location!AD$1)</f>
        <v>0</v>
      </c>
      <c r="AE23">
        <f>SUMIFS(Wine1!$I:$I,Wine1!$K:$K,Location!$A23,Wine1!$AA:$AA,Location!AE$1)</f>
        <v>0</v>
      </c>
      <c r="AF23">
        <f>SUMIFS(Wine1!$I:$I,Wine1!$K:$K,Location!$A23,Wine1!$AA:$AA,Location!AF$1)</f>
        <v>0</v>
      </c>
      <c r="AG23">
        <f>SUMIFS(Wine1!$I:$I,Wine1!$K:$K,Location!$A23,Wine1!$AA:$AA,Location!AG$1)</f>
        <v>0</v>
      </c>
      <c r="AH23">
        <f>SUMIFS(Wine1!$I:$I,Wine1!$K:$K,Location!$A23,Wine1!$AA:$AA,Location!AH$1)</f>
        <v>0</v>
      </c>
      <c r="AI23">
        <f>SUMIFS(Wine1!$I:$I,Wine1!$K:$K,Location!$A23,Wine1!$AA:$AA,Location!AI$1)</f>
        <v>0</v>
      </c>
      <c r="AJ23">
        <f>SUMIFS(Wine1!$I:$I,Wine1!$K:$K,Location!$A23,Wine1!$AA:$AA,Location!AJ$1)</f>
        <v>0</v>
      </c>
      <c r="AK23">
        <f>SUMIFS(Wine1!$I:$I,Wine1!$K:$K,Location!$A23,Wine1!$AA:$AA,Location!AK$1)</f>
        <v>0</v>
      </c>
      <c r="AL23">
        <f>SUMIFS(Wine1!$I:$I,Wine1!$K:$K,Location!$A23,Wine1!$AA:$AA,Location!AL$1)</f>
        <v>0</v>
      </c>
      <c r="AM23">
        <f>SUMIFS(Wine1!$I:$I,Wine1!$K:$K,Location!$A23,Wine1!$AA:$AA,Location!AM$1)</f>
        <v>0</v>
      </c>
      <c r="AN23">
        <f>SUMIFS(Wine1!$I:$I,Wine1!$K:$K,Location!$A23,Wine1!$AA:$AA,Location!AN$1)</f>
        <v>0</v>
      </c>
      <c r="AO23">
        <f>SUMIFS(Wine1!$I:$I,Wine1!$K:$K,Location!$A23,Wine1!$AA:$AA,Location!AO$1)</f>
        <v>0</v>
      </c>
      <c r="AP23">
        <f>SUMIFS(Wine1!$I:$I,Wine1!$K:$K,Location!$A23,Wine1!$AA:$AA,Location!AP$1)</f>
        <v>0</v>
      </c>
      <c r="AQ23">
        <f>SUMIFS(Wine1!$I:$I,Wine1!$K:$K,Location!$A23,Wine1!$AA:$AA,Location!AQ$1)</f>
        <v>0</v>
      </c>
      <c r="AR23">
        <f>SUMIFS(Wine1!$I:$I,Wine1!$K:$K,Location!$A23,Wine1!$AA:$AA,Location!AR$1)</f>
        <v>0</v>
      </c>
      <c r="AS23" s="37">
        <f>SUMIFS(Wine1!$I:$I,Wine1!$K:$K,Location!$A23,Wine1!$AA:$AA,Location!AS$1)</f>
        <v>0</v>
      </c>
      <c r="AT23" s="37">
        <f>SUMIFS(Wine1!$I:$I,Wine1!$K:$K,Location!$A23,Wine1!$AA:$AA,Location!AT$1)</f>
        <v>0</v>
      </c>
      <c r="AU23" s="37">
        <f>SUMIFS(Wine1!$I:$I,Wine1!$K:$K,Location!$A23,Wine1!$AA:$AA,Location!AU$1)</f>
        <v>0</v>
      </c>
      <c r="AV23" s="37">
        <f>SUMIFS(Wine1!$I:$I,Wine1!$K:$K,Location!$A23,Wine1!$AA:$AA,Location!AV$1)</f>
        <v>0</v>
      </c>
      <c r="AW23" s="37">
        <f>SUMIFS(Wine1!$I:$I,Wine1!$K:$K,Location!$A23,Wine1!$AA:$AA,Location!AW$1)</f>
        <v>0</v>
      </c>
      <c r="AX23" s="37">
        <f>SUMIFS(Wine1!$I:$I,Wine1!$K:$K,Location!$A23,Wine1!$AA:$AA,Location!AX$1)</f>
        <v>0</v>
      </c>
      <c r="AY23" s="37">
        <f>SUMIFS(Wine1!$I:$I,Wine1!$K:$K,Location!$A23,Wine1!$AA:$AA,Location!AY$1)</f>
        <v>0</v>
      </c>
      <c r="AZ23" s="37">
        <f>SUMIFS(Wine1!$I:$I,Wine1!$K:$K,Location!$A23,Wine1!$AA:$AA,Location!AZ$1)</f>
        <v>0</v>
      </c>
      <c r="BA23" s="37">
        <f>SUMIFS(Wine1!$I:$I,Wine1!$K:$K,Location!$A23,Wine1!$AA:$AA,Location!BA$1)</f>
        <v>0</v>
      </c>
      <c r="BB23" s="37">
        <f>SUMIFS(Wine1!$I:$I,Wine1!$K:$K,Location!$A23,Wine1!$AA:$AA,Location!BB$1)</f>
        <v>0</v>
      </c>
      <c r="BC23" s="37">
        <f>SUMIFS(Wine1!$I:$I,Wine1!$K:$K,Location!$A23,Wine1!$AA:$AA,Location!BC$1)</f>
        <v>0</v>
      </c>
      <c r="BD23" s="37">
        <f>SUMIFS(Wine1!$I:$I,Wine1!$K:$K,Location!$A23,Wine1!$AA:$AA,Location!BD$1)</f>
        <v>0</v>
      </c>
      <c r="BE23" s="37">
        <f>SUMIFS(Wine1!$I:$I,Wine1!$K:$K,Location!$A23,Wine1!$AA:$AA,Location!BE$1)</f>
        <v>0</v>
      </c>
      <c r="BF23" s="37">
        <f>SUMIFS(Wine1!$I:$I,Wine1!$K:$K,Location!$A23,Wine1!$AA:$AA,Location!BF$1)</f>
        <v>0</v>
      </c>
      <c r="BG23" s="37">
        <f>SUMIFS(Wine1!$I:$I,Wine1!$K:$K,Location!$A23,Wine1!$AA:$AA,Location!BG$1)</f>
        <v>0</v>
      </c>
      <c r="BH23" s="37">
        <f>SUMIFS(Wine1!$I:$I,Wine1!$K:$K,Location!$A23,Wine1!$AA:$AA,Location!BH$1)</f>
        <v>0</v>
      </c>
      <c r="BI23" s="37">
        <f>SUMIFS(Wine1!$I:$I,Wine1!$K:$K,Location!$A23,Wine1!$AA:$AA,Location!BI$1)</f>
        <v>0</v>
      </c>
    </row>
    <row r="24" spans="1:61" x14ac:dyDescent="0.25">
      <c r="A24" s="38" t="s">
        <v>594</v>
      </c>
      <c r="B24">
        <f>SUMIF(Wine1!K:K,Location!A24,Wine1!I:I)</f>
        <v>12</v>
      </c>
      <c r="C24">
        <v>12</v>
      </c>
      <c r="D24">
        <f t="shared" si="1"/>
        <v>0</v>
      </c>
      <c r="E24" t="s">
        <v>603</v>
      </c>
      <c r="F24" s="37" t="s">
        <v>1533</v>
      </c>
      <c r="G24" s="1">
        <v>43806</v>
      </c>
      <c r="H24" s="56">
        <f>COUNTIFS(Wine1!$K:$K,Location!$A24,Wine1!$AF:$AF,Location!H$1)</f>
        <v>0</v>
      </c>
      <c r="I24" s="57">
        <f>COUNTIFS(Wine1!$K:$K,Location!$A24,Wine1!$AF:$AF,Location!I$1)</f>
        <v>6</v>
      </c>
      <c r="J24" s="57">
        <f>COUNTIFS(Wine1!$K:$K,Location!$A24,Wine1!$AF:$AF,Location!J$1)</f>
        <v>6</v>
      </c>
      <c r="K24" s="58">
        <f>COUNTIFS(Wine1!$K:$K,Location!$A24,Wine1!$AF:$AF,Location!K$1)</f>
        <v>0</v>
      </c>
      <c r="L24" s="18">
        <f>IFERROR(AVERAGEIF(Wine1!K:K,Location!A24,Wine1!AA:AA),"Empty")</f>
        <v>2026.3333333333333</v>
      </c>
      <c r="M24">
        <f>SUMIFS(Wine1!$I:$I,Wine1!$K:$K,Location!$A24,Wine1!$AA:$AA,Location!M$1)</f>
        <v>0</v>
      </c>
      <c r="N24">
        <f>SUMIFS(Wine1!$I:$I,Wine1!$K:$K,Location!$A24,Wine1!$AA:$AA,Location!N$1)</f>
        <v>0</v>
      </c>
      <c r="O24">
        <f>SUMIFS(Wine1!$I:$I,Wine1!$K:$K,Location!$A24,Wine1!$AA:$AA,Location!O$1)</f>
        <v>0</v>
      </c>
      <c r="P24">
        <f>SUMIFS(Wine1!$I:$I,Wine1!$K:$K,Location!$A24,Wine1!$AA:$AA,Location!P$1)</f>
        <v>2</v>
      </c>
      <c r="Q24">
        <f>SUMIFS(Wine1!$I:$I,Wine1!$K:$K,Location!$A24,Wine1!$AA:$AA,Location!Q$1)</f>
        <v>2</v>
      </c>
      <c r="R24">
        <f>SUMIFS(Wine1!$I:$I,Wine1!$K:$K,Location!$A24,Wine1!$AA:$AA,Location!R$1)</f>
        <v>1</v>
      </c>
      <c r="S24">
        <f>SUMIFS(Wine1!$I:$I,Wine1!$K:$K,Location!$A24,Wine1!$AA:$AA,Location!S$1)</f>
        <v>1</v>
      </c>
      <c r="T24">
        <f>SUMIFS(Wine1!$I:$I,Wine1!$K:$K,Location!$A24,Wine1!$AA:$AA,Location!T$1)</f>
        <v>2</v>
      </c>
      <c r="U24">
        <f>SUMIFS(Wine1!$I:$I,Wine1!$K:$K,Location!$A24,Wine1!$AA:$AA,Location!U$1)</f>
        <v>1</v>
      </c>
      <c r="V24">
        <f>SUMIFS(Wine1!$I:$I,Wine1!$K:$K,Location!$A24,Wine1!$AA:$AA,Location!V$1)</f>
        <v>1</v>
      </c>
      <c r="W24">
        <f>SUMIFS(Wine1!$I:$I,Wine1!$K:$K,Location!$A24,Wine1!$AA:$AA,Location!W$1)</f>
        <v>2</v>
      </c>
      <c r="X24">
        <f>SUMIFS(Wine1!$I:$I,Wine1!$K:$K,Location!$A24,Wine1!$AA:$AA,Location!X$1)</f>
        <v>0</v>
      </c>
      <c r="Y24">
        <f>SUMIFS(Wine1!$I:$I,Wine1!$K:$K,Location!$A24,Wine1!$AA:$AA,Location!Y$1)</f>
        <v>0</v>
      </c>
      <c r="Z24">
        <f>SUMIFS(Wine1!$I:$I,Wine1!$K:$K,Location!$A24,Wine1!$AA:$AA,Location!Z$1)</f>
        <v>0</v>
      </c>
      <c r="AA24">
        <f>SUMIFS(Wine1!$I:$I,Wine1!$K:$K,Location!$A24,Wine1!$AA:$AA,Location!AA$1)</f>
        <v>0</v>
      </c>
      <c r="AB24">
        <f>SUMIFS(Wine1!$I:$I,Wine1!$K:$K,Location!$A24,Wine1!$AA:$AA,Location!AB$1)</f>
        <v>0</v>
      </c>
      <c r="AC24">
        <f>SUMIFS(Wine1!$I:$I,Wine1!$K:$K,Location!$A24,Wine1!$AA:$AA,Location!AC$1)</f>
        <v>0</v>
      </c>
      <c r="AD24">
        <f>SUMIFS(Wine1!$I:$I,Wine1!$K:$K,Location!$A24,Wine1!$AA:$AA,Location!AD$1)</f>
        <v>0</v>
      </c>
      <c r="AE24">
        <f>SUMIFS(Wine1!$I:$I,Wine1!$K:$K,Location!$A24,Wine1!$AA:$AA,Location!AE$1)</f>
        <v>0</v>
      </c>
      <c r="AF24">
        <f>SUMIFS(Wine1!$I:$I,Wine1!$K:$K,Location!$A24,Wine1!$AA:$AA,Location!AF$1)</f>
        <v>0</v>
      </c>
      <c r="AG24">
        <f>SUMIFS(Wine1!$I:$I,Wine1!$K:$K,Location!$A24,Wine1!$AA:$AA,Location!AG$1)</f>
        <v>0</v>
      </c>
      <c r="AH24">
        <f>SUMIFS(Wine1!$I:$I,Wine1!$K:$K,Location!$A24,Wine1!$AA:$AA,Location!AH$1)</f>
        <v>0</v>
      </c>
      <c r="AI24">
        <f>SUMIFS(Wine1!$I:$I,Wine1!$K:$K,Location!$A24,Wine1!$AA:$AA,Location!AI$1)</f>
        <v>0</v>
      </c>
      <c r="AJ24">
        <f>SUMIFS(Wine1!$I:$I,Wine1!$K:$K,Location!$A24,Wine1!$AA:$AA,Location!AJ$1)</f>
        <v>0</v>
      </c>
      <c r="AK24">
        <f>SUMIFS(Wine1!$I:$I,Wine1!$K:$K,Location!$A24,Wine1!$AA:$AA,Location!AK$1)</f>
        <v>0</v>
      </c>
      <c r="AL24">
        <f>SUMIFS(Wine1!$I:$I,Wine1!$K:$K,Location!$A24,Wine1!$AA:$AA,Location!AL$1)</f>
        <v>0</v>
      </c>
      <c r="AM24">
        <f>SUMIFS(Wine1!$I:$I,Wine1!$K:$K,Location!$A24,Wine1!$AA:$AA,Location!AM$1)</f>
        <v>0</v>
      </c>
      <c r="AN24">
        <f>SUMIFS(Wine1!$I:$I,Wine1!$K:$K,Location!$A24,Wine1!$AA:$AA,Location!AN$1)</f>
        <v>0</v>
      </c>
      <c r="AO24">
        <f>SUMIFS(Wine1!$I:$I,Wine1!$K:$K,Location!$A24,Wine1!$AA:$AA,Location!AO$1)</f>
        <v>0</v>
      </c>
      <c r="AP24">
        <f>SUMIFS(Wine1!$I:$I,Wine1!$K:$K,Location!$A24,Wine1!$AA:$AA,Location!AP$1)</f>
        <v>0</v>
      </c>
      <c r="AQ24">
        <f>SUMIFS(Wine1!$I:$I,Wine1!$K:$K,Location!$A24,Wine1!$AA:$AA,Location!AQ$1)</f>
        <v>0</v>
      </c>
      <c r="AR24">
        <f>SUMIFS(Wine1!$I:$I,Wine1!$K:$K,Location!$A24,Wine1!$AA:$AA,Location!AR$1)</f>
        <v>0</v>
      </c>
      <c r="AS24" s="37">
        <f>SUMIFS(Wine1!$I:$I,Wine1!$K:$K,Location!$A24,Wine1!$AA:$AA,Location!AS$1)</f>
        <v>0</v>
      </c>
      <c r="AT24" s="37">
        <f>SUMIFS(Wine1!$I:$I,Wine1!$K:$K,Location!$A24,Wine1!$AA:$AA,Location!AT$1)</f>
        <v>0</v>
      </c>
      <c r="AU24" s="37">
        <f>SUMIFS(Wine1!$I:$I,Wine1!$K:$K,Location!$A24,Wine1!$AA:$AA,Location!AU$1)</f>
        <v>0</v>
      </c>
      <c r="AV24" s="37">
        <f>SUMIFS(Wine1!$I:$I,Wine1!$K:$K,Location!$A24,Wine1!$AA:$AA,Location!AV$1)</f>
        <v>0</v>
      </c>
      <c r="AW24" s="37">
        <f>SUMIFS(Wine1!$I:$I,Wine1!$K:$K,Location!$A24,Wine1!$AA:$AA,Location!AW$1)</f>
        <v>0</v>
      </c>
      <c r="AX24" s="37">
        <f>SUMIFS(Wine1!$I:$I,Wine1!$K:$K,Location!$A24,Wine1!$AA:$AA,Location!AX$1)</f>
        <v>0</v>
      </c>
      <c r="AY24" s="37">
        <f>SUMIFS(Wine1!$I:$I,Wine1!$K:$K,Location!$A24,Wine1!$AA:$AA,Location!AY$1)</f>
        <v>0</v>
      </c>
      <c r="AZ24" s="37">
        <f>SUMIFS(Wine1!$I:$I,Wine1!$K:$K,Location!$A24,Wine1!$AA:$AA,Location!AZ$1)</f>
        <v>0</v>
      </c>
      <c r="BA24" s="37">
        <f>SUMIFS(Wine1!$I:$I,Wine1!$K:$K,Location!$A24,Wine1!$AA:$AA,Location!BA$1)</f>
        <v>0</v>
      </c>
      <c r="BB24" s="37">
        <f>SUMIFS(Wine1!$I:$I,Wine1!$K:$K,Location!$A24,Wine1!$AA:$AA,Location!BB$1)</f>
        <v>0</v>
      </c>
      <c r="BC24" s="37">
        <f>SUMIFS(Wine1!$I:$I,Wine1!$K:$K,Location!$A24,Wine1!$AA:$AA,Location!BC$1)</f>
        <v>0</v>
      </c>
      <c r="BD24" s="37">
        <f>SUMIFS(Wine1!$I:$I,Wine1!$K:$K,Location!$A24,Wine1!$AA:$AA,Location!BD$1)</f>
        <v>0</v>
      </c>
      <c r="BE24" s="37">
        <f>SUMIFS(Wine1!$I:$I,Wine1!$K:$K,Location!$A24,Wine1!$AA:$AA,Location!BE$1)</f>
        <v>0</v>
      </c>
      <c r="BF24" s="37">
        <f>SUMIFS(Wine1!$I:$I,Wine1!$K:$K,Location!$A24,Wine1!$AA:$AA,Location!BF$1)</f>
        <v>0</v>
      </c>
      <c r="BG24" s="37">
        <f>SUMIFS(Wine1!$I:$I,Wine1!$K:$K,Location!$A24,Wine1!$AA:$AA,Location!BG$1)</f>
        <v>0</v>
      </c>
      <c r="BH24" s="37">
        <f>SUMIFS(Wine1!$I:$I,Wine1!$K:$K,Location!$A24,Wine1!$AA:$AA,Location!BH$1)</f>
        <v>0</v>
      </c>
      <c r="BI24" s="37">
        <f>SUMIFS(Wine1!$I:$I,Wine1!$K:$K,Location!$A24,Wine1!$AA:$AA,Location!BI$1)</f>
        <v>0</v>
      </c>
    </row>
    <row r="25" spans="1:61" s="37" customFormat="1" x14ac:dyDescent="0.25">
      <c r="A25" s="38" t="s">
        <v>619</v>
      </c>
      <c r="B25" s="20">
        <f>SUMIF(Wine1!K:K,Location!A25,Wine1!I:I)</f>
        <v>12</v>
      </c>
      <c r="C25" s="37">
        <v>12</v>
      </c>
      <c r="D25" s="37">
        <f t="shared" si="1"/>
        <v>0</v>
      </c>
      <c r="E25" s="8" t="s">
        <v>603</v>
      </c>
      <c r="F25" s="37" t="s">
        <v>1533</v>
      </c>
      <c r="G25" s="1">
        <v>43810</v>
      </c>
      <c r="H25" s="56">
        <f>COUNTIFS(Wine1!$K:$K,Location!$A25,Wine1!$AF:$AF,Location!H$1)</f>
        <v>2</v>
      </c>
      <c r="I25" s="57">
        <f>COUNTIFS(Wine1!$K:$K,Location!$A25,Wine1!$AF:$AF,Location!I$1)</f>
        <v>5</v>
      </c>
      <c r="J25" s="57">
        <f>COUNTIFS(Wine1!$K:$K,Location!$A25,Wine1!$AF:$AF,Location!J$1)</f>
        <v>5</v>
      </c>
      <c r="K25" s="58">
        <f>COUNTIFS(Wine1!$K:$K,Location!$A25,Wine1!$AF:$AF,Location!K$1)</f>
        <v>0</v>
      </c>
      <c r="L25" s="18">
        <f>IFERROR(AVERAGEIF(Wine1!K:K,Location!A25,Wine1!AA:AA),"Empty")</f>
        <v>2028.8333333333333</v>
      </c>
      <c r="M25" s="37">
        <f>SUMIFS(Wine1!$I:$I,Wine1!$K:$K,Location!$A25,Wine1!$AA:$AA,Location!M$1)</f>
        <v>0</v>
      </c>
      <c r="N25" s="37">
        <f>SUMIFS(Wine1!$I:$I,Wine1!$K:$K,Location!$A25,Wine1!$AA:$AA,Location!N$1)</f>
        <v>0</v>
      </c>
      <c r="O25" s="37">
        <f>SUMIFS(Wine1!$I:$I,Wine1!$K:$K,Location!$A25,Wine1!$AA:$AA,Location!O$1)</f>
        <v>1</v>
      </c>
      <c r="P25" s="37">
        <f>SUMIFS(Wine1!$I:$I,Wine1!$K:$K,Location!$A25,Wine1!$AA:$AA,Location!P$1)</f>
        <v>1</v>
      </c>
      <c r="Q25" s="37">
        <f>SUMIFS(Wine1!$I:$I,Wine1!$K:$K,Location!$A25,Wine1!$AA:$AA,Location!Q$1)</f>
        <v>0</v>
      </c>
      <c r="R25" s="37">
        <f>SUMIFS(Wine1!$I:$I,Wine1!$K:$K,Location!$A25,Wine1!$AA:$AA,Location!R$1)</f>
        <v>1</v>
      </c>
      <c r="S25" s="37">
        <f>SUMIFS(Wine1!$I:$I,Wine1!$K:$K,Location!$A25,Wine1!$AA:$AA,Location!S$1)</f>
        <v>0</v>
      </c>
      <c r="T25" s="37">
        <f>SUMIFS(Wine1!$I:$I,Wine1!$K:$K,Location!$A25,Wine1!$AA:$AA,Location!T$1)</f>
        <v>1</v>
      </c>
      <c r="U25" s="37">
        <f>SUMIFS(Wine1!$I:$I,Wine1!$K:$K,Location!$A25,Wine1!$AA:$AA,Location!U$1)</f>
        <v>2</v>
      </c>
      <c r="V25" s="37">
        <f>SUMIFS(Wine1!$I:$I,Wine1!$K:$K,Location!$A25,Wine1!$AA:$AA,Location!V$1)</f>
        <v>1</v>
      </c>
      <c r="W25" s="37">
        <f>SUMIFS(Wine1!$I:$I,Wine1!$K:$K,Location!$A25,Wine1!$AA:$AA,Location!W$1)</f>
        <v>0</v>
      </c>
      <c r="X25" s="37">
        <f>SUMIFS(Wine1!$I:$I,Wine1!$K:$K,Location!$A25,Wine1!$AA:$AA,Location!X$1)</f>
        <v>2</v>
      </c>
      <c r="Y25" s="37">
        <f>SUMIFS(Wine1!$I:$I,Wine1!$K:$K,Location!$A25,Wine1!$AA:$AA,Location!Y$1)</f>
        <v>0</v>
      </c>
      <c r="Z25" s="37">
        <f>SUMIFS(Wine1!$I:$I,Wine1!$K:$K,Location!$A25,Wine1!$AA:$AA,Location!Z$1)</f>
        <v>1</v>
      </c>
      <c r="AA25" s="37">
        <f>SUMIFS(Wine1!$I:$I,Wine1!$K:$K,Location!$A25,Wine1!$AA:$AA,Location!AA$1)</f>
        <v>1</v>
      </c>
      <c r="AB25" s="37">
        <f>SUMIFS(Wine1!$I:$I,Wine1!$K:$K,Location!$A25,Wine1!$AA:$AA,Location!AB$1)</f>
        <v>1</v>
      </c>
      <c r="AC25" s="37">
        <f>SUMIFS(Wine1!$I:$I,Wine1!$K:$K,Location!$A25,Wine1!$AA:$AA,Location!AC$1)</f>
        <v>0</v>
      </c>
      <c r="AD25" s="37">
        <f>SUMIFS(Wine1!$I:$I,Wine1!$K:$K,Location!$A25,Wine1!$AA:$AA,Location!AD$1)</f>
        <v>0</v>
      </c>
      <c r="AE25" s="37">
        <f>SUMIFS(Wine1!$I:$I,Wine1!$K:$K,Location!$A25,Wine1!$AA:$AA,Location!AE$1)</f>
        <v>0</v>
      </c>
      <c r="AF25" s="37">
        <f>SUMIFS(Wine1!$I:$I,Wine1!$K:$K,Location!$A25,Wine1!$AA:$AA,Location!AF$1)</f>
        <v>0</v>
      </c>
      <c r="AG25" s="37">
        <f>SUMIFS(Wine1!$I:$I,Wine1!$K:$K,Location!$A25,Wine1!$AA:$AA,Location!AG$1)</f>
        <v>0</v>
      </c>
      <c r="AH25" s="37">
        <f>SUMIFS(Wine1!$I:$I,Wine1!$K:$K,Location!$A25,Wine1!$AA:$AA,Location!AH$1)</f>
        <v>0</v>
      </c>
      <c r="AI25" s="37">
        <f>SUMIFS(Wine1!$I:$I,Wine1!$K:$K,Location!$A25,Wine1!$AA:$AA,Location!AI$1)</f>
        <v>0</v>
      </c>
      <c r="AJ25" s="37">
        <f>SUMIFS(Wine1!$I:$I,Wine1!$K:$K,Location!$A25,Wine1!$AA:$AA,Location!AJ$1)</f>
        <v>0</v>
      </c>
      <c r="AK25" s="37">
        <f>SUMIFS(Wine1!$I:$I,Wine1!$K:$K,Location!$A25,Wine1!$AA:$AA,Location!AK$1)</f>
        <v>0</v>
      </c>
      <c r="AL25" s="37">
        <f>SUMIFS(Wine1!$I:$I,Wine1!$K:$K,Location!$A25,Wine1!$AA:$AA,Location!AL$1)</f>
        <v>0</v>
      </c>
      <c r="AM25" s="37">
        <f>SUMIFS(Wine1!$I:$I,Wine1!$K:$K,Location!$A25,Wine1!$AA:$AA,Location!AM$1)</f>
        <v>0</v>
      </c>
      <c r="AN25" s="37">
        <f>SUMIFS(Wine1!$I:$I,Wine1!$K:$K,Location!$A25,Wine1!$AA:$AA,Location!AN$1)</f>
        <v>0</v>
      </c>
      <c r="AO25" s="37">
        <f>SUMIFS(Wine1!$I:$I,Wine1!$K:$K,Location!$A25,Wine1!$AA:$AA,Location!AO$1)</f>
        <v>0</v>
      </c>
      <c r="AP25" s="37">
        <f>SUMIFS(Wine1!$I:$I,Wine1!$K:$K,Location!$A25,Wine1!$AA:$AA,Location!AP$1)</f>
        <v>0</v>
      </c>
      <c r="AQ25" s="37">
        <f>SUMIFS(Wine1!$I:$I,Wine1!$K:$K,Location!$A25,Wine1!$AA:$AA,Location!AQ$1)</f>
        <v>0</v>
      </c>
      <c r="AR25" s="37">
        <f>SUMIFS(Wine1!$I:$I,Wine1!$K:$K,Location!$A25,Wine1!$AA:$AA,Location!AR$1)</f>
        <v>0</v>
      </c>
      <c r="AS25" s="37">
        <f>SUMIFS(Wine1!$I:$I,Wine1!$K:$K,Location!$A25,Wine1!$AA:$AA,Location!AS$1)</f>
        <v>0</v>
      </c>
      <c r="AT25" s="37">
        <f>SUMIFS(Wine1!$I:$I,Wine1!$K:$K,Location!$A25,Wine1!$AA:$AA,Location!AT$1)</f>
        <v>0</v>
      </c>
      <c r="AU25" s="37">
        <f>SUMIFS(Wine1!$I:$I,Wine1!$K:$K,Location!$A25,Wine1!$AA:$AA,Location!AU$1)</f>
        <v>0</v>
      </c>
      <c r="AV25" s="37">
        <f>SUMIFS(Wine1!$I:$I,Wine1!$K:$K,Location!$A25,Wine1!$AA:$AA,Location!AV$1)</f>
        <v>0</v>
      </c>
      <c r="AW25" s="37">
        <f>SUMIFS(Wine1!$I:$I,Wine1!$K:$K,Location!$A25,Wine1!$AA:$AA,Location!AW$1)</f>
        <v>0</v>
      </c>
      <c r="AX25" s="37">
        <f>SUMIFS(Wine1!$I:$I,Wine1!$K:$K,Location!$A25,Wine1!$AA:$AA,Location!AX$1)</f>
        <v>0</v>
      </c>
      <c r="AY25" s="37">
        <f>SUMIFS(Wine1!$I:$I,Wine1!$K:$K,Location!$A25,Wine1!$AA:$AA,Location!AY$1)</f>
        <v>0</v>
      </c>
      <c r="AZ25" s="37">
        <f>SUMIFS(Wine1!$I:$I,Wine1!$K:$K,Location!$A25,Wine1!$AA:$AA,Location!AZ$1)</f>
        <v>0</v>
      </c>
      <c r="BA25" s="37">
        <f>SUMIFS(Wine1!$I:$I,Wine1!$K:$K,Location!$A25,Wine1!$AA:$AA,Location!BA$1)</f>
        <v>0</v>
      </c>
      <c r="BB25" s="37">
        <f>SUMIFS(Wine1!$I:$I,Wine1!$K:$K,Location!$A25,Wine1!$AA:$AA,Location!BB$1)</f>
        <v>0</v>
      </c>
      <c r="BC25" s="37">
        <f>SUMIFS(Wine1!$I:$I,Wine1!$K:$K,Location!$A25,Wine1!$AA:$AA,Location!BC$1)</f>
        <v>0</v>
      </c>
      <c r="BD25" s="37">
        <f>SUMIFS(Wine1!$I:$I,Wine1!$K:$K,Location!$A25,Wine1!$AA:$AA,Location!BD$1)</f>
        <v>0</v>
      </c>
      <c r="BE25" s="37">
        <f>SUMIFS(Wine1!$I:$I,Wine1!$K:$K,Location!$A25,Wine1!$AA:$AA,Location!BE$1)</f>
        <v>0</v>
      </c>
      <c r="BF25" s="37">
        <f>SUMIFS(Wine1!$I:$I,Wine1!$K:$K,Location!$A25,Wine1!$AA:$AA,Location!BF$1)</f>
        <v>0</v>
      </c>
      <c r="BG25" s="37">
        <f>SUMIFS(Wine1!$I:$I,Wine1!$K:$K,Location!$A25,Wine1!$AA:$AA,Location!BG$1)</f>
        <v>0</v>
      </c>
      <c r="BH25" s="37">
        <f>SUMIFS(Wine1!$I:$I,Wine1!$K:$K,Location!$A25,Wine1!$AA:$AA,Location!BH$1)</f>
        <v>0</v>
      </c>
      <c r="BI25" s="37">
        <f>SUMIFS(Wine1!$I:$I,Wine1!$K:$K,Location!$A25,Wine1!$AA:$AA,Location!BI$1)</f>
        <v>0</v>
      </c>
    </row>
    <row r="26" spans="1:61" s="37" customFormat="1" x14ac:dyDescent="0.25">
      <c r="A26" s="38" t="s">
        <v>625</v>
      </c>
      <c r="B26" s="37">
        <f>SUMIF(Wine1!K:K,Location!A26,Wine1!I:I)</f>
        <v>6</v>
      </c>
      <c r="C26" s="37">
        <v>6</v>
      </c>
      <c r="D26" s="37">
        <f t="shared" si="1"/>
        <v>0</v>
      </c>
      <c r="E26" s="8" t="s">
        <v>603</v>
      </c>
      <c r="F26" s="37" t="s">
        <v>1533</v>
      </c>
      <c r="G26" s="1">
        <v>43810</v>
      </c>
      <c r="H26" s="56">
        <f>COUNTIFS(Wine1!$K:$K,Location!$A26,Wine1!$AF:$AF,Location!H$1)</f>
        <v>0</v>
      </c>
      <c r="I26" s="57">
        <f>COUNTIFS(Wine1!$K:$K,Location!$A26,Wine1!$AF:$AF,Location!I$1)</f>
        <v>4</v>
      </c>
      <c r="J26" s="57">
        <f>COUNTIFS(Wine1!$K:$K,Location!$A26,Wine1!$AF:$AF,Location!J$1)</f>
        <v>2</v>
      </c>
      <c r="K26" s="58">
        <f>COUNTIFS(Wine1!$K:$K,Location!$A26,Wine1!$AF:$AF,Location!K$1)</f>
        <v>0</v>
      </c>
      <c r="L26" s="18">
        <f>IFERROR(AVERAGEIF(Wine1!K:K,Location!A26,Wine1!AA:AA),"Empty")</f>
        <v>2028.1666666666667</v>
      </c>
      <c r="M26" s="37">
        <f>SUMIFS(Wine1!$I:$I,Wine1!$K:$K,Location!$A26,Wine1!$AA:$AA,Location!M$1)</f>
        <v>0</v>
      </c>
      <c r="N26" s="37">
        <f>SUMIFS(Wine1!$I:$I,Wine1!$K:$K,Location!$A26,Wine1!$AA:$AA,Location!N$1)</f>
        <v>0</v>
      </c>
      <c r="O26" s="37">
        <f>SUMIFS(Wine1!$I:$I,Wine1!$K:$K,Location!$A26,Wine1!$AA:$AA,Location!O$1)</f>
        <v>0</v>
      </c>
      <c r="P26" s="37">
        <f>SUMIFS(Wine1!$I:$I,Wine1!$K:$K,Location!$A26,Wine1!$AA:$AA,Location!P$1)</f>
        <v>1</v>
      </c>
      <c r="Q26" s="37">
        <f>SUMIFS(Wine1!$I:$I,Wine1!$K:$K,Location!$A26,Wine1!$AA:$AA,Location!Q$1)</f>
        <v>0</v>
      </c>
      <c r="R26" s="37">
        <f>SUMIFS(Wine1!$I:$I,Wine1!$K:$K,Location!$A26,Wine1!$AA:$AA,Location!R$1)</f>
        <v>1</v>
      </c>
      <c r="S26" s="37">
        <f>SUMIFS(Wine1!$I:$I,Wine1!$K:$K,Location!$A26,Wine1!$AA:$AA,Location!S$1)</f>
        <v>0</v>
      </c>
      <c r="T26" s="37">
        <f>SUMIFS(Wine1!$I:$I,Wine1!$K:$K,Location!$A26,Wine1!$AA:$AA,Location!T$1)</f>
        <v>1</v>
      </c>
      <c r="U26" s="37">
        <f>SUMIFS(Wine1!$I:$I,Wine1!$K:$K,Location!$A26,Wine1!$AA:$AA,Location!U$1)</f>
        <v>0</v>
      </c>
      <c r="V26" s="37">
        <f>SUMIFS(Wine1!$I:$I,Wine1!$K:$K,Location!$A26,Wine1!$AA:$AA,Location!V$1)</f>
        <v>1</v>
      </c>
      <c r="W26" s="37">
        <f>SUMIFS(Wine1!$I:$I,Wine1!$K:$K,Location!$A26,Wine1!$AA:$AA,Location!W$1)</f>
        <v>0</v>
      </c>
      <c r="X26" s="37">
        <f>SUMIFS(Wine1!$I:$I,Wine1!$K:$K,Location!$A26,Wine1!$AA:$AA,Location!X$1)</f>
        <v>0</v>
      </c>
      <c r="Y26" s="37">
        <f>SUMIFS(Wine1!$I:$I,Wine1!$K:$K,Location!$A26,Wine1!$AA:$AA,Location!Y$1)</f>
        <v>1</v>
      </c>
      <c r="Z26" s="37">
        <f>SUMIFS(Wine1!$I:$I,Wine1!$K:$K,Location!$A26,Wine1!$AA:$AA,Location!Z$1)</f>
        <v>1</v>
      </c>
      <c r="AA26" s="37">
        <f>SUMIFS(Wine1!$I:$I,Wine1!$K:$K,Location!$A26,Wine1!$AA:$AA,Location!AA$1)</f>
        <v>0</v>
      </c>
      <c r="AB26" s="37">
        <f>SUMIFS(Wine1!$I:$I,Wine1!$K:$K,Location!$A26,Wine1!$AA:$AA,Location!AB$1)</f>
        <v>0</v>
      </c>
      <c r="AC26" s="37">
        <f>SUMIFS(Wine1!$I:$I,Wine1!$K:$K,Location!$A26,Wine1!$AA:$AA,Location!AC$1)</f>
        <v>0</v>
      </c>
      <c r="AD26" s="37">
        <f>SUMIFS(Wine1!$I:$I,Wine1!$K:$K,Location!$A26,Wine1!$AA:$AA,Location!AD$1)</f>
        <v>0</v>
      </c>
      <c r="AE26" s="37">
        <f>SUMIFS(Wine1!$I:$I,Wine1!$K:$K,Location!$A26,Wine1!$AA:$AA,Location!AE$1)</f>
        <v>0</v>
      </c>
      <c r="AF26" s="37">
        <f>SUMIFS(Wine1!$I:$I,Wine1!$K:$K,Location!$A26,Wine1!$AA:$AA,Location!AF$1)</f>
        <v>0</v>
      </c>
      <c r="AG26" s="37">
        <f>SUMIFS(Wine1!$I:$I,Wine1!$K:$K,Location!$A26,Wine1!$AA:$AA,Location!AG$1)</f>
        <v>0</v>
      </c>
      <c r="AH26" s="37">
        <f>SUMIFS(Wine1!$I:$I,Wine1!$K:$K,Location!$A26,Wine1!$AA:$AA,Location!AH$1)</f>
        <v>0</v>
      </c>
      <c r="AI26" s="37">
        <f>SUMIFS(Wine1!$I:$I,Wine1!$K:$K,Location!$A26,Wine1!$AA:$AA,Location!AI$1)</f>
        <v>0</v>
      </c>
      <c r="AJ26" s="37">
        <f>SUMIFS(Wine1!$I:$I,Wine1!$K:$K,Location!$A26,Wine1!$AA:$AA,Location!AJ$1)</f>
        <v>0</v>
      </c>
      <c r="AK26" s="37">
        <f>SUMIFS(Wine1!$I:$I,Wine1!$K:$K,Location!$A26,Wine1!$AA:$AA,Location!AK$1)</f>
        <v>0</v>
      </c>
      <c r="AL26" s="37">
        <f>SUMIFS(Wine1!$I:$I,Wine1!$K:$K,Location!$A26,Wine1!$AA:$AA,Location!AL$1)</f>
        <v>0</v>
      </c>
      <c r="AM26" s="37">
        <f>SUMIFS(Wine1!$I:$I,Wine1!$K:$K,Location!$A26,Wine1!$AA:$AA,Location!AM$1)</f>
        <v>0</v>
      </c>
      <c r="AN26" s="37">
        <f>SUMIFS(Wine1!$I:$I,Wine1!$K:$K,Location!$A26,Wine1!$AA:$AA,Location!AN$1)</f>
        <v>0</v>
      </c>
      <c r="AO26" s="37">
        <f>SUMIFS(Wine1!$I:$I,Wine1!$K:$K,Location!$A26,Wine1!$AA:$AA,Location!AO$1)</f>
        <v>0</v>
      </c>
      <c r="AP26" s="37">
        <f>SUMIFS(Wine1!$I:$I,Wine1!$K:$K,Location!$A26,Wine1!$AA:$AA,Location!AP$1)</f>
        <v>0</v>
      </c>
      <c r="AQ26" s="37">
        <f>SUMIFS(Wine1!$I:$I,Wine1!$K:$K,Location!$A26,Wine1!$AA:$AA,Location!AQ$1)</f>
        <v>0</v>
      </c>
      <c r="AR26" s="37">
        <f>SUMIFS(Wine1!$I:$I,Wine1!$K:$K,Location!$A26,Wine1!$AA:$AA,Location!AR$1)</f>
        <v>0</v>
      </c>
      <c r="AS26" s="37">
        <f>SUMIFS(Wine1!$I:$I,Wine1!$K:$K,Location!$A26,Wine1!$AA:$AA,Location!AS$1)</f>
        <v>0</v>
      </c>
      <c r="AT26" s="37">
        <f>SUMIFS(Wine1!$I:$I,Wine1!$K:$K,Location!$A26,Wine1!$AA:$AA,Location!AT$1)</f>
        <v>0</v>
      </c>
      <c r="AU26" s="37">
        <f>SUMIFS(Wine1!$I:$I,Wine1!$K:$K,Location!$A26,Wine1!$AA:$AA,Location!AU$1)</f>
        <v>0</v>
      </c>
      <c r="AV26" s="37">
        <f>SUMIFS(Wine1!$I:$I,Wine1!$K:$K,Location!$A26,Wine1!$AA:$AA,Location!AV$1)</f>
        <v>0</v>
      </c>
      <c r="AW26" s="37">
        <f>SUMIFS(Wine1!$I:$I,Wine1!$K:$K,Location!$A26,Wine1!$AA:$AA,Location!AW$1)</f>
        <v>0</v>
      </c>
      <c r="AX26" s="37">
        <f>SUMIFS(Wine1!$I:$I,Wine1!$K:$K,Location!$A26,Wine1!$AA:$AA,Location!AX$1)</f>
        <v>0</v>
      </c>
      <c r="AY26" s="37">
        <f>SUMIFS(Wine1!$I:$I,Wine1!$K:$K,Location!$A26,Wine1!$AA:$AA,Location!AY$1)</f>
        <v>0</v>
      </c>
      <c r="AZ26" s="37">
        <f>SUMIFS(Wine1!$I:$I,Wine1!$K:$K,Location!$A26,Wine1!$AA:$AA,Location!AZ$1)</f>
        <v>0</v>
      </c>
      <c r="BA26" s="37">
        <f>SUMIFS(Wine1!$I:$I,Wine1!$K:$K,Location!$A26,Wine1!$AA:$AA,Location!BA$1)</f>
        <v>0</v>
      </c>
      <c r="BB26" s="37">
        <f>SUMIFS(Wine1!$I:$I,Wine1!$K:$K,Location!$A26,Wine1!$AA:$AA,Location!BB$1)</f>
        <v>0</v>
      </c>
      <c r="BC26" s="37">
        <f>SUMIFS(Wine1!$I:$I,Wine1!$K:$K,Location!$A26,Wine1!$AA:$AA,Location!BC$1)</f>
        <v>0</v>
      </c>
      <c r="BD26" s="37">
        <f>SUMIFS(Wine1!$I:$I,Wine1!$K:$K,Location!$A26,Wine1!$AA:$AA,Location!BD$1)</f>
        <v>0</v>
      </c>
      <c r="BE26" s="37">
        <f>SUMIFS(Wine1!$I:$I,Wine1!$K:$K,Location!$A26,Wine1!$AA:$AA,Location!BE$1)</f>
        <v>0</v>
      </c>
      <c r="BF26" s="37">
        <f>SUMIFS(Wine1!$I:$I,Wine1!$K:$K,Location!$A26,Wine1!$AA:$AA,Location!BF$1)</f>
        <v>0</v>
      </c>
      <c r="BG26" s="37">
        <f>SUMIFS(Wine1!$I:$I,Wine1!$K:$K,Location!$A26,Wine1!$AA:$AA,Location!BG$1)</f>
        <v>0</v>
      </c>
      <c r="BH26" s="37">
        <f>SUMIFS(Wine1!$I:$I,Wine1!$K:$K,Location!$A26,Wine1!$AA:$AA,Location!BH$1)</f>
        <v>0</v>
      </c>
      <c r="BI26" s="37">
        <f>SUMIFS(Wine1!$I:$I,Wine1!$K:$K,Location!$A26,Wine1!$AA:$AA,Location!BI$1)</f>
        <v>0</v>
      </c>
    </row>
    <row r="27" spans="1:61" s="37" customFormat="1" x14ac:dyDescent="0.25">
      <c r="A27" s="38" t="s">
        <v>626</v>
      </c>
      <c r="B27" s="64">
        <f>SUMIF(Wine1!K:K,Location!A27,Wine1!I:I)</f>
        <v>12</v>
      </c>
      <c r="C27" s="37">
        <v>12</v>
      </c>
      <c r="D27" s="37">
        <f t="shared" si="1"/>
        <v>0</v>
      </c>
      <c r="E27" s="8" t="s">
        <v>603</v>
      </c>
      <c r="F27" s="37" t="s">
        <v>1533</v>
      </c>
      <c r="G27" s="1">
        <v>43810</v>
      </c>
      <c r="H27" s="56">
        <f>COUNTIFS(Wine1!$K:$K,Location!$A27,Wine1!$AF:$AF,Location!H$1)</f>
        <v>12</v>
      </c>
      <c r="I27" s="57">
        <f>COUNTIFS(Wine1!$K:$K,Location!$A27,Wine1!$AF:$AF,Location!I$1)</f>
        <v>0</v>
      </c>
      <c r="J27" s="57">
        <f>COUNTIFS(Wine1!$K:$K,Location!$A27,Wine1!$AF:$AF,Location!J$1)</f>
        <v>0</v>
      </c>
      <c r="K27" s="58">
        <f>COUNTIFS(Wine1!$K:$K,Location!$A27,Wine1!$AF:$AF,Location!K$1)</f>
        <v>0</v>
      </c>
      <c r="L27" s="18">
        <f>IFERROR(AVERAGEIF(Wine1!K:K,Location!A27,Wine1!AA:AA),"Empty")</f>
        <v>2022.8333333333333</v>
      </c>
      <c r="M27" s="37">
        <f>SUMIFS(Wine1!$I:$I,Wine1!$K:$K,Location!$A27,Wine1!$AA:$AA,Location!M$1)</f>
        <v>0</v>
      </c>
      <c r="N27" s="37">
        <f>SUMIFS(Wine1!$I:$I,Wine1!$K:$K,Location!$A27,Wine1!$AA:$AA,Location!N$1)</f>
        <v>0</v>
      </c>
      <c r="O27" s="37">
        <f>SUMIFS(Wine1!$I:$I,Wine1!$K:$K,Location!$A27,Wine1!$AA:$AA,Location!O$1)</f>
        <v>6</v>
      </c>
      <c r="P27" s="37">
        <f>SUMIFS(Wine1!$I:$I,Wine1!$K:$K,Location!$A27,Wine1!$AA:$AA,Location!P$1)</f>
        <v>3</v>
      </c>
      <c r="Q27" s="37">
        <f>SUMIFS(Wine1!$I:$I,Wine1!$K:$K,Location!$A27,Wine1!$AA:$AA,Location!Q$1)</f>
        <v>2</v>
      </c>
      <c r="R27" s="37">
        <f>SUMIFS(Wine1!$I:$I,Wine1!$K:$K,Location!$A27,Wine1!$AA:$AA,Location!R$1)</f>
        <v>1</v>
      </c>
      <c r="S27" s="37">
        <f>SUMIFS(Wine1!$I:$I,Wine1!$K:$K,Location!$A27,Wine1!$AA:$AA,Location!S$1)</f>
        <v>0</v>
      </c>
      <c r="T27" s="37">
        <f>SUMIFS(Wine1!$I:$I,Wine1!$K:$K,Location!$A27,Wine1!$AA:$AA,Location!T$1)</f>
        <v>0</v>
      </c>
      <c r="U27" s="37">
        <f>SUMIFS(Wine1!$I:$I,Wine1!$K:$K,Location!$A27,Wine1!$AA:$AA,Location!U$1)</f>
        <v>0</v>
      </c>
      <c r="V27" s="37">
        <f>SUMIFS(Wine1!$I:$I,Wine1!$K:$K,Location!$A27,Wine1!$AA:$AA,Location!V$1)</f>
        <v>0</v>
      </c>
      <c r="W27" s="37">
        <f>SUMIFS(Wine1!$I:$I,Wine1!$K:$K,Location!$A27,Wine1!$AA:$AA,Location!W$1)</f>
        <v>0</v>
      </c>
      <c r="X27" s="37">
        <f>SUMIFS(Wine1!$I:$I,Wine1!$K:$K,Location!$A27,Wine1!$AA:$AA,Location!X$1)</f>
        <v>0</v>
      </c>
      <c r="Y27" s="37">
        <f>SUMIFS(Wine1!$I:$I,Wine1!$K:$K,Location!$A27,Wine1!$AA:$AA,Location!Y$1)</f>
        <v>0</v>
      </c>
      <c r="Z27" s="37">
        <f>SUMIFS(Wine1!$I:$I,Wine1!$K:$K,Location!$A27,Wine1!$AA:$AA,Location!Z$1)</f>
        <v>0</v>
      </c>
      <c r="AA27" s="37">
        <f>SUMIFS(Wine1!$I:$I,Wine1!$K:$K,Location!$A27,Wine1!$AA:$AA,Location!AA$1)</f>
        <v>0</v>
      </c>
      <c r="AB27" s="37">
        <f>SUMIFS(Wine1!$I:$I,Wine1!$K:$K,Location!$A27,Wine1!$AA:$AA,Location!AB$1)</f>
        <v>0</v>
      </c>
      <c r="AC27" s="37">
        <f>SUMIFS(Wine1!$I:$I,Wine1!$K:$K,Location!$A27,Wine1!$AA:$AA,Location!AC$1)</f>
        <v>0</v>
      </c>
      <c r="AD27" s="37">
        <f>SUMIFS(Wine1!$I:$I,Wine1!$K:$K,Location!$A27,Wine1!$AA:$AA,Location!AD$1)</f>
        <v>0</v>
      </c>
      <c r="AE27" s="37">
        <f>SUMIFS(Wine1!$I:$I,Wine1!$K:$K,Location!$A27,Wine1!$AA:$AA,Location!AE$1)</f>
        <v>0</v>
      </c>
      <c r="AF27" s="37">
        <f>SUMIFS(Wine1!$I:$I,Wine1!$K:$K,Location!$A27,Wine1!$AA:$AA,Location!AF$1)</f>
        <v>0</v>
      </c>
      <c r="AG27" s="37">
        <f>SUMIFS(Wine1!$I:$I,Wine1!$K:$K,Location!$A27,Wine1!$AA:$AA,Location!AG$1)</f>
        <v>0</v>
      </c>
      <c r="AH27" s="37">
        <f>SUMIFS(Wine1!$I:$I,Wine1!$K:$K,Location!$A27,Wine1!$AA:$AA,Location!AH$1)</f>
        <v>0</v>
      </c>
      <c r="AI27" s="37">
        <f>SUMIFS(Wine1!$I:$I,Wine1!$K:$K,Location!$A27,Wine1!$AA:$AA,Location!AI$1)</f>
        <v>0</v>
      </c>
      <c r="AJ27" s="37">
        <f>SUMIFS(Wine1!$I:$I,Wine1!$K:$K,Location!$A27,Wine1!$AA:$AA,Location!AJ$1)</f>
        <v>0</v>
      </c>
      <c r="AK27" s="37">
        <f>SUMIFS(Wine1!$I:$I,Wine1!$K:$K,Location!$A27,Wine1!$AA:$AA,Location!AK$1)</f>
        <v>0</v>
      </c>
      <c r="AL27" s="37">
        <f>SUMIFS(Wine1!$I:$I,Wine1!$K:$K,Location!$A27,Wine1!$AA:$AA,Location!AL$1)</f>
        <v>0</v>
      </c>
      <c r="AM27" s="37">
        <f>SUMIFS(Wine1!$I:$I,Wine1!$K:$K,Location!$A27,Wine1!$AA:$AA,Location!AM$1)</f>
        <v>0</v>
      </c>
      <c r="AN27" s="37">
        <f>SUMIFS(Wine1!$I:$I,Wine1!$K:$K,Location!$A27,Wine1!$AA:$AA,Location!AN$1)</f>
        <v>0</v>
      </c>
      <c r="AO27" s="37">
        <f>SUMIFS(Wine1!$I:$I,Wine1!$K:$K,Location!$A27,Wine1!$AA:$AA,Location!AO$1)</f>
        <v>0</v>
      </c>
      <c r="AP27" s="37">
        <f>SUMIFS(Wine1!$I:$I,Wine1!$K:$K,Location!$A27,Wine1!$AA:$AA,Location!AP$1)</f>
        <v>0</v>
      </c>
      <c r="AQ27" s="37">
        <f>SUMIFS(Wine1!$I:$I,Wine1!$K:$K,Location!$A27,Wine1!$AA:$AA,Location!AQ$1)</f>
        <v>0</v>
      </c>
      <c r="AR27" s="37">
        <f>SUMIFS(Wine1!$I:$I,Wine1!$K:$K,Location!$A27,Wine1!$AA:$AA,Location!AR$1)</f>
        <v>0</v>
      </c>
      <c r="AS27" s="37">
        <f>SUMIFS(Wine1!$I:$I,Wine1!$K:$K,Location!$A27,Wine1!$AA:$AA,Location!AS$1)</f>
        <v>0</v>
      </c>
      <c r="AT27" s="37">
        <f>SUMIFS(Wine1!$I:$I,Wine1!$K:$K,Location!$A27,Wine1!$AA:$AA,Location!AT$1)</f>
        <v>0</v>
      </c>
      <c r="AU27" s="37">
        <f>SUMIFS(Wine1!$I:$I,Wine1!$K:$K,Location!$A27,Wine1!$AA:$AA,Location!AU$1)</f>
        <v>0</v>
      </c>
      <c r="AV27" s="37">
        <f>SUMIFS(Wine1!$I:$I,Wine1!$K:$K,Location!$A27,Wine1!$AA:$AA,Location!AV$1)</f>
        <v>0</v>
      </c>
      <c r="AW27" s="37">
        <f>SUMIFS(Wine1!$I:$I,Wine1!$K:$K,Location!$A27,Wine1!$AA:$AA,Location!AW$1)</f>
        <v>0</v>
      </c>
      <c r="AX27" s="37">
        <f>SUMIFS(Wine1!$I:$I,Wine1!$K:$K,Location!$A27,Wine1!$AA:$AA,Location!AX$1)</f>
        <v>0</v>
      </c>
      <c r="AY27" s="37">
        <f>SUMIFS(Wine1!$I:$I,Wine1!$K:$K,Location!$A27,Wine1!$AA:$AA,Location!AY$1)</f>
        <v>0</v>
      </c>
      <c r="AZ27" s="37">
        <f>SUMIFS(Wine1!$I:$I,Wine1!$K:$K,Location!$A27,Wine1!$AA:$AA,Location!AZ$1)</f>
        <v>0</v>
      </c>
      <c r="BA27" s="37">
        <f>SUMIFS(Wine1!$I:$I,Wine1!$K:$K,Location!$A27,Wine1!$AA:$AA,Location!BA$1)</f>
        <v>0</v>
      </c>
      <c r="BB27" s="37">
        <f>SUMIFS(Wine1!$I:$I,Wine1!$K:$K,Location!$A27,Wine1!$AA:$AA,Location!BB$1)</f>
        <v>0</v>
      </c>
      <c r="BC27" s="37">
        <f>SUMIFS(Wine1!$I:$I,Wine1!$K:$K,Location!$A27,Wine1!$AA:$AA,Location!BC$1)</f>
        <v>0</v>
      </c>
      <c r="BD27" s="37">
        <f>SUMIFS(Wine1!$I:$I,Wine1!$K:$K,Location!$A27,Wine1!$AA:$AA,Location!BD$1)</f>
        <v>0</v>
      </c>
      <c r="BE27" s="37">
        <f>SUMIFS(Wine1!$I:$I,Wine1!$K:$K,Location!$A27,Wine1!$AA:$AA,Location!BE$1)</f>
        <v>0</v>
      </c>
      <c r="BF27" s="37">
        <f>SUMIFS(Wine1!$I:$I,Wine1!$K:$K,Location!$A27,Wine1!$AA:$AA,Location!BF$1)</f>
        <v>0</v>
      </c>
      <c r="BG27" s="37">
        <f>SUMIFS(Wine1!$I:$I,Wine1!$K:$K,Location!$A27,Wine1!$AA:$AA,Location!BG$1)</f>
        <v>0</v>
      </c>
      <c r="BH27" s="37">
        <f>SUMIFS(Wine1!$I:$I,Wine1!$K:$K,Location!$A27,Wine1!$AA:$AA,Location!BH$1)</f>
        <v>0</v>
      </c>
      <c r="BI27" s="37">
        <f>SUMIFS(Wine1!$I:$I,Wine1!$K:$K,Location!$A27,Wine1!$AA:$AA,Location!BI$1)</f>
        <v>0</v>
      </c>
    </row>
    <row r="28" spans="1:61" s="37" customFormat="1" x14ac:dyDescent="0.25">
      <c r="A28" s="60" t="s">
        <v>627</v>
      </c>
      <c r="B28" s="37">
        <f>SUMIF(Wine1!K:K,Location!A28,Wine1!I:I)</f>
        <v>12</v>
      </c>
      <c r="C28" s="37">
        <v>12</v>
      </c>
      <c r="D28" s="37">
        <f t="shared" si="1"/>
        <v>0</v>
      </c>
      <c r="E28" s="37" t="s">
        <v>603</v>
      </c>
      <c r="F28" s="37" t="s">
        <v>1533</v>
      </c>
      <c r="G28" s="1">
        <v>43810</v>
      </c>
      <c r="H28" s="56">
        <f>COUNTIFS(Wine1!$K:$K,Location!$A28,Wine1!$AF:$AF,Location!H$1)</f>
        <v>1</v>
      </c>
      <c r="I28" s="57">
        <f>COUNTIFS(Wine1!$K:$K,Location!$A28,Wine1!$AF:$AF,Location!I$1)</f>
        <v>1</v>
      </c>
      <c r="J28" s="57">
        <f>COUNTIFS(Wine1!$K:$K,Location!$A28,Wine1!$AF:$AF,Location!J$1)</f>
        <v>9</v>
      </c>
      <c r="K28" s="58">
        <f>COUNTIFS(Wine1!$K:$K,Location!$A28,Wine1!$AF:$AF,Location!K$1)</f>
        <v>1</v>
      </c>
      <c r="L28" s="18">
        <f>IFERROR(AVERAGEIF(Wine1!K:K,Location!A28,Wine1!AA:AA),"Empty")</f>
        <v>2026.8333333333333</v>
      </c>
      <c r="M28" s="37">
        <f>SUMIFS(Wine1!$I:$I,Wine1!$K:$K,Location!$A28,Wine1!$AA:$AA,Location!M$1)</f>
        <v>0</v>
      </c>
      <c r="N28" s="37">
        <f>SUMIFS(Wine1!$I:$I,Wine1!$K:$K,Location!$A28,Wine1!$AA:$AA,Location!N$1)</f>
        <v>0</v>
      </c>
      <c r="O28" s="37">
        <f>SUMIFS(Wine1!$I:$I,Wine1!$K:$K,Location!$A28,Wine1!$AA:$AA,Location!O$1)</f>
        <v>1</v>
      </c>
      <c r="P28" s="37">
        <f>SUMIFS(Wine1!$I:$I,Wine1!$K:$K,Location!$A28,Wine1!$AA:$AA,Location!P$1)</f>
        <v>1</v>
      </c>
      <c r="Q28" s="37">
        <f>SUMIFS(Wine1!$I:$I,Wine1!$K:$K,Location!$A28,Wine1!$AA:$AA,Location!Q$1)</f>
        <v>0</v>
      </c>
      <c r="R28" s="37">
        <f>SUMIFS(Wine1!$I:$I,Wine1!$K:$K,Location!$A28,Wine1!$AA:$AA,Location!R$1)</f>
        <v>1</v>
      </c>
      <c r="S28" s="37">
        <f>SUMIFS(Wine1!$I:$I,Wine1!$K:$K,Location!$A28,Wine1!$AA:$AA,Location!S$1)</f>
        <v>2</v>
      </c>
      <c r="T28" s="37">
        <f>SUMIFS(Wine1!$I:$I,Wine1!$K:$K,Location!$A28,Wine1!$AA:$AA,Location!T$1)</f>
        <v>1</v>
      </c>
      <c r="U28" s="37">
        <f>SUMIFS(Wine1!$I:$I,Wine1!$K:$K,Location!$A28,Wine1!$AA:$AA,Location!U$1)</f>
        <v>3</v>
      </c>
      <c r="V28" s="37">
        <f>SUMIFS(Wine1!$I:$I,Wine1!$K:$K,Location!$A28,Wine1!$AA:$AA,Location!V$1)</f>
        <v>1</v>
      </c>
      <c r="W28" s="37">
        <f>SUMIFS(Wine1!$I:$I,Wine1!$K:$K,Location!$A28,Wine1!$AA:$AA,Location!W$1)</f>
        <v>2</v>
      </c>
      <c r="X28" s="37">
        <f>SUMIFS(Wine1!$I:$I,Wine1!$K:$K,Location!$A28,Wine1!$AA:$AA,Location!X$1)</f>
        <v>0</v>
      </c>
      <c r="Y28" s="37">
        <f>SUMIFS(Wine1!$I:$I,Wine1!$K:$K,Location!$A28,Wine1!$AA:$AA,Location!Y$1)</f>
        <v>0</v>
      </c>
      <c r="Z28" s="37">
        <f>SUMIFS(Wine1!$I:$I,Wine1!$K:$K,Location!$A28,Wine1!$AA:$AA,Location!Z$1)</f>
        <v>0</v>
      </c>
      <c r="AA28" s="37">
        <f>SUMIFS(Wine1!$I:$I,Wine1!$K:$K,Location!$A28,Wine1!$AA:$AA,Location!AA$1)</f>
        <v>0</v>
      </c>
      <c r="AB28" s="37">
        <f>SUMIFS(Wine1!$I:$I,Wine1!$K:$K,Location!$A28,Wine1!$AA:$AA,Location!AB$1)</f>
        <v>0</v>
      </c>
      <c r="AC28" s="37">
        <f>SUMIFS(Wine1!$I:$I,Wine1!$K:$K,Location!$A28,Wine1!$AA:$AA,Location!AC$1)</f>
        <v>0</v>
      </c>
      <c r="AD28" s="37">
        <f>SUMIFS(Wine1!$I:$I,Wine1!$K:$K,Location!$A28,Wine1!$AA:$AA,Location!AD$1)</f>
        <v>0</v>
      </c>
      <c r="AE28" s="37">
        <f>SUMIFS(Wine1!$I:$I,Wine1!$K:$K,Location!$A28,Wine1!$AA:$AA,Location!AE$1)</f>
        <v>0</v>
      </c>
      <c r="AF28" s="37">
        <f>SUMIFS(Wine1!$I:$I,Wine1!$K:$K,Location!$A28,Wine1!$AA:$AA,Location!AF$1)</f>
        <v>0</v>
      </c>
      <c r="AG28" s="37">
        <f>SUMIFS(Wine1!$I:$I,Wine1!$K:$K,Location!$A28,Wine1!$AA:$AA,Location!AG$1)</f>
        <v>0</v>
      </c>
      <c r="AH28" s="37">
        <f>SUMIFS(Wine1!$I:$I,Wine1!$K:$K,Location!$A28,Wine1!$AA:$AA,Location!AH$1)</f>
        <v>0</v>
      </c>
      <c r="AI28" s="37">
        <f>SUMIFS(Wine1!$I:$I,Wine1!$K:$K,Location!$A28,Wine1!$AA:$AA,Location!AI$1)</f>
        <v>0</v>
      </c>
      <c r="AJ28" s="37">
        <f>SUMIFS(Wine1!$I:$I,Wine1!$K:$K,Location!$A28,Wine1!$AA:$AA,Location!AJ$1)</f>
        <v>0</v>
      </c>
      <c r="AK28" s="37">
        <f>SUMIFS(Wine1!$I:$I,Wine1!$K:$K,Location!$A28,Wine1!$AA:$AA,Location!AK$1)</f>
        <v>0</v>
      </c>
      <c r="AL28" s="37">
        <f>SUMIFS(Wine1!$I:$I,Wine1!$K:$K,Location!$A28,Wine1!$AA:$AA,Location!AL$1)</f>
        <v>0</v>
      </c>
      <c r="AM28" s="37">
        <f>SUMIFS(Wine1!$I:$I,Wine1!$K:$K,Location!$A28,Wine1!$AA:$AA,Location!AM$1)</f>
        <v>0</v>
      </c>
      <c r="AN28" s="37">
        <f>SUMIFS(Wine1!$I:$I,Wine1!$K:$K,Location!$A28,Wine1!$AA:$AA,Location!AN$1)</f>
        <v>0</v>
      </c>
      <c r="AO28" s="37">
        <f>SUMIFS(Wine1!$I:$I,Wine1!$K:$K,Location!$A28,Wine1!$AA:$AA,Location!AO$1)</f>
        <v>0</v>
      </c>
      <c r="AP28" s="37">
        <f>SUMIFS(Wine1!$I:$I,Wine1!$K:$K,Location!$A28,Wine1!$AA:$AA,Location!AP$1)</f>
        <v>0</v>
      </c>
      <c r="AQ28" s="37">
        <f>SUMIFS(Wine1!$I:$I,Wine1!$K:$K,Location!$A28,Wine1!$AA:$AA,Location!AQ$1)</f>
        <v>0</v>
      </c>
      <c r="AR28" s="37">
        <f>SUMIFS(Wine1!$I:$I,Wine1!$K:$K,Location!$A28,Wine1!$AA:$AA,Location!AR$1)</f>
        <v>0</v>
      </c>
      <c r="AS28" s="37">
        <f>SUMIFS(Wine1!$I:$I,Wine1!$K:$K,Location!$A28,Wine1!$AA:$AA,Location!AS$1)</f>
        <v>0</v>
      </c>
      <c r="AT28" s="37">
        <f>SUMIFS(Wine1!$I:$I,Wine1!$K:$K,Location!$A28,Wine1!$AA:$AA,Location!AT$1)</f>
        <v>0</v>
      </c>
      <c r="AU28" s="37">
        <f>SUMIFS(Wine1!$I:$I,Wine1!$K:$K,Location!$A28,Wine1!$AA:$AA,Location!AU$1)</f>
        <v>0</v>
      </c>
      <c r="AV28" s="37">
        <f>SUMIFS(Wine1!$I:$I,Wine1!$K:$K,Location!$A28,Wine1!$AA:$AA,Location!AV$1)</f>
        <v>0</v>
      </c>
      <c r="AW28" s="37">
        <f>SUMIFS(Wine1!$I:$I,Wine1!$K:$K,Location!$A28,Wine1!$AA:$AA,Location!AW$1)</f>
        <v>0</v>
      </c>
      <c r="AX28" s="37">
        <f>SUMIFS(Wine1!$I:$I,Wine1!$K:$K,Location!$A28,Wine1!$AA:$AA,Location!AX$1)</f>
        <v>0</v>
      </c>
      <c r="AY28" s="37">
        <f>SUMIFS(Wine1!$I:$I,Wine1!$K:$K,Location!$A28,Wine1!$AA:$AA,Location!AY$1)</f>
        <v>0</v>
      </c>
      <c r="AZ28" s="37">
        <f>SUMIFS(Wine1!$I:$I,Wine1!$K:$K,Location!$A28,Wine1!$AA:$AA,Location!AZ$1)</f>
        <v>0</v>
      </c>
      <c r="BA28" s="37">
        <f>SUMIFS(Wine1!$I:$I,Wine1!$K:$K,Location!$A28,Wine1!$AA:$AA,Location!BA$1)</f>
        <v>0</v>
      </c>
      <c r="BB28" s="37">
        <f>SUMIFS(Wine1!$I:$I,Wine1!$K:$K,Location!$A28,Wine1!$AA:$AA,Location!BB$1)</f>
        <v>0</v>
      </c>
      <c r="BC28" s="37">
        <f>SUMIFS(Wine1!$I:$I,Wine1!$K:$K,Location!$A28,Wine1!$AA:$AA,Location!BC$1)</f>
        <v>0</v>
      </c>
      <c r="BD28" s="37">
        <f>SUMIFS(Wine1!$I:$I,Wine1!$K:$K,Location!$A28,Wine1!$AA:$AA,Location!BD$1)</f>
        <v>0</v>
      </c>
      <c r="BE28" s="37">
        <f>SUMIFS(Wine1!$I:$I,Wine1!$K:$K,Location!$A28,Wine1!$AA:$AA,Location!BE$1)</f>
        <v>0</v>
      </c>
      <c r="BF28" s="37">
        <f>SUMIFS(Wine1!$I:$I,Wine1!$K:$K,Location!$A28,Wine1!$AA:$AA,Location!BF$1)</f>
        <v>0</v>
      </c>
      <c r="BG28" s="37">
        <f>SUMIFS(Wine1!$I:$I,Wine1!$K:$K,Location!$A28,Wine1!$AA:$AA,Location!BG$1)</f>
        <v>0</v>
      </c>
      <c r="BH28" s="37">
        <f>SUMIFS(Wine1!$I:$I,Wine1!$K:$K,Location!$A28,Wine1!$AA:$AA,Location!BH$1)</f>
        <v>0</v>
      </c>
      <c r="BI28" s="37">
        <f>SUMIFS(Wine1!$I:$I,Wine1!$K:$K,Location!$A28,Wine1!$AA:$AA,Location!BI$1)</f>
        <v>0</v>
      </c>
    </row>
    <row r="29" spans="1:61" s="37" customFormat="1" x14ac:dyDescent="0.25">
      <c r="A29" s="38" t="s">
        <v>640</v>
      </c>
      <c r="B29" s="37">
        <f>SUMIF(Wine1!K:K,Location!A29,Wine1!I:I)</f>
        <v>12</v>
      </c>
      <c r="C29" s="37">
        <v>12</v>
      </c>
      <c r="D29" s="37">
        <f t="shared" si="1"/>
        <v>0</v>
      </c>
      <c r="E29" s="37" t="s">
        <v>600</v>
      </c>
      <c r="F29" s="37" t="s">
        <v>1533</v>
      </c>
      <c r="G29" s="1">
        <v>43811</v>
      </c>
      <c r="H29" s="56">
        <f>COUNTIFS(Wine1!$K:$K,Location!$A29,Wine1!$AF:$AF,Location!H$1)</f>
        <v>2</v>
      </c>
      <c r="I29" s="57">
        <f>COUNTIFS(Wine1!$K:$K,Location!$A29,Wine1!$AF:$AF,Location!I$1)</f>
        <v>8</v>
      </c>
      <c r="J29" s="57">
        <f>COUNTIFS(Wine1!$K:$K,Location!$A29,Wine1!$AF:$AF,Location!J$1)</f>
        <v>2</v>
      </c>
      <c r="K29" s="58">
        <f>COUNTIFS(Wine1!$K:$K,Location!$A29,Wine1!$AF:$AF,Location!K$1)</f>
        <v>0</v>
      </c>
      <c r="L29" s="18">
        <f>IFERROR(AVERAGEIF(Wine1!K:K,Location!A29,Wine1!AA:AA),"Empty")</f>
        <v>2021.0833333333333</v>
      </c>
      <c r="M29" s="37">
        <f>SUMIFS(Wine1!$I:$I,Wine1!$K:$K,Location!$A29,Wine1!$AA:$AA,Location!M$1)</f>
        <v>0</v>
      </c>
      <c r="N29" s="37">
        <f>SUMIFS(Wine1!$I:$I,Wine1!$K:$K,Location!$A29,Wine1!$AA:$AA,Location!N$1)</f>
        <v>11</v>
      </c>
      <c r="O29" s="37">
        <f>SUMIFS(Wine1!$I:$I,Wine1!$K:$K,Location!$A29,Wine1!$AA:$AA,Location!O$1)</f>
        <v>1</v>
      </c>
      <c r="P29" s="37">
        <f>SUMIFS(Wine1!$I:$I,Wine1!$K:$K,Location!$A29,Wine1!$AA:$AA,Location!P$1)</f>
        <v>0</v>
      </c>
      <c r="Q29" s="37">
        <f>SUMIFS(Wine1!$I:$I,Wine1!$K:$K,Location!$A29,Wine1!$AA:$AA,Location!Q$1)</f>
        <v>0</v>
      </c>
      <c r="R29" s="37">
        <f>SUMIFS(Wine1!$I:$I,Wine1!$K:$K,Location!$A29,Wine1!$AA:$AA,Location!R$1)</f>
        <v>0</v>
      </c>
      <c r="S29" s="37">
        <f>SUMIFS(Wine1!$I:$I,Wine1!$K:$K,Location!$A29,Wine1!$AA:$AA,Location!S$1)</f>
        <v>0</v>
      </c>
      <c r="T29" s="37">
        <f>SUMIFS(Wine1!$I:$I,Wine1!$K:$K,Location!$A29,Wine1!$AA:$AA,Location!T$1)</f>
        <v>0</v>
      </c>
      <c r="U29" s="37">
        <f>SUMIFS(Wine1!$I:$I,Wine1!$K:$K,Location!$A29,Wine1!$AA:$AA,Location!U$1)</f>
        <v>0</v>
      </c>
      <c r="V29" s="37">
        <f>SUMIFS(Wine1!$I:$I,Wine1!$K:$K,Location!$A29,Wine1!$AA:$AA,Location!V$1)</f>
        <v>0</v>
      </c>
      <c r="W29" s="37">
        <f>SUMIFS(Wine1!$I:$I,Wine1!$K:$K,Location!$A29,Wine1!$AA:$AA,Location!W$1)</f>
        <v>0</v>
      </c>
      <c r="X29" s="37">
        <f>SUMIFS(Wine1!$I:$I,Wine1!$K:$K,Location!$A29,Wine1!$AA:$AA,Location!X$1)</f>
        <v>0</v>
      </c>
      <c r="Y29" s="37">
        <f>SUMIFS(Wine1!$I:$I,Wine1!$K:$K,Location!$A29,Wine1!$AA:$AA,Location!Y$1)</f>
        <v>0</v>
      </c>
      <c r="Z29" s="37">
        <f>SUMIFS(Wine1!$I:$I,Wine1!$K:$K,Location!$A29,Wine1!$AA:$AA,Location!Z$1)</f>
        <v>0</v>
      </c>
      <c r="AA29" s="37">
        <f>SUMIFS(Wine1!$I:$I,Wine1!$K:$K,Location!$A29,Wine1!$AA:$AA,Location!AA$1)</f>
        <v>0</v>
      </c>
      <c r="AB29" s="37">
        <f>SUMIFS(Wine1!$I:$I,Wine1!$K:$K,Location!$A29,Wine1!$AA:$AA,Location!AB$1)</f>
        <v>0</v>
      </c>
      <c r="AC29" s="37">
        <f>SUMIFS(Wine1!$I:$I,Wine1!$K:$K,Location!$A29,Wine1!$AA:$AA,Location!AC$1)</f>
        <v>0</v>
      </c>
      <c r="AD29" s="37">
        <f>SUMIFS(Wine1!$I:$I,Wine1!$K:$K,Location!$A29,Wine1!$AA:$AA,Location!AD$1)</f>
        <v>0</v>
      </c>
      <c r="AE29" s="37">
        <f>SUMIFS(Wine1!$I:$I,Wine1!$K:$K,Location!$A29,Wine1!$AA:$AA,Location!AE$1)</f>
        <v>0</v>
      </c>
      <c r="AF29" s="37">
        <f>SUMIFS(Wine1!$I:$I,Wine1!$K:$K,Location!$A29,Wine1!$AA:$AA,Location!AF$1)</f>
        <v>0</v>
      </c>
      <c r="AG29" s="37">
        <f>SUMIFS(Wine1!$I:$I,Wine1!$K:$K,Location!$A29,Wine1!$AA:$AA,Location!AG$1)</f>
        <v>0</v>
      </c>
      <c r="AH29" s="37">
        <f>SUMIFS(Wine1!$I:$I,Wine1!$K:$K,Location!$A29,Wine1!$AA:$AA,Location!AH$1)</f>
        <v>0</v>
      </c>
      <c r="AI29" s="37">
        <f>SUMIFS(Wine1!$I:$I,Wine1!$K:$K,Location!$A29,Wine1!$AA:$AA,Location!AI$1)</f>
        <v>0</v>
      </c>
      <c r="AJ29" s="37">
        <f>SUMIFS(Wine1!$I:$I,Wine1!$K:$K,Location!$A29,Wine1!$AA:$AA,Location!AJ$1)</f>
        <v>0</v>
      </c>
      <c r="AK29" s="37">
        <f>SUMIFS(Wine1!$I:$I,Wine1!$K:$K,Location!$A29,Wine1!$AA:$AA,Location!AK$1)</f>
        <v>0</v>
      </c>
      <c r="AL29" s="37">
        <f>SUMIFS(Wine1!$I:$I,Wine1!$K:$K,Location!$A29,Wine1!$AA:$AA,Location!AL$1)</f>
        <v>0</v>
      </c>
      <c r="AM29" s="37">
        <f>SUMIFS(Wine1!$I:$I,Wine1!$K:$K,Location!$A29,Wine1!$AA:$AA,Location!AM$1)</f>
        <v>0</v>
      </c>
      <c r="AN29" s="37">
        <f>SUMIFS(Wine1!$I:$I,Wine1!$K:$K,Location!$A29,Wine1!$AA:$AA,Location!AN$1)</f>
        <v>0</v>
      </c>
      <c r="AO29" s="37">
        <f>SUMIFS(Wine1!$I:$I,Wine1!$K:$K,Location!$A29,Wine1!$AA:$AA,Location!AO$1)</f>
        <v>0</v>
      </c>
      <c r="AP29" s="37">
        <f>SUMIFS(Wine1!$I:$I,Wine1!$K:$K,Location!$A29,Wine1!$AA:$AA,Location!AP$1)</f>
        <v>0</v>
      </c>
      <c r="AQ29" s="37">
        <f>SUMIFS(Wine1!$I:$I,Wine1!$K:$K,Location!$A29,Wine1!$AA:$AA,Location!AQ$1)</f>
        <v>0</v>
      </c>
      <c r="AR29" s="37">
        <f>SUMIFS(Wine1!$I:$I,Wine1!$K:$K,Location!$A29,Wine1!$AA:$AA,Location!AR$1)</f>
        <v>0</v>
      </c>
      <c r="AS29" s="37">
        <f>SUMIFS(Wine1!$I:$I,Wine1!$K:$K,Location!$A29,Wine1!$AA:$AA,Location!AS$1)</f>
        <v>0</v>
      </c>
      <c r="AT29" s="37">
        <f>SUMIFS(Wine1!$I:$I,Wine1!$K:$K,Location!$A29,Wine1!$AA:$AA,Location!AT$1)</f>
        <v>0</v>
      </c>
      <c r="AU29" s="37">
        <f>SUMIFS(Wine1!$I:$I,Wine1!$K:$K,Location!$A29,Wine1!$AA:$AA,Location!AU$1)</f>
        <v>0</v>
      </c>
      <c r="AV29" s="37">
        <f>SUMIFS(Wine1!$I:$I,Wine1!$K:$K,Location!$A29,Wine1!$AA:$AA,Location!AV$1)</f>
        <v>0</v>
      </c>
      <c r="AW29" s="37">
        <f>SUMIFS(Wine1!$I:$I,Wine1!$K:$K,Location!$A29,Wine1!$AA:$AA,Location!AW$1)</f>
        <v>0</v>
      </c>
      <c r="AX29" s="37">
        <f>SUMIFS(Wine1!$I:$I,Wine1!$K:$K,Location!$A29,Wine1!$AA:$AA,Location!AX$1)</f>
        <v>0</v>
      </c>
      <c r="AY29" s="37">
        <f>SUMIFS(Wine1!$I:$I,Wine1!$K:$K,Location!$A29,Wine1!$AA:$AA,Location!AY$1)</f>
        <v>0</v>
      </c>
      <c r="AZ29" s="37">
        <f>SUMIFS(Wine1!$I:$I,Wine1!$K:$K,Location!$A29,Wine1!$AA:$AA,Location!AZ$1)</f>
        <v>0</v>
      </c>
      <c r="BA29" s="37">
        <f>SUMIFS(Wine1!$I:$I,Wine1!$K:$K,Location!$A29,Wine1!$AA:$AA,Location!BA$1)</f>
        <v>0</v>
      </c>
      <c r="BB29" s="37">
        <f>SUMIFS(Wine1!$I:$I,Wine1!$K:$K,Location!$A29,Wine1!$AA:$AA,Location!BB$1)</f>
        <v>0</v>
      </c>
      <c r="BC29" s="37">
        <f>SUMIFS(Wine1!$I:$I,Wine1!$K:$K,Location!$A29,Wine1!$AA:$AA,Location!BC$1)</f>
        <v>0</v>
      </c>
      <c r="BD29" s="37">
        <f>SUMIFS(Wine1!$I:$I,Wine1!$K:$K,Location!$A29,Wine1!$AA:$AA,Location!BD$1)</f>
        <v>0</v>
      </c>
      <c r="BE29" s="37">
        <f>SUMIFS(Wine1!$I:$I,Wine1!$K:$K,Location!$A29,Wine1!$AA:$AA,Location!BE$1)</f>
        <v>0</v>
      </c>
      <c r="BF29" s="37">
        <f>SUMIFS(Wine1!$I:$I,Wine1!$K:$K,Location!$A29,Wine1!$AA:$AA,Location!BF$1)</f>
        <v>0</v>
      </c>
      <c r="BG29" s="37">
        <f>SUMIFS(Wine1!$I:$I,Wine1!$K:$K,Location!$A29,Wine1!$AA:$AA,Location!BG$1)</f>
        <v>0</v>
      </c>
      <c r="BH29" s="37">
        <f>SUMIFS(Wine1!$I:$I,Wine1!$K:$K,Location!$A29,Wine1!$AA:$AA,Location!BH$1)</f>
        <v>0</v>
      </c>
      <c r="BI29" s="37">
        <f>SUMIFS(Wine1!$I:$I,Wine1!$K:$K,Location!$A29,Wine1!$AA:$AA,Location!BI$1)</f>
        <v>0</v>
      </c>
    </row>
    <row r="30" spans="1:61" s="37" customFormat="1" x14ac:dyDescent="0.25">
      <c r="A30" s="38" t="s">
        <v>657</v>
      </c>
      <c r="B30" s="37">
        <f>SUMIF(Wine1!K:K,Location!A30,Wine1!I:I)</f>
        <v>12</v>
      </c>
      <c r="C30" s="37">
        <v>12</v>
      </c>
      <c r="D30" s="37">
        <f t="shared" si="1"/>
        <v>0</v>
      </c>
      <c r="E30" s="8" t="s">
        <v>603</v>
      </c>
      <c r="F30" s="37" t="s">
        <v>1533</v>
      </c>
      <c r="G30" s="1">
        <v>43810</v>
      </c>
      <c r="H30" s="56">
        <f>COUNTIFS(Wine1!$K:$K,Location!$A30,Wine1!$AF:$AF,Location!H$1)</f>
        <v>2</v>
      </c>
      <c r="I30" s="57">
        <f>COUNTIFS(Wine1!$K:$K,Location!$A30,Wine1!$AF:$AF,Location!I$1)</f>
        <v>6</v>
      </c>
      <c r="J30" s="57">
        <f>COUNTIFS(Wine1!$K:$K,Location!$A30,Wine1!$AF:$AF,Location!J$1)</f>
        <v>3</v>
      </c>
      <c r="K30" s="58">
        <f>COUNTIFS(Wine1!$K:$K,Location!$A30,Wine1!$AF:$AF,Location!K$1)</f>
        <v>1</v>
      </c>
      <c r="L30" s="18">
        <f>IFERROR(AVERAGEIF(Wine1!K:K,Location!A30,Wine1!AA:AA),"Empty")</f>
        <v>2024.4166666666667</v>
      </c>
      <c r="M30" s="37">
        <f>SUMIFS(Wine1!$I:$I,Wine1!$K:$K,Location!$A30,Wine1!$AA:$AA,Location!M$1)</f>
        <v>0</v>
      </c>
      <c r="N30" s="37">
        <f>SUMIFS(Wine1!$I:$I,Wine1!$K:$K,Location!$A30,Wine1!$AA:$AA,Location!N$1)</f>
        <v>0</v>
      </c>
      <c r="O30" s="37">
        <f>SUMIFS(Wine1!$I:$I,Wine1!$K:$K,Location!$A30,Wine1!$AA:$AA,Location!O$1)</f>
        <v>2</v>
      </c>
      <c r="P30" s="37">
        <f>SUMIFS(Wine1!$I:$I,Wine1!$K:$K,Location!$A30,Wine1!$AA:$AA,Location!P$1)</f>
        <v>4</v>
      </c>
      <c r="Q30" s="37">
        <f>SUMIFS(Wine1!$I:$I,Wine1!$K:$K,Location!$A30,Wine1!$AA:$AA,Location!Q$1)</f>
        <v>1</v>
      </c>
      <c r="R30" s="37">
        <f>SUMIFS(Wine1!$I:$I,Wine1!$K:$K,Location!$A30,Wine1!$AA:$AA,Location!R$1)</f>
        <v>1</v>
      </c>
      <c r="S30" s="37">
        <f>SUMIFS(Wine1!$I:$I,Wine1!$K:$K,Location!$A30,Wine1!$AA:$AA,Location!S$1)</f>
        <v>3</v>
      </c>
      <c r="T30" s="37">
        <f>SUMIFS(Wine1!$I:$I,Wine1!$K:$K,Location!$A30,Wine1!$AA:$AA,Location!T$1)</f>
        <v>0</v>
      </c>
      <c r="U30" s="37">
        <f>SUMIFS(Wine1!$I:$I,Wine1!$K:$K,Location!$A30,Wine1!$AA:$AA,Location!U$1)</f>
        <v>0</v>
      </c>
      <c r="V30" s="37">
        <f>SUMIFS(Wine1!$I:$I,Wine1!$K:$K,Location!$A30,Wine1!$AA:$AA,Location!V$1)</f>
        <v>0</v>
      </c>
      <c r="W30" s="37">
        <f>SUMIFS(Wine1!$I:$I,Wine1!$K:$K,Location!$A30,Wine1!$AA:$AA,Location!W$1)</f>
        <v>1</v>
      </c>
      <c r="X30" s="37">
        <f>SUMIFS(Wine1!$I:$I,Wine1!$K:$K,Location!$A30,Wine1!$AA:$AA,Location!X$1)</f>
        <v>0</v>
      </c>
      <c r="Y30" s="37">
        <f>SUMIFS(Wine1!$I:$I,Wine1!$K:$K,Location!$A30,Wine1!$AA:$AA,Location!Y$1)</f>
        <v>0</v>
      </c>
      <c r="Z30" s="37">
        <f>SUMIFS(Wine1!$I:$I,Wine1!$K:$K,Location!$A30,Wine1!$AA:$AA,Location!Z$1)</f>
        <v>0</v>
      </c>
      <c r="AA30" s="37">
        <f>SUMIFS(Wine1!$I:$I,Wine1!$K:$K,Location!$A30,Wine1!$AA:$AA,Location!AA$1)</f>
        <v>0</v>
      </c>
      <c r="AB30" s="37">
        <f>SUMIFS(Wine1!$I:$I,Wine1!$K:$K,Location!$A30,Wine1!$AA:$AA,Location!AB$1)</f>
        <v>0</v>
      </c>
      <c r="AC30" s="37">
        <f>SUMIFS(Wine1!$I:$I,Wine1!$K:$K,Location!$A30,Wine1!$AA:$AA,Location!AC$1)</f>
        <v>0</v>
      </c>
      <c r="AD30" s="37">
        <f>SUMIFS(Wine1!$I:$I,Wine1!$K:$K,Location!$A30,Wine1!$AA:$AA,Location!AD$1)</f>
        <v>0</v>
      </c>
      <c r="AE30" s="37">
        <f>SUMIFS(Wine1!$I:$I,Wine1!$K:$K,Location!$A30,Wine1!$AA:$AA,Location!AE$1)</f>
        <v>0</v>
      </c>
      <c r="AF30" s="37">
        <f>SUMIFS(Wine1!$I:$I,Wine1!$K:$K,Location!$A30,Wine1!$AA:$AA,Location!AF$1)</f>
        <v>0</v>
      </c>
      <c r="AG30" s="37">
        <f>SUMIFS(Wine1!$I:$I,Wine1!$K:$K,Location!$A30,Wine1!$AA:$AA,Location!AG$1)</f>
        <v>0</v>
      </c>
      <c r="AH30" s="37">
        <f>SUMIFS(Wine1!$I:$I,Wine1!$K:$K,Location!$A30,Wine1!$AA:$AA,Location!AH$1)</f>
        <v>0</v>
      </c>
      <c r="AI30" s="37">
        <f>SUMIFS(Wine1!$I:$I,Wine1!$K:$K,Location!$A30,Wine1!$AA:$AA,Location!AI$1)</f>
        <v>0</v>
      </c>
      <c r="AJ30" s="37">
        <f>SUMIFS(Wine1!$I:$I,Wine1!$K:$K,Location!$A30,Wine1!$AA:$AA,Location!AJ$1)</f>
        <v>0</v>
      </c>
      <c r="AK30" s="37">
        <f>SUMIFS(Wine1!$I:$I,Wine1!$K:$K,Location!$A30,Wine1!$AA:$AA,Location!AK$1)</f>
        <v>0</v>
      </c>
      <c r="AL30" s="37">
        <f>SUMIFS(Wine1!$I:$I,Wine1!$K:$K,Location!$A30,Wine1!$AA:$AA,Location!AL$1)</f>
        <v>0</v>
      </c>
      <c r="AM30" s="37">
        <f>SUMIFS(Wine1!$I:$I,Wine1!$K:$K,Location!$A30,Wine1!$AA:$AA,Location!AM$1)</f>
        <v>0</v>
      </c>
      <c r="AN30" s="37">
        <f>SUMIFS(Wine1!$I:$I,Wine1!$K:$K,Location!$A30,Wine1!$AA:$AA,Location!AN$1)</f>
        <v>0</v>
      </c>
      <c r="AO30" s="37">
        <f>SUMIFS(Wine1!$I:$I,Wine1!$K:$K,Location!$A30,Wine1!$AA:$AA,Location!AO$1)</f>
        <v>0</v>
      </c>
      <c r="AP30" s="37">
        <f>SUMIFS(Wine1!$I:$I,Wine1!$K:$K,Location!$A30,Wine1!$AA:$AA,Location!AP$1)</f>
        <v>0</v>
      </c>
      <c r="AQ30" s="37">
        <f>SUMIFS(Wine1!$I:$I,Wine1!$K:$K,Location!$A30,Wine1!$AA:$AA,Location!AQ$1)</f>
        <v>0</v>
      </c>
      <c r="AR30" s="37">
        <f>SUMIFS(Wine1!$I:$I,Wine1!$K:$K,Location!$A30,Wine1!$AA:$AA,Location!AR$1)</f>
        <v>0</v>
      </c>
      <c r="AS30" s="37">
        <f>SUMIFS(Wine1!$I:$I,Wine1!$K:$K,Location!$A30,Wine1!$AA:$AA,Location!AS$1)</f>
        <v>0</v>
      </c>
      <c r="AT30" s="37">
        <f>SUMIFS(Wine1!$I:$I,Wine1!$K:$K,Location!$A30,Wine1!$AA:$AA,Location!AT$1)</f>
        <v>0</v>
      </c>
      <c r="AU30" s="37">
        <f>SUMIFS(Wine1!$I:$I,Wine1!$K:$K,Location!$A30,Wine1!$AA:$AA,Location!AU$1)</f>
        <v>0</v>
      </c>
      <c r="AV30" s="37">
        <f>SUMIFS(Wine1!$I:$I,Wine1!$K:$K,Location!$A30,Wine1!$AA:$AA,Location!AV$1)</f>
        <v>0</v>
      </c>
      <c r="AW30" s="37">
        <f>SUMIFS(Wine1!$I:$I,Wine1!$K:$K,Location!$A30,Wine1!$AA:$AA,Location!AW$1)</f>
        <v>0</v>
      </c>
      <c r="AX30" s="37">
        <f>SUMIFS(Wine1!$I:$I,Wine1!$K:$K,Location!$A30,Wine1!$AA:$AA,Location!AX$1)</f>
        <v>0</v>
      </c>
      <c r="AY30" s="37">
        <f>SUMIFS(Wine1!$I:$I,Wine1!$K:$K,Location!$A30,Wine1!$AA:$AA,Location!AY$1)</f>
        <v>0</v>
      </c>
      <c r="AZ30" s="37">
        <f>SUMIFS(Wine1!$I:$I,Wine1!$K:$K,Location!$A30,Wine1!$AA:$AA,Location!AZ$1)</f>
        <v>0</v>
      </c>
      <c r="BA30" s="37">
        <f>SUMIFS(Wine1!$I:$I,Wine1!$K:$K,Location!$A30,Wine1!$AA:$AA,Location!BA$1)</f>
        <v>0</v>
      </c>
      <c r="BB30" s="37">
        <f>SUMIFS(Wine1!$I:$I,Wine1!$K:$K,Location!$A30,Wine1!$AA:$AA,Location!BB$1)</f>
        <v>0</v>
      </c>
      <c r="BC30" s="37">
        <f>SUMIFS(Wine1!$I:$I,Wine1!$K:$K,Location!$A30,Wine1!$AA:$AA,Location!BC$1)</f>
        <v>0</v>
      </c>
      <c r="BD30" s="37">
        <f>SUMIFS(Wine1!$I:$I,Wine1!$K:$K,Location!$A30,Wine1!$AA:$AA,Location!BD$1)</f>
        <v>0</v>
      </c>
      <c r="BE30" s="37">
        <f>SUMIFS(Wine1!$I:$I,Wine1!$K:$K,Location!$A30,Wine1!$AA:$AA,Location!BE$1)</f>
        <v>0</v>
      </c>
      <c r="BF30" s="37">
        <f>SUMIFS(Wine1!$I:$I,Wine1!$K:$K,Location!$A30,Wine1!$AA:$AA,Location!BF$1)</f>
        <v>0</v>
      </c>
      <c r="BG30" s="37">
        <f>SUMIFS(Wine1!$I:$I,Wine1!$K:$K,Location!$A30,Wine1!$AA:$AA,Location!BG$1)</f>
        <v>0</v>
      </c>
      <c r="BH30" s="37">
        <f>SUMIFS(Wine1!$I:$I,Wine1!$K:$K,Location!$A30,Wine1!$AA:$AA,Location!BH$1)</f>
        <v>0</v>
      </c>
      <c r="BI30" s="37">
        <f>SUMIFS(Wine1!$I:$I,Wine1!$K:$K,Location!$A30,Wine1!$AA:$AA,Location!BI$1)</f>
        <v>0</v>
      </c>
    </row>
    <row r="31" spans="1:61" s="37" customFormat="1" x14ac:dyDescent="0.25">
      <c r="A31" s="60" t="s">
        <v>661</v>
      </c>
      <c r="B31" s="37">
        <f>SUMIF(Wine1!K:K,Location!A31,Wine1!I:I)</f>
        <v>12</v>
      </c>
      <c r="C31" s="37">
        <v>12</v>
      </c>
      <c r="D31" s="37">
        <f t="shared" si="1"/>
        <v>0</v>
      </c>
      <c r="E31" s="37" t="s">
        <v>603</v>
      </c>
      <c r="F31" s="37" t="s">
        <v>1533</v>
      </c>
      <c r="G31" s="1"/>
      <c r="H31" s="56">
        <f>COUNTIFS(Wine1!$K:$K,Location!$A31,Wine1!$AF:$AF,Location!H$1)</f>
        <v>0</v>
      </c>
      <c r="I31" s="57">
        <f>COUNTIFS(Wine1!$K:$K,Location!$A31,Wine1!$AF:$AF,Location!I$1)</f>
        <v>6</v>
      </c>
      <c r="J31" s="57">
        <f>COUNTIFS(Wine1!$K:$K,Location!$A31,Wine1!$AF:$AF,Location!J$1)</f>
        <v>6</v>
      </c>
      <c r="K31" s="58">
        <f>COUNTIFS(Wine1!$K:$K,Location!$A31,Wine1!$AF:$AF,Location!K$1)</f>
        <v>0</v>
      </c>
      <c r="L31" s="18">
        <f>IFERROR(AVERAGEIF(Wine1!K:K,Location!A31,Wine1!AA:AA),"Empty")</f>
        <v>2026.3333333333333</v>
      </c>
      <c r="M31" s="37">
        <f>SUMIFS(Wine1!$I:$I,Wine1!$K:$K,Location!$A31,Wine1!$AA:$AA,Location!M$1)</f>
        <v>0</v>
      </c>
      <c r="N31" s="37">
        <f>SUMIFS(Wine1!$I:$I,Wine1!$K:$K,Location!$A31,Wine1!$AA:$AA,Location!N$1)</f>
        <v>0</v>
      </c>
      <c r="O31" s="37">
        <f>SUMIFS(Wine1!$I:$I,Wine1!$K:$K,Location!$A31,Wine1!$AA:$AA,Location!O$1)</f>
        <v>2</v>
      </c>
      <c r="P31" s="37">
        <f>SUMIFS(Wine1!$I:$I,Wine1!$K:$K,Location!$A31,Wine1!$AA:$AA,Location!P$1)</f>
        <v>0</v>
      </c>
      <c r="Q31" s="37">
        <f>SUMIFS(Wine1!$I:$I,Wine1!$K:$K,Location!$A31,Wine1!$AA:$AA,Location!Q$1)</f>
        <v>2</v>
      </c>
      <c r="R31" s="37">
        <f>SUMIFS(Wine1!$I:$I,Wine1!$K:$K,Location!$A31,Wine1!$AA:$AA,Location!R$1)</f>
        <v>0</v>
      </c>
      <c r="S31" s="37">
        <f>SUMIFS(Wine1!$I:$I,Wine1!$K:$K,Location!$A31,Wine1!$AA:$AA,Location!S$1)</f>
        <v>1</v>
      </c>
      <c r="T31" s="37">
        <f>SUMIFS(Wine1!$I:$I,Wine1!$K:$K,Location!$A31,Wine1!$AA:$AA,Location!T$1)</f>
        <v>3</v>
      </c>
      <c r="U31" s="37">
        <f>SUMIFS(Wine1!$I:$I,Wine1!$K:$K,Location!$A31,Wine1!$AA:$AA,Location!U$1)</f>
        <v>2</v>
      </c>
      <c r="V31" s="37">
        <f>SUMIFS(Wine1!$I:$I,Wine1!$K:$K,Location!$A31,Wine1!$AA:$AA,Location!V$1)</f>
        <v>1</v>
      </c>
      <c r="W31" s="37">
        <f>SUMIFS(Wine1!$I:$I,Wine1!$K:$K,Location!$A31,Wine1!$AA:$AA,Location!W$1)</f>
        <v>0</v>
      </c>
      <c r="X31" s="37">
        <f>SUMIFS(Wine1!$I:$I,Wine1!$K:$K,Location!$A31,Wine1!$AA:$AA,Location!X$1)</f>
        <v>0</v>
      </c>
      <c r="Y31" s="37">
        <f>SUMIFS(Wine1!$I:$I,Wine1!$K:$K,Location!$A31,Wine1!$AA:$AA,Location!Y$1)</f>
        <v>1</v>
      </c>
      <c r="Z31" s="37">
        <f>SUMIFS(Wine1!$I:$I,Wine1!$K:$K,Location!$A31,Wine1!$AA:$AA,Location!Z$1)</f>
        <v>0</v>
      </c>
      <c r="AA31" s="37">
        <f>SUMIFS(Wine1!$I:$I,Wine1!$K:$K,Location!$A31,Wine1!$AA:$AA,Location!AA$1)</f>
        <v>0</v>
      </c>
      <c r="AB31" s="37">
        <f>SUMIFS(Wine1!$I:$I,Wine1!$K:$K,Location!$A31,Wine1!$AA:$AA,Location!AB$1)</f>
        <v>0</v>
      </c>
      <c r="AC31" s="37">
        <f>SUMIFS(Wine1!$I:$I,Wine1!$K:$K,Location!$A31,Wine1!$AA:$AA,Location!AC$1)</f>
        <v>0</v>
      </c>
      <c r="AD31" s="37">
        <f>SUMIFS(Wine1!$I:$I,Wine1!$K:$K,Location!$A31,Wine1!$AA:$AA,Location!AD$1)</f>
        <v>0</v>
      </c>
      <c r="AE31" s="37">
        <f>SUMIFS(Wine1!$I:$I,Wine1!$K:$K,Location!$A31,Wine1!$AA:$AA,Location!AE$1)</f>
        <v>0</v>
      </c>
      <c r="AF31" s="37">
        <f>SUMIFS(Wine1!$I:$I,Wine1!$K:$K,Location!$A31,Wine1!$AA:$AA,Location!AF$1)</f>
        <v>0</v>
      </c>
      <c r="AG31" s="37">
        <f>SUMIFS(Wine1!$I:$I,Wine1!$K:$K,Location!$A31,Wine1!$AA:$AA,Location!AG$1)</f>
        <v>0</v>
      </c>
      <c r="AH31" s="37">
        <f>SUMIFS(Wine1!$I:$I,Wine1!$K:$K,Location!$A31,Wine1!$AA:$AA,Location!AH$1)</f>
        <v>0</v>
      </c>
      <c r="AI31" s="37">
        <f>SUMIFS(Wine1!$I:$I,Wine1!$K:$K,Location!$A31,Wine1!$AA:$AA,Location!AI$1)</f>
        <v>0</v>
      </c>
      <c r="AJ31" s="37">
        <f>SUMIFS(Wine1!$I:$I,Wine1!$K:$K,Location!$A31,Wine1!$AA:$AA,Location!AJ$1)</f>
        <v>0</v>
      </c>
      <c r="AK31" s="37">
        <f>SUMIFS(Wine1!$I:$I,Wine1!$K:$K,Location!$A31,Wine1!$AA:$AA,Location!AK$1)</f>
        <v>0</v>
      </c>
      <c r="AL31" s="37">
        <f>SUMIFS(Wine1!$I:$I,Wine1!$K:$K,Location!$A31,Wine1!$AA:$AA,Location!AL$1)</f>
        <v>0</v>
      </c>
      <c r="AM31" s="37">
        <f>SUMIFS(Wine1!$I:$I,Wine1!$K:$K,Location!$A31,Wine1!$AA:$AA,Location!AM$1)</f>
        <v>0</v>
      </c>
      <c r="AN31" s="37">
        <f>SUMIFS(Wine1!$I:$I,Wine1!$K:$K,Location!$A31,Wine1!$AA:$AA,Location!AN$1)</f>
        <v>0</v>
      </c>
      <c r="AO31" s="37">
        <f>SUMIFS(Wine1!$I:$I,Wine1!$K:$K,Location!$A31,Wine1!$AA:$AA,Location!AO$1)</f>
        <v>0</v>
      </c>
      <c r="AP31" s="37">
        <f>SUMIFS(Wine1!$I:$I,Wine1!$K:$K,Location!$A31,Wine1!$AA:$AA,Location!AP$1)</f>
        <v>0</v>
      </c>
      <c r="AQ31" s="37">
        <f>SUMIFS(Wine1!$I:$I,Wine1!$K:$K,Location!$A31,Wine1!$AA:$AA,Location!AQ$1)</f>
        <v>0</v>
      </c>
      <c r="AR31" s="37">
        <f>SUMIFS(Wine1!$I:$I,Wine1!$K:$K,Location!$A31,Wine1!$AA:$AA,Location!AR$1)</f>
        <v>0</v>
      </c>
      <c r="AS31" s="37">
        <f>SUMIFS(Wine1!$I:$I,Wine1!$K:$K,Location!$A31,Wine1!$AA:$AA,Location!AS$1)</f>
        <v>0</v>
      </c>
      <c r="AT31" s="37">
        <f>SUMIFS(Wine1!$I:$I,Wine1!$K:$K,Location!$A31,Wine1!$AA:$AA,Location!AT$1)</f>
        <v>0</v>
      </c>
      <c r="AU31" s="37">
        <f>SUMIFS(Wine1!$I:$I,Wine1!$K:$K,Location!$A31,Wine1!$AA:$AA,Location!AU$1)</f>
        <v>0</v>
      </c>
      <c r="AV31" s="37">
        <f>SUMIFS(Wine1!$I:$I,Wine1!$K:$K,Location!$A31,Wine1!$AA:$AA,Location!AV$1)</f>
        <v>0</v>
      </c>
      <c r="AW31" s="37">
        <f>SUMIFS(Wine1!$I:$I,Wine1!$K:$K,Location!$A31,Wine1!$AA:$AA,Location!AW$1)</f>
        <v>0</v>
      </c>
      <c r="AX31" s="37">
        <f>SUMIFS(Wine1!$I:$I,Wine1!$K:$K,Location!$A31,Wine1!$AA:$AA,Location!AX$1)</f>
        <v>0</v>
      </c>
      <c r="AY31" s="37">
        <f>SUMIFS(Wine1!$I:$I,Wine1!$K:$K,Location!$A31,Wine1!$AA:$AA,Location!AY$1)</f>
        <v>0</v>
      </c>
      <c r="AZ31" s="37">
        <f>SUMIFS(Wine1!$I:$I,Wine1!$K:$K,Location!$A31,Wine1!$AA:$AA,Location!AZ$1)</f>
        <v>0</v>
      </c>
      <c r="BA31" s="37">
        <f>SUMIFS(Wine1!$I:$I,Wine1!$K:$K,Location!$A31,Wine1!$AA:$AA,Location!BA$1)</f>
        <v>0</v>
      </c>
      <c r="BB31" s="37">
        <f>SUMIFS(Wine1!$I:$I,Wine1!$K:$K,Location!$A31,Wine1!$AA:$AA,Location!BB$1)</f>
        <v>0</v>
      </c>
      <c r="BC31" s="37">
        <f>SUMIFS(Wine1!$I:$I,Wine1!$K:$K,Location!$A31,Wine1!$AA:$AA,Location!BC$1)</f>
        <v>0</v>
      </c>
      <c r="BD31" s="37">
        <f>SUMIFS(Wine1!$I:$I,Wine1!$K:$K,Location!$A31,Wine1!$AA:$AA,Location!BD$1)</f>
        <v>0</v>
      </c>
      <c r="BE31" s="37">
        <f>SUMIFS(Wine1!$I:$I,Wine1!$K:$K,Location!$A31,Wine1!$AA:$AA,Location!BE$1)</f>
        <v>0</v>
      </c>
      <c r="BF31" s="37">
        <f>SUMIFS(Wine1!$I:$I,Wine1!$K:$K,Location!$A31,Wine1!$AA:$AA,Location!BF$1)</f>
        <v>0</v>
      </c>
      <c r="BG31" s="37">
        <f>SUMIFS(Wine1!$I:$I,Wine1!$K:$K,Location!$A31,Wine1!$AA:$AA,Location!BG$1)</f>
        <v>0</v>
      </c>
      <c r="BH31" s="37">
        <f>SUMIFS(Wine1!$I:$I,Wine1!$K:$K,Location!$A31,Wine1!$AA:$AA,Location!BH$1)</f>
        <v>0</v>
      </c>
      <c r="BI31" s="37">
        <f>SUMIFS(Wine1!$I:$I,Wine1!$K:$K,Location!$A31,Wine1!$AA:$AA,Location!BI$1)</f>
        <v>0</v>
      </c>
    </row>
    <row r="32" spans="1:61" s="37" customFormat="1" x14ac:dyDescent="0.25">
      <c r="A32" s="38" t="s">
        <v>716</v>
      </c>
      <c r="B32" s="37">
        <f>SUMIF(Wine1!K:K,Location!A32,Wine1!I:I)</f>
        <v>12</v>
      </c>
      <c r="C32" s="37">
        <v>12</v>
      </c>
      <c r="D32" s="37">
        <f t="shared" si="1"/>
        <v>0</v>
      </c>
      <c r="E32" s="37" t="s">
        <v>603</v>
      </c>
      <c r="F32" s="37" t="s">
        <v>1533</v>
      </c>
      <c r="G32" s="1">
        <v>43816</v>
      </c>
      <c r="H32" s="56">
        <f>COUNTIFS(Wine1!$K:$K,Location!$A32,Wine1!$AF:$AF,Location!H$1)</f>
        <v>7</v>
      </c>
      <c r="I32" s="57">
        <f>COUNTIFS(Wine1!$K:$K,Location!$A32,Wine1!$AF:$AF,Location!I$1)</f>
        <v>3</v>
      </c>
      <c r="J32" s="57">
        <f>COUNTIFS(Wine1!$K:$K,Location!$A32,Wine1!$AF:$AF,Location!J$1)</f>
        <v>2</v>
      </c>
      <c r="K32" s="58">
        <f>COUNTIFS(Wine1!$K:$K,Location!$A32,Wine1!$AF:$AF,Location!K$1)</f>
        <v>0</v>
      </c>
      <c r="L32" s="18">
        <f>IFERROR(AVERAGEIF(Wine1!K:K,Location!A32,Wine1!AA:AA),"Empty")</f>
        <v>2024.75</v>
      </c>
      <c r="M32" s="37">
        <f>SUMIFS(Wine1!$I:$I,Wine1!$K:$K,Location!$A32,Wine1!$AA:$AA,Location!M$1)</f>
        <v>0</v>
      </c>
      <c r="N32" s="37">
        <f>SUMIFS(Wine1!$I:$I,Wine1!$K:$K,Location!$A32,Wine1!$AA:$AA,Location!N$1)</f>
        <v>0</v>
      </c>
      <c r="O32" s="37">
        <f>SUMIFS(Wine1!$I:$I,Wine1!$K:$K,Location!$A32,Wine1!$AA:$AA,Location!O$1)</f>
        <v>3</v>
      </c>
      <c r="P32" s="37">
        <f>SUMIFS(Wine1!$I:$I,Wine1!$K:$K,Location!$A32,Wine1!$AA:$AA,Location!P$1)</f>
        <v>2</v>
      </c>
      <c r="Q32" s="37">
        <f>SUMIFS(Wine1!$I:$I,Wine1!$K:$K,Location!$A32,Wine1!$AA:$AA,Location!Q$1)</f>
        <v>2</v>
      </c>
      <c r="R32" s="37">
        <f>SUMIFS(Wine1!$I:$I,Wine1!$K:$K,Location!$A32,Wine1!$AA:$AA,Location!R$1)</f>
        <v>1</v>
      </c>
      <c r="S32" s="37">
        <f>SUMIFS(Wine1!$I:$I,Wine1!$K:$K,Location!$A32,Wine1!$AA:$AA,Location!S$1)</f>
        <v>1</v>
      </c>
      <c r="T32" s="37">
        <f>SUMIFS(Wine1!$I:$I,Wine1!$K:$K,Location!$A32,Wine1!$AA:$AA,Location!T$1)</f>
        <v>1</v>
      </c>
      <c r="U32" s="37">
        <f>SUMIFS(Wine1!$I:$I,Wine1!$K:$K,Location!$A32,Wine1!$AA:$AA,Location!U$1)</f>
        <v>0</v>
      </c>
      <c r="V32" s="37">
        <f>SUMIFS(Wine1!$I:$I,Wine1!$K:$K,Location!$A32,Wine1!$AA:$AA,Location!V$1)</f>
        <v>1</v>
      </c>
      <c r="W32" s="37">
        <f>SUMIFS(Wine1!$I:$I,Wine1!$K:$K,Location!$A32,Wine1!$AA:$AA,Location!W$1)</f>
        <v>1</v>
      </c>
      <c r="X32" s="37">
        <f>SUMIFS(Wine1!$I:$I,Wine1!$K:$K,Location!$A32,Wine1!$AA:$AA,Location!X$1)</f>
        <v>0</v>
      </c>
      <c r="Y32" s="37">
        <f>SUMIFS(Wine1!$I:$I,Wine1!$K:$K,Location!$A32,Wine1!$AA:$AA,Location!Y$1)</f>
        <v>0</v>
      </c>
      <c r="Z32" s="37">
        <f>SUMIFS(Wine1!$I:$I,Wine1!$K:$K,Location!$A32,Wine1!$AA:$AA,Location!Z$1)</f>
        <v>0</v>
      </c>
      <c r="AA32" s="37">
        <f>SUMIFS(Wine1!$I:$I,Wine1!$K:$K,Location!$A32,Wine1!$AA:$AA,Location!AA$1)</f>
        <v>0</v>
      </c>
      <c r="AB32" s="37">
        <f>SUMIFS(Wine1!$I:$I,Wine1!$K:$K,Location!$A32,Wine1!$AA:$AA,Location!AB$1)</f>
        <v>0</v>
      </c>
      <c r="AC32" s="37">
        <f>SUMIFS(Wine1!$I:$I,Wine1!$K:$K,Location!$A32,Wine1!$AA:$AA,Location!AC$1)</f>
        <v>0</v>
      </c>
      <c r="AD32" s="37">
        <f>SUMIFS(Wine1!$I:$I,Wine1!$K:$K,Location!$A32,Wine1!$AA:$AA,Location!AD$1)</f>
        <v>0</v>
      </c>
      <c r="AE32" s="37">
        <f>SUMIFS(Wine1!$I:$I,Wine1!$K:$K,Location!$A32,Wine1!$AA:$AA,Location!AE$1)</f>
        <v>0</v>
      </c>
      <c r="AF32" s="37">
        <f>SUMIFS(Wine1!$I:$I,Wine1!$K:$K,Location!$A32,Wine1!$AA:$AA,Location!AF$1)</f>
        <v>0</v>
      </c>
      <c r="AG32" s="37">
        <f>SUMIFS(Wine1!$I:$I,Wine1!$K:$K,Location!$A32,Wine1!$AA:$AA,Location!AG$1)</f>
        <v>0</v>
      </c>
      <c r="AH32" s="37">
        <f>SUMIFS(Wine1!$I:$I,Wine1!$K:$K,Location!$A32,Wine1!$AA:$AA,Location!AH$1)</f>
        <v>0</v>
      </c>
      <c r="AI32" s="37">
        <f>SUMIFS(Wine1!$I:$I,Wine1!$K:$K,Location!$A32,Wine1!$AA:$AA,Location!AI$1)</f>
        <v>0</v>
      </c>
      <c r="AJ32" s="37">
        <f>SUMIFS(Wine1!$I:$I,Wine1!$K:$K,Location!$A32,Wine1!$AA:$AA,Location!AJ$1)</f>
        <v>0</v>
      </c>
      <c r="AK32" s="37">
        <f>SUMIFS(Wine1!$I:$I,Wine1!$K:$K,Location!$A32,Wine1!$AA:$AA,Location!AK$1)</f>
        <v>0</v>
      </c>
      <c r="AL32" s="37">
        <f>SUMIFS(Wine1!$I:$I,Wine1!$K:$K,Location!$A32,Wine1!$AA:$AA,Location!AL$1)</f>
        <v>0</v>
      </c>
      <c r="AM32" s="37">
        <f>SUMIFS(Wine1!$I:$I,Wine1!$K:$K,Location!$A32,Wine1!$AA:$AA,Location!AM$1)</f>
        <v>0</v>
      </c>
      <c r="AN32" s="37">
        <f>SUMIFS(Wine1!$I:$I,Wine1!$K:$K,Location!$A32,Wine1!$AA:$AA,Location!AN$1)</f>
        <v>0</v>
      </c>
      <c r="AO32" s="37">
        <f>SUMIFS(Wine1!$I:$I,Wine1!$K:$K,Location!$A32,Wine1!$AA:$AA,Location!AO$1)</f>
        <v>0</v>
      </c>
      <c r="AP32" s="37">
        <f>SUMIFS(Wine1!$I:$I,Wine1!$K:$K,Location!$A32,Wine1!$AA:$AA,Location!AP$1)</f>
        <v>0</v>
      </c>
      <c r="AQ32" s="37">
        <f>SUMIFS(Wine1!$I:$I,Wine1!$K:$K,Location!$A32,Wine1!$AA:$AA,Location!AQ$1)</f>
        <v>0</v>
      </c>
      <c r="AR32" s="37">
        <f>SUMIFS(Wine1!$I:$I,Wine1!$K:$K,Location!$A32,Wine1!$AA:$AA,Location!AR$1)</f>
        <v>0</v>
      </c>
      <c r="AS32" s="37">
        <f>SUMIFS(Wine1!$I:$I,Wine1!$K:$K,Location!$A32,Wine1!$AA:$AA,Location!AS$1)</f>
        <v>0</v>
      </c>
      <c r="AT32" s="37">
        <f>SUMIFS(Wine1!$I:$I,Wine1!$K:$K,Location!$A32,Wine1!$AA:$AA,Location!AT$1)</f>
        <v>0</v>
      </c>
      <c r="AU32" s="37">
        <f>SUMIFS(Wine1!$I:$I,Wine1!$K:$K,Location!$A32,Wine1!$AA:$AA,Location!AU$1)</f>
        <v>0</v>
      </c>
      <c r="AV32" s="37">
        <f>SUMIFS(Wine1!$I:$I,Wine1!$K:$K,Location!$A32,Wine1!$AA:$AA,Location!AV$1)</f>
        <v>0</v>
      </c>
      <c r="AW32" s="37">
        <f>SUMIFS(Wine1!$I:$I,Wine1!$K:$K,Location!$A32,Wine1!$AA:$AA,Location!AW$1)</f>
        <v>0</v>
      </c>
      <c r="AX32" s="37">
        <f>SUMIFS(Wine1!$I:$I,Wine1!$K:$K,Location!$A32,Wine1!$AA:$AA,Location!AX$1)</f>
        <v>0</v>
      </c>
      <c r="AY32" s="37">
        <f>SUMIFS(Wine1!$I:$I,Wine1!$K:$K,Location!$A32,Wine1!$AA:$AA,Location!AY$1)</f>
        <v>0</v>
      </c>
      <c r="AZ32" s="37">
        <f>SUMIFS(Wine1!$I:$I,Wine1!$K:$K,Location!$A32,Wine1!$AA:$AA,Location!AZ$1)</f>
        <v>0</v>
      </c>
      <c r="BA32" s="37">
        <f>SUMIFS(Wine1!$I:$I,Wine1!$K:$K,Location!$A32,Wine1!$AA:$AA,Location!BA$1)</f>
        <v>0</v>
      </c>
      <c r="BB32" s="37">
        <f>SUMIFS(Wine1!$I:$I,Wine1!$K:$K,Location!$A32,Wine1!$AA:$AA,Location!BB$1)</f>
        <v>0</v>
      </c>
      <c r="BC32" s="37">
        <f>SUMIFS(Wine1!$I:$I,Wine1!$K:$K,Location!$A32,Wine1!$AA:$AA,Location!BC$1)</f>
        <v>0</v>
      </c>
      <c r="BD32" s="37">
        <f>SUMIFS(Wine1!$I:$I,Wine1!$K:$K,Location!$A32,Wine1!$AA:$AA,Location!BD$1)</f>
        <v>0</v>
      </c>
      <c r="BE32" s="37">
        <f>SUMIFS(Wine1!$I:$I,Wine1!$K:$K,Location!$A32,Wine1!$AA:$AA,Location!BE$1)</f>
        <v>0</v>
      </c>
      <c r="BF32" s="37">
        <f>SUMIFS(Wine1!$I:$I,Wine1!$K:$K,Location!$A32,Wine1!$AA:$AA,Location!BF$1)</f>
        <v>0</v>
      </c>
      <c r="BG32" s="37">
        <f>SUMIFS(Wine1!$I:$I,Wine1!$K:$K,Location!$A32,Wine1!$AA:$AA,Location!BG$1)</f>
        <v>0</v>
      </c>
      <c r="BH32" s="37">
        <f>SUMIFS(Wine1!$I:$I,Wine1!$K:$K,Location!$A32,Wine1!$AA:$AA,Location!BH$1)</f>
        <v>0</v>
      </c>
      <c r="BI32" s="37">
        <f>SUMIFS(Wine1!$I:$I,Wine1!$K:$K,Location!$A32,Wine1!$AA:$AA,Location!BI$1)</f>
        <v>0</v>
      </c>
    </row>
    <row r="33" spans="1:61" s="37" customFormat="1" x14ac:dyDescent="0.25">
      <c r="A33" s="8" t="s">
        <v>839</v>
      </c>
      <c r="B33" s="37">
        <f>SUMIF(Wine1!K:K,Location!A33,Wine1!I:I)</f>
        <v>12</v>
      </c>
      <c r="C33" s="37">
        <v>12</v>
      </c>
      <c r="D33" s="37">
        <f t="shared" si="1"/>
        <v>0</v>
      </c>
      <c r="E33" s="37" t="s">
        <v>600</v>
      </c>
      <c r="F33" s="37" t="s">
        <v>718</v>
      </c>
      <c r="G33" s="1"/>
      <c r="H33" s="56">
        <f>COUNTIFS(Wine1!$K:$K,Location!$A33,Wine1!$AF:$AF,Location!H$1)</f>
        <v>7</v>
      </c>
      <c r="I33" s="57">
        <f>COUNTIFS(Wine1!$K:$K,Location!$A33,Wine1!$AF:$AF,Location!I$1)</f>
        <v>2</v>
      </c>
      <c r="J33" s="57">
        <f>COUNTIFS(Wine1!$K:$K,Location!$A33,Wine1!$AF:$AF,Location!J$1)</f>
        <v>3</v>
      </c>
      <c r="K33" s="58">
        <f>COUNTIFS(Wine1!$K:$K,Location!$A33,Wine1!$AF:$AF,Location!K$1)</f>
        <v>0</v>
      </c>
      <c r="L33" s="18">
        <f>IFERROR(AVERAGEIF(Wine1!K:K,Location!A33,Wine1!AA:AA),"Empty")</f>
        <v>2020.6666666666667</v>
      </c>
      <c r="M33" s="37">
        <f>SUMIFS(Wine1!$I:$I,Wine1!$K:$K,Location!$A33,Wine1!$AA:$AA,Location!M$1)</f>
        <v>4</v>
      </c>
      <c r="N33" s="37">
        <f>SUMIFS(Wine1!$I:$I,Wine1!$K:$K,Location!$A33,Wine1!$AA:$AA,Location!N$1)</f>
        <v>8</v>
      </c>
      <c r="O33" s="37">
        <f>SUMIFS(Wine1!$I:$I,Wine1!$K:$K,Location!$A33,Wine1!$AA:$AA,Location!O$1)</f>
        <v>0</v>
      </c>
      <c r="P33" s="37">
        <f>SUMIFS(Wine1!$I:$I,Wine1!$K:$K,Location!$A33,Wine1!$AA:$AA,Location!P$1)</f>
        <v>0</v>
      </c>
      <c r="Q33" s="37">
        <f>SUMIFS(Wine1!$I:$I,Wine1!$K:$K,Location!$A33,Wine1!$AA:$AA,Location!Q$1)</f>
        <v>0</v>
      </c>
      <c r="R33" s="37">
        <f>SUMIFS(Wine1!$I:$I,Wine1!$K:$K,Location!$A33,Wine1!$AA:$AA,Location!R$1)</f>
        <v>0</v>
      </c>
      <c r="S33" s="37">
        <f>SUMIFS(Wine1!$I:$I,Wine1!$K:$K,Location!$A33,Wine1!$AA:$AA,Location!S$1)</f>
        <v>0</v>
      </c>
      <c r="T33" s="37">
        <f>SUMIFS(Wine1!$I:$I,Wine1!$K:$K,Location!$A33,Wine1!$AA:$AA,Location!T$1)</f>
        <v>0</v>
      </c>
      <c r="U33" s="37">
        <f>SUMIFS(Wine1!$I:$I,Wine1!$K:$K,Location!$A33,Wine1!$AA:$AA,Location!U$1)</f>
        <v>0</v>
      </c>
      <c r="V33" s="37">
        <f>SUMIFS(Wine1!$I:$I,Wine1!$K:$K,Location!$A33,Wine1!$AA:$AA,Location!V$1)</f>
        <v>0</v>
      </c>
      <c r="W33" s="37">
        <f>SUMIFS(Wine1!$I:$I,Wine1!$K:$K,Location!$A33,Wine1!$AA:$AA,Location!W$1)</f>
        <v>0</v>
      </c>
      <c r="X33" s="37">
        <f>SUMIFS(Wine1!$I:$I,Wine1!$K:$K,Location!$A33,Wine1!$AA:$AA,Location!X$1)</f>
        <v>0</v>
      </c>
      <c r="Y33" s="37">
        <f>SUMIFS(Wine1!$I:$I,Wine1!$K:$K,Location!$A33,Wine1!$AA:$AA,Location!Y$1)</f>
        <v>0</v>
      </c>
      <c r="Z33" s="37">
        <f>SUMIFS(Wine1!$I:$I,Wine1!$K:$K,Location!$A33,Wine1!$AA:$AA,Location!Z$1)</f>
        <v>0</v>
      </c>
      <c r="AA33" s="37">
        <f>SUMIFS(Wine1!$I:$I,Wine1!$K:$K,Location!$A33,Wine1!$AA:$AA,Location!AA$1)</f>
        <v>0</v>
      </c>
      <c r="AB33" s="37">
        <f>SUMIFS(Wine1!$I:$I,Wine1!$K:$K,Location!$A33,Wine1!$AA:$AA,Location!AB$1)</f>
        <v>0</v>
      </c>
      <c r="AC33" s="37">
        <f>SUMIFS(Wine1!$I:$I,Wine1!$K:$K,Location!$A33,Wine1!$AA:$AA,Location!AC$1)</f>
        <v>0</v>
      </c>
      <c r="AD33" s="37">
        <f>SUMIFS(Wine1!$I:$I,Wine1!$K:$K,Location!$A33,Wine1!$AA:$AA,Location!AD$1)</f>
        <v>0</v>
      </c>
      <c r="AE33" s="37">
        <f>SUMIFS(Wine1!$I:$I,Wine1!$K:$K,Location!$A33,Wine1!$AA:$AA,Location!AE$1)</f>
        <v>0</v>
      </c>
      <c r="AF33" s="37">
        <f>SUMIFS(Wine1!$I:$I,Wine1!$K:$K,Location!$A33,Wine1!$AA:$AA,Location!AF$1)</f>
        <v>0</v>
      </c>
      <c r="AG33" s="37">
        <f>SUMIFS(Wine1!$I:$I,Wine1!$K:$K,Location!$A33,Wine1!$AA:$AA,Location!AG$1)</f>
        <v>0</v>
      </c>
      <c r="AH33" s="37">
        <f>SUMIFS(Wine1!$I:$I,Wine1!$K:$K,Location!$A33,Wine1!$AA:$AA,Location!AH$1)</f>
        <v>0</v>
      </c>
      <c r="AI33" s="37">
        <f>SUMIFS(Wine1!$I:$I,Wine1!$K:$K,Location!$A33,Wine1!$AA:$AA,Location!AI$1)</f>
        <v>0</v>
      </c>
      <c r="AJ33" s="37">
        <f>SUMIFS(Wine1!$I:$I,Wine1!$K:$K,Location!$A33,Wine1!$AA:$AA,Location!AJ$1)</f>
        <v>0</v>
      </c>
      <c r="AK33" s="37">
        <f>SUMIFS(Wine1!$I:$I,Wine1!$K:$K,Location!$A33,Wine1!$AA:$AA,Location!AK$1)</f>
        <v>0</v>
      </c>
      <c r="AL33" s="37">
        <f>SUMIFS(Wine1!$I:$I,Wine1!$K:$K,Location!$A33,Wine1!$AA:$AA,Location!AL$1)</f>
        <v>0</v>
      </c>
      <c r="AM33" s="37">
        <f>SUMIFS(Wine1!$I:$I,Wine1!$K:$K,Location!$A33,Wine1!$AA:$AA,Location!AM$1)</f>
        <v>0</v>
      </c>
      <c r="AN33" s="37">
        <f>SUMIFS(Wine1!$I:$I,Wine1!$K:$K,Location!$A33,Wine1!$AA:$AA,Location!AN$1)</f>
        <v>0</v>
      </c>
      <c r="AO33" s="37">
        <f>SUMIFS(Wine1!$I:$I,Wine1!$K:$K,Location!$A33,Wine1!$AA:$AA,Location!AO$1)</f>
        <v>0</v>
      </c>
      <c r="AP33" s="37">
        <f>SUMIFS(Wine1!$I:$I,Wine1!$K:$K,Location!$A33,Wine1!$AA:$AA,Location!AP$1)</f>
        <v>0</v>
      </c>
      <c r="AQ33" s="37">
        <f>SUMIFS(Wine1!$I:$I,Wine1!$K:$K,Location!$A33,Wine1!$AA:$AA,Location!AQ$1)</f>
        <v>0</v>
      </c>
      <c r="AR33" s="37">
        <f>SUMIFS(Wine1!$I:$I,Wine1!$K:$K,Location!$A33,Wine1!$AA:$AA,Location!AR$1)</f>
        <v>0</v>
      </c>
      <c r="AS33" s="37">
        <f>SUMIFS(Wine1!$I:$I,Wine1!$K:$K,Location!$A33,Wine1!$AA:$AA,Location!AS$1)</f>
        <v>0</v>
      </c>
      <c r="AT33" s="37">
        <f>SUMIFS(Wine1!$I:$I,Wine1!$K:$K,Location!$A33,Wine1!$AA:$AA,Location!AT$1)</f>
        <v>0</v>
      </c>
      <c r="AU33" s="37">
        <f>SUMIFS(Wine1!$I:$I,Wine1!$K:$K,Location!$A33,Wine1!$AA:$AA,Location!AU$1)</f>
        <v>0</v>
      </c>
      <c r="AV33" s="37">
        <f>SUMIFS(Wine1!$I:$I,Wine1!$K:$K,Location!$A33,Wine1!$AA:$AA,Location!AV$1)</f>
        <v>0</v>
      </c>
      <c r="AW33" s="37">
        <f>SUMIFS(Wine1!$I:$I,Wine1!$K:$K,Location!$A33,Wine1!$AA:$AA,Location!AW$1)</f>
        <v>0</v>
      </c>
      <c r="AX33" s="37">
        <f>SUMIFS(Wine1!$I:$I,Wine1!$K:$K,Location!$A33,Wine1!$AA:$AA,Location!AX$1)</f>
        <v>0</v>
      </c>
      <c r="AY33" s="37">
        <f>SUMIFS(Wine1!$I:$I,Wine1!$K:$K,Location!$A33,Wine1!$AA:$AA,Location!AY$1)</f>
        <v>0</v>
      </c>
      <c r="AZ33" s="37">
        <f>SUMIFS(Wine1!$I:$I,Wine1!$K:$K,Location!$A33,Wine1!$AA:$AA,Location!AZ$1)</f>
        <v>0</v>
      </c>
      <c r="BA33" s="37">
        <f>SUMIFS(Wine1!$I:$I,Wine1!$K:$K,Location!$A33,Wine1!$AA:$AA,Location!BA$1)</f>
        <v>0</v>
      </c>
      <c r="BB33" s="37">
        <f>SUMIFS(Wine1!$I:$I,Wine1!$K:$K,Location!$A33,Wine1!$AA:$AA,Location!BB$1)</f>
        <v>0</v>
      </c>
      <c r="BC33" s="37">
        <f>SUMIFS(Wine1!$I:$I,Wine1!$K:$K,Location!$A33,Wine1!$AA:$AA,Location!BC$1)</f>
        <v>0</v>
      </c>
      <c r="BD33" s="37">
        <f>SUMIFS(Wine1!$I:$I,Wine1!$K:$K,Location!$A33,Wine1!$AA:$AA,Location!BD$1)</f>
        <v>0</v>
      </c>
      <c r="BE33" s="37">
        <f>SUMIFS(Wine1!$I:$I,Wine1!$K:$K,Location!$A33,Wine1!$AA:$AA,Location!BE$1)</f>
        <v>0</v>
      </c>
      <c r="BF33" s="37">
        <f>SUMIFS(Wine1!$I:$I,Wine1!$K:$K,Location!$A33,Wine1!$AA:$AA,Location!BF$1)</f>
        <v>0</v>
      </c>
      <c r="BG33" s="37">
        <f>SUMIFS(Wine1!$I:$I,Wine1!$K:$K,Location!$A33,Wine1!$AA:$AA,Location!BG$1)</f>
        <v>0</v>
      </c>
      <c r="BH33" s="37">
        <f>SUMIFS(Wine1!$I:$I,Wine1!$K:$K,Location!$A33,Wine1!$AA:$AA,Location!BH$1)</f>
        <v>0</v>
      </c>
      <c r="BI33" s="37">
        <f>SUMIFS(Wine1!$I:$I,Wine1!$K:$K,Location!$A33,Wine1!$AA:$AA,Location!BI$1)</f>
        <v>0</v>
      </c>
    </row>
    <row r="34" spans="1:61" s="37" customFormat="1" x14ac:dyDescent="0.25">
      <c r="A34" s="38" t="s">
        <v>926</v>
      </c>
      <c r="B34" s="37">
        <f>SUMIF(Wine1!K:K,Location!A34,Wine1!I:I)</f>
        <v>12</v>
      </c>
      <c r="C34" s="37">
        <v>12</v>
      </c>
      <c r="D34" s="37">
        <f t="shared" si="1"/>
        <v>0</v>
      </c>
      <c r="E34" s="8" t="s">
        <v>603</v>
      </c>
      <c r="F34" s="37" t="s">
        <v>1533</v>
      </c>
      <c r="G34" s="1">
        <v>43826</v>
      </c>
      <c r="H34" s="56">
        <f>COUNTIFS(Wine1!$K:$K,Location!$A34,Wine1!$AF:$AF,Location!H$1)</f>
        <v>6</v>
      </c>
      <c r="I34" s="57">
        <f>COUNTIFS(Wine1!$K:$K,Location!$A34,Wine1!$AF:$AF,Location!I$1)</f>
        <v>0</v>
      </c>
      <c r="J34" s="57">
        <f>COUNTIFS(Wine1!$K:$K,Location!$A34,Wine1!$AF:$AF,Location!J$1)</f>
        <v>6</v>
      </c>
      <c r="K34" s="58">
        <f>COUNTIFS(Wine1!$K:$K,Location!$A34,Wine1!$AF:$AF,Location!K$1)</f>
        <v>0</v>
      </c>
      <c r="L34" s="18">
        <f>IFERROR(AVERAGEIF(Wine1!K:K,Location!A34,Wine1!AA:AA),"Empty")</f>
        <v>2024.5</v>
      </c>
      <c r="M34" s="37">
        <f>SUMIFS(Wine1!$I:$I,Wine1!$K:$K,Location!$A34,Wine1!$AA:$AA,Location!M$1)</f>
        <v>0</v>
      </c>
      <c r="N34" s="37">
        <f>SUMIFS(Wine1!$I:$I,Wine1!$K:$K,Location!$A34,Wine1!$AA:$AA,Location!N$1)</f>
        <v>0</v>
      </c>
      <c r="O34" s="37">
        <f>SUMIFS(Wine1!$I:$I,Wine1!$K:$K,Location!$A34,Wine1!$AA:$AA,Location!O$1)</f>
        <v>5</v>
      </c>
      <c r="P34" s="37">
        <f>SUMIFS(Wine1!$I:$I,Wine1!$K:$K,Location!$A34,Wine1!$AA:$AA,Location!P$1)</f>
        <v>2</v>
      </c>
      <c r="Q34" s="37">
        <f>SUMIFS(Wine1!$I:$I,Wine1!$K:$K,Location!$A34,Wine1!$AA:$AA,Location!Q$1)</f>
        <v>1</v>
      </c>
      <c r="R34" s="37">
        <f>SUMIFS(Wine1!$I:$I,Wine1!$K:$K,Location!$A34,Wine1!$AA:$AA,Location!R$1)</f>
        <v>0</v>
      </c>
      <c r="S34" s="37">
        <f>SUMIFS(Wine1!$I:$I,Wine1!$K:$K,Location!$A34,Wine1!$AA:$AA,Location!S$1)</f>
        <v>1</v>
      </c>
      <c r="T34" s="37">
        <f>SUMIFS(Wine1!$I:$I,Wine1!$K:$K,Location!$A34,Wine1!$AA:$AA,Location!T$1)</f>
        <v>0</v>
      </c>
      <c r="U34" s="37">
        <f>SUMIFS(Wine1!$I:$I,Wine1!$K:$K,Location!$A34,Wine1!$AA:$AA,Location!U$1)</f>
        <v>0</v>
      </c>
      <c r="V34" s="37">
        <f>SUMIFS(Wine1!$I:$I,Wine1!$K:$K,Location!$A34,Wine1!$AA:$AA,Location!V$1)</f>
        <v>2</v>
      </c>
      <c r="W34" s="37">
        <f>SUMIFS(Wine1!$I:$I,Wine1!$K:$K,Location!$A34,Wine1!$AA:$AA,Location!W$1)</f>
        <v>1</v>
      </c>
      <c r="X34" s="37">
        <f>SUMIFS(Wine1!$I:$I,Wine1!$K:$K,Location!$A34,Wine1!$AA:$AA,Location!X$1)</f>
        <v>0</v>
      </c>
      <c r="Y34" s="37">
        <f>SUMIFS(Wine1!$I:$I,Wine1!$K:$K,Location!$A34,Wine1!$AA:$AA,Location!Y$1)</f>
        <v>0</v>
      </c>
      <c r="Z34" s="37">
        <f>SUMIFS(Wine1!$I:$I,Wine1!$K:$K,Location!$A34,Wine1!$AA:$AA,Location!Z$1)</f>
        <v>0</v>
      </c>
      <c r="AA34" s="37">
        <f>SUMIFS(Wine1!$I:$I,Wine1!$K:$K,Location!$A34,Wine1!$AA:$AA,Location!AA$1)</f>
        <v>0</v>
      </c>
      <c r="AB34" s="37">
        <f>SUMIFS(Wine1!$I:$I,Wine1!$K:$K,Location!$A34,Wine1!$AA:$AA,Location!AB$1)</f>
        <v>0</v>
      </c>
      <c r="AC34" s="37">
        <f>SUMIFS(Wine1!$I:$I,Wine1!$K:$K,Location!$A34,Wine1!$AA:$AA,Location!AC$1)</f>
        <v>0</v>
      </c>
      <c r="AD34" s="37">
        <f>SUMIFS(Wine1!$I:$I,Wine1!$K:$K,Location!$A34,Wine1!$AA:$AA,Location!AD$1)</f>
        <v>0</v>
      </c>
      <c r="AE34" s="37">
        <f>SUMIFS(Wine1!$I:$I,Wine1!$K:$K,Location!$A34,Wine1!$AA:$AA,Location!AE$1)</f>
        <v>0</v>
      </c>
      <c r="AF34" s="37">
        <f>SUMIFS(Wine1!$I:$I,Wine1!$K:$K,Location!$A34,Wine1!$AA:$AA,Location!AF$1)</f>
        <v>0</v>
      </c>
      <c r="AG34" s="37">
        <f>SUMIFS(Wine1!$I:$I,Wine1!$K:$K,Location!$A34,Wine1!$AA:$AA,Location!AG$1)</f>
        <v>0</v>
      </c>
      <c r="AH34" s="37">
        <f>SUMIFS(Wine1!$I:$I,Wine1!$K:$K,Location!$A34,Wine1!$AA:$AA,Location!AH$1)</f>
        <v>0</v>
      </c>
      <c r="AI34" s="37">
        <f>SUMIFS(Wine1!$I:$I,Wine1!$K:$K,Location!$A34,Wine1!$AA:$AA,Location!AI$1)</f>
        <v>0</v>
      </c>
      <c r="AJ34" s="37">
        <f>SUMIFS(Wine1!$I:$I,Wine1!$K:$K,Location!$A34,Wine1!$AA:$AA,Location!AJ$1)</f>
        <v>0</v>
      </c>
      <c r="AK34" s="37">
        <f>SUMIFS(Wine1!$I:$I,Wine1!$K:$K,Location!$A34,Wine1!$AA:$AA,Location!AK$1)</f>
        <v>0</v>
      </c>
      <c r="AL34" s="37">
        <f>SUMIFS(Wine1!$I:$I,Wine1!$K:$K,Location!$A34,Wine1!$AA:$AA,Location!AL$1)</f>
        <v>0</v>
      </c>
      <c r="AM34" s="37">
        <f>SUMIFS(Wine1!$I:$I,Wine1!$K:$K,Location!$A34,Wine1!$AA:$AA,Location!AM$1)</f>
        <v>0</v>
      </c>
      <c r="AN34" s="37">
        <f>SUMIFS(Wine1!$I:$I,Wine1!$K:$K,Location!$A34,Wine1!$AA:$AA,Location!AN$1)</f>
        <v>0</v>
      </c>
      <c r="AO34" s="37">
        <f>SUMIFS(Wine1!$I:$I,Wine1!$K:$K,Location!$A34,Wine1!$AA:$AA,Location!AO$1)</f>
        <v>0</v>
      </c>
      <c r="AP34" s="37">
        <f>SUMIFS(Wine1!$I:$I,Wine1!$K:$K,Location!$A34,Wine1!$AA:$AA,Location!AP$1)</f>
        <v>0</v>
      </c>
      <c r="AQ34" s="37">
        <f>SUMIFS(Wine1!$I:$I,Wine1!$K:$K,Location!$A34,Wine1!$AA:$AA,Location!AQ$1)</f>
        <v>0</v>
      </c>
      <c r="AR34" s="37">
        <f>SUMIFS(Wine1!$I:$I,Wine1!$K:$K,Location!$A34,Wine1!$AA:$AA,Location!AR$1)</f>
        <v>0</v>
      </c>
      <c r="AS34" s="37">
        <f>SUMIFS(Wine1!$I:$I,Wine1!$K:$K,Location!$A34,Wine1!$AA:$AA,Location!AS$1)</f>
        <v>0</v>
      </c>
      <c r="AT34" s="37">
        <f>SUMIFS(Wine1!$I:$I,Wine1!$K:$K,Location!$A34,Wine1!$AA:$AA,Location!AT$1)</f>
        <v>0</v>
      </c>
      <c r="AU34" s="37">
        <f>SUMIFS(Wine1!$I:$I,Wine1!$K:$K,Location!$A34,Wine1!$AA:$AA,Location!AU$1)</f>
        <v>0</v>
      </c>
      <c r="AV34" s="37">
        <f>SUMIFS(Wine1!$I:$I,Wine1!$K:$K,Location!$A34,Wine1!$AA:$AA,Location!AV$1)</f>
        <v>0</v>
      </c>
      <c r="AW34" s="37">
        <f>SUMIFS(Wine1!$I:$I,Wine1!$K:$K,Location!$A34,Wine1!$AA:$AA,Location!AW$1)</f>
        <v>0</v>
      </c>
      <c r="AX34" s="37">
        <f>SUMIFS(Wine1!$I:$I,Wine1!$K:$K,Location!$A34,Wine1!$AA:$AA,Location!AX$1)</f>
        <v>0</v>
      </c>
      <c r="AY34" s="37">
        <f>SUMIFS(Wine1!$I:$I,Wine1!$K:$K,Location!$A34,Wine1!$AA:$AA,Location!AY$1)</f>
        <v>0</v>
      </c>
      <c r="AZ34" s="37">
        <f>SUMIFS(Wine1!$I:$I,Wine1!$K:$K,Location!$A34,Wine1!$AA:$AA,Location!AZ$1)</f>
        <v>0</v>
      </c>
      <c r="BA34" s="37">
        <f>SUMIFS(Wine1!$I:$I,Wine1!$K:$K,Location!$A34,Wine1!$AA:$AA,Location!BA$1)</f>
        <v>0</v>
      </c>
      <c r="BB34" s="37">
        <f>SUMIFS(Wine1!$I:$I,Wine1!$K:$K,Location!$A34,Wine1!$AA:$AA,Location!BB$1)</f>
        <v>0</v>
      </c>
      <c r="BC34" s="37">
        <f>SUMIFS(Wine1!$I:$I,Wine1!$K:$K,Location!$A34,Wine1!$AA:$AA,Location!BC$1)</f>
        <v>0</v>
      </c>
      <c r="BD34" s="37">
        <f>SUMIFS(Wine1!$I:$I,Wine1!$K:$K,Location!$A34,Wine1!$AA:$AA,Location!BD$1)</f>
        <v>0</v>
      </c>
      <c r="BE34" s="37">
        <f>SUMIFS(Wine1!$I:$I,Wine1!$K:$K,Location!$A34,Wine1!$AA:$AA,Location!BE$1)</f>
        <v>0</v>
      </c>
      <c r="BF34" s="37">
        <f>SUMIFS(Wine1!$I:$I,Wine1!$K:$K,Location!$A34,Wine1!$AA:$AA,Location!BF$1)</f>
        <v>0</v>
      </c>
      <c r="BG34" s="37">
        <f>SUMIFS(Wine1!$I:$I,Wine1!$K:$K,Location!$A34,Wine1!$AA:$AA,Location!BG$1)</f>
        <v>0</v>
      </c>
      <c r="BH34" s="37">
        <f>SUMIFS(Wine1!$I:$I,Wine1!$K:$K,Location!$A34,Wine1!$AA:$AA,Location!BH$1)</f>
        <v>0</v>
      </c>
      <c r="BI34" s="37">
        <f>SUMIFS(Wine1!$I:$I,Wine1!$K:$K,Location!$A34,Wine1!$AA:$AA,Location!BI$1)</f>
        <v>0</v>
      </c>
    </row>
    <row r="35" spans="1:61" s="37" customFormat="1" x14ac:dyDescent="0.25">
      <c r="A35" s="38" t="s">
        <v>927</v>
      </c>
      <c r="B35" s="37">
        <f>SUMIF(Wine1!K:K,Location!A35,Wine1!I:I)</f>
        <v>12</v>
      </c>
      <c r="C35" s="37">
        <v>12</v>
      </c>
      <c r="D35" s="37">
        <f t="shared" si="1"/>
        <v>0</v>
      </c>
      <c r="E35" s="8" t="s">
        <v>603</v>
      </c>
      <c r="F35" s="37" t="s">
        <v>1533</v>
      </c>
      <c r="G35" s="1">
        <v>43826</v>
      </c>
      <c r="H35" s="56">
        <f>COUNTIFS(Wine1!$K:$K,Location!$A35,Wine1!$AF:$AF,Location!H$1)</f>
        <v>0</v>
      </c>
      <c r="I35" s="57">
        <f>COUNTIFS(Wine1!$K:$K,Location!$A35,Wine1!$AF:$AF,Location!I$1)</f>
        <v>4</v>
      </c>
      <c r="J35" s="57">
        <f>COUNTIFS(Wine1!$K:$K,Location!$A35,Wine1!$AF:$AF,Location!J$1)</f>
        <v>7</v>
      </c>
      <c r="K35" s="58">
        <f>COUNTIFS(Wine1!$K:$K,Location!$A35,Wine1!$AF:$AF,Location!K$1)</f>
        <v>1</v>
      </c>
      <c r="L35" s="18">
        <f>IFERROR(AVERAGEIF(Wine1!K:K,Location!A35,Wine1!AA:AA),"Empty")</f>
        <v>2027.5833333333333</v>
      </c>
      <c r="M35" s="37">
        <f>SUMIFS(Wine1!$I:$I,Wine1!$K:$K,Location!$A35,Wine1!$AA:$AA,Location!M$1)</f>
        <v>0</v>
      </c>
      <c r="N35" s="37">
        <f>SUMIFS(Wine1!$I:$I,Wine1!$K:$K,Location!$A35,Wine1!$AA:$AA,Location!N$1)</f>
        <v>0</v>
      </c>
      <c r="O35" s="37">
        <f>SUMIFS(Wine1!$I:$I,Wine1!$K:$K,Location!$A35,Wine1!$AA:$AA,Location!O$1)</f>
        <v>0</v>
      </c>
      <c r="P35" s="37">
        <f>SUMIFS(Wine1!$I:$I,Wine1!$K:$K,Location!$A35,Wine1!$AA:$AA,Location!P$1)</f>
        <v>2</v>
      </c>
      <c r="Q35" s="37">
        <f>SUMIFS(Wine1!$I:$I,Wine1!$K:$K,Location!$A35,Wine1!$AA:$AA,Location!Q$1)</f>
        <v>1</v>
      </c>
      <c r="R35" s="37">
        <f>SUMIFS(Wine1!$I:$I,Wine1!$K:$K,Location!$A35,Wine1!$AA:$AA,Location!R$1)</f>
        <v>0</v>
      </c>
      <c r="S35" s="37">
        <f>SUMIFS(Wine1!$I:$I,Wine1!$K:$K,Location!$A35,Wine1!$AA:$AA,Location!S$1)</f>
        <v>2</v>
      </c>
      <c r="T35" s="37">
        <f>SUMIFS(Wine1!$I:$I,Wine1!$K:$K,Location!$A35,Wine1!$AA:$AA,Location!T$1)</f>
        <v>1</v>
      </c>
      <c r="U35" s="37">
        <f>SUMIFS(Wine1!$I:$I,Wine1!$K:$K,Location!$A35,Wine1!$AA:$AA,Location!U$1)</f>
        <v>2</v>
      </c>
      <c r="V35" s="37">
        <f>SUMIFS(Wine1!$I:$I,Wine1!$K:$K,Location!$A35,Wine1!$AA:$AA,Location!V$1)</f>
        <v>0</v>
      </c>
      <c r="W35" s="37">
        <f>SUMIFS(Wine1!$I:$I,Wine1!$K:$K,Location!$A35,Wine1!$AA:$AA,Location!W$1)</f>
        <v>2</v>
      </c>
      <c r="X35" s="37">
        <f>SUMIFS(Wine1!$I:$I,Wine1!$K:$K,Location!$A35,Wine1!$AA:$AA,Location!X$1)</f>
        <v>0</v>
      </c>
      <c r="Y35" s="37">
        <f>SUMIFS(Wine1!$I:$I,Wine1!$K:$K,Location!$A35,Wine1!$AA:$AA,Location!Y$1)</f>
        <v>1</v>
      </c>
      <c r="Z35" s="37">
        <f>SUMIFS(Wine1!$I:$I,Wine1!$K:$K,Location!$A35,Wine1!$AA:$AA,Location!Z$1)</f>
        <v>0</v>
      </c>
      <c r="AA35" s="37">
        <f>SUMIFS(Wine1!$I:$I,Wine1!$K:$K,Location!$A35,Wine1!$AA:$AA,Location!AA$1)</f>
        <v>1</v>
      </c>
      <c r="AB35" s="37">
        <f>SUMIFS(Wine1!$I:$I,Wine1!$K:$K,Location!$A35,Wine1!$AA:$AA,Location!AB$1)</f>
        <v>0</v>
      </c>
      <c r="AC35" s="37">
        <f>SUMIFS(Wine1!$I:$I,Wine1!$K:$K,Location!$A35,Wine1!$AA:$AA,Location!AC$1)</f>
        <v>0</v>
      </c>
      <c r="AD35" s="37">
        <f>SUMIFS(Wine1!$I:$I,Wine1!$K:$K,Location!$A35,Wine1!$AA:$AA,Location!AD$1)</f>
        <v>0</v>
      </c>
      <c r="AE35" s="37">
        <f>SUMIFS(Wine1!$I:$I,Wine1!$K:$K,Location!$A35,Wine1!$AA:$AA,Location!AE$1)</f>
        <v>0</v>
      </c>
      <c r="AF35" s="37">
        <f>SUMIFS(Wine1!$I:$I,Wine1!$K:$K,Location!$A35,Wine1!$AA:$AA,Location!AF$1)</f>
        <v>0</v>
      </c>
      <c r="AG35" s="37">
        <f>SUMIFS(Wine1!$I:$I,Wine1!$K:$K,Location!$A35,Wine1!$AA:$AA,Location!AG$1)</f>
        <v>0</v>
      </c>
      <c r="AH35" s="37">
        <f>SUMIFS(Wine1!$I:$I,Wine1!$K:$K,Location!$A35,Wine1!$AA:$AA,Location!AH$1)</f>
        <v>0</v>
      </c>
      <c r="AI35" s="37">
        <f>SUMIFS(Wine1!$I:$I,Wine1!$K:$K,Location!$A35,Wine1!$AA:$AA,Location!AI$1)</f>
        <v>0</v>
      </c>
      <c r="AJ35" s="37">
        <f>SUMIFS(Wine1!$I:$I,Wine1!$K:$K,Location!$A35,Wine1!$AA:$AA,Location!AJ$1)</f>
        <v>0</v>
      </c>
      <c r="AK35" s="37">
        <f>SUMIFS(Wine1!$I:$I,Wine1!$K:$K,Location!$A35,Wine1!$AA:$AA,Location!AK$1)</f>
        <v>0</v>
      </c>
      <c r="AL35" s="37">
        <f>SUMIFS(Wine1!$I:$I,Wine1!$K:$K,Location!$A35,Wine1!$AA:$AA,Location!AL$1)</f>
        <v>0</v>
      </c>
      <c r="AM35" s="37">
        <f>SUMIFS(Wine1!$I:$I,Wine1!$K:$K,Location!$A35,Wine1!$AA:$AA,Location!AM$1)</f>
        <v>0</v>
      </c>
      <c r="AN35" s="37">
        <f>SUMIFS(Wine1!$I:$I,Wine1!$K:$K,Location!$A35,Wine1!$AA:$AA,Location!AN$1)</f>
        <v>0</v>
      </c>
      <c r="AO35" s="37">
        <f>SUMIFS(Wine1!$I:$I,Wine1!$K:$K,Location!$A35,Wine1!$AA:$AA,Location!AO$1)</f>
        <v>0</v>
      </c>
      <c r="AP35" s="37">
        <f>SUMIFS(Wine1!$I:$I,Wine1!$K:$K,Location!$A35,Wine1!$AA:$AA,Location!AP$1)</f>
        <v>0</v>
      </c>
      <c r="AQ35" s="37">
        <f>SUMIFS(Wine1!$I:$I,Wine1!$K:$K,Location!$A35,Wine1!$AA:$AA,Location!AQ$1)</f>
        <v>0</v>
      </c>
      <c r="AR35" s="37">
        <f>SUMIFS(Wine1!$I:$I,Wine1!$K:$K,Location!$A35,Wine1!$AA:$AA,Location!AR$1)</f>
        <v>0</v>
      </c>
      <c r="AS35" s="37">
        <f>SUMIFS(Wine1!$I:$I,Wine1!$K:$K,Location!$A35,Wine1!$AA:$AA,Location!AS$1)</f>
        <v>0</v>
      </c>
      <c r="AT35" s="37">
        <f>SUMIFS(Wine1!$I:$I,Wine1!$K:$K,Location!$A35,Wine1!$AA:$AA,Location!AT$1)</f>
        <v>0</v>
      </c>
      <c r="AU35" s="37">
        <f>SUMIFS(Wine1!$I:$I,Wine1!$K:$K,Location!$A35,Wine1!$AA:$AA,Location!AU$1)</f>
        <v>0</v>
      </c>
      <c r="AV35" s="37">
        <f>SUMIFS(Wine1!$I:$I,Wine1!$K:$K,Location!$A35,Wine1!$AA:$AA,Location!AV$1)</f>
        <v>0</v>
      </c>
      <c r="AW35" s="37">
        <f>SUMIFS(Wine1!$I:$I,Wine1!$K:$K,Location!$A35,Wine1!$AA:$AA,Location!AW$1)</f>
        <v>0</v>
      </c>
      <c r="AX35" s="37">
        <f>SUMIFS(Wine1!$I:$I,Wine1!$K:$K,Location!$A35,Wine1!$AA:$AA,Location!AX$1)</f>
        <v>0</v>
      </c>
      <c r="AY35" s="37">
        <f>SUMIFS(Wine1!$I:$I,Wine1!$K:$K,Location!$A35,Wine1!$AA:$AA,Location!AY$1)</f>
        <v>0</v>
      </c>
      <c r="AZ35" s="37">
        <f>SUMIFS(Wine1!$I:$I,Wine1!$K:$K,Location!$A35,Wine1!$AA:$AA,Location!AZ$1)</f>
        <v>0</v>
      </c>
      <c r="BA35" s="37">
        <f>SUMIFS(Wine1!$I:$I,Wine1!$K:$K,Location!$A35,Wine1!$AA:$AA,Location!BA$1)</f>
        <v>0</v>
      </c>
      <c r="BB35" s="37">
        <f>SUMIFS(Wine1!$I:$I,Wine1!$K:$K,Location!$A35,Wine1!$AA:$AA,Location!BB$1)</f>
        <v>0</v>
      </c>
      <c r="BC35" s="37">
        <f>SUMIFS(Wine1!$I:$I,Wine1!$K:$K,Location!$A35,Wine1!$AA:$AA,Location!BC$1)</f>
        <v>0</v>
      </c>
      <c r="BD35" s="37">
        <f>SUMIFS(Wine1!$I:$I,Wine1!$K:$K,Location!$A35,Wine1!$AA:$AA,Location!BD$1)</f>
        <v>0</v>
      </c>
      <c r="BE35" s="37">
        <f>SUMIFS(Wine1!$I:$I,Wine1!$K:$K,Location!$A35,Wine1!$AA:$AA,Location!BE$1)</f>
        <v>0</v>
      </c>
      <c r="BF35" s="37">
        <f>SUMIFS(Wine1!$I:$I,Wine1!$K:$K,Location!$A35,Wine1!$AA:$AA,Location!BF$1)</f>
        <v>0</v>
      </c>
      <c r="BG35" s="37">
        <f>SUMIFS(Wine1!$I:$I,Wine1!$K:$K,Location!$A35,Wine1!$AA:$AA,Location!BG$1)</f>
        <v>0</v>
      </c>
      <c r="BH35" s="37">
        <f>SUMIFS(Wine1!$I:$I,Wine1!$K:$K,Location!$A35,Wine1!$AA:$AA,Location!BH$1)</f>
        <v>0</v>
      </c>
      <c r="BI35" s="37">
        <f>SUMIFS(Wine1!$I:$I,Wine1!$K:$K,Location!$A35,Wine1!$AA:$AA,Location!BI$1)</f>
        <v>0</v>
      </c>
    </row>
    <row r="36" spans="1:61" s="37" customFormat="1" x14ac:dyDescent="0.25">
      <c r="A36" s="38" t="s">
        <v>928</v>
      </c>
      <c r="B36" s="37">
        <f>SUMIF(Wine1!K:K,Location!A36,Wine1!I:I)</f>
        <v>12</v>
      </c>
      <c r="C36" s="37">
        <v>12</v>
      </c>
      <c r="D36" s="37">
        <f t="shared" si="1"/>
        <v>0</v>
      </c>
      <c r="E36" s="8" t="s">
        <v>603</v>
      </c>
      <c r="F36" s="37" t="s">
        <v>1533</v>
      </c>
      <c r="G36" s="1">
        <v>43826</v>
      </c>
      <c r="H36" s="56">
        <f>COUNTIFS(Wine1!$K:$K,Location!$A36,Wine1!$AF:$AF,Location!H$1)</f>
        <v>0</v>
      </c>
      <c r="I36" s="57">
        <f>COUNTIFS(Wine1!$K:$K,Location!$A36,Wine1!$AF:$AF,Location!I$1)</f>
        <v>2</v>
      </c>
      <c r="J36" s="57">
        <f>COUNTIFS(Wine1!$K:$K,Location!$A36,Wine1!$AF:$AF,Location!J$1)</f>
        <v>8</v>
      </c>
      <c r="K36" s="58">
        <f>COUNTIFS(Wine1!$K:$K,Location!$A36,Wine1!$AF:$AF,Location!K$1)</f>
        <v>2</v>
      </c>
      <c r="L36" s="18">
        <f>IFERROR(AVERAGEIF(Wine1!K:K,Location!A36,Wine1!AA:AA),"Empty")</f>
        <v>2035.1666666666667</v>
      </c>
      <c r="M36" s="37">
        <f>SUMIFS(Wine1!$I:$I,Wine1!$K:$K,Location!$A36,Wine1!$AA:$AA,Location!M$1)</f>
        <v>0</v>
      </c>
      <c r="N36" s="37">
        <f>SUMIFS(Wine1!$I:$I,Wine1!$K:$K,Location!$A36,Wine1!$AA:$AA,Location!N$1)</f>
        <v>0</v>
      </c>
      <c r="O36" s="37">
        <f>SUMIFS(Wine1!$I:$I,Wine1!$K:$K,Location!$A36,Wine1!$AA:$AA,Location!O$1)</f>
        <v>0</v>
      </c>
      <c r="P36" s="37">
        <f>SUMIFS(Wine1!$I:$I,Wine1!$K:$K,Location!$A36,Wine1!$AA:$AA,Location!P$1)</f>
        <v>0</v>
      </c>
      <c r="Q36" s="37">
        <f>SUMIFS(Wine1!$I:$I,Wine1!$K:$K,Location!$A36,Wine1!$AA:$AA,Location!Q$1)</f>
        <v>0</v>
      </c>
      <c r="R36" s="37">
        <f>SUMIFS(Wine1!$I:$I,Wine1!$K:$K,Location!$A36,Wine1!$AA:$AA,Location!R$1)</f>
        <v>0</v>
      </c>
      <c r="S36" s="37">
        <f>SUMIFS(Wine1!$I:$I,Wine1!$K:$K,Location!$A36,Wine1!$AA:$AA,Location!S$1)</f>
        <v>0</v>
      </c>
      <c r="T36" s="37">
        <f>SUMIFS(Wine1!$I:$I,Wine1!$K:$K,Location!$A36,Wine1!$AA:$AA,Location!T$1)</f>
        <v>0</v>
      </c>
      <c r="U36" s="37">
        <f>SUMIFS(Wine1!$I:$I,Wine1!$K:$K,Location!$A36,Wine1!$AA:$AA,Location!U$1)</f>
        <v>1</v>
      </c>
      <c r="V36" s="37">
        <f>SUMIFS(Wine1!$I:$I,Wine1!$K:$K,Location!$A36,Wine1!$AA:$AA,Location!V$1)</f>
        <v>0</v>
      </c>
      <c r="W36" s="37">
        <f>SUMIFS(Wine1!$I:$I,Wine1!$K:$K,Location!$A36,Wine1!$AA:$AA,Location!W$1)</f>
        <v>1</v>
      </c>
      <c r="X36" s="37">
        <f>SUMIFS(Wine1!$I:$I,Wine1!$K:$K,Location!$A36,Wine1!$AA:$AA,Location!X$1)</f>
        <v>0</v>
      </c>
      <c r="Y36" s="37">
        <f>SUMIFS(Wine1!$I:$I,Wine1!$K:$K,Location!$A36,Wine1!$AA:$AA,Location!Y$1)</f>
        <v>1</v>
      </c>
      <c r="Z36" s="37">
        <f>SUMIFS(Wine1!$I:$I,Wine1!$K:$K,Location!$A36,Wine1!$AA:$AA,Location!Z$1)</f>
        <v>3</v>
      </c>
      <c r="AA36" s="37">
        <f>SUMIFS(Wine1!$I:$I,Wine1!$K:$K,Location!$A36,Wine1!$AA:$AA,Location!AA$1)</f>
        <v>1</v>
      </c>
      <c r="AB36" s="37">
        <f>SUMIFS(Wine1!$I:$I,Wine1!$K:$K,Location!$A36,Wine1!$AA:$AA,Location!AB$1)</f>
        <v>0</v>
      </c>
      <c r="AC36" s="37">
        <f>SUMIFS(Wine1!$I:$I,Wine1!$K:$K,Location!$A36,Wine1!$AA:$AA,Location!AC$1)</f>
        <v>0</v>
      </c>
      <c r="AD36" s="37">
        <f>SUMIFS(Wine1!$I:$I,Wine1!$K:$K,Location!$A36,Wine1!$AA:$AA,Location!AD$1)</f>
        <v>1</v>
      </c>
      <c r="AE36" s="37">
        <f>SUMIFS(Wine1!$I:$I,Wine1!$K:$K,Location!$A36,Wine1!$AA:$AA,Location!AE$1)</f>
        <v>1</v>
      </c>
      <c r="AF36" s="37">
        <f>SUMIFS(Wine1!$I:$I,Wine1!$K:$K,Location!$A36,Wine1!$AA:$AA,Location!AF$1)</f>
        <v>0</v>
      </c>
      <c r="AG36" s="37">
        <f>SUMIFS(Wine1!$I:$I,Wine1!$K:$K,Location!$A36,Wine1!$AA:$AA,Location!AG$1)</f>
        <v>1</v>
      </c>
      <c r="AH36" s="37">
        <f>SUMIFS(Wine1!$I:$I,Wine1!$K:$K,Location!$A36,Wine1!$AA:$AA,Location!AH$1)</f>
        <v>1</v>
      </c>
      <c r="AI36" s="37">
        <f>SUMIFS(Wine1!$I:$I,Wine1!$K:$K,Location!$A36,Wine1!$AA:$AA,Location!AI$1)</f>
        <v>0</v>
      </c>
      <c r="AJ36" s="37">
        <f>SUMIFS(Wine1!$I:$I,Wine1!$K:$K,Location!$A36,Wine1!$AA:$AA,Location!AJ$1)</f>
        <v>1</v>
      </c>
      <c r="AK36" s="37">
        <f>SUMIFS(Wine1!$I:$I,Wine1!$K:$K,Location!$A36,Wine1!$AA:$AA,Location!AK$1)</f>
        <v>0</v>
      </c>
      <c r="AL36" s="37">
        <f>SUMIFS(Wine1!$I:$I,Wine1!$K:$K,Location!$A36,Wine1!$AA:$AA,Location!AL$1)</f>
        <v>0</v>
      </c>
      <c r="AM36" s="37">
        <f>SUMIFS(Wine1!$I:$I,Wine1!$K:$K,Location!$A36,Wine1!$AA:$AA,Location!AM$1)</f>
        <v>0</v>
      </c>
      <c r="AN36" s="37">
        <f>SUMIFS(Wine1!$I:$I,Wine1!$K:$K,Location!$A36,Wine1!$AA:$AA,Location!AN$1)</f>
        <v>0</v>
      </c>
      <c r="AO36" s="37">
        <f>SUMIFS(Wine1!$I:$I,Wine1!$K:$K,Location!$A36,Wine1!$AA:$AA,Location!AO$1)</f>
        <v>0</v>
      </c>
      <c r="AP36" s="37">
        <f>SUMIFS(Wine1!$I:$I,Wine1!$K:$K,Location!$A36,Wine1!$AA:$AA,Location!AP$1)</f>
        <v>0</v>
      </c>
      <c r="AQ36" s="37">
        <f>SUMIFS(Wine1!$I:$I,Wine1!$K:$K,Location!$A36,Wine1!$AA:$AA,Location!AQ$1)</f>
        <v>0</v>
      </c>
      <c r="AR36" s="37">
        <f>SUMIFS(Wine1!$I:$I,Wine1!$K:$K,Location!$A36,Wine1!$AA:$AA,Location!AR$1)</f>
        <v>0</v>
      </c>
      <c r="AS36" s="37">
        <f>SUMIFS(Wine1!$I:$I,Wine1!$K:$K,Location!$A36,Wine1!$AA:$AA,Location!AS$1)</f>
        <v>0</v>
      </c>
      <c r="AT36" s="37">
        <f>SUMIFS(Wine1!$I:$I,Wine1!$K:$K,Location!$A36,Wine1!$AA:$AA,Location!AT$1)</f>
        <v>0</v>
      </c>
      <c r="AU36" s="37">
        <f>SUMIFS(Wine1!$I:$I,Wine1!$K:$K,Location!$A36,Wine1!$AA:$AA,Location!AU$1)</f>
        <v>0</v>
      </c>
      <c r="AV36" s="37">
        <f>SUMIFS(Wine1!$I:$I,Wine1!$K:$K,Location!$A36,Wine1!$AA:$AA,Location!AV$1)</f>
        <v>0</v>
      </c>
      <c r="AW36" s="37">
        <f>SUMIFS(Wine1!$I:$I,Wine1!$K:$K,Location!$A36,Wine1!$AA:$AA,Location!AW$1)</f>
        <v>0</v>
      </c>
      <c r="AX36" s="37">
        <f>SUMIFS(Wine1!$I:$I,Wine1!$K:$K,Location!$A36,Wine1!$AA:$AA,Location!AX$1)</f>
        <v>0</v>
      </c>
      <c r="AY36" s="37">
        <f>SUMIFS(Wine1!$I:$I,Wine1!$K:$K,Location!$A36,Wine1!$AA:$AA,Location!AY$1)</f>
        <v>0</v>
      </c>
      <c r="AZ36" s="37">
        <f>SUMIFS(Wine1!$I:$I,Wine1!$K:$K,Location!$A36,Wine1!$AA:$AA,Location!AZ$1)</f>
        <v>0</v>
      </c>
      <c r="BA36" s="37">
        <f>SUMIFS(Wine1!$I:$I,Wine1!$K:$K,Location!$A36,Wine1!$AA:$AA,Location!BA$1)</f>
        <v>0</v>
      </c>
      <c r="BB36" s="37">
        <f>SUMIFS(Wine1!$I:$I,Wine1!$K:$K,Location!$A36,Wine1!$AA:$AA,Location!BB$1)</f>
        <v>0</v>
      </c>
      <c r="BC36" s="37">
        <f>SUMIFS(Wine1!$I:$I,Wine1!$K:$K,Location!$A36,Wine1!$AA:$AA,Location!BC$1)</f>
        <v>0</v>
      </c>
      <c r="BD36" s="37">
        <f>SUMIFS(Wine1!$I:$I,Wine1!$K:$K,Location!$A36,Wine1!$AA:$AA,Location!BD$1)</f>
        <v>0</v>
      </c>
      <c r="BE36" s="37">
        <f>SUMIFS(Wine1!$I:$I,Wine1!$K:$K,Location!$A36,Wine1!$AA:$AA,Location!BE$1)</f>
        <v>0</v>
      </c>
      <c r="BF36" s="37">
        <f>SUMIFS(Wine1!$I:$I,Wine1!$K:$K,Location!$A36,Wine1!$AA:$AA,Location!BF$1)</f>
        <v>0</v>
      </c>
      <c r="BG36" s="37">
        <f>SUMIFS(Wine1!$I:$I,Wine1!$K:$K,Location!$A36,Wine1!$AA:$AA,Location!BG$1)</f>
        <v>0</v>
      </c>
      <c r="BH36" s="37">
        <f>SUMIFS(Wine1!$I:$I,Wine1!$K:$K,Location!$A36,Wine1!$AA:$AA,Location!BH$1)</f>
        <v>0</v>
      </c>
      <c r="BI36" s="37">
        <f>SUMIFS(Wine1!$I:$I,Wine1!$K:$K,Location!$A36,Wine1!$AA:$AA,Location!BI$1)</f>
        <v>0</v>
      </c>
    </row>
    <row r="37" spans="1:61" s="37" customFormat="1" x14ac:dyDescent="0.25">
      <c r="A37" s="8" t="s">
        <v>929</v>
      </c>
      <c r="B37" s="37">
        <f>SUMIF(Wine1!K:K,Location!A37,Wine1!I:I)</f>
        <v>12</v>
      </c>
      <c r="C37" s="37">
        <v>12</v>
      </c>
      <c r="D37" s="37">
        <f t="shared" si="1"/>
        <v>0</v>
      </c>
      <c r="E37" s="37" t="s">
        <v>600</v>
      </c>
      <c r="F37" s="37" t="s">
        <v>718</v>
      </c>
      <c r="G37" s="1"/>
      <c r="H37" s="56">
        <f>COUNTIFS(Wine1!$K:$K,Location!$A37,Wine1!$AF:$AF,Location!H$1)</f>
        <v>6</v>
      </c>
      <c r="I37" s="57">
        <f>COUNTIFS(Wine1!$K:$K,Location!$A37,Wine1!$AF:$AF,Location!I$1)</f>
        <v>6</v>
      </c>
      <c r="J37" s="57">
        <f>COUNTIFS(Wine1!$K:$K,Location!$A37,Wine1!$AF:$AF,Location!J$1)</f>
        <v>0</v>
      </c>
      <c r="K37" s="58">
        <f>COUNTIFS(Wine1!$K:$K,Location!$A37,Wine1!$AF:$AF,Location!K$1)</f>
        <v>0</v>
      </c>
      <c r="L37" s="18">
        <f>IFERROR(AVERAGEIF(Wine1!K:K,Location!A37,Wine1!AA:AA),"Empty")</f>
        <v>2020.75</v>
      </c>
      <c r="M37" s="37">
        <f>SUMIFS(Wine1!$I:$I,Wine1!$K:$K,Location!$A37,Wine1!$AA:$AA,Location!M$1)</f>
        <v>5</v>
      </c>
      <c r="N37" s="37">
        <f>SUMIFS(Wine1!$I:$I,Wine1!$K:$K,Location!$A37,Wine1!$AA:$AA,Location!N$1)</f>
        <v>5</v>
      </c>
      <c r="O37" s="37">
        <f>SUMIFS(Wine1!$I:$I,Wine1!$K:$K,Location!$A37,Wine1!$AA:$AA,Location!O$1)</f>
        <v>2</v>
      </c>
      <c r="P37" s="37">
        <f>SUMIFS(Wine1!$I:$I,Wine1!$K:$K,Location!$A37,Wine1!$AA:$AA,Location!P$1)</f>
        <v>0</v>
      </c>
      <c r="Q37" s="37">
        <f>SUMIFS(Wine1!$I:$I,Wine1!$K:$K,Location!$A37,Wine1!$AA:$AA,Location!Q$1)</f>
        <v>0</v>
      </c>
      <c r="R37" s="37">
        <f>SUMIFS(Wine1!$I:$I,Wine1!$K:$K,Location!$A37,Wine1!$AA:$AA,Location!R$1)</f>
        <v>0</v>
      </c>
      <c r="S37" s="37">
        <f>SUMIFS(Wine1!$I:$I,Wine1!$K:$K,Location!$A37,Wine1!$AA:$AA,Location!S$1)</f>
        <v>0</v>
      </c>
      <c r="T37" s="37">
        <f>SUMIFS(Wine1!$I:$I,Wine1!$K:$K,Location!$A37,Wine1!$AA:$AA,Location!T$1)</f>
        <v>0</v>
      </c>
      <c r="U37" s="37">
        <f>SUMIFS(Wine1!$I:$I,Wine1!$K:$K,Location!$A37,Wine1!$AA:$AA,Location!U$1)</f>
        <v>0</v>
      </c>
      <c r="V37" s="37">
        <f>SUMIFS(Wine1!$I:$I,Wine1!$K:$K,Location!$A37,Wine1!$AA:$AA,Location!V$1)</f>
        <v>0</v>
      </c>
      <c r="W37" s="37">
        <f>SUMIFS(Wine1!$I:$I,Wine1!$K:$K,Location!$A37,Wine1!$AA:$AA,Location!W$1)</f>
        <v>0</v>
      </c>
      <c r="X37" s="37">
        <f>SUMIFS(Wine1!$I:$I,Wine1!$K:$K,Location!$A37,Wine1!$AA:$AA,Location!X$1)</f>
        <v>0</v>
      </c>
      <c r="Y37" s="37">
        <f>SUMIFS(Wine1!$I:$I,Wine1!$K:$K,Location!$A37,Wine1!$AA:$AA,Location!Y$1)</f>
        <v>0</v>
      </c>
      <c r="Z37" s="37">
        <f>SUMIFS(Wine1!$I:$I,Wine1!$K:$K,Location!$A37,Wine1!$AA:$AA,Location!Z$1)</f>
        <v>0</v>
      </c>
      <c r="AA37" s="37">
        <f>SUMIFS(Wine1!$I:$I,Wine1!$K:$K,Location!$A37,Wine1!$AA:$AA,Location!AA$1)</f>
        <v>0</v>
      </c>
      <c r="AB37" s="37">
        <f>SUMIFS(Wine1!$I:$I,Wine1!$K:$K,Location!$A37,Wine1!$AA:$AA,Location!AB$1)</f>
        <v>0</v>
      </c>
      <c r="AC37" s="37">
        <f>SUMIFS(Wine1!$I:$I,Wine1!$K:$K,Location!$A37,Wine1!$AA:$AA,Location!AC$1)</f>
        <v>0</v>
      </c>
      <c r="AD37" s="37">
        <f>SUMIFS(Wine1!$I:$I,Wine1!$K:$K,Location!$A37,Wine1!$AA:$AA,Location!AD$1)</f>
        <v>0</v>
      </c>
      <c r="AE37" s="37">
        <f>SUMIFS(Wine1!$I:$I,Wine1!$K:$K,Location!$A37,Wine1!$AA:$AA,Location!AE$1)</f>
        <v>0</v>
      </c>
      <c r="AF37" s="37">
        <f>SUMIFS(Wine1!$I:$I,Wine1!$K:$K,Location!$A37,Wine1!$AA:$AA,Location!AF$1)</f>
        <v>0</v>
      </c>
      <c r="AG37" s="37">
        <f>SUMIFS(Wine1!$I:$I,Wine1!$K:$K,Location!$A37,Wine1!$AA:$AA,Location!AG$1)</f>
        <v>0</v>
      </c>
      <c r="AH37" s="37">
        <f>SUMIFS(Wine1!$I:$I,Wine1!$K:$K,Location!$A37,Wine1!$AA:$AA,Location!AH$1)</f>
        <v>0</v>
      </c>
      <c r="AI37" s="37">
        <f>SUMIFS(Wine1!$I:$I,Wine1!$K:$K,Location!$A37,Wine1!$AA:$AA,Location!AI$1)</f>
        <v>0</v>
      </c>
      <c r="AJ37" s="37">
        <f>SUMIFS(Wine1!$I:$I,Wine1!$K:$K,Location!$A37,Wine1!$AA:$AA,Location!AJ$1)</f>
        <v>0</v>
      </c>
      <c r="AK37" s="37">
        <f>SUMIFS(Wine1!$I:$I,Wine1!$K:$K,Location!$A37,Wine1!$AA:$AA,Location!AK$1)</f>
        <v>0</v>
      </c>
      <c r="AL37" s="37">
        <f>SUMIFS(Wine1!$I:$I,Wine1!$K:$K,Location!$A37,Wine1!$AA:$AA,Location!AL$1)</f>
        <v>0</v>
      </c>
      <c r="AM37" s="37">
        <f>SUMIFS(Wine1!$I:$I,Wine1!$K:$K,Location!$A37,Wine1!$AA:$AA,Location!AM$1)</f>
        <v>0</v>
      </c>
      <c r="AN37" s="37">
        <f>SUMIFS(Wine1!$I:$I,Wine1!$K:$K,Location!$A37,Wine1!$AA:$AA,Location!AN$1)</f>
        <v>0</v>
      </c>
      <c r="AO37" s="37">
        <f>SUMIFS(Wine1!$I:$I,Wine1!$K:$K,Location!$A37,Wine1!$AA:$AA,Location!AO$1)</f>
        <v>0</v>
      </c>
      <c r="AP37" s="37">
        <f>SUMIFS(Wine1!$I:$I,Wine1!$K:$K,Location!$A37,Wine1!$AA:$AA,Location!AP$1)</f>
        <v>0</v>
      </c>
      <c r="AQ37" s="37">
        <f>SUMIFS(Wine1!$I:$I,Wine1!$K:$K,Location!$A37,Wine1!$AA:$AA,Location!AQ$1)</f>
        <v>0</v>
      </c>
      <c r="AR37" s="37">
        <f>SUMIFS(Wine1!$I:$I,Wine1!$K:$K,Location!$A37,Wine1!$AA:$AA,Location!AR$1)</f>
        <v>0</v>
      </c>
      <c r="AS37" s="37">
        <f>SUMIFS(Wine1!$I:$I,Wine1!$K:$K,Location!$A37,Wine1!$AA:$AA,Location!AS$1)</f>
        <v>0</v>
      </c>
      <c r="AT37" s="37">
        <f>SUMIFS(Wine1!$I:$I,Wine1!$K:$K,Location!$A37,Wine1!$AA:$AA,Location!AT$1)</f>
        <v>0</v>
      </c>
      <c r="AU37" s="37">
        <f>SUMIFS(Wine1!$I:$I,Wine1!$K:$K,Location!$A37,Wine1!$AA:$AA,Location!AU$1)</f>
        <v>0</v>
      </c>
      <c r="AV37" s="37">
        <f>SUMIFS(Wine1!$I:$I,Wine1!$K:$K,Location!$A37,Wine1!$AA:$AA,Location!AV$1)</f>
        <v>0</v>
      </c>
      <c r="AW37" s="37">
        <f>SUMIFS(Wine1!$I:$I,Wine1!$K:$K,Location!$A37,Wine1!$AA:$AA,Location!AW$1)</f>
        <v>0</v>
      </c>
      <c r="AX37" s="37">
        <f>SUMIFS(Wine1!$I:$I,Wine1!$K:$K,Location!$A37,Wine1!$AA:$AA,Location!AX$1)</f>
        <v>0</v>
      </c>
      <c r="AY37" s="37">
        <f>SUMIFS(Wine1!$I:$I,Wine1!$K:$K,Location!$A37,Wine1!$AA:$AA,Location!AY$1)</f>
        <v>0</v>
      </c>
      <c r="AZ37" s="37">
        <f>SUMIFS(Wine1!$I:$I,Wine1!$K:$K,Location!$A37,Wine1!$AA:$AA,Location!AZ$1)</f>
        <v>0</v>
      </c>
      <c r="BA37" s="37">
        <f>SUMIFS(Wine1!$I:$I,Wine1!$K:$K,Location!$A37,Wine1!$AA:$AA,Location!BA$1)</f>
        <v>0</v>
      </c>
      <c r="BB37" s="37">
        <f>SUMIFS(Wine1!$I:$I,Wine1!$K:$K,Location!$A37,Wine1!$AA:$AA,Location!BB$1)</f>
        <v>0</v>
      </c>
      <c r="BC37" s="37">
        <f>SUMIFS(Wine1!$I:$I,Wine1!$K:$K,Location!$A37,Wine1!$AA:$AA,Location!BC$1)</f>
        <v>0</v>
      </c>
      <c r="BD37" s="37">
        <f>SUMIFS(Wine1!$I:$I,Wine1!$K:$K,Location!$A37,Wine1!$AA:$AA,Location!BD$1)</f>
        <v>0</v>
      </c>
      <c r="BE37" s="37">
        <f>SUMIFS(Wine1!$I:$I,Wine1!$K:$K,Location!$A37,Wine1!$AA:$AA,Location!BE$1)</f>
        <v>0</v>
      </c>
      <c r="BF37" s="37">
        <f>SUMIFS(Wine1!$I:$I,Wine1!$K:$K,Location!$A37,Wine1!$AA:$AA,Location!BF$1)</f>
        <v>0</v>
      </c>
      <c r="BG37" s="37">
        <f>SUMIFS(Wine1!$I:$I,Wine1!$K:$K,Location!$A37,Wine1!$AA:$AA,Location!BG$1)</f>
        <v>0</v>
      </c>
      <c r="BH37" s="37">
        <f>SUMIFS(Wine1!$I:$I,Wine1!$K:$K,Location!$A37,Wine1!$AA:$AA,Location!BH$1)</f>
        <v>0</v>
      </c>
      <c r="BI37" s="37">
        <f>SUMIFS(Wine1!$I:$I,Wine1!$K:$K,Location!$A37,Wine1!$AA:$AA,Location!BI$1)</f>
        <v>0</v>
      </c>
    </row>
    <row r="38" spans="1:61" s="37" customFormat="1" x14ac:dyDescent="0.25">
      <c r="A38" s="38" t="s">
        <v>1145</v>
      </c>
      <c r="B38" s="37">
        <f>SUMIF(Wine1!K:K,Location!A38,Wine1!I:I)</f>
        <v>12</v>
      </c>
      <c r="C38" s="37">
        <v>12</v>
      </c>
      <c r="D38" s="37">
        <f t="shared" si="1"/>
        <v>0</v>
      </c>
      <c r="E38" s="37" t="s">
        <v>603</v>
      </c>
      <c r="F38" s="37" t="s">
        <v>1533</v>
      </c>
      <c r="G38" s="1">
        <v>43838</v>
      </c>
      <c r="H38" s="56">
        <f>COUNTIFS(Wine1!$K:$K,Location!$A38,Wine1!$AF:$AF,Location!H$1)</f>
        <v>0</v>
      </c>
      <c r="I38" s="57">
        <f>COUNTIFS(Wine1!$K:$K,Location!$A38,Wine1!$AF:$AF,Location!I$1)</f>
        <v>12</v>
      </c>
      <c r="J38" s="57">
        <f>COUNTIFS(Wine1!$K:$K,Location!$A38,Wine1!$AF:$AF,Location!J$1)</f>
        <v>0</v>
      </c>
      <c r="K38" s="58">
        <f>COUNTIFS(Wine1!$K:$K,Location!$A38,Wine1!$AF:$AF,Location!K$1)</f>
        <v>0</v>
      </c>
      <c r="L38" s="18">
        <f>IFERROR(AVERAGEIF(Wine1!K:K,Location!A38,Wine1!AA:AA),"Empty")</f>
        <v>2032.5</v>
      </c>
      <c r="M38" s="37">
        <f>SUMIFS(Wine1!$I:$I,Wine1!$K:$K,Location!$A38,Wine1!$AA:$AA,Location!M$1)</f>
        <v>0</v>
      </c>
      <c r="N38" s="37">
        <f>SUMIFS(Wine1!$I:$I,Wine1!$K:$K,Location!$A38,Wine1!$AA:$AA,Location!N$1)</f>
        <v>0</v>
      </c>
      <c r="O38" s="37">
        <f>SUMIFS(Wine1!$I:$I,Wine1!$K:$K,Location!$A38,Wine1!$AA:$AA,Location!O$1)</f>
        <v>0</v>
      </c>
      <c r="P38" s="37">
        <f>SUMIFS(Wine1!$I:$I,Wine1!$K:$K,Location!$A38,Wine1!$AA:$AA,Location!P$1)</f>
        <v>0</v>
      </c>
      <c r="Q38" s="37">
        <f>SUMIFS(Wine1!$I:$I,Wine1!$K:$K,Location!$A38,Wine1!$AA:$AA,Location!Q$1)</f>
        <v>0</v>
      </c>
      <c r="R38" s="37">
        <f>SUMIFS(Wine1!$I:$I,Wine1!$K:$K,Location!$A38,Wine1!$AA:$AA,Location!R$1)</f>
        <v>0</v>
      </c>
      <c r="S38" s="37">
        <f>SUMIFS(Wine1!$I:$I,Wine1!$K:$K,Location!$A38,Wine1!$AA:$AA,Location!S$1)</f>
        <v>1</v>
      </c>
      <c r="T38" s="37">
        <f>SUMIFS(Wine1!$I:$I,Wine1!$K:$K,Location!$A38,Wine1!$AA:$AA,Location!T$1)</f>
        <v>0</v>
      </c>
      <c r="U38" s="37">
        <f>SUMIFS(Wine1!$I:$I,Wine1!$K:$K,Location!$A38,Wine1!$AA:$AA,Location!U$1)</f>
        <v>1</v>
      </c>
      <c r="V38" s="37">
        <f>SUMIFS(Wine1!$I:$I,Wine1!$K:$K,Location!$A38,Wine1!$AA:$AA,Location!V$1)</f>
        <v>1</v>
      </c>
      <c r="W38" s="37">
        <f>SUMIFS(Wine1!$I:$I,Wine1!$K:$K,Location!$A38,Wine1!$AA:$AA,Location!W$1)</f>
        <v>1</v>
      </c>
      <c r="X38" s="37">
        <f>SUMIFS(Wine1!$I:$I,Wine1!$K:$K,Location!$A38,Wine1!$AA:$AA,Location!X$1)</f>
        <v>1</v>
      </c>
      <c r="Y38" s="37">
        <f>SUMIFS(Wine1!$I:$I,Wine1!$K:$K,Location!$A38,Wine1!$AA:$AA,Location!Y$1)</f>
        <v>1</v>
      </c>
      <c r="Z38" s="37">
        <f>SUMIFS(Wine1!$I:$I,Wine1!$K:$K,Location!$A38,Wine1!$AA:$AA,Location!Z$1)</f>
        <v>1</v>
      </c>
      <c r="AA38" s="37">
        <f>SUMIFS(Wine1!$I:$I,Wine1!$K:$K,Location!$A38,Wine1!$AA:$AA,Location!AA$1)</f>
        <v>1</v>
      </c>
      <c r="AB38" s="37">
        <f>SUMIFS(Wine1!$I:$I,Wine1!$K:$K,Location!$A38,Wine1!$AA:$AA,Location!AB$1)</f>
        <v>1</v>
      </c>
      <c r="AC38" s="37">
        <f>SUMIFS(Wine1!$I:$I,Wine1!$K:$K,Location!$A38,Wine1!$AA:$AA,Location!AC$1)</f>
        <v>1</v>
      </c>
      <c r="AD38" s="37">
        <f>SUMIFS(Wine1!$I:$I,Wine1!$K:$K,Location!$A38,Wine1!$AA:$AA,Location!AD$1)</f>
        <v>1</v>
      </c>
      <c r="AE38" s="37">
        <f>SUMIFS(Wine1!$I:$I,Wine1!$K:$K,Location!$A38,Wine1!$AA:$AA,Location!AE$1)</f>
        <v>0</v>
      </c>
      <c r="AF38" s="37">
        <f>SUMIFS(Wine1!$I:$I,Wine1!$K:$K,Location!$A38,Wine1!$AA:$AA,Location!AF$1)</f>
        <v>1</v>
      </c>
      <c r="AG38" s="37">
        <f>SUMIFS(Wine1!$I:$I,Wine1!$K:$K,Location!$A38,Wine1!$AA:$AA,Location!AG$1)</f>
        <v>0</v>
      </c>
      <c r="AH38" s="37">
        <f>SUMIFS(Wine1!$I:$I,Wine1!$K:$K,Location!$A38,Wine1!$AA:$AA,Location!AH$1)</f>
        <v>0</v>
      </c>
      <c r="AI38" s="37">
        <f>SUMIFS(Wine1!$I:$I,Wine1!$K:$K,Location!$A38,Wine1!$AA:$AA,Location!AI$1)</f>
        <v>0</v>
      </c>
      <c r="AJ38" s="37">
        <f>SUMIFS(Wine1!$I:$I,Wine1!$K:$K,Location!$A38,Wine1!$AA:$AA,Location!AJ$1)</f>
        <v>0</v>
      </c>
      <c r="AK38" s="37">
        <f>SUMIFS(Wine1!$I:$I,Wine1!$K:$K,Location!$A38,Wine1!$AA:$AA,Location!AK$1)</f>
        <v>0</v>
      </c>
      <c r="AL38" s="37">
        <f>SUMIFS(Wine1!$I:$I,Wine1!$K:$K,Location!$A38,Wine1!$AA:$AA,Location!AL$1)</f>
        <v>0</v>
      </c>
      <c r="AM38" s="37">
        <f>SUMIFS(Wine1!$I:$I,Wine1!$K:$K,Location!$A38,Wine1!$AA:$AA,Location!AM$1)</f>
        <v>0</v>
      </c>
      <c r="AN38" s="37">
        <f>SUMIFS(Wine1!$I:$I,Wine1!$K:$K,Location!$A38,Wine1!$AA:$AA,Location!AN$1)</f>
        <v>0</v>
      </c>
      <c r="AO38" s="37">
        <f>SUMIFS(Wine1!$I:$I,Wine1!$K:$K,Location!$A38,Wine1!$AA:$AA,Location!AO$1)</f>
        <v>0</v>
      </c>
      <c r="AP38" s="37">
        <f>SUMIFS(Wine1!$I:$I,Wine1!$K:$K,Location!$A38,Wine1!$AA:$AA,Location!AP$1)</f>
        <v>0</v>
      </c>
      <c r="AQ38" s="37">
        <f>SUMIFS(Wine1!$I:$I,Wine1!$K:$K,Location!$A38,Wine1!$AA:$AA,Location!AQ$1)</f>
        <v>0</v>
      </c>
      <c r="AR38" s="37">
        <f>SUMIFS(Wine1!$I:$I,Wine1!$K:$K,Location!$A38,Wine1!$AA:$AA,Location!AR$1)</f>
        <v>0</v>
      </c>
      <c r="AS38" s="37">
        <f>SUMIFS(Wine1!$I:$I,Wine1!$K:$K,Location!$A38,Wine1!$AA:$AA,Location!AS$1)</f>
        <v>0</v>
      </c>
      <c r="AT38" s="37">
        <f>SUMIFS(Wine1!$I:$I,Wine1!$K:$K,Location!$A38,Wine1!$AA:$AA,Location!AT$1)</f>
        <v>0</v>
      </c>
      <c r="AU38" s="37">
        <f>SUMIFS(Wine1!$I:$I,Wine1!$K:$K,Location!$A38,Wine1!$AA:$AA,Location!AU$1)</f>
        <v>0</v>
      </c>
      <c r="AV38" s="37">
        <f>SUMIFS(Wine1!$I:$I,Wine1!$K:$K,Location!$A38,Wine1!$AA:$AA,Location!AV$1)</f>
        <v>0</v>
      </c>
      <c r="AW38" s="37">
        <f>SUMIFS(Wine1!$I:$I,Wine1!$K:$K,Location!$A38,Wine1!$AA:$AA,Location!AW$1)</f>
        <v>0</v>
      </c>
      <c r="AX38" s="37">
        <f>SUMIFS(Wine1!$I:$I,Wine1!$K:$K,Location!$A38,Wine1!$AA:$AA,Location!AX$1)</f>
        <v>0</v>
      </c>
      <c r="AY38" s="37">
        <f>SUMIFS(Wine1!$I:$I,Wine1!$K:$K,Location!$A38,Wine1!$AA:$AA,Location!AY$1)</f>
        <v>0</v>
      </c>
      <c r="AZ38" s="37">
        <f>SUMIFS(Wine1!$I:$I,Wine1!$K:$K,Location!$A38,Wine1!$AA:$AA,Location!AZ$1)</f>
        <v>0</v>
      </c>
      <c r="BA38" s="37">
        <f>SUMIFS(Wine1!$I:$I,Wine1!$K:$K,Location!$A38,Wine1!$AA:$AA,Location!BA$1)</f>
        <v>0</v>
      </c>
      <c r="BB38" s="37">
        <f>SUMIFS(Wine1!$I:$I,Wine1!$K:$K,Location!$A38,Wine1!$AA:$AA,Location!BB$1)</f>
        <v>0</v>
      </c>
      <c r="BC38" s="37">
        <f>SUMIFS(Wine1!$I:$I,Wine1!$K:$K,Location!$A38,Wine1!$AA:$AA,Location!BC$1)</f>
        <v>0</v>
      </c>
      <c r="BD38" s="37">
        <f>SUMIFS(Wine1!$I:$I,Wine1!$K:$K,Location!$A38,Wine1!$AA:$AA,Location!BD$1)</f>
        <v>0</v>
      </c>
      <c r="BE38" s="37">
        <f>SUMIFS(Wine1!$I:$I,Wine1!$K:$K,Location!$A38,Wine1!$AA:$AA,Location!BE$1)</f>
        <v>0</v>
      </c>
      <c r="BF38" s="37">
        <f>SUMIFS(Wine1!$I:$I,Wine1!$K:$K,Location!$A38,Wine1!$AA:$AA,Location!BF$1)</f>
        <v>0</v>
      </c>
      <c r="BG38" s="37">
        <f>SUMIFS(Wine1!$I:$I,Wine1!$K:$K,Location!$A38,Wine1!$AA:$AA,Location!BG$1)</f>
        <v>0</v>
      </c>
      <c r="BH38" s="37">
        <f>SUMIFS(Wine1!$I:$I,Wine1!$K:$K,Location!$A38,Wine1!$AA:$AA,Location!BH$1)</f>
        <v>0</v>
      </c>
      <c r="BI38" s="37">
        <f>SUMIFS(Wine1!$I:$I,Wine1!$K:$K,Location!$A38,Wine1!$AA:$AA,Location!BI$1)</f>
        <v>0</v>
      </c>
    </row>
    <row r="39" spans="1:61" s="37" customFormat="1" x14ac:dyDescent="0.25">
      <c r="A39" s="38" t="s">
        <v>1150</v>
      </c>
      <c r="B39" s="37">
        <f>SUMIF(Wine1!K:K,Location!A39,Wine1!I:I)</f>
        <v>12</v>
      </c>
      <c r="C39" s="37">
        <v>12</v>
      </c>
      <c r="D39" s="37">
        <f t="shared" si="1"/>
        <v>0</v>
      </c>
      <c r="E39" s="37" t="s">
        <v>603</v>
      </c>
      <c r="F39" s="37" t="s">
        <v>1533</v>
      </c>
      <c r="G39" s="1"/>
      <c r="H39" s="56">
        <f>COUNTIFS(Wine1!$K:$K,Location!$A39,Wine1!$AF:$AF,Location!H$1)</f>
        <v>0</v>
      </c>
      <c r="I39" s="57">
        <f>COUNTIFS(Wine1!$K:$K,Location!$A39,Wine1!$AF:$AF,Location!I$1)</f>
        <v>2</v>
      </c>
      <c r="J39" s="57">
        <f>COUNTIFS(Wine1!$K:$K,Location!$A39,Wine1!$AF:$AF,Location!J$1)</f>
        <v>8</v>
      </c>
      <c r="K39" s="58">
        <f>COUNTIFS(Wine1!$K:$K,Location!$A39,Wine1!$AF:$AF,Location!K$1)</f>
        <v>2</v>
      </c>
      <c r="L39" s="18">
        <f>IFERROR(AVERAGEIF(Wine1!K:K,Location!A39,Wine1!AA:AA),"Empty")</f>
        <v>2025</v>
      </c>
      <c r="M39" s="37">
        <f>SUMIFS(Wine1!$I:$I,Wine1!$K:$K,Location!$A39,Wine1!$AA:$AA,Location!M$1)</f>
        <v>0</v>
      </c>
      <c r="N39" s="37">
        <f>SUMIFS(Wine1!$I:$I,Wine1!$K:$K,Location!$A39,Wine1!$AA:$AA,Location!N$1)</f>
        <v>0</v>
      </c>
      <c r="O39" s="37">
        <f>SUMIFS(Wine1!$I:$I,Wine1!$K:$K,Location!$A39,Wine1!$AA:$AA,Location!O$1)</f>
        <v>0</v>
      </c>
      <c r="P39" s="37">
        <f>SUMIFS(Wine1!$I:$I,Wine1!$K:$K,Location!$A39,Wine1!$AA:$AA,Location!P$1)</f>
        <v>3</v>
      </c>
      <c r="Q39" s="37">
        <f>SUMIFS(Wine1!$I:$I,Wine1!$K:$K,Location!$A39,Wine1!$AA:$AA,Location!Q$1)</f>
        <v>4</v>
      </c>
      <c r="R39" s="37">
        <f>SUMIFS(Wine1!$I:$I,Wine1!$K:$K,Location!$A39,Wine1!$AA:$AA,Location!R$1)</f>
        <v>2</v>
      </c>
      <c r="S39" s="37">
        <f>SUMIFS(Wine1!$I:$I,Wine1!$K:$K,Location!$A39,Wine1!$AA:$AA,Location!S$1)</f>
        <v>0</v>
      </c>
      <c r="T39" s="37">
        <f>SUMIFS(Wine1!$I:$I,Wine1!$K:$K,Location!$A39,Wine1!$AA:$AA,Location!T$1)</f>
        <v>1</v>
      </c>
      <c r="U39" s="37">
        <f>SUMIFS(Wine1!$I:$I,Wine1!$K:$K,Location!$A39,Wine1!$AA:$AA,Location!U$1)</f>
        <v>1</v>
      </c>
      <c r="V39" s="37">
        <f>SUMIFS(Wine1!$I:$I,Wine1!$K:$K,Location!$A39,Wine1!$AA:$AA,Location!V$1)</f>
        <v>0</v>
      </c>
      <c r="W39" s="37">
        <f>SUMIFS(Wine1!$I:$I,Wine1!$K:$K,Location!$A39,Wine1!$AA:$AA,Location!W$1)</f>
        <v>1</v>
      </c>
      <c r="X39" s="37">
        <f>SUMIFS(Wine1!$I:$I,Wine1!$K:$K,Location!$A39,Wine1!$AA:$AA,Location!X$1)</f>
        <v>0</v>
      </c>
      <c r="Y39" s="37">
        <f>SUMIFS(Wine1!$I:$I,Wine1!$K:$K,Location!$A39,Wine1!$AA:$AA,Location!Y$1)</f>
        <v>0</v>
      </c>
      <c r="Z39" s="37">
        <f>SUMIFS(Wine1!$I:$I,Wine1!$K:$K,Location!$A39,Wine1!$AA:$AA,Location!Z$1)</f>
        <v>0</v>
      </c>
      <c r="AA39" s="37">
        <f>SUMIFS(Wine1!$I:$I,Wine1!$K:$K,Location!$A39,Wine1!$AA:$AA,Location!AA$1)</f>
        <v>0</v>
      </c>
      <c r="AB39" s="37">
        <f>SUMIFS(Wine1!$I:$I,Wine1!$K:$K,Location!$A39,Wine1!$AA:$AA,Location!AB$1)</f>
        <v>0</v>
      </c>
      <c r="AC39" s="37">
        <f>SUMIFS(Wine1!$I:$I,Wine1!$K:$K,Location!$A39,Wine1!$AA:$AA,Location!AC$1)</f>
        <v>0</v>
      </c>
      <c r="AD39" s="37">
        <f>SUMIFS(Wine1!$I:$I,Wine1!$K:$K,Location!$A39,Wine1!$AA:$AA,Location!AD$1)</f>
        <v>0</v>
      </c>
      <c r="AE39" s="37">
        <f>SUMIFS(Wine1!$I:$I,Wine1!$K:$K,Location!$A39,Wine1!$AA:$AA,Location!AE$1)</f>
        <v>0</v>
      </c>
      <c r="AF39" s="37">
        <f>SUMIFS(Wine1!$I:$I,Wine1!$K:$K,Location!$A39,Wine1!$AA:$AA,Location!AF$1)</f>
        <v>0</v>
      </c>
      <c r="AG39" s="37">
        <f>SUMIFS(Wine1!$I:$I,Wine1!$K:$K,Location!$A39,Wine1!$AA:$AA,Location!AG$1)</f>
        <v>0</v>
      </c>
      <c r="AH39" s="37">
        <f>SUMIFS(Wine1!$I:$I,Wine1!$K:$K,Location!$A39,Wine1!$AA:$AA,Location!AH$1)</f>
        <v>0</v>
      </c>
      <c r="AI39" s="37">
        <f>SUMIFS(Wine1!$I:$I,Wine1!$K:$K,Location!$A39,Wine1!$AA:$AA,Location!AI$1)</f>
        <v>0</v>
      </c>
      <c r="AJ39" s="37">
        <f>SUMIFS(Wine1!$I:$I,Wine1!$K:$K,Location!$A39,Wine1!$AA:$AA,Location!AJ$1)</f>
        <v>0</v>
      </c>
      <c r="AK39" s="37">
        <f>SUMIFS(Wine1!$I:$I,Wine1!$K:$K,Location!$A39,Wine1!$AA:$AA,Location!AK$1)</f>
        <v>0</v>
      </c>
      <c r="AL39" s="37">
        <f>SUMIFS(Wine1!$I:$I,Wine1!$K:$K,Location!$A39,Wine1!$AA:$AA,Location!AL$1)</f>
        <v>0</v>
      </c>
      <c r="AM39" s="37">
        <f>SUMIFS(Wine1!$I:$I,Wine1!$K:$K,Location!$A39,Wine1!$AA:$AA,Location!AM$1)</f>
        <v>0</v>
      </c>
      <c r="AN39" s="37">
        <f>SUMIFS(Wine1!$I:$I,Wine1!$K:$K,Location!$A39,Wine1!$AA:$AA,Location!AN$1)</f>
        <v>0</v>
      </c>
      <c r="AO39" s="37">
        <f>SUMIFS(Wine1!$I:$I,Wine1!$K:$K,Location!$A39,Wine1!$AA:$AA,Location!AO$1)</f>
        <v>0</v>
      </c>
      <c r="AP39" s="37">
        <f>SUMIFS(Wine1!$I:$I,Wine1!$K:$K,Location!$A39,Wine1!$AA:$AA,Location!AP$1)</f>
        <v>0</v>
      </c>
      <c r="AQ39" s="37">
        <f>SUMIFS(Wine1!$I:$I,Wine1!$K:$K,Location!$A39,Wine1!$AA:$AA,Location!AQ$1)</f>
        <v>0</v>
      </c>
      <c r="AR39" s="37">
        <f>SUMIFS(Wine1!$I:$I,Wine1!$K:$K,Location!$A39,Wine1!$AA:$AA,Location!AR$1)</f>
        <v>0</v>
      </c>
      <c r="AS39" s="37">
        <f>SUMIFS(Wine1!$I:$I,Wine1!$K:$K,Location!$A39,Wine1!$AA:$AA,Location!AS$1)</f>
        <v>0</v>
      </c>
      <c r="AT39" s="37">
        <f>SUMIFS(Wine1!$I:$I,Wine1!$K:$K,Location!$A39,Wine1!$AA:$AA,Location!AT$1)</f>
        <v>0</v>
      </c>
      <c r="AU39" s="37">
        <f>SUMIFS(Wine1!$I:$I,Wine1!$K:$K,Location!$A39,Wine1!$AA:$AA,Location!AU$1)</f>
        <v>0</v>
      </c>
      <c r="AV39" s="37">
        <f>SUMIFS(Wine1!$I:$I,Wine1!$K:$K,Location!$A39,Wine1!$AA:$AA,Location!AV$1)</f>
        <v>0</v>
      </c>
      <c r="AW39" s="37">
        <f>SUMIFS(Wine1!$I:$I,Wine1!$K:$K,Location!$A39,Wine1!$AA:$AA,Location!AW$1)</f>
        <v>0</v>
      </c>
      <c r="AX39" s="37">
        <f>SUMIFS(Wine1!$I:$I,Wine1!$K:$K,Location!$A39,Wine1!$AA:$AA,Location!AX$1)</f>
        <v>0</v>
      </c>
      <c r="AY39" s="37">
        <f>SUMIFS(Wine1!$I:$I,Wine1!$K:$K,Location!$A39,Wine1!$AA:$AA,Location!AY$1)</f>
        <v>0</v>
      </c>
      <c r="AZ39" s="37">
        <f>SUMIFS(Wine1!$I:$I,Wine1!$K:$K,Location!$A39,Wine1!$AA:$AA,Location!AZ$1)</f>
        <v>0</v>
      </c>
      <c r="BA39" s="37">
        <f>SUMIFS(Wine1!$I:$I,Wine1!$K:$K,Location!$A39,Wine1!$AA:$AA,Location!BA$1)</f>
        <v>0</v>
      </c>
      <c r="BB39" s="37">
        <f>SUMIFS(Wine1!$I:$I,Wine1!$K:$K,Location!$A39,Wine1!$AA:$AA,Location!BB$1)</f>
        <v>0</v>
      </c>
      <c r="BC39" s="37">
        <f>SUMIFS(Wine1!$I:$I,Wine1!$K:$K,Location!$A39,Wine1!$AA:$AA,Location!BC$1)</f>
        <v>0</v>
      </c>
      <c r="BD39" s="37">
        <f>SUMIFS(Wine1!$I:$I,Wine1!$K:$K,Location!$A39,Wine1!$AA:$AA,Location!BD$1)</f>
        <v>0</v>
      </c>
      <c r="BE39" s="37">
        <f>SUMIFS(Wine1!$I:$I,Wine1!$K:$K,Location!$A39,Wine1!$AA:$AA,Location!BE$1)</f>
        <v>0</v>
      </c>
      <c r="BF39" s="37">
        <f>SUMIFS(Wine1!$I:$I,Wine1!$K:$K,Location!$A39,Wine1!$AA:$AA,Location!BF$1)</f>
        <v>0</v>
      </c>
      <c r="BG39" s="37">
        <f>SUMIFS(Wine1!$I:$I,Wine1!$K:$K,Location!$A39,Wine1!$AA:$AA,Location!BG$1)</f>
        <v>0</v>
      </c>
      <c r="BH39" s="37">
        <f>SUMIFS(Wine1!$I:$I,Wine1!$K:$K,Location!$A39,Wine1!$AA:$AA,Location!BH$1)</f>
        <v>0</v>
      </c>
      <c r="BI39" s="37">
        <f>SUMIFS(Wine1!$I:$I,Wine1!$K:$K,Location!$A39,Wine1!$AA:$AA,Location!BI$1)</f>
        <v>0</v>
      </c>
    </row>
    <row r="40" spans="1:61" s="37" customFormat="1" x14ac:dyDescent="0.25">
      <c r="A40" s="8" t="s">
        <v>1195</v>
      </c>
      <c r="B40" s="37">
        <f>SUMIF(Wine1!K:K,Location!A40,Wine1!I:I)</f>
        <v>12</v>
      </c>
      <c r="C40" s="37">
        <v>12</v>
      </c>
      <c r="D40" s="37">
        <f t="shared" si="1"/>
        <v>0</v>
      </c>
      <c r="E40" s="37" t="s">
        <v>603</v>
      </c>
      <c r="F40" s="37" t="s">
        <v>1533</v>
      </c>
      <c r="G40" s="1"/>
      <c r="H40" s="56">
        <f>COUNTIFS(Wine1!$K:$K,Location!$A40,Wine1!$AF:$AF,Location!H$1)</f>
        <v>1</v>
      </c>
      <c r="I40" s="57">
        <f>COUNTIFS(Wine1!$K:$K,Location!$A40,Wine1!$AF:$AF,Location!I$1)</f>
        <v>0</v>
      </c>
      <c r="J40" s="57">
        <f>COUNTIFS(Wine1!$K:$K,Location!$A40,Wine1!$AF:$AF,Location!J$1)</f>
        <v>11</v>
      </c>
      <c r="K40" s="58">
        <f>COUNTIFS(Wine1!$K:$K,Location!$A40,Wine1!$AF:$AF,Location!K$1)</f>
        <v>0</v>
      </c>
      <c r="L40" s="18">
        <f>IFERROR(AVERAGEIF(Wine1!K:K,Location!A40,Wine1!AA:AA),"Empty")</f>
        <v>2030.5833333333333</v>
      </c>
      <c r="M40" s="37">
        <f>SUMIFS(Wine1!$I:$I,Wine1!$K:$K,Location!$A40,Wine1!$AA:$AA,Location!M$1)</f>
        <v>0</v>
      </c>
      <c r="N40" s="37">
        <f>SUMIFS(Wine1!$I:$I,Wine1!$K:$K,Location!$A40,Wine1!$AA:$AA,Location!N$1)</f>
        <v>0</v>
      </c>
      <c r="O40" s="37">
        <f>SUMIFS(Wine1!$I:$I,Wine1!$K:$K,Location!$A40,Wine1!$AA:$AA,Location!O$1)</f>
        <v>1</v>
      </c>
      <c r="P40" s="37">
        <f>SUMIFS(Wine1!$I:$I,Wine1!$K:$K,Location!$A40,Wine1!$AA:$AA,Location!P$1)</f>
        <v>0</v>
      </c>
      <c r="Q40" s="37">
        <f>SUMIFS(Wine1!$I:$I,Wine1!$K:$K,Location!$A40,Wine1!$AA:$AA,Location!Q$1)</f>
        <v>0</v>
      </c>
      <c r="R40" s="37">
        <f>SUMIFS(Wine1!$I:$I,Wine1!$K:$K,Location!$A40,Wine1!$AA:$AA,Location!R$1)</f>
        <v>2</v>
      </c>
      <c r="S40" s="37">
        <f>SUMIFS(Wine1!$I:$I,Wine1!$K:$K,Location!$A40,Wine1!$AA:$AA,Location!S$1)</f>
        <v>1</v>
      </c>
      <c r="T40" s="37">
        <f>SUMIFS(Wine1!$I:$I,Wine1!$K:$K,Location!$A40,Wine1!$AA:$AA,Location!T$1)</f>
        <v>0</v>
      </c>
      <c r="U40" s="37">
        <f>SUMIFS(Wine1!$I:$I,Wine1!$K:$K,Location!$A40,Wine1!$AA:$AA,Location!U$1)</f>
        <v>0</v>
      </c>
      <c r="V40" s="37">
        <f>SUMIFS(Wine1!$I:$I,Wine1!$K:$K,Location!$A40,Wine1!$AA:$AA,Location!V$1)</f>
        <v>2</v>
      </c>
      <c r="W40" s="37">
        <f>SUMIFS(Wine1!$I:$I,Wine1!$K:$K,Location!$A40,Wine1!$AA:$AA,Location!W$1)</f>
        <v>0</v>
      </c>
      <c r="X40" s="37">
        <f>SUMIFS(Wine1!$I:$I,Wine1!$K:$K,Location!$A40,Wine1!$AA:$AA,Location!X$1)</f>
        <v>0</v>
      </c>
      <c r="Y40" s="37">
        <f>SUMIFS(Wine1!$I:$I,Wine1!$K:$K,Location!$A40,Wine1!$AA:$AA,Location!Y$1)</f>
        <v>1</v>
      </c>
      <c r="Z40" s="37">
        <f>SUMIFS(Wine1!$I:$I,Wine1!$K:$K,Location!$A40,Wine1!$AA:$AA,Location!Z$1)</f>
        <v>2</v>
      </c>
      <c r="AA40" s="37">
        <f>SUMIFS(Wine1!$I:$I,Wine1!$K:$K,Location!$A40,Wine1!$AA:$AA,Location!AA$1)</f>
        <v>0</v>
      </c>
      <c r="AB40" s="37">
        <f>SUMIFS(Wine1!$I:$I,Wine1!$K:$K,Location!$A40,Wine1!$AA:$AA,Location!AB$1)</f>
        <v>1</v>
      </c>
      <c r="AC40" s="37">
        <f>SUMIFS(Wine1!$I:$I,Wine1!$K:$K,Location!$A40,Wine1!$AA:$AA,Location!AC$1)</f>
        <v>0</v>
      </c>
      <c r="AD40" s="37">
        <f>SUMIFS(Wine1!$I:$I,Wine1!$K:$K,Location!$A40,Wine1!$AA:$AA,Location!AD$1)</f>
        <v>1</v>
      </c>
      <c r="AE40" s="37">
        <f>SUMIFS(Wine1!$I:$I,Wine1!$K:$K,Location!$A40,Wine1!$AA:$AA,Location!AE$1)</f>
        <v>0</v>
      </c>
      <c r="AF40" s="37">
        <f>SUMIFS(Wine1!$I:$I,Wine1!$K:$K,Location!$A40,Wine1!$AA:$AA,Location!AF$1)</f>
        <v>0</v>
      </c>
      <c r="AG40" s="37">
        <f>SUMIFS(Wine1!$I:$I,Wine1!$K:$K,Location!$A40,Wine1!$AA:$AA,Location!AG$1)</f>
        <v>0</v>
      </c>
      <c r="AH40" s="37">
        <f>SUMIFS(Wine1!$I:$I,Wine1!$K:$K,Location!$A40,Wine1!$AA:$AA,Location!AH$1)</f>
        <v>1</v>
      </c>
      <c r="AI40" s="37">
        <f>SUMIFS(Wine1!$I:$I,Wine1!$K:$K,Location!$A40,Wine1!$AA:$AA,Location!AI$1)</f>
        <v>0</v>
      </c>
      <c r="AJ40" s="37">
        <f>SUMIFS(Wine1!$I:$I,Wine1!$K:$K,Location!$A40,Wine1!$AA:$AA,Location!AJ$1)</f>
        <v>0</v>
      </c>
      <c r="AK40" s="37">
        <f>SUMIFS(Wine1!$I:$I,Wine1!$K:$K,Location!$A40,Wine1!$AA:$AA,Location!AK$1)</f>
        <v>0</v>
      </c>
      <c r="AL40" s="37">
        <f>SUMIFS(Wine1!$I:$I,Wine1!$K:$K,Location!$A40,Wine1!$AA:$AA,Location!AL$1)</f>
        <v>0</v>
      </c>
      <c r="AM40" s="37">
        <f>SUMIFS(Wine1!$I:$I,Wine1!$K:$K,Location!$A40,Wine1!$AA:$AA,Location!AM$1)</f>
        <v>0</v>
      </c>
      <c r="AN40" s="37">
        <f>SUMIFS(Wine1!$I:$I,Wine1!$K:$K,Location!$A40,Wine1!$AA:$AA,Location!AN$1)</f>
        <v>0</v>
      </c>
      <c r="AO40" s="37">
        <f>SUMIFS(Wine1!$I:$I,Wine1!$K:$K,Location!$A40,Wine1!$AA:$AA,Location!AO$1)</f>
        <v>0</v>
      </c>
      <c r="AP40" s="37">
        <f>SUMIFS(Wine1!$I:$I,Wine1!$K:$K,Location!$A40,Wine1!$AA:$AA,Location!AP$1)</f>
        <v>0</v>
      </c>
      <c r="AQ40" s="37">
        <f>SUMIFS(Wine1!$I:$I,Wine1!$K:$K,Location!$A40,Wine1!$AA:$AA,Location!AQ$1)</f>
        <v>0</v>
      </c>
      <c r="AR40" s="37">
        <f>SUMIFS(Wine1!$I:$I,Wine1!$K:$K,Location!$A40,Wine1!$AA:$AA,Location!AR$1)</f>
        <v>0</v>
      </c>
      <c r="AS40" s="37">
        <f>SUMIFS(Wine1!$I:$I,Wine1!$K:$K,Location!$A40,Wine1!$AA:$AA,Location!AS$1)</f>
        <v>0</v>
      </c>
      <c r="AT40" s="37">
        <f>SUMIFS(Wine1!$I:$I,Wine1!$K:$K,Location!$A40,Wine1!$AA:$AA,Location!AT$1)</f>
        <v>0</v>
      </c>
      <c r="AU40" s="37">
        <f>SUMIFS(Wine1!$I:$I,Wine1!$K:$K,Location!$A40,Wine1!$AA:$AA,Location!AU$1)</f>
        <v>0</v>
      </c>
      <c r="AV40" s="37">
        <f>SUMIFS(Wine1!$I:$I,Wine1!$K:$K,Location!$A40,Wine1!$AA:$AA,Location!AV$1)</f>
        <v>0</v>
      </c>
      <c r="AW40" s="37">
        <f>SUMIFS(Wine1!$I:$I,Wine1!$K:$K,Location!$A40,Wine1!$AA:$AA,Location!AW$1)</f>
        <v>0</v>
      </c>
      <c r="AX40" s="37">
        <f>SUMIFS(Wine1!$I:$I,Wine1!$K:$K,Location!$A40,Wine1!$AA:$AA,Location!AX$1)</f>
        <v>0</v>
      </c>
      <c r="AY40" s="37">
        <f>SUMIFS(Wine1!$I:$I,Wine1!$K:$K,Location!$A40,Wine1!$AA:$AA,Location!AY$1)</f>
        <v>0</v>
      </c>
      <c r="AZ40" s="37">
        <f>SUMIFS(Wine1!$I:$I,Wine1!$K:$K,Location!$A40,Wine1!$AA:$AA,Location!AZ$1)</f>
        <v>0</v>
      </c>
      <c r="BA40" s="37">
        <f>SUMIFS(Wine1!$I:$I,Wine1!$K:$K,Location!$A40,Wine1!$AA:$AA,Location!BA$1)</f>
        <v>0</v>
      </c>
      <c r="BB40" s="37">
        <f>SUMIFS(Wine1!$I:$I,Wine1!$K:$K,Location!$A40,Wine1!$AA:$AA,Location!BB$1)</f>
        <v>0</v>
      </c>
      <c r="BC40" s="37">
        <f>SUMIFS(Wine1!$I:$I,Wine1!$K:$K,Location!$A40,Wine1!$AA:$AA,Location!BC$1)</f>
        <v>0</v>
      </c>
      <c r="BD40" s="37">
        <f>SUMIFS(Wine1!$I:$I,Wine1!$K:$K,Location!$A40,Wine1!$AA:$AA,Location!BD$1)</f>
        <v>0</v>
      </c>
      <c r="BE40" s="37">
        <f>SUMIFS(Wine1!$I:$I,Wine1!$K:$K,Location!$A40,Wine1!$AA:$AA,Location!BE$1)</f>
        <v>0</v>
      </c>
      <c r="BF40" s="37">
        <f>SUMIFS(Wine1!$I:$I,Wine1!$K:$K,Location!$A40,Wine1!$AA:$AA,Location!BF$1)</f>
        <v>0</v>
      </c>
      <c r="BG40" s="37">
        <f>SUMIFS(Wine1!$I:$I,Wine1!$K:$K,Location!$A40,Wine1!$AA:$AA,Location!BG$1)</f>
        <v>0</v>
      </c>
      <c r="BH40" s="37">
        <f>SUMIFS(Wine1!$I:$I,Wine1!$K:$K,Location!$A40,Wine1!$AA:$AA,Location!BH$1)</f>
        <v>0</v>
      </c>
      <c r="BI40" s="37">
        <f>SUMIFS(Wine1!$I:$I,Wine1!$K:$K,Location!$A40,Wine1!$AA:$AA,Location!BI$1)</f>
        <v>0</v>
      </c>
    </row>
    <row r="41" spans="1:61" s="37" customFormat="1" x14ac:dyDescent="0.25">
      <c r="A41" s="60" t="s">
        <v>1196</v>
      </c>
      <c r="B41" s="37">
        <f>SUMIF(Wine1!K:K,Location!A41,Wine1!I:I)</f>
        <v>12</v>
      </c>
      <c r="C41" s="37">
        <v>12</v>
      </c>
      <c r="D41" s="37">
        <f t="shared" si="1"/>
        <v>0</v>
      </c>
      <c r="E41" s="37" t="s">
        <v>603</v>
      </c>
      <c r="F41" s="37" t="s">
        <v>1533</v>
      </c>
      <c r="G41" s="1"/>
      <c r="H41" s="56">
        <f>COUNTIFS(Wine1!$K:$K,Location!$A41,Wine1!$AF:$AF,Location!H$1)</f>
        <v>0</v>
      </c>
      <c r="I41" s="57">
        <f>COUNTIFS(Wine1!$K:$K,Location!$A41,Wine1!$AF:$AF,Location!I$1)</f>
        <v>3</v>
      </c>
      <c r="J41" s="57">
        <f>COUNTIFS(Wine1!$K:$K,Location!$A41,Wine1!$AF:$AF,Location!J$1)</f>
        <v>9</v>
      </c>
      <c r="K41" s="58">
        <f>COUNTIFS(Wine1!$K:$K,Location!$A41,Wine1!$AF:$AF,Location!K$1)</f>
        <v>0</v>
      </c>
      <c r="L41" s="18">
        <f>IFERROR(AVERAGEIF(Wine1!K:K,Location!A41,Wine1!AA:AA),"Empty")</f>
        <v>2028.3333333333333</v>
      </c>
      <c r="M41" s="37">
        <f>SUMIFS(Wine1!$I:$I,Wine1!$K:$K,Location!$A41,Wine1!$AA:$AA,Location!M$1)</f>
        <v>0</v>
      </c>
      <c r="N41" s="37">
        <f>SUMIFS(Wine1!$I:$I,Wine1!$K:$K,Location!$A41,Wine1!$AA:$AA,Location!N$1)</f>
        <v>0</v>
      </c>
      <c r="O41" s="37">
        <f>SUMIFS(Wine1!$I:$I,Wine1!$K:$K,Location!$A41,Wine1!$AA:$AA,Location!O$1)</f>
        <v>0</v>
      </c>
      <c r="P41" s="37">
        <f>SUMIFS(Wine1!$I:$I,Wine1!$K:$K,Location!$A41,Wine1!$AA:$AA,Location!P$1)</f>
        <v>1</v>
      </c>
      <c r="Q41" s="37">
        <f>SUMIFS(Wine1!$I:$I,Wine1!$K:$K,Location!$A41,Wine1!$AA:$AA,Location!Q$1)</f>
        <v>0</v>
      </c>
      <c r="R41" s="37">
        <f>SUMIFS(Wine1!$I:$I,Wine1!$K:$K,Location!$A41,Wine1!$AA:$AA,Location!R$1)</f>
        <v>0</v>
      </c>
      <c r="S41" s="37">
        <f>SUMIFS(Wine1!$I:$I,Wine1!$K:$K,Location!$A41,Wine1!$AA:$AA,Location!S$1)</f>
        <v>2</v>
      </c>
      <c r="T41" s="37">
        <f>SUMIFS(Wine1!$I:$I,Wine1!$K:$K,Location!$A41,Wine1!$AA:$AA,Location!T$1)</f>
        <v>1</v>
      </c>
      <c r="U41" s="37">
        <f>SUMIFS(Wine1!$I:$I,Wine1!$K:$K,Location!$A41,Wine1!$AA:$AA,Location!U$1)</f>
        <v>2</v>
      </c>
      <c r="V41" s="37">
        <f>SUMIFS(Wine1!$I:$I,Wine1!$K:$K,Location!$A41,Wine1!$AA:$AA,Location!V$1)</f>
        <v>2</v>
      </c>
      <c r="W41" s="37">
        <f>SUMIFS(Wine1!$I:$I,Wine1!$K:$K,Location!$A41,Wine1!$AA:$AA,Location!W$1)</f>
        <v>2</v>
      </c>
      <c r="X41" s="37">
        <f>SUMIFS(Wine1!$I:$I,Wine1!$K:$K,Location!$A41,Wine1!$AA:$AA,Location!X$1)</f>
        <v>0</v>
      </c>
      <c r="Y41" s="37">
        <f>SUMIFS(Wine1!$I:$I,Wine1!$K:$K,Location!$A41,Wine1!$AA:$AA,Location!Y$1)</f>
        <v>2</v>
      </c>
      <c r="Z41" s="37">
        <f>SUMIFS(Wine1!$I:$I,Wine1!$K:$K,Location!$A41,Wine1!$AA:$AA,Location!Z$1)</f>
        <v>0</v>
      </c>
      <c r="AA41" s="37">
        <f>SUMIFS(Wine1!$I:$I,Wine1!$K:$K,Location!$A41,Wine1!$AA:$AA,Location!AA$1)</f>
        <v>0</v>
      </c>
      <c r="AB41" s="37">
        <f>SUMIFS(Wine1!$I:$I,Wine1!$K:$K,Location!$A41,Wine1!$AA:$AA,Location!AB$1)</f>
        <v>0</v>
      </c>
      <c r="AC41" s="37">
        <f>SUMIFS(Wine1!$I:$I,Wine1!$K:$K,Location!$A41,Wine1!$AA:$AA,Location!AC$1)</f>
        <v>0</v>
      </c>
      <c r="AD41" s="37">
        <f>SUMIFS(Wine1!$I:$I,Wine1!$K:$K,Location!$A41,Wine1!$AA:$AA,Location!AD$1)</f>
        <v>0</v>
      </c>
      <c r="AE41" s="37">
        <f>SUMIFS(Wine1!$I:$I,Wine1!$K:$K,Location!$A41,Wine1!$AA:$AA,Location!AE$1)</f>
        <v>0</v>
      </c>
      <c r="AF41" s="37">
        <f>SUMIFS(Wine1!$I:$I,Wine1!$K:$K,Location!$A41,Wine1!$AA:$AA,Location!AF$1)</f>
        <v>0</v>
      </c>
      <c r="AG41" s="37">
        <f>SUMIFS(Wine1!$I:$I,Wine1!$K:$K,Location!$A41,Wine1!$AA:$AA,Location!AG$1)</f>
        <v>0</v>
      </c>
      <c r="AH41" s="37">
        <f>SUMIFS(Wine1!$I:$I,Wine1!$K:$K,Location!$A41,Wine1!$AA:$AA,Location!AH$1)</f>
        <v>0</v>
      </c>
      <c r="AI41" s="37">
        <f>SUMIFS(Wine1!$I:$I,Wine1!$K:$K,Location!$A41,Wine1!$AA:$AA,Location!AI$1)</f>
        <v>0</v>
      </c>
      <c r="AJ41" s="37">
        <f>SUMIFS(Wine1!$I:$I,Wine1!$K:$K,Location!$A41,Wine1!$AA:$AA,Location!AJ$1)</f>
        <v>0</v>
      </c>
      <c r="AK41" s="37">
        <f>SUMIFS(Wine1!$I:$I,Wine1!$K:$K,Location!$A41,Wine1!$AA:$AA,Location!AK$1)</f>
        <v>0</v>
      </c>
      <c r="AL41" s="37">
        <f>SUMIFS(Wine1!$I:$I,Wine1!$K:$K,Location!$A41,Wine1!$AA:$AA,Location!AL$1)</f>
        <v>0</v>
      </c>
      <c r="AM41" s="37">
        <f>SUMIFS(Wine1!$I:$I,Wine1!$K:$K,Location!$A41,Wine1!$AA:$AA,Location!AM$1)</f>
        <v>0</v>
      </c>
      <c r="AN41" s="37">
        <f>SUMIFS(Wine1!$I:$I,Wine1!$K:$K,Location!$A41,Wine1!$AA:$AA,Location!AN$1)</f>
        <v>0</v>
      </c>
      <c r="AO41" s="37">
        <f>SUMIFS(Wine1!$I:$I,Wine1!$K:$K,Location!$A41,Wine1!$AA:$AA,Location!AO$1)</f>
        <v>0</v>
      </c>
      <c r="AP41" s="37">
        <f>SUMIFS(Wine1!$I:$I,Wine1!$K:$K,Location!$A41,Wine1!$AA:$AA,Location!AP$1)</f>
        <v>0</v>
      </c>
      <c r="AQ41" s="37">
        <f>SUMIFS(Wine1!$I:$I,Wine1!$K:$K,Location!$A41,Wine1!$AA:$AA,Location!AQ$1)</f>
        <v>0</v>
      </c>
      <c r="AR41" s="37">
        <f>SUMIFS(Wine1!$I:$I,Wine1!$K:$K,Location!$A41,Wine1!$AA:$AA,Location!AR$1)</f>
        <v>0</v>
      </c>
      <c r="AS41" s="37">
        <f>SUMIFS(Wine1!$I:$I,Wine1!$K:$K,Location!$A41,Wine1!$AA:$AA,Location!AS$1)</f>
        <v>0</v>
      </c>
      <c r="AT41" s="37">
        <f>SUMIFS(Wine1!$I:$I,Wine1!$K:$K,Location!$A41,Wine1!$AA:$AA,Location!AT$1)</f>
        <v>0</v>
      </c>
      <c r="AU41" s="37">
        <f>SUMIFS(Wine1!$I:$I,Wine1!$K:$K,Location!$A41,Wine1!$AA:$AA,Location!AU$1)</f>
        <v>0</v>
      </c>
      <c r="AV41" s="37">
        <f>SUMIFS(Wine1!$I:$I,Wine1!$K:$K,Location!$A41,Wine1!$AA:$AA,Location!AV$1)</f>
        <v>0</v>
      </c>
      <c r="AW41" s="37">
        <f>SUMIFS(Wine1!$I:$I,Wine1!$K:$K,Location!$A41,Wine1!$AA:$AA,Location!AW$1)</f>
        <v>0</v>
      </c>
      <c r="AX41" s="37">
        <f>SUMIFS(Wine1!$I:$I,Wine1!$K:$K,Location!$A41,Wine1!$AA:$AA,Location!AX$1)</f>
        <v>0</v>
      </c>
      <c r="AY41" s="37">
        <f>SUMIFS(Wine1!$I:$I,Wine1!$K:$K,Location!$A41,Wine1!$AA:$AA,Location!AY$1)</f>
        <v>0</v>
      </c>
      <c r="AZ41" s="37">
        <f>SUMIFS(Wine1!$I:$I,Wine1!$K:$K,Location!$A41,Wine1!$AA:$AA,Location!AZ$1)</f>
        <v>0</v>
      </c>
      <c r="BA41" s="37">
        <f>SUMIFS(Wine1!$I:$I,Wine1!$K:$K,Location!$A41,Wine1!$AA:$AA,Location!BA$1)</f>
        <v>0</v>
      </c>
      <c r="BB41" s="37">
        <f>SUMIFS(Wine1!$I:$I,Wine1!$K:$K,Location!$A41,Wine1!$AA:$AA,Location!BB$1)</f>
        <v>0</v>
      </c>
      <c r="BC41" s="37">
        <f>SUMIFS(Wine1!$I:$I,Wine1!$K:$K,Location!$A41,Wine1!$AA:$AA,Location!BC$1)</f>
        <v>0</v>
      </c>
      <c r="BD41" s="37">
        <f>SUMIFS(Wine1!$I:$I,Wine1!$K:$K,Location!$A41,Wine1!$AA:$AA,Location!BD$1)</f>
        <v>0</v>
      </c>
      <c r="BE41" s="37">
        <f>SUMIFS(Wine1!$I:$I,Wine1!$K:$K,Location!$A41,Wine1!$AA:$AA,Location!BE$1)</f>
        <v>0</v>
      </c>
      <c r="BF41" s="37">
        <f>SUMIFS(Wine1!$I:$I,Wine1!$K:$K,Location!$A41,Wine1!$AA:$AA,Location!BF$1)</f>
        <v>0</v>
      </c>
      <c r="BG41" s="37">
        <f>SUMIFS(Wine1!$I:$I,Wine1!$K:$K,Location!$A41,Wine1!$AA:$AA,Location!BG$1)</f>
        <v>0</v>
      </c>
      <c r="BH41" s="37">
        <f>SUMIFS(Wine1!$I:$I,Wine1!$K:$K,Location!$A41,Wine1!$AA:$AA,Location!BH$1)</f>
        <v>0</v>
      </c>
      <c r="BI41" s="37">
        <f>SUMIFS(Wine1!$I:$I,Wine1!$K:$K,Location!$A41,Wine1!$AA:$AA,Location!BI$1)</f>
        <v>0</v>
      </c>
    </row>
    <row r="42" spans="1:61" s="37" customFormat="1" x14ac:dyDescent="0.25">
      <c r="A42" s="38" t="s">
        <v>1133</v>
      </c>
      <c r="B42" s="37">
        <f>SUMIF(Wine1!K:K,Location!A42,Wine1!I:I)</f>
        <v>12</v>
      </c>
      <c r="C42" s="37">
        <v>12</v>
      </c>
      <c r="D42" s="37">
        <f t="shared" si="1"/>
        <v>0</v>
      </c>
      <c r="E42" s="37" t="s">
        <v>603</v>
      </c>
      <c r="F42" s="37" t="s">
        <v>1533</v>
      </c>
      <c r="G42" s="1"/>
      <c r="H42" s="56">
        <f>COUNTIFS(Wine1!$K:$K,Location!$A42,Wine1!$AF:$AF,Location!H$1)</f>
        <v>0</v>
      </c>
      <c r="I42" s="57">
        <f>COUNTIFS(Wine1!$K:$K,Location!$A42,Wine1!$AF:$AF,Location!I$1)</f>
        <v>1</v>
      </c>
      <c r="J42" s="57">
        <f>COUNTIFS(Wine1!$K:$K,Location!$A42,Wine1!$AF:$AF,Location!J$1)</f>
        <v>9</v>
      </c>
      <c r="K42" s="58">
        <f>COUNTIFS(Wine1!$K:$K,Location!$A42,Wine1!$AF:$AF,Location!K$1)</f>
        <v>2</v>
      </c>
      <c r="L42" s="18">
        <f>IFERROR(AVERAGEIF(Wine1!K:K,Location!A42,Wine1!AA:AA),"Empty")</f>
        <v>2035.5833333333333</v>
      </c>
      <c r="M42" s="37">
        <f>SUMIFS(Wine1!$I:$I,Wine1!$K:$K,Location!$A42,Wine1!$AA:$AA,Location!M$1)</f>
        <v>0</v>
      </c>
      <c r="N42" s="37">
        <f>SUMIFS(Wine1!$I:$I,Wine1!$K:$K,Location!$A42,Wine1!$AA:$AA,Location!N$1)</f>
        <v>0</v>
      </c>
      <c r="O42" s="37">
        <f>SUMIFS(Wine1!$I:$I,Wine1!$K:$K,Location!$A42,Wine1!$AA:$AA,Location!O$1)</f>
        <v>1</v>
      </c>
      <c r="P42" s="37">
        <f>SUMIFS(Wine1!$I:$I,Wine1!$K:$K,Location!$A42,Wine1!$AA:$AA,Location!P$1)</f>
        <v>0</v>
      </c>
      <c r="Q42" s="37">
        <f>SUMIFS(Wine1!$I:$I,Wine1!$K:$K,Location!$A42,Wine1!$AA:$AA,Location!Q$1)</f>
        <v>0</v>
      </c>
      <c r="R42" s="37">
        <f>SUMIFS(Wine1!$I:$I,Wine1!$K:$K,Location!$A42,Wine1!$AA:$AA,Location!R$1)</f>
        <v>1</v>
      </c>
      <c r="S42" s="37">
        <f>SUMIFS(Wine1!$I:$I,Wine1!$K:$K,Location!$A42,Wine1!$AA:$AA,Location!S$1)</f>
        <v>0</v>
      </c>
      <c r="T42" s="37">
        <f>SUMIFS(Wine1!$I:$I,Wine1!$K:$K,Location!$A42,Wine1!$AA:$AA,Location!T$1)</f>
        <v>0</v>
      </c>
      <c r="U42" s="37">
        <f>SUMIFS(Wine1!$I:$I,Wine1!$K:$K,Location!$A42,Wine1!$AA:$AA,Location!U$1)</f>
        <v>0</v>
      </c>
      <c r="V42" s="37">
        <f>SUMIFS(Wine1!$I:$I,Wine1!$K:$K,Location!$A42,Wine1!$AA:$AA,Location!V$1)</f>
        <v>1</v>
      </c>
      <c r="W42" s="37">
        <f>SUMIFS(Wine1!$I:$I,Wine1!$K:$K,Location!$A42,Wine1!$AA:$AA,Location!W$1)</f>
        <v>0</v>
      </c>
      <c r="X42" s="37">
        <f>SUMIFS(Wine1!$I:$I,Wine1!$K:$K,Location!$A42,Wine1!$AA:$AA,Location!X$1)</f>
        <v>0</v>
      </c>
      <c r="Y42" s="37">
        <f>SUMIFS(Wine1!$I:$I,Wine1!$K:$K,Location!$A42,Wine1!$AA:$AA,Location!Y$1)</f>
        <v>2</v>
      </c>
      <c r="Z42" s="37">
        <f>SUMIFS(Wine1!$I:$I,Wine1!$K:$K,Location!$A42,Wine1!$AA:$AA,Location!Z$1)</f>
        <v>0</v>
      </c>
      <c r="AA42" s="37">
        <f>SUMIFS(Wine1!$I:$I,Wine1!$K:$K,Location!$A42,Wine1!$AA:$AA,Location!AA$1)</f>
        <v>0</v>
      </c>
      <c r="AB42" s="37">
        <f>SUMIFS(Wine1!$I:$I,Wine1!$K:$K,Location!$A42,Wine1!$AA:$AA,Location!AB$1)</f>
        <v>1</v>
      </c>
      <c r="AC42" s="37">
        <f>SUMIFS(Wine1!$I:$I,Wine1!$K:$K,Location!$A42,Wine1!$AA:$AA,Location!AC$1)</f>
        <v>0</v>
      </c>
      <c r="AD42" s="37">
        <f>SUMIFS(Wine1!$I:$I,Wine1!$K:$K,Location!$A42,Wine1!$AA:$AA,Location!AD$1)</f>
        <v>1</v>
      </c>
      <c r="AE42" s="37">
        <f>SUMIFS(Wine1!$I:$I,Wine1!$K:$K,Location!$A42,Wine1!$AA:$AA,Location!AE$1)</f>
        <v>0</v>
      </c>
      <c r="AF42" s="37">
        <f>SUMIFS(Wine1!$I:$I,Wine1!$K:$K,Location!$A42,Wine1!$AA:$AA,Location!AF$1)</f>
        <v>1</v>
      </c>
      <c r="AG42" s="37">
        <f>SUMIFS(Wine1!$I:$I,Wine1!$K:$K,Location!$A42,Wine1!$AA:$AA,Location!AG$1)</f>
        <v>1</v>
      </c>
      <c r="AH42" s="37">
        <f>SUMIFS(Wine1!$I:$I,Wine1!$K:$K,Location!$A42,Wine1!$AA:$AA,Location!AH$1)</f>
        <v>0</v>
      </c>
      <c r="AI42" s="37">
        <f>SUMIFS(Wine1!$I:$I,Wine1!$K:$K,Location!$A42,Wine1!$AA:$AA,Location!AI$1)</f>
        <v>1</v>
      </c>
      <c r="AJ42" s="37">
        <f>SUMIFS(Wine1!$I:$I,Wine1!$K:$K,Location!$A42,Wine1!$AA:$AA,Location!AJ$1)</f>
        <v>0</v>
      </c>
      <c r="AK42" s="37">
        <f>SUMIFS(Wine1!$I:$I,Wine1!$K:$K,Location!$A42,Wine1!$AA:$AA,Location!AK$1)</f>
        <v>1</v>
      </c>
      <c r="AL42" s="37">
        <f>SUMIFS(Wine1!$I:$I,Wine1!$K:$K,Location!$A42,Wine1!$AA:$AA,Location!AL$1)</f>
        <v>0</v>
      </c>
      <c r="AM42" s="37">
        <f>SUMIFS(Wine1!$I:$I,Wine1!$K:$K,Location!$A42,Wine1!$AA:$AA,Location!AM$1)</f>
        <v>0</v>
      </c>
      <c r="AN42" s="37">
        <f>SUMIFS(Wine1!$I:$I,Wine1!$K:$K,Location!$A42,Wine1!$AA:$AA,Location!AN$1)</f>
        <v>0</v>
      </c>
      <c r="AO42" s="37">
        <f>SUMIFS(Wine1!$I:$I,Wine1!$K:$K,Location!$A42,Wine1!$AA:$AA,Location!AO$1)</f>
        <v>0</v>
      </c>
      <c r="AP42" s="37">
        <f>SUMIFS(Wine1!$I:$I,Wine1!$K:$K,Location!$A42,Wine1!$AA:$AA,Location!AP$1)</f>
        <v>0</v>
      </c>
      <c r="AQ42" s="37">
        <f>SUMIFS(Wine1!$I:$I,Wine1!$K:$K,Location!$A42,Wine1!$AA:$AA,Location!AQ$1)</f>
        <v>1</v>
      </c>
      <c r="AR42" s="37">
        <f>SUMIFS(Wine1!$I:$I,Wine1!$K:$K,Location!$A42,Wine1!$AA:$AA,Location!AR$1)</f>
        <v>0</v>
      </c>
      <c r="AS42" s="37">
        <f>SUMIFS(Wine1!$I:$I,Wine1!$K:$K,Location!$A42,Wine1!$AA:$AA,Location!AS$1)</f>
        <v>0</v>
      </c>
      <c r="AT42" s="37">
        <f>SUMIFS(Wine1!$I:$I,Wine1!$K:$K,Location!$A42,Wine1!$AA:$AA,Location!AT$1)</f>
        <v>0</v>
      </c>
      <c r="AU42" s="37">
        <f>SUMIFS(Wine1!$I:$I,Wine1!$K:$K,Location!$A42,Wine1!$AA:$AA,Location!AU$1)</f>
        <v>0</v>
      </c>
      <c r="AV42" s="37">
        <f>SUMIFS(Wine1!$I:$I,Wine1!$K:$K,Location!$A42,Wine1!$AA:$AA,Location!AV$1)</f>
        <v>0</v>
      </c>
      <c r="AW42" s="37">
        <f>SUMIFS(Wine1!$I:$I,Wine1!$K:$K,Location!$A42,Wine1!$AA:$AA,Location!AW$1)</f>
        <v>0</v>
      </c>
      <c r="AX42" s="37">
        <f>SUMIFS(Wine1!$I:$I,Wine1!$K:$K,Location!$A42,Wine1!$AA:$AA,Location!AX$1)</f>
        <v>0</v>
      </c>
      <c r="AY42" s="37">
        <f>SUMIFS(Wine1!$I:$I,Wine1!$K:$K,Location!$A42,Wine1!$AA:$AA,Location!AY$1)</f>
        <v>0</v>
      </c>
      <c r="AZ42" s="37">
        <f>SUMIFS(Wine1!$I:$I,Wine1!$K:$K,Location!$A42,Wine1!$AA:$AA,Location!AZ$1)</f>
        <v>0</v>
      </c>
      <c r="BA42" s="37">
        <f>SUMIFS(Wine1!$I:$I,Wine1!$K:$K,Location!$A42,Wine1!$AA:$AA,Location!BA$1)</f>
        <v>0</v>
      </c>
      <c r="BB42" s="37">
        <f>SUMIFS(Wine1!$I:$I,Wine1!$K:$K,Location!$A42,Wine1!$AA:$AA,Location!BB$1)</f>
        <v>0</v>
      </c>
      <c r="BC42" s="37">
        <f>SUMIFS(Wine1!$I:$I,Wine1!$K:$K,Location!$A42,Wine1!$AA:$AA,Location!BC$1)</f>
        <v>0</v>
      </c>
      <c r="BD42" s="37">
        <f>SUMIFS(Wine1!$I:$I,Wine1!$K:$K,Location!$A42,Wine1!$AA:$AA,Location!BD$1)</f>
        <v>0</v>
      </c>
      <c r="BE42" s="37">
        <f>SUMIFS(Wine1!$I:$I,Wine1!$K:$K,Location!$A42,Wine1!$AA:$AA,Location!BE$1)</f>
        <v>0</v>
      </c>
      <c r="BF42" s="37">
        <f>SUMIFS(Wine1!$I:$I,Wine1!$K:$K,Location!$A42,Wine1!$AA:$AA,Location!BF$1)</f>
        <v>0</v>
      </c>
      <c r="BG42" s="37">
        <f>SUMIFS(Wine1!$I:$I,Wine1!$K:$K,Location!$A42,Wine1!$AA:$AA,Location!BG$1)</f>
        <v>0</v>
      </c>
      <c r="BH42" s="37">
        <f>SUMIFS(Wine1!$I:$I,Wine1!$K:$K,Location!$A42,Wine1!$AA:$AA,Location!BH$1)</f>
        <v>0</v>
      </c>
      <c r="BI42" s="37">
        <f>SUMIFS(Wine1!$I:$I,Wine1!$K:$K,Location!$A42,Wine1!$AA:$AA,Location!BI$1)</f>
        <v>0</v>
      </c>
    </row>
    <row r="43" spans="1:61" s="37" customFormat="1" x14ac:dyDescent="0.25">
      <c r="A43" s="38" t="s">
        <v>1235</v>
      </c>
      <c r="B43" s="37">
        <f>SUMIF(Wine1!K:K,Location!A43,Wine1!I:I)</f>
        <v>12</v>
      </c>
      <c r="C43" s="37">
        <v>12</v>
      </c>
      <c r="D43" s="37">
        <f t="shared" si="1"/>
        <v>0</v>
      </c>
      <c r="E43" s="37" t="s">
        <v>603</v>
      </c>
      <c r="F43" s="37" t="s">
        <v>1533</v>
      </c>
      <c r="G43" s="1"/>
      <c r="H43" s="56">
        <f>COUNTIFS(Wine1!$K:$K,Location!$A43,Wine1!$AF:$AF,Location!H$1)</f>
        <v>0</v>
      </c>
      <c r="I43" s="57">
        <f>COUNTIFS(Wine1!$K:$K,Location!$A43,Wine1!$AF:$AF,Location!I$1)</f>
        <v>0</v>
      </c>
      <c r="J43" s="57">
        <f>COUNTIFS(Wine1!$K:$K,Location!$A43,Wine1!$AF:$AF,Location!J$1)</f>
        <v>12</v>
      </c>
      <c r="K43" s="58">
        <f>COUNTIFS(Wine1!$K:$K,Location!$A43,Wine1!$AF:$AF,Location!K$1)</f>
        <v>0</v>
      </c>
      <c r="L43" s="18">
        <f>IFERROR(AVERAGEIF(Wine1!K:K,Location!A43,Wine1!AA:AA),"Empty")</f>
        <v>2031.5</v>
      </c>
      <c r="M43" s="37">
        <f>SUMIFS(Wine1!$I:$I,Wine1!$K:$K,Location!$A43,Wine1!$AA:$AA,Location!M$1)</f>
        <v>0</v>
      </c>
      <c r="N43" s="37">
        <f>SUMIFS(Wine1!$I:$I,Wine1!$K:$K,Location!$A43,Wine1!$AA:$AA,Location!N$1)</f>
        <v>0</v>
      </c>
      <c r="O43" s="37">
        <f>SUMIFS(Wine1!$I:$I,Wine1!$K:$K,Location!$A43,Wine1!$AA:$AA,Location!O$1)</f>
        <v>1</v>
      </c>
      <c r="P43" s="37">
        <f>SUMIFS(Wine1!$I:$I,Wine1!$K:$K,Location!$A43,Wine1!$AA:$AA,Location!P$1)</f>
        <v>0</v>
      </c>
      <c r="Q43" s="37">
        <f>SUMIFS(Wine1!$I:$I,Wine1!$K:$K,Location!$A43,Wine1!$AA:$AA,Location!Q$1)</f>
        <v>1</v>
      </c>
      <c r="R43" s="37">
        <f>SUMIFS(Wine1!$I:$I,Wine1!$K:$K,Location!$A43,Wine1!$AA:$AA,Location!R$1)</f>
        <v>0</v>
      </c>
      <c r="S43" s="37">
        <f>SUMIFS(Wine1!$I:$I,Wine1!$K:$K,Location!$A43,Wine1!$AA:$AA,Location!S$1)</f>
        <v>2</v>
      </c>
      <c r="T43" s="37">
        <f>SUMIFS(Wine1!$I:$I,Wine1!$K:$K,Location!$A43,Wine1!$AA:$AA,Location!T$1)</f>
        <v>0</v>
      </c>
      <c r="U43" s="37">
        <f>SUMIFS(Wine1!$I:$I,Wine1!$K:$K,Location!$A43,Wine1!$AA:$AA,Location!U$1)</f>
        <v>1</v>
      </c>
      <c r="V43" s="37">
        <f>SUMIFS(Wine1!$I:$I,Wine1!$K:$K,Location!$A43,Wine1!$AA:$AA,Location!V$1)</f>
        <v>0</v>
      </c>
      <c r="W43" s="37">
        <f>SUMIFS(Wine1!$I:$I,Wine1!$K:$K,Location!$A43,Wine1!$AA:$AA,Location!W$1)</f>
        <v>1</v>
      </c>
      <c r="X43" s="37">
        <f>SUMIFS(Wine1!$I:$I,Wine1!$K:$K,Location!$A43,Wine1!$AA:$AA,Location!X$1)</f>
        <v>0</v>
      </c>
      <c r="Y43" s="37">
        <f>SUMIFS(Wine1!$I:$I,Wine1!$K:$K,Location!$A43,Wine1!$AA:$AA,Location!Y$1)</f>
        <v>1</v>
      </c>
      <c r="Z43" s="37">
        <f>SUMIFS(Wine1!$I:$I,Wine1!$K:$K,Location!$A43,Wine1!$AA:$AA,Location!Z$1)</f>
        <v>0</v>
      </c>
      <c r="AA43" s="37">
        <f>SUMIFS(Wine1!$I:$I,Wine1!$K:$K,Location!$A43,Wine1!$AA:$AA,Location!AA$1)</f>
        <v>1</v>
      </c>
      <c r="AB43" s="37">
        <f>SUMIFS(Wine1!$I:$I,Wine1!$K:$K,Location!$A43,Wine1!$AA:$AA,Location!AB$1)</f>
        <v>0</v>
      </c>
      <c r="AC43" s="37">
        <f>SUMIFS(Wine1!$I:$I,Wine1!$K:$K,Location!$A43,Wine1!$AA:$AA,Location!AC$1)</f>
        <v>1</v>
      </c>
      <c r="AD43" s="37">
        <f>SUMIFS(Wine1!$I:$I,Wine1!$K:$K,Location!$A43,Wine1!$AA:$AA,Location!AD$1)</f>
        <v>0</v>
      </c>
      <c r="AE43" s="37">
        <f>SUMIFS(Wine1!$I:$I,Wine1!$K:$K,Location!$A43,Wine1!$AA:$AA,Location!AE$1)</f>
        <v>1</v>
      </c>
      <c r="AF43" s="37">
        <f>SUMIFS(Wine1!$I:$I,Wine1!$K:$K,Location!$A43,Wine1!$AA:$AA,Location!AF$1)</f>
        <v>0</v>
      </c>
      <c r="AG43" s="37">
        <f>SUMIFS(Wine1!$I:$I,Wine1!$K:$K,Location!$A43,Wine1!$AA:$AA,Location!AG$1)</f>
        <v>1</v>
      </c>
      <c r="AH43" s="37">
        <f>SUMIFS(Wine1!$I:$I,Wine1!$K:$K,Location!$A43,Wine1!$AA:$AA,Location!AH$1)</f>
        <v>0</v>
      </c>
      <c r="AI43" s="37">
        <f>SUMIFS(Wine1!$I:$I,Wine1!$K:$K,Location!$A43,Wine1!$AA:$AA,Location!AI$1)</f>
        <v>1</v>
      </c>
      <c r="AJ43" s="37">
        <f>SUMIFS(Wine1!$I:$I,Wine1!$K:$K,Location!$A43,Wine1!$AA:$AA,Location!AJ$1)</f>
        <v>0</v>
      </c>
      <c r="AK43" s="37">
        <f>SUMIFS(Wine1!$I:$I,Wine1!$K:$K,Location!$A43,Wine1!$AA:$AA,Location!AK$1)</f>
        <v>0</v>
      </c>
      <c r="AL43" s="37">
        <f>SUMIFS(Wine1!$I:$I,Wine1!$K:$K,Location!$A43,Wine1!$AA:$AA,Location!AL$1)</f>
        <v>0</v>
      </c>
      <c r="AM43" s="37">
        <f>SUMIFS(Wine1!$I:$I,Wine1!$K:$K,Location!$A43,Wine1!$AA:$AA,Location!AM$1)</f>
        <v>0</v>
      </c>
      <c r="AN43" s="37">
        <f>SUMIFS(Wine1!$I:$I,Wine1!$K:$K,Location!$A43,Wine1!$AA:$AA,Location!AN$1)</f>
        <v>0</v>
      </c>
      <c r="AO43" s="37">
        <f>SUMIFS(Wine1!$I:$I,Wine1!$K:$K,Location!$A43,Wine1!$AA:$AA,Location!AO$1)</f>
        <v>0</v>
      </c>
      <c r="AP43" s="37">
        <f>SUMIFS(Wine1!$I:$I,Wine1!$K:$K,Location!$A43,Wine1!$AA:$AA,Location!AP$1)</f>
        <v>0</v>
      </c>
      <c r="AQ43" s="37">
        <f>SUMIFS(Wine1!$I:$I,Wine1!$K:$K,Location!$A43,Wine1!$AA:$AA,Location!AQ$1)</f>
        <v>0</v>
      </c>
      <c r="AR43" s="37">
        <f>SUMIFS(Wine1!$I:$I,Wine1!$K:$K,Location!$A43,Wine1!$AA:$AA,Location!AR$1)</f>
        <v>0</v>
      </c>
      <c r="AS43" s="37">
        <f>SUMIFS(Wine1!$I:$I,Wine1!$K:$K,Location!$A43,Wine1!$AA:$AA,Location!AS$1)</f>
        <v>0</v>
      </c>
      <c r="AT43" s="37">
        <f>SUMIFS(Wine1!$I:$I,Wine1!$K:$K,Location!$A43,Wine1!$AA:$AA,Location!AT$1)</f>
        <v>0</v>
      </c>
      <c r="AU43" s="37">
        <f>SUMIFS(Wine1!$I:$I,Wine1!$K:$K,Location!$A43,Wine1!$AA:$AA,Location!AU$1)</f>
        <v>0</v>
      </c>
      <c r="AV43" s="37">
        <f>SUMIFS(Wine1!$I:$I,Wine1!$K:$K,Location!$A43,Wine1!$AA:$AA,Location!AV$1)</f>
        <v>0</v>
      </c>
      <c r="AW43" s="37">
        <f>SUMIFS(Wine1!$I:$I,Wine1!$K:$K,Location!$A43,Wine1!$AA:$AA,Location!AW$1)</f>
        <v>0</v>
      </c>
      <c r="AX43" s="37">
        <f>SUMIFS(Wine1!$I:$I,Wine1!$K:$K,Location!$A43,Wine1!$AA:$AA,Location!AX$1)</f>
        <v>0</v>
      </c>
      <c r="AY43" s="37">
        <f>SUMIFS(Wine1!$I:$I,Wine1!$K:$K,Location!$A43,Wine1!$AA:$AA,Location!AY$1)</f>
        <v>0</v>
      </c>
      <c r="AZ43" s="37">
        <f>SUMIFS(Wine1!$I:$I,Wine1!$K:$K,Location!$A43,Wine1!$AA:$AA,Location!AZ$1)</f>
        <v>0</v>
      </c>
      <c r="BA43" s="37">
        <f>SUMIFS(Wine1!$I:$I,Wine1!$K:$K,Location!$A43,Wine1!$AA:$AA,Location!BA$1)</f>
        <v>0</v>
      </c>
      <c r="BB43" s="37">
        <f>SUMIFS(Wine1!$I:$I,Wine1!$K:$K,Location!$A43,Wine1!$AA:$AA,Location!BB$1)</f>
        <v>0</v>
      </c>
      <c r="BC43" s="37">
        <f>SUMIFS(Wine1!$I:$I,Wine1!$K:$K,Location!$A43,Wine1!$AA:$AA,Location!BC$1)</f>
        <v>0</v>
      </c>
      <c r="BD43" s="37">
        <f>SUMIFS(Wine1!$I:$I,Wine1!$K:$K,Location!$A43,Wine1!$AA:$AA,Location!BD$1)</f>
        <v>0</v>
      </c>
      <c r="BE43" s="37">
        <f>SUMIFS(Wine1!$I:$I,Wine1!$K:$K,Location!$A43,Wine1!$AA:$AA,Location!BE$1)</f>
        <v>0</v>
      </c>
      <c r="BF43" s="37">
        <f>SUMIFS(Wine1!$I:$I,Wine1!$K:$K,Location!$A43,Wine1!$AA:$AA,Location!BF$1)</f>
        <v>0</v>
      </c>
      <c r="BG43" s="37">
        <f>SUMIFS(Wine1!$I:$I,Wine1!$K:$K,Location!$A43,Wine1!$AA:$AA,Location!BG$1)</f>
        <v>0</v>
      </c>
      <c r="BH43" s="37">
        <f>SUMIFS(Wine1!$I:$I,Wine1!$K:$K,Location!$A43,Wine1!$AA:$AA,Location!BH$1)</f>
        <v>0</v>
      </c>
      <c r="BI43" s="37">
        <f>SUMIFS(Wine1!$I:$I,Wine1!$K:$K,Location!$A43,Wine1!$AA:$AA,Location!BI$1)</f>
        <v>0</v>
      </c>
    </row>
    <row r="44" spans="1:61" s="37" customFormat="1" x14ac:dyDescent="0.25">
      <c r="A44" s="8" t="s">
        <v>1313</v>
      </c>
      <c r="B44" s="37">
        <f>SUMIF(Wine1!K:K,Location!A44,Wine1!I:I)</f>
        <v>12</v>
      </c>
      <c r="C44" s="37">
        <v>12</v>
      </c>
      <c r="D44" s="37">
        <f t="shared" si="1"/>
        <v>0</v>
      </c>
      <c r="E44" s="78" t="s">
        <v>603</v>
      </c>
      <c r="F44" s="37" t="s">
        <v>1533</v>
      </c>
      <c r="G44" s="1"/>
      <c r="H44" s="56">
        <f>COUNTIFS(Wine1!$K:$K,Location!$A44,Wine1!$AF:$AF,Location!H$1)</f>
        <v>0</v>
      </c>
      <c r="I44" s="57">
        <f>COUNTIFS(Wine1!$K:$K,Location!$A44,Wine1!$AF:$AF,Location!I$1)</f>
        <v>2</v>
      </c>
      <c r="J44" s="57">
        <f>COUNTIFS(Wine1!$K:$K,Location!$A44,Wine1!$AF:$AF,Location!J$1)</f>
        <v>10</v>
      </c>
      <c r="K44" s="58">
        <f>COUNTIFS(Wine1!$K:$K,Location!$A44,Wine1!$AF:$AF,Location!K$1)</f>
        <v>0</v>
      </c>
      <c r="L44" s="18">
        <f>IFERROR(AVERAGEIF(Wine1!K:K,Location!A44,Wine1!AA:AA),"Empty")</f>
        <v>2030</v>
      </c>
      <c r="M44" s="37">
        <f>SUMIFS(Wine1!$I:$I,Wine1!$K:$K,Location!$A44,Wine1!$AA:$AA,Location!M$1)</f>
        <v>0</v>
      </c>
      <c r="N44" s="37">
        <f>SUMIFS(Wine1!$I:$I,Wine1!$K:$K,Location!$A44,Wine1!$AA:$AA,Location!N$1)</f>
        <v>0</v>
      </c>
      <c r="O44" s="37">
        <f>SUMIFS(Wine1!$I:$I,Wine1!$K:$K,Location!$A44,Wine1!$AA:$AA,Location!O$1)</f>
        <v>0</v>
      </c>
      <c r="P44" s="37">
        <f>SUMIFS(Wine1!$I:$I,Wine1!$K:$K,Location!$A44,Wine1!$AA:$AA,Location!P$1)</f>
        <v>0</v>
      </c>
      <c r="Q44" s="37">
        <f>SUMIFS(Wine1!$I:$I,Wine1!$K:$K,Location!$A44,Wine1!$AA:$AA,Location!Q$1)</f>
        <v>0</v>
      </c>
      <c r="R44" s="37">
        <f>SUMIFS(Wine1!$I:$I,Wine1!$K:$K,Location!$A44,Wine1!$AA:$AA,Location!R$1)</f>
        <v>1</v>
      </c>
      <c r="S44" s="37">
        <f>SUMIFS(Wine1!$I:$I,Wine1!$K:$K,Location!$A44,Wine1!$AA:$AA,Location!S$1)</f>
        <v>3</v>
      </c>
      <c r="T44" s="37">
        <f>SUMIFS(Wine1!$I:$I,Wine1!$K:$K,Location!$A44,Wine1!$AA:$AA,Location!T$1)</f>
        <v>1</v>
      </c>
      <c r="U44" s="37">
        <f>SUMIFS(Wine1!$I:$I,Wine1!$K:$K,Location!$A44,Wine1!$AA:$AA,Location!U$1)</f>
        <v>2</v>
      </c>
      <c r="V44" s="37">
        <f>SUMIFS(Wine1!$I:$I,Wine1!$K:$K,Location!$A44,Wine1!$AA:$AA,Location!V$1)</f>
        <v>0</v>
      </c>
      <c r="W44" s="37">
        <f>SUMIFS(Wine1!$I:$I,Wine1!$K:$K,Location!$A44,Wine1!$AA:$AA,Location!W$1)</f>
        <v>1</v>
      </c>
      <c r="X44" s="37">
        <f>SUMIFS(Wine1!$I:$I,Wine1!$K:$K,Location!$A44,Wine1!$AA:$AA,Location!X$1)</f>
        <v>0</v>
      </c>
      <c r="Y44" s="37">
        <f>SUMIFS(Wine1!$I:$I,Wine1!$K:$K,Location!$A44,Wine1!$AA:$AA,Location!Y$1)</f>
        <v>1</v>
      </c>
      <c r="Z44" s="37">
        <f>SUMIFS(Wine1!$I:$I,Wine1!$K:$K,Location!$A44,Wine1!$AA:$AA,Location!Z$1)</f>
        <v>0</v>
      </c>
      <c r="AA44" s="37">
        <f>SUMIFS(Wine1!$I:$I,Wine1!$K:$K,Location!$A44,Wine1!$AA:$AA,Location!AA$1)</f>
        <v>1</v>
      </c>
      <c r="AB44" s="37">
        <f>SUMIFS(Wine1!$I:$I,Wine1!$K:$K,Location!$A44,Wine1!$AA:$AA,Location!AB$1)</f>
        <v>0</v>
      </c>
      <c r="AC44" s="37">
        <f>SUMIFS(Wine1!$I:$I,Wine1!$K:$K,Location!$A44,Wine1!$AA:$AA,Location!AC$1)</f>
        <v>0</v>
      </c>
      <c r="AD44" s="37">
        <f>SUMIFS(Wine1!$I:$I,Wine1!$K:$K,Location!$A44,Wine1!$AA:$AA,Location!AD$1)</f>
        <v>0</v>
      </c>
      <c r="AE44" s="37">
        <f>SUMIFS(Wine1!$I:$I,Wine1!$K:$K,Location!$A44,Wine1!$AA:$AA,Location!AE$1)</f>
        <v>1</v>
      </c>
      <c r="AF44" s="37">
        <f>SUMIFS(Wine1!$I:$I,Wine1!$K:$K,Location!$A44,Wine1!$AA:$AA,Location!AF$1)</f>
        <v>0</v>
      </c>
      <c r="AG44" s="37">
        <f>SUMIFS(Wine1!$I:$I,Wine1!$K:$K,Location!$A44,Wine1!$AA:$AA,Location!AG$1)</f>
        <v>1</v>
      </c>
      <c r="AH44" s="37">
        <f>SUMIFS(Wine1!$I:$I,Wine1!$K:$K,Location!$A44,Wine1!$AA:$AA,Location!AH$1)</f>
        <v>0</v>
      </c>
      <c r="AI44" s="37">
        <f>SUMIFS(Wine1!$I:$I,Wine1!$K:$K,Location!$A44,Wine1!$AA:$AA,Location!AI$1)</f>
        <v>0</v>
      </c>
      <c r="AJ44" s="37">
        <f>SUMIFS(Wine1!$I:$I,Wine1!$K:$K,Location!$A44,Wine1!$AA:$AA,Location!AJ$1)</f>
        <v>0</v>
      </c>
      <c r="AK44" s="37">
        <f>SUMIFS(Wine1!$I:$I,Wine1!$K:$K,Location!$A44,Wine1!$AA:$AA,Location!AK$1)</f>
        <v>0</v>
      </c>
      <c r="AL44" s="37">
        <f>SUMIFS(Wine1!$I:$I,Wine1!$K:$K,Location!$A44,Wine1!$AA:$AA,Location!AL$1)</f>
        <v>0</v>
      </c>
      <c r="AM44" s="37">
        <f>SUMIFS(Wine1!$I:$I,Wine1!$K:$K,Location!$A44,Wine1!$AA:$AA,Location!AM$1)</f>
        <v>0</v>
      </c>
      <c r="AN44" s="37">
        <f>SUMIFS(Wine1!$I:$I,Wine1!$K:$K,Location!$A44,Wine1!$AA:$AA,Location!AN$1)</f>
        <v>0</v>
      </c>
      <c r="AO44" s="37">
        <f>SUMIFS(Wine1!$I:$I,Wine1!$K:$K,Location!$A44,Wine1!$AA:$AA,Location!AO$1)</f>
        <v>0</v>
      </c>
      <c r="AP44" s="37">
        <f>SUMIFS(Wine1!$I:$I,Wine1!$K:$K,Location!$A44,Wine1!$AA:$AA,Location!AP$1)</f>
        <v>0</v>
      </c>
      <c r="AQ44" s="37">
        <f>SUMIFS(Wine1!$I:$I,Wine1!$K:$K,Location!$A44,Wine1!$AA:$AA,Location!AQ$1)</f>
        <v>0</v>
      </c>
      <c r="AR44" s="37">
        <f>SUMIFS(Wine1!$I:$I,Wine1!$K:$K,Location!$A44,Wine1!$AA:$AA,Location!AR$1)</f>
        <v>0</v>
      </c>
      <c r="AS44" s="37">
        <f>SUMIFS(Wine1!$I:$I,Wine1!$K:$K,Location!$A44,Wine1!$AA:$AA,Location!AS$1)</f>
        <v>0</v>
      </c>
      <c r="AT44" s="37">
        <f>SUMIFS(Wine1!$I:$I,Wine1!$K:$K,Location!$A44,Wine1!$AA:$AA,Location!AT$1)</f>
        <v>0</v>
      </c>
      <c r="AU44" s="37">
        <f>SUMIFS(Wine1!$I:$I,Wine1!$K:$K,Location!$A44,Wine1!$AA:$AA,Location!AU$1)</f>
        <v>0</v>
      </c>
      <c r="AV44" s="37">
        <f>SUMIFS(Wine1!$I:$I,Wine1!$K:$K,Location!$A44,Wine1!$AA:$AA,Location!AV$1)</f>
        <v>0</v>
      </c>
      <c r="AW44" s="37">
        <f>SUMIFS(Wine1!$I:$I,Wine1!$K:$K,Location!$A44,Wine1!$AA:$AA,Location!AW$1)</f>
        <v>0</v>
      </c>
      <c r="AX44" s="37">
        <f>SUMIFS(Wine1!$I:$I,Wine1!$K:$K,Location!$A44,Wine1!$AA:$AA,Location!AX$1)</f>
        <v>0</v>
      </c>
      <c r="AY44" s="37">
        <f>SUMIFS(Wine1!$I:$I,Wine1!$K:$K,Location!$A44,Wine1!$AA:$AA,Location!AY$1)</f>
        <v>0</v>
      </c>
      <c r="AZ44" s="37">
        <f>SUMIFS(Wine1!$I:$I,Wine1!$K:$K,Location!$A44,Wine1!$AA:$AA,Location!AZ$1)</f>
        <v>0</v>
      </c>
      <c r="BA44" s="37">
        <f>SUMIFS(Wine1!$I:$I,Wine1!$K:$K,Location!$A44,Wine1!$AA:$AA,Location!BA$1)</f>
        <v>0</v>
      </c>
      <c r="BB44" s="37">
        <f>SUMIFS(Wine1!$I:$I,Wine1!$K:$K,Location!$A44,Wine1!$AA:$AA,Location!BB$1)</f>
        <v>0</v>
      </c>
      <c r="BC44" s="37">
        <f>SUMIFS(Wine1!$I:$I,Wine1!$K:$K,Location!$A44,Wine1!$AA:$AA,Location!BC$1)</f>
        <v>0</v>
      </c>
      <c r="BD44" s="37">
        <f>SUMIFS(Wine1!$I:$I,Wine1!$K:$K,Location!$A44,Wine1!$AA:$AA,Location!BD$1)</f>
        <v>0</v>
      </c>
      <c r="BE44" s="37">
        <f>SUMIFS(Wine1!$I:$I,Wine1!$K:$K,Location!$A44,Wine1!$AA:$AA,Location!BE$1)</f>
        <v>0</v>
      </c>
      <c r="BF44" s="37">
        <f>SUMIFS(Wine1!$I:$I,Wine1!$K:$K,Location!$A44,Wine1!$AA:$AA,Location!BF$1)</f>
        <v>0</v>
      </c>
      <c r="BG44" s="37">
        <f>SUMIFS(Wine1!$I:$I,Wine1!$K:$K,Location!$A44,Wine1!$AA:$AA,Location!BG$1)</f>
        <v>0</v>
      </c>
      <c r="BH44" s="37">
        <f>SUMIFS(Wine1!$I:$I,Wine1!$K:$K,Location!$A44,Wine1!$AA:$AA,Location!BH$1)</f>
        <v>0</v>
      </c>
      <c r="BI44" s="37">
        <f>SUMIFS(Wine1!$I:$I,Wine1!$K:$K,Location!$A44,Wine1!$AA:$AA,Location!BI$1)</f>
        <v>0</v>
      </c>
    </row>
    <row r="45" spans="1:61" s="8" customFormat="1" x14ac:dyDescent="0.25">
      <c r="A45" s="8" t="s">
        <v>1314</v>
      </c>
      <c r="B45" s="37">
        <f>SUMIF(Wine1!K:K,Location!A45,Wine1!I:I)</f>
        <v>12</v>
      </c>
      <c r="C45" s="8">
        <v>12</v>
      </c>
      <c r="D45" s="37">
        <f t="shared" si="1"/>
        <v>0</v>
      </c>
      <c r="E45" s="78" t="s">
        <v>603</v>
      </c>
      <c r="F45" s="37" t="s">
        <v>1533</v>
      </c>
      <c r="G45" s="62"/>
      <c r="H45" s="56">
        <f>COUNTIFS(Wine1!$K:$K,Location!$A45,Wine1!$AF:$AF,Location!H$1)</f>
        <v>2</v>
      </c>
      <c r="I45" s="57">
        <f>COUNTIFS(Wine1!$K:$K,Location!$A45,Wine1!$AF:$AF,Location!I$1)</f>
        <v>8</v>
      </c>
      <c r="J45" s="57">
        <f>COUNTIFS(Wine1!$K:$K,Location!$A45,Wine1!$AF:$AF,Location!J$1)</f>
        <v>2</v>
      </c>
      <c r="K45" s="58">
        <f>COUNTIFS(Wine1!$K:$K,Location!$A45,Wine1!$AF:$AF,Location!K$1)</f>
        <v>0</v>
      </c>
      <c r="L45" s="18">
        <f>IFERROR(AVERAGEIF(Wine1!K:K,Location!A45,Wine1!AA:AA),"Empty")</f>
        <v>2023.8333333333333</v>
      </c>
      <c r="M45" s="37">
        <f>SUMIFS(Wine1!$I:$I,Wine1!$K:$K,Location!$A45,Wine1!$AA:$AA,Location!M$1)</f>
        <v>0</v>
      </c>
      <c r="N45" s="37">
        <f>SUMIFS(Wine1!$I:$I,Wine1!$K:$K,Location!$A45,Wine1!$AA:$AA,Location!N$1)</f>
        <v>0</v>
      </c>
      <c r="O45" s="37">
        <f>SUMIFS(Wine1!$I:$I,Wine1!$K:$K,Location!$A45,Wine1!$AA:$AA,Location!O$1)</f>
        <v>2</v>
      </c>
      <c r="P45" s="37">
        <f>SUMIFS(Wine1!$I:$I,Wine1!$K:$K,Location!$A45,Wine1!$AA:$AA,Location!P$1)</f>
        <v>3</v>
      </c>
      <c r="Q45" s="37">
        <f>SUMIFS(Wine1!$I:$I,Wine1!$K:$K,Location!$A45,Wine1!$AA:$AA,Location!Q$1)</f>
        <v>3</v>
      </c>
      <c r="R45" s="37">
        <f>SUMIFS(Wine1!$I:$I,Wine1!$K:$K,Location!$A45,Wine1!$AA:$AA,Location!R$1)</f>
        <v>3</v>
      </c>
      <c r="S45" s="37">
        <f>SUMIFS(Wine1!$I:$I,Wine1!$K:$K,Location!$A45,Wine1!$AA:$AA,Location!S$1)</f>
        <v>1</v>
      </c>
      <c r="T45" s="37">
        <f>SUMIFS(Wine1!$I:$I,Wine1!$K:$K,Location!$A45,Wine1!$AA:$AA,Location!T$1)</f>
        <v>0</v>
      </c>
      <c r="U45" s="37">
        <f>SUMIFS(Wine1!$I:$I,Wine1!$K:$K,Location!$A45,Wine1!$AA:$AA,Location!U$1)</f>
        <v>0</v>
      </c>
      <c r="V45" s="37">
        <f>SUMIFS(Wine1!$I:$I,Wine1!$K:$K,Location!$A45,Wine1!$AA:$AA,Location!V$1)</f>
        <v>0</v>
      </c>
      <c r="W45" s="37">
        <f>SUMIFS(Wine1!$I:$I,Wine1!$K:$K,Location!$A45,Wine1!$AA:$AA,Location!W$1)</f>
        <v>0</v>
      </c>
      <c r="X45" s="37">
        <f>SUMIFS(Wine1!$I:$I,Wine1!$K:$K,Location!$A45,Wine1!$AA:$AA,Location!X$1)</f>
        <v>0</v>
      </c>
      <c r="Y45" s="37">
        <f>SUMIFS(Wine1!$I:$I,Wine1!$K:$K,Location!$A45,Wine1!$AA:$AA,Location!Y$1)</f>
        <v>0</v>
      </c>
      <c r="Z45" s="37">
        <f>SUMIFS(Wine1!$I:$I,Wine1!$K:$K,Location!$A45,Wine1!$AA:$AA,Location!Z$1)</f>
        <v>0</v>
      </c>
      <c r="AA45" s="37">
        <f>SUMIFS(Wine1!$I:$I,Wine1!$K:$K,Location!$A45,Wine1!$AA:$AA,Location!AA$1)</f>
        <v>0</v>
      </c>
      <c r="AB45" s="37">
        <f>SUMIFS(Wine1!$I:$I,Wine1!$K:$K,Location!$A45,Wine1!$AA:$AA,Location!AB$1)</f>
        <v>0</v>
      </c>
      <c r="AC45" s="37">
        <f>SUMIFS(Wine1!$I:$I,Wine1!$K:$K,Location!$A45,Wine1!$AA:$AA,Location!AC$1)</f>
        <v>0</v>
      </c>
      <c r="AD45" s="37">
        <f>SUMIFS(Wine1!$I:$I,Wine1!$K:$K,Location!$A45,Wine1!$AA:$AA,Location!AD$1)</f>
        <v>0</v>
      </c>
      <c r="AE45" s="37">
        <f>SUMIFS(Wine1!$I:$I,Wine1!$K:$K,Location!$A45,Wine1!$AA:$AA,Location!AE$1)</f>
        <v>0</v>
      </c>
      <c r="AF45" s="37">
        <f>SUMIFS(Wine1!$I:$I,Wine1!$K:$K,Location!$A45,Wine1!$AA:$AA,Location!AF$1)</f>
        <v>0</v>
      </c>
      <c r="AG45" s="37">
        <f>SUMIFS(Wine1!$I:$I,Wine1!$K:$K,Location!$A45,Wine1!$AA:$AA,Location!AG$1)</f>
        <v>0</v>
      </c>
      <c r="AH45" s="37">
        <f>SUMIFS(Wine1!$I:$I,Wine1!$K:$K,Location!$A45,Wine1!$AA:$AA,Location!AH$1)</f>
        <v>0</v>
      </c>
      <c r="AI45" s="37">
        <f>SUMIFS(Wine1!$I:$I,Wine1!$K:$K,Location!$A45,Wine1!$AA:$AA,Location!AI$1)</f>
        <v>0</v>
      </c>
      <c r="AJ45" s="37">
        <f>SUMIFS(Wine1!$I:$I,Wine1!$K:$K,Location!$A45,Wine1!$AA:$AA,Location!AJ$1)</f>
        <v>0</v>
      </c>
      <c r="AK45" s="37">
        <f>SUMIFS(Wine1!$I:$I,Wine1!$K:$K,Location!$A45,Wine1!$AA:$AA,Location!AK$1)</f>
        <v>0</v>
      </c>
      <c r="AL45" s="37">
        <f>SUMIFS(Wine1!$I:$I,Wine1!$K:$K,Location!$A45,Wine1!$AA:$AA,Location!AL$1)</f>
        <v>0</v>
      </c>
      <c r="AM45" s="37">
        <f>SUMIFS(Wine1!$I:$I,Wine1!$K:$K,Location!$A45,Wine1!$AA:$AA,Location!AM$1)</f>
        <v>0</v>
      </c>
      <c r="AN45" s="37">
        <f>SUMIFS(Wine1!$I:$I,Wine1!$K:$K,Location!$A45,Wine1!$AA:$AA,Location!AN$1)</f>
        <v>0</v>
      </c>
      <c r="AO45" s="37">
        <f>SUMIFS(Wine1!$I:$I,Wine1!$K:$K,Location!$A45,Wine1!$AA:$AA,Location!AO$1)</f>
        <v>0</v>
      </c>
      <c r="AP45" s="37">
        <f>SUMIFS(Wine1!$I:$I,Wine1!$K:$K,Location!$A45,Wine1!$AA:$AA,Location!AP$1)</f>
        <v>0</v>
      </c>
      <c r="AQ45" s="37">
        <f>SUMIFS(Wine1!$I:$I,Wine1!$K:$K,Location!$A45,Wine1!$AA:$AA,Location!AQ$1)</f>
        <v>0</v>
      </c>
      <c r="AR45" s="37">
        <f>SUMIFS(Wine1!$I:$I,Wine1!$K:$K,Location!$A45,Wine1!$AA:$AA,Location!AR$1)</f>
        <v>0</v>
      </c>
      <c r="AS45" s="37">
        <f>SUMIFS(Wine1!$I:$I,Wine1!$K:$K,Location!$A45,Wine1!$AA:$AA,Location!AS$1)</f>
        <v>0</v>
      </c>
      <c r="AT45" s="37">
        <f>SUMIFS(Wine1!$I:$I,Wine1!$K:$K,Location!$A45,Wine1!$AA:$AA,Location!AT$1)</f>
        <v>0</v>
      </c>
      <c r="AU45" s="37">
        <f>SUMIFS(Wine1!$I:$I,Wine1!$K:$K,Location!$A45,Wine1!$AA:$AA,Location!AU$1)</f>
        <v>0</v>
      </c>
      <c r="AV45" s="37">
        <f>SUMIFS(Wine1!$I:$I,Wine1!$K:$K,Location!$A45,Wine1!$AA:$AA,Location!AV$1)</f>
        <v>0</v>
      </c>
      <c r="AW45" s="37">
        <f>SUMIFS(Wine1!$I:$I,Wine1!$K:$K,Location!$A45,Wine1!$AA:$AA,Location!AW$1)</f>
        <v>0</v>
      </c>
      <c r="AX45" s="37">
        <f>SUMIFS(Wine1!$I:$I,Wine1!$K:$K,Location!$A45,Wine1!$AA:$AA,Location!AX$1)</f>
        <v>0</v>
      </c>
      <c r="AY45" s="37">
        <f>SUMIFS(Wine1!$I:$I,Wine1!$K:$K,Location!$A45,Wine1!$AA:$AA,Location!AY$1)</f>
        <v>0</v>
      </c>
      <c r="AZ45" s="37">
        <f>SUMIFS(Wine1!$I:$I,Wine1!$K:$K,Location!$A45,Wine1!$AA:$AA,Location!AZ$1)</f>
        <v>0</v>
      </c>
      <c r="BA45" s="37">
        <f>SUMIFS(Wine1!$I:$I,Wine1!$K:$K,Location!$A45,Wine1!$AA:$AA,Location!BA$1)</f>
        <v>0</v>
      </c>
      <c r="BB45" s="37">
        <f>SUMIFS(Wine1!$I:$I,Wine1!$K:$K,Location!$A45,Wine1!$AA:$AA,Location!BB$1)</f>
        <v>0</v>
      </c>
      <c r="BC45" s="37">
        <f>SUMIFS(Wine1!$I:$I,Wine1!$K:$K,Location!$A45,Wine1!$AA:$AA,Location!BC$1)</f>
        <v>0</v>
      </c>
      <c r="BD45" s="37">
        <f>SUMIFS(Wine1!$I:$I,Wine1!$K:$K,Location!$A45,Wine1!$AA:$AA,Location!BD$1)</f>
        <v>0</v>
      </c>
      <c r="BE45" s="37">
        <f>SUMIFS(Wine1!$I:$I,Wine1!$K:$K,Location!$A45,Wine1!$AA:$AA,Location!BE$1)</f>
        <v>0</v>
      </c>
      <c r="BF45" s="37">
        <f>SUMIFS(Wine1!$I:$I,Wine1!$K:$K,Location!$A45,Wine1!$AA:$AA,Location!BF$1)</f>
        <v>0</v>
      </c>
      <c r="BG45" s="37">
        <f>SUMIFS(Wine1!$I:$I,Wine1!$K:$K,Location!$A45,Wine1!$AA:$AA,Location!BG$1)</f>
        <v>0</v>
      </c>
      <c r="BH45" s="37">
        <f>SUMIFS(Wine1!$I:$I,Wine1!$K:$K,Location!$A45,Wine1!$AA:$AA,Location!BH$1)</f>
        <v>0</v>
      </c>
      <c r="BI45" s="37">
        <f>SUMIFS(Wine1!$I:$I,Wine1!$K:$K,Location!$A45,Wine1!$AA:$AA,Location!BI$1)</f>
        <v>0</v>
      </c>
    </row>
    <row r="46" spans="1:61" s="8" customFormat="1" x14ac:dyDescent="0.25">
      <c r="A46" s="8" t="s">
        <v>1315</v>
      </c>
      <c r="B46" s="37">
        <f>SUMIF(Wine1!K:K,Location!A46,Wine1!I:I)</f>
        <v>12</v>
      </c>
      <c r="C46" s="8">
        <v>12</v>
      </c>
      <c r="D46" s="37">
        <f t="shared" si="1"/>
        <v>0</v>
      </c>
      <c r="E46" s="78" t="s">
        <v>603</v>
      </c>
      <c r="F46" s="37" t="s">
        <v>1533</v>
      </c>
      <c r="G46" s="62"/>
      <c r="H46" s="56">
        <f>COUNTIFS(Wine1!$K:$K,Location!$A46,Wine1!$AF:$AF,Location!H$1)</f>
        <v>0</v>
      </c>
      <c r="I46" s="57">
        <f>COUNTIFS(Wine1!$K:$K,Location!$A46,Wine1!$AF:$AF,Location!I$1)</f>
        <v>0</v>
      </c>
      <c r="J46" s="57">
        <f>COUNTIFS(Wine1!$K:$K,Location!$A46,Wine1!$AF:$AF,Location!J$1)</f>
        <v>10</v>
      </c>
      <c r="K46" s="58">
        <f>COUNTIFS(Wine1!$K:$K,Location!$A46,Wine1!$AF:$AF,Location!K$1)</f>
        <v>2</v>
      </c>
      <c r="L46" s="18">
        <f>IFERROR(AVERAGEIF(Wine1!K:K,Location!A46,Wine1!AA:AA),"Empty")</f>
        <v>2029</v>
      </c>
      <c r="M46" s="37">
        <f>SUMIFS(Wine1!$I:$I,Wine1!$K:$K,Location!$A46,Wine1!$AA:$AA,Location!M$1)</f>
        <v>0</v>
      </c>
      <c r="N46" s="37">
        <f>SUMIFS(Wine1!$I:$I,Wine1!$K:$K,Location!$A46,Wine1!$AA:$AA,Location!N$1)</f>
        <v>0</v>
      </c>
      <c r="O46" s="37">
        <f>SUMIFS(Wine1!$I:$I,Wine1!$K:$K,Location!$A46,Wine1!$AA:$AA,Location!O$1)</f>
        <v>0</v>
      </c>
      <c r="P46" s="37">
        <f>SUMIFS(Wine1!$I:$I,Wine1!$K:$K,Location!$A46,Wine1!$AA:$AA,Location!P$1)</f>
        <v>0</v>
      </c>
      <c r="Q46" s="37">
        <f>SUMIFS(Wine1!$I:$I,Wine1!$K:$K,Location!$A46,Wine1!$AA:$AA,Location!Q$1)</f>
        <v>0</v>
      </c>
      <c r="R46" s="37">
        <f>SUMIFS(Wine1!$I:$I,Wine1!$K:$K,Location!$A46,Wine1!$AA:$AA,Location!R$1)</f>
        <v>0</v>
      </c>
      <c r="S46" s="37">
        <f>SUMIFS(Wine1!$I:$I,Wine1!$K:$K,Location!$A46,Wine1!$AA:$AA,Location!S$1)</f>
        <v>1</v>
      </c>
      <c r="T46" s="37">
        <f>SUMIFS(Wine1!$I:$I,Wine1!$K:$K,Location!$A46,Wine1!$AA:$AA,Location!T$1)</f>
        <v>2</v>
      </c>
      <c r="U46" s="37">
        <f>SUMIFS(Wine1!$I:$I,Wine1!$K:$K,Location!$A46,Wine1!$AA:$AA,Location!U$1)</f>
        <v>2</v>
      </c>
      <c r="V46" s="37">
        <f>SUMIFS(Wine1!$I:$I,Wine1!$K:$K,Location!$A46,Wine1!$AA:$AA,Location!V$1)</f>
        <v>4</v>
      </c>
      <c r="W46" s="37">
        <f>SUMIFS(Wine1!$I:$I,Wine1!$K:$K,Location!$A46,Wine1!$AA:$AA,Location!W$1)</f>
        <v>2</v>
      </c>
      <c r="X46" s="37">
        <f>SUMIFS(Wine1!$I:$I,Wine1!$K:$K,Location!$A46,Wine1!$AA:$AA,Location!X$1)</f>
        <v>0</v>
      </c>
      <c r="Y46" s="37">
        <f>SUMIFS(Wine1!$I:$I,Wine1!$K:$K,Location!$A46,Wine1!$AA:$AA,Location!Y$1)</f>
        <v>0</v>
      </c>
      <c r="Z46" s="37">
        <f>SUMIFS(Wine1!$I:$I,Wine1!$K:$K,Location!$A46,Wine1!$AA:$AA,Location!Z$1)</f>
        <v>0</v>
      </c>
      <c r="AA46" s="37">
        <f>SUMIFS(Wine1!$I:$I,Wine1!$K:$K,Location!$A46,Wine1!$AA:$AA,Location!AA$1)</f>
        <v>0</v>
      </c>
      <c r="AB46" s="37">
        <f>SUMIFS(Wine1!$I:$I,Wine1!$K:$K,Location!$A46,Wine1!$AA:$AA,Location!AB$1)</f>
        <v>0</v>
      </c>
      <c r="AC46" s="37">
        <f>SUMIFS(Wine1!$I:$I,Wine1!$K:$K,Location!$A46,Wine1!$AA:$AA,Location!AC$1)</f>
        <v>1</v>
      </c>
      <c r="AD46" s="37">
        <f>SUMIFS(Wine1!$I:$I,Wine1!$K:$K,Location!$A46,Wine1!$AA:$AA,Location!AD$1)</f>
        <v>0</v>
      </c>
      <c r="AE46" s="37">
        <f>SUMIFS(Wine1!$I:$I,Wine1!$K:$K,Location!$A46,Wine1!$AA:$AA,Location!AE$1)</f>
        <v>0</v>
      </c>
      <c r="AF46" s="37">
        <f>SUMIFS(Wine1!$I:$I,Wine1!$K:$K,Location!$A46,Wine1!$AA:$AA,Location!AF$1)</f>
        <v>0</v>
      </c>
      <c r="AG46" s="37">
        <f>SUMIFS(Wine1!$I:$I,Wine1!$K:$K,Location!$A46,Wine1!$AA:$AA,Location!AG$1)</f>
        <v>0</v>
      </c>
      <c r="AH46" s="37">
        <f>SUMIFS(Wine1!$I:$I,Wine1!$K:$K,Location!$A46,Wine1!$AA:$AA,Location!AH$1)</f>
        <v>0</v>
      </c>
      <c r="AI46" s="37">
        <f>SUMIFS(Wine1!$I:$I,Wine1!$K:$K,Location!$A46,Wine1!$AA:$AA,Location!AI$1)</f>
        <v>0</v>
      </c>
      <c r="AJ46" s="37">
        <f>SUMIFS(Wine1!$I:$I,Wine1!$K:$K,Location!$A46,Wine1!$AA:$AA,Location!AJ$1)</f>
        <v>0</v>
      </c>
      <c r="AK46" s="37">
        <f>SUMIFS(Wine1!$I:$I,Wine1!$K:$K,Location!$A46,Wine1!$AA:$AA,Location!AK$1)</f>
        <v>0</v>
      </c>
      <c r="AL46" s="37">
        <f>SUMIFS(Wine1!$I:$I,Wine1!$K:$K,Location!$A46,Wine1!$AA:$AA,Location!AL$1)</f>
        <v>0</v>
      </c>
      <c r="AM46" s="37">
        <f>SUMIFS(Wine1!$I:$I,Wine1!$K:$K,Location!$A46,Wine1!$AA:$AA,Location!AM$1)</f>
        <v>0</v>
      </c>
      <c r="AN46" s="37">
        <f>SUMIFS(Wine1!$I:$I,Wine1!$K:$K,Location!$A46,Wine1!$AA:$AA,Location!AN$1)</f>
        <v>0</v>
      </c>
      <c r="AO46" s="37">
        <f>SUMIFS(Wine1!$I:$I,Wine1!$K:$K,Location!$A46,Wine1!$AA:$AA,Location!AO$1)</f>
        <v>0</v>
      </c>
      <c r="AP46" s="37">
        <f>SUMIFS(Wine1!$I:$I,Wine1!$K:$K,Location!$A46,Wine1!$AA:$AA,Location!AP$1)</f>
        <v>0</v>
      </c>
      <c r="AQ46" s="37">
        <f>SUMIFS(Wine1!$I:$I,Wine1!$K:$K,Location!$A46,Wine1!$AA:$AA,Location!AQ$1)</f>
        <v>0</v>
      </c>
      <c r="AR46" s="37">
        <f>SUMIFS(Wine1!$I:$I,Wine1!$K:$K,Location!$A46,Wine1!$AA:$AA,Location!AR$1)</f>
        <v>0</v>
      </c>
      <c r="AS46" s="37">
        <f>SUMIFS(Wine1!$I:$I,Wine1!$K:$K,Location!$A46,Wine1!$AA:$AA,Location!AS$1)</f>
        <v>0</v>
      </c>
      <c r="AT46" s="37">
        <f>SUMIFS(Wine1!$I:$I,Wine1!$K:$K,Location!$A46,Wine1!$AA:$AA,Location!AT$1)</f>
        <v>0</v>
      </c>
      <c r="AU46" s="37">
        <f>SUMIFS(Wine1!$I:$I,Wine1!$K:$K,Location!$A46,Wine1!$AA:$AA,Location!AU$1)</f>
        <v>0</v>
      </c>
      <c r="AV46" s="37">
        <f>SUMIFS(Wine1!$I:$I,Wine1!$K:$K,Location!$A46,Wine1!$AA:$AA,Location!AV$1)</f>
        <v>0</v>
      </c>
      <c r="AW46" s="37">
        <f>SUMIFS(Wine1!$I:$I,Wine1!$K:$K,Location!$A46,Wine1!$AA:$AA,Location!AW$1)</f>
        <v>0</v>
      </c>
      <c r="AX46" s="37">
        <f>SUMIFS(Wine1!$I:$I,Wine1!$K:$K,Location!$A46,Wine1!$AA:$AA,Location!AX$1)</f>
        <v>0</v>
      </c>
      <c r="AY46" s="37">
        <f>SUMIFS(Wine1!$I:$I,Wine1!$K:$K,Location!$A46,Wine1!$AA:$AA,Location!AY$1)</f>
        <v>0</v>
      </c>
      <c r="AZ46" s="37">
        <f>SUMIFS(Wine1!$I:$I,Wine1!$K:$K,Location!$A46,Wine1!$AA:$AA,Location!AZ$1)</f>
        <v>0</v>
      </c>
      <c r="BA46" s="37">
        <f>SUMIFS(Wine1!$I:$I,Wine1!$K:$K,Location!$A46,Wine1!$AA:$AA,Location!BA$1)</f>
        <v>0</v>
      </c>
      <c r="BB46" s="37">
        <f>SUMIFS(Wine1!$I:$I,Wine1!$K:$K,Location!$A46,Wine1!$AA:$AA,Location!BB$1)</f>
        <v>0</v>
      </c>
      <c r="BC46" s="37">
        <f>SUMIFS(Wine1!$I:$I,Wine1!$K:$K,Location!$A46,Wine1!$AA:$AA,Location!BC$1)</f>
        <v>0</v>
      </c>
      <c r="BD46" s="37">
        <f>SUMIFS(Wine1!$I:$I,Wine1!$K:$K,Location!$A46,Wine1!$AA:$AA,Location!BD$1)</f>
        <v>0</v>
      </c>
      <c r="BE46" s="37">
        <f>SUMIFS(Wine1!$I:$I,Wine1!$K:$K,Location!$A46,Wine1!$AA:$AA,Location!BE$1)</f>
        <v>0</v>
      </c>
      <c r="BF46" s="37">
        <f>SUMIFS(Wine1!$I:$I,Wine1!$K:$K,Location!$A46,Wine1!$AA:$AA,Location!BF$1)</f>
        <v>0</v>
      </c>
      <c r="BG46" s="37">
        <f>SUMIFS(Wine1!$I:$I,Wine1!$K:$K,Location!$A46,Wine1!$AA:$AA,Location!BG$1)</f>
        <v>0</v>
      </c>
      <c r="BH46" s="37">
        <f>SUMIFS(Wine1!$I:$I,Wine1!$K:$K,Location!$A46,Wine1!$AA:$AA,Location!BH$1)</f>
        <v>0</v>
      </c>
      <c r="BI46" s="37">
        <f>SUMIFS(Wine1!$I:$I,Wine1!$K:$K,Location!$A46,Wine1!$AA:$AA,Location!BI$1)</f>
        <v>0</v>
      </c>
    </row>
    <row r="47" spans="1:61" s="8" customFormat="1" x14ac:dyDescent="0.25">
      <c r="A47" s="8" t="s">
        <v>1316</v>
      </c>
      <c r="B47" s="37">
        <f>SUMIF(Wine1!K:K,Location!A47,Wine1!I:I)</f>
        <v>12</v>
      </c>
      <c r="C47" s="8">
        <v>12</v>
      </c>
      <c r="D47" s="37">
        <f t="shared" si="1"/>
        <v>0</v>
      </c>
      <c r="E47" s="8" t="s">
        <v>600</v>
      </c>
      <c r="F47" s="8" t="s">
        <v>718</v>
      </c>
      <c r="G47" s="62">
        <v>43904</v>
      </c>
      <c r="H47" s="56">
        <f>COUNTIFS(Wine1!$K:$K,Location!$A47,Wine1!$AF:$AF,Location!H$1)</f>
        <v>10</v>
      </c>
      <c r="I47" s="57">
        <f>COUNTIFS(Wine1!$K:$K,Location!$A47,Wine1!$AF:$AF,Location!I$1)</f>
        <v>1</v>
      </c>
      <c r="J47" s="57">
        <f>COUNTIFS(Wine1!$K:$K,Location!$A47,Wine1!$AF:$AF,Location!J$1)</f>
        <v>1</v>
      </c>
      <c r="K47" s="58">
        <f>COUNTIFS(Wine1!$K:$K,Location!$A47,Wine1!$AF:$AF,Location!K$1)</f>
        <v>0</v>
      </c>
      <c r="L47" s="18">
        <f>IFERROR(AVERAGEIF(Wine1!K:K,Location!A47,Wine1!AA:AA),"Empty")</f>
        <v>2020.4166666666667</v>
      </c>
      <c r="M47" s="37">
        <f>SUMIFS(Wine1!$I:$I,Wine1!$K:$K,Location!$A47,Wine1!$AA:$AA,Location!M$1)</f>
        <v>7</v>
      </c>
      <c r="N47" s="37">
        <f>SUMIFS(Wine1!$I:$I,Wine1!$K:$K,Location!$A47,Wine1!$AA:$AA,Location!N$1)</f>
        <v>5</v>
      </c>
      <c r="O47" s="37">
        <f>SUMIFS(Wine1!$I:$I,Wine1!$K:$K,Location!$A47,Wine1!$AA:$AA,Location!O$1)</f>
        <v>0</v>
      </c>
      <c r="P47" s="37">
        <f>SUMIFS(Wine1!$I:$I,Wine1!$K:$K,Location!$A47,Wine1!$AA:$AA,Location!P$1)</f>
        <v>0</v>
      </c>
      <c r="Q47" s="37">
        <f>SUMIFS(Wine1!$I:$I,Wine1!$K:$K,Location!$A47,Wine1!$AA:$AA,Location!Q$1)</f>
        <v>0</v>
      </c>
      <c r="R47" s="37">
        <f>SUMIFS(Wine1!$I:$I,Wine1!$K:$K,Location!$A47,Wine1!$AA:$AA,Location!R$1)</f>
        <v>0</v>
      </c>
      <c r="S47" s="37">
        <f>SUMIFS(Wine1!$I:$I,Wine1!$K:$K,Location!$A47,Wine1!$AA:$AA,Location!S$1)</f>
        <v>0</v>
      </c>
      <c r="T47" s="37">
        <f>SUMIFS(Wine1!$I:$I,Wine1!$K:$K,Location!$A47,Wine1!$AA:$AA,Location!T$1)</f>
        <v>0</v>
      </c>
      <c r="U47" s="37">
        <f>SUMIFS(Wine1!$I:$I,Wine1!$K:$K,Location!$A47,Wine1!$AA:$AA,Location!U$1)</f>
        <v>0</v>
      </c>
      <c r="V47" s="37">
        <f>SUMIFS(Wine1!$I:$I,Wine1!$K:$K,Location!$A47,Wine1!$AA:$AA,Location!V$1)</f>
        <v>0</v>
      </c>
      <c r="W47" s="37">
        <f>SUMIFS(Wine1!$I:$I,Wine1!$K:$K,Location!$A47,Wine1!$AA:$AA,Location!W$1)</f>
        <v>0</v>
      </c>
      <c r="X47" s="37">
        <f>SUMIFS(Wine1!$I:$I,Wine1!$K:$K,Location!$A47,Wine1!$AA:$AA,Location!X$1)</f>
        <v>0</v>
      </c>
      <c r="Y47" s="37">
        <f>SUMIFS(Wine1!$I:$I,Wine1!$K:$K,Location!$A47,Wine1!$AA:$AA,Location!Y$1)</f>
        <v>0</v>
      </c>
      <c r="Z47" s="37">
        <f>SUMIFS(Wine1!$I:$I,Wine1!$K:$K,Location!$A47,Wine1!$AA:$AA,Location!Z$1)</f>
        <v>0</v>
      </c>
      <c r="AA47" s="37">
        <f>SUMIFS(Wine1!$I:$I,Wine1!$K:$K,Location!$A47,Wine1!$AA:$AA,Location!AA$1)</f>
        <v>0</v>
      </c>
      <c r="AB47" s="37">
        <f>SUMIFS(Wine1!$I:$I,Wine1!$K:$K,Location!$A47,Wine1!$AA:$AA,Location!AB$1)</f>
        <v>0</v>
      </c>
      <c r="AC47" s="37">
        <f>SUMIFS(Wine1!$I:$I,Wine1!$K:$K,Location!$A47,Wine1!$AA:$AA,Location!AC$1)</f>
        <v>0</v>
      </c>
      <c r="AD47" s="37">
        <f>SUMIFS(Wine1!$I:$I,Wine1!$K:$K,Location!$A47,Wine1!$AA:$AA,Location!AD$1)</f>
        <v>0</v>
      </c>
      <c r="AE47" s="37">
        <f>SUMIFS(Wine1!$I:$I,Wine1!$K:$K,Location!$A47,Wine1!$AA:$AA,Location!AE$1)</f>
        <v>0</v>
      </c>
      <c r="AF47" s="37">
        <f>SUMIFS(Wine1!$I:$I,Wine1!$K:$K,Location!$A47,Wine1!$AA:$AA,Location!AF$1)</f>
        <v>0</v>
      </c>
      <c r="AG47" s="37">
        <f>SUMIFS(Wine1!$I:$I,Wine1!$K:$K,Location!$A47,Wine1!$AA:$AA,Location!AG$1)</f>
        <v>0</v>
      </c>
      <c r="AH47" s="37">
        <f>SUMIFS(Wine1!$I:$I,Wine1!$K:$K,Location!$A47,Wine1!$AA:$AA,Location!AH$1)</f>
        <v>0</v>
      </c>
      <c r="AI47" s="37">
        <f>SUMIFS(Wine1!$I:$I,Wine1!$K:$K,Location!$A47,Wine1!$AA:$AA,Location!AI$1)</f>
        <v>0</v>
      </c>
      <c r="AJ47" s="37">
        <f>SUMIFS(Wine1!$I:$I,Wine1!$K:$K,Location!$A47,Wine1!$AA:$AA,Location!AJ$1)</f>
        <v>0</v>
      </c>
      <c r="AK47" s="37">
        <f>SUMIFS(Wine1!$I:$I,Wine1!$K:$K,Location!$A47,Wine1!$AA:$AA,Location!AK$1)</f>
        <v>0</v>
      </c>
      <c r="AL47" s="37">
        <f>SUMIFS(Wine1!$I:$I,Wine1!$K:$K,Location!$A47,Wine1!$AA:$AA,Location!AL$1)</f>
        <v>0</v>
      </c>
      <c r="AM47" s="37">
        <f>SUMIFS(Wine1!$I:$I,Wine1!$K:$K,Location!$A47,Wine1!$AA:$AA,Location!AM$1)</f>
        <v>0</v>
      </c>
      <c r="AN47" s="37">
        <f>SUMIFS(Wine1!$I:$I,Wine1!$K:$K,Location!$A47,Wine1!$AA:$AA,Location!AN$1)</f>
        <v>0</v>
      </c>
      <c r="AO47" s="37">
        <f>SUMIFS(Wine1!$I:$I,Wine1!$K:$K,Location!$A47,Wine1!$AA:$AA,Location!AO$1)</f>
        <v>0</v>
      </c>
      <c r="AP47" s="37">
        <f>SUMIFS(Wine1!$I:$I,Wine1!$K:$K,Location!$A47,Wine1!$AA:$AA,Location!AP$1)</f>
        <v>0</v>
      </c>
      <c r="AQ47" s="37">
        <f>SUMIFS(Wine1!$I:$I,Wine1!$K:$K,Location!$A47,Wine1!$AA:$AA,Location!AQ$1)</f>
        <v>0</v>
      </c>
      <c r="AR47" s="37">
        <f>SUMIFS(Wine1!$I:$I,Wine1!$K:$K,Location!$A47,Wine1!$AA:$AA,Location!AR$1)</f>
        <v>0</v>
      </c>
      <c r="AS47" s="37">
        <f>SUMIFS(Wine1!$I:$I,Wine1!$K:$K,Location!$A47,Wine1!$AA:$AA,Location!AS$1)</f>
        <v>0</v>
      </c>
      <c r="AT47" s="37">
        <f>SUMIFS(Wine1!$I:$I,Wine1!$K:$K,Location!$A47,Wine1!$AA:$AA,Location!AT$1)</f>
        <v>0</v>
      </c>
      <c r="AU47" s="37">
        <f>SUMIFS(Wine1!$I:$I,Wine1!$K:$K,Location!$A47,Wine1!$AA:$AA,Location!AU$1)</f>
        <v>0</v>
      </c>
      <c r="AV47" s="37">
        <f>SUMIFS(Wine1!$I:$I,Wine1!$K:$K,Location!$A47,Wine1!$AA:$AA,Location!AV$1)</f>
        <v>0</v>
      </c>
      <c r="AW47" s="37">
        <f>SUMIFS(Wine1!$I:$I,Wine1!$K:$K,Location!$A47,Wine1!$AA:$AA,Location!AW$1)</f>
        <v>0</v>
      </c>
      <c r="AX47" s="37">
        <f>SUMIFS(Wine1!$I:$I,Wine1!$K:$K,Location!$A47,Wine1!$AA:$AA,Location!AX$1)</f>
        <v>0</v>
      </c>
      <c r="AY47" s="37">
        <f>SUMIFS(Wine1!$I:$I,Wine1!$K:$K,Location!$A47,Wine1!$AA:$AA,Location!AY$1)</f>
        <v>0</v>
      </c>
      <c r="AZ47" s="37">
        <f>SUMIFS(Wine1!$I:$I,Wine1!$K:$K,Location!$A47,Wine1!$AA:$AA,Location!AZ$1)</f>
        <v>0</v>
      </c>
      <c r="BA47" s="37">
        <f>SUMIFS(Wine1!$I:$I,Wine1!$K:$K,Location!$A47,Wine1!$AA:$AA,Location!BA$1)</f>
        <v>0</v>
      </c>
      <c r="BB47" s="37">
        <f>SUMIFS(Wine1!$I:$I,Wine1!$K:$K,Location!$A47,Wine1!$AA:$AA,Location!BB$1)</f>
        <v>0</v>
      </c>
      <c r="BC47" s="37">
        <f>SUMIFS(Wine1!$I:$I,Wine1!$K:$K,Location!$A47,Wine1!$AA:$AA,Location!BC$1)</f>
        <v>0</v>
      </c>
      <c r="BD47" s="37">
        <f>SUMIFS(Wine1!$I:$I,Wine1!$K:$K,Location!$A47,Wine1!$AA:$AA,Location!BD$1)</f>
        <v>0</v>
      </c>
      <c r="BE47" s="37">
        <f>SUMIFS(Wine1!$I:$I,Wine1!$K:$K,Location!$A47,Wine1!$AA:$AA,Location!BE$1)</f>
        <v>0</v>
      </c>
      <c r="BF47" s="37">
        <f>SUMIFS(Wine1!$I:$I,Wine1!$K:$K,Location!$A47,Wine1!$AA:$AA,Location!BF$1)</f>
        <v>0</v>
      </c>
      <c r="BG47" s="37">
        <f>SUMIFS(Wine1!$I:$I,Wine1!$K:$K,Location!$A47,Wine1!$AA:$AA,Location!BG$1)</f>
        <v>0</v>
      </c>
      <c r="BH47" s="37">
        <f>SUMIFS(Wine1!$I:$I,Wine1!$K:$K,Location!$A47,Wine1!$AA:$AA,Location!BH$1)</f>
        <v>0</v>
      </c>
      <c r="BI47" s="37">
        <f>SUMIFS(Wine1!$I:$I,Wine1!$K:$K,Location!$A47,Wine1!$AA:$AA,Location!BI$1)</f>
        <v>0</v>
      </c>
    </row>
    <row r="48" spans="1:61" s="8" customFormat="1" x14ac:dyDescent="0.25">
      <c r="A48" s="8" t="s">
        <v>1403</v>
      </c>
      <c r="B48" s="37">
        <f>SUMIF(Wine1!K:K,Location!A48,Wine1!I:I)</f>
        <v>6</v>
      </c>
      <c r="C48" s="8">
        <v>6</v>
      </c>
      <c r="D48" s="37">
        <f t="shared" si="1"/>
        <v>0</v>
      </c>
      <c r="E48" s="8" t="s">
        <v>600</v>
      </c>
      <c r="F48" s="8" t="s">
        <v>1533</v>
      </c>
      <c r="G48" s="62"/>
      <c r="H48" s="56">
        <f>COUNTIFS(Wine1!$K:$K,Location!$A48,Wine1!$AF:$AF,Location!H$1)</f>
        <v>0</v>
      </c>
      <c r="I48" s="57">
        <f>COUNTIFS(Wine1!$K:$K,Location!$A48,Wine1!$AF:$AF,Location!I$1)</f>
        <v>4</v>
      </c>
      <c r="J48" s="57">
        <f>COUNTIFS(Wine1!$K:$K,Location!$A48,Wine1!$AF:$AF,Location!J$1)</f>
        <v>0</v>
      </c>
      <c r="K48" s="58">
        <f>COUNTIFS(Wine1!$K:$K,Location!$A48,Wine1!$AF:$AF,Location!K$1)</f>
        <v>2</v>
      </c>
      <c r="L48" s="18">
        <f>IFERROR(AVERAGEIF(Wine1!K:K,Location!A48,Wine1!AA:AA),"Empty")</f>
        <v>2027</v>
      </c>
      <c r="M48" s="37">
        <f>SUMIFS(Wine1!$I:$I,Wine1!$K:$K,Location!$A48,Wine1!$AA:$AA,Location!M$1)</f>
        <v>0</v>
      </c>
      <c r="N48" s="37">
        <f>SUMIFS(Wine1!$I:$I,Wine1!$K:$K,Location!$A48,Wine1!$AA:$AA,Location!N$1)</f>
        <v>0</v>
      </c>
      <c r="O48" s="37">
        <f>SUMIFS(Wine1!$I:$I,Wine1!$K:$K,Location!$A48,Wine1!$AA:$AA,Location!O$1)</f>
        <v>1</v>
      </c>
      <c r="P48" s="37">
        <f>SUMIFS(Wine1!$I:$I,Wine1!$K:$K,Location!$A48,Wine1!$AA:$AA,Location!P$1)</f>
        <v>1</v>
      </c>
      <c r="Q48" s="37">
        <f>SUMIFS(Wine1!$I:$I,Wine1!$K:$K,Location!$A48,Wine1!$AA:$AA,Location!Q$1)</f>
        <v>0</v>
      </c>
      <c r="R48" s="37">
        <f>SUMIFS(Wine1!$I:$I,Wine1!$K:$K,Location!$A48,Wine1!$AA:$AA,Location!R$1)</f>
        <v>0</v>
      </c>
      <c r="S48" s="37">
        <f>SUMIFS(Wine1!$I:$I,Wine1!$K:$K,Location!$A48,Wine1!$AA:$AA,Location!S$1)</f>
        <v>0</v>
      </c>
      <c r="T48" s="37">
        <f>SUMIFS(Wine1!$I:$I,Wine1!$K:$K,Location!$A48,Wine1!$AA:$AA,Location!T$1)</f>
        <v>0</v>
      </c>
      <c r="U48" s="37">
        <f>SUMIFS(Wine1!$I:$I,Wine1!$K:$K,Location!$A48,Wine1!$AA:$AA,Location!U$1)</f>
        <v>1</v>
      </c>
      <c r="V48" s="37">
        <f>SUMIFS(Wine1!$I:$I,Wine1!$K:$K,Location!$A48,Wine1!$AA:$AA,Location!V$1)</f>
        <v>1</v>
      </c>
      <c r="W48" s="37">
        <f>SUMIFS(Wine1!$I:$I,Wine1!$K:$K,Location!$A48,Wine1!$AA:$AA,Location!W$1)</f>
        <v>2</v>
      </c>
      <c r="X48" s="37">
        <f>SUMIFS(Wine1!$I:$I,Wine1!$K:$K,Location!$A48,Wine1!$AA:$AA,Location!X$1)</f>
        <v>0</v>
      </c>
      <c r="Y48" s="37">
        <f>SUMIFS(Wine1!$I:$I,Wine1!$K:$K,Location!$A48,Wine1!$AA:$AA,Location!Y$1)</f>
        <v>0</v>
      </c>
      <c r="Z48" s="37">
        <f>SUMIFS(Wine1!$I:$I,Wine1!$K:$K,Location!$A48,Wine1!$AA:$AA,Location!Z$1)</f>
        <v>0</v>
      </c>
      <c r="AA48" s="37">
        <f>SUMIFS(Wine1!$I:$I,Wine1!$K:$K,Location!$A48,Wine1!$AA:$AA,Location!AA$1)</f>
        <v>0</v>
      </c>
      <c r="AB48" s="37">
        <f>SUMIFS(Wine1!$I:$I,Wine1!$K:$K,Location!$A48,Wine1!$AA:$AA,Location!AB$1)</f>
        <v>0</v>
      </c>
      <c r="AC48" s="37">
        <f>SUMIFS(Wine1!$I:$I,Wine1!$K:$K,Location!$A48,Wine1!$AA:$AA,Location!AC$1)</f>
        <v>0</v>
      </c>
      <c r="AD48" s="37">
        <f>SUMIFS(Wine1!$I:$I,Wine1!$K:$K,Location!$A48,Wine1!$AA:$AA,Location!AD$1)</f>
        <v>0</v>
      </c>
      <c r="AE48" s="37">
        <f>SUMIFS(Wine1!$I:$I,Wine1!$K:$K,Location!$A48,Wine1!$AA:$AA,Location!AE$1)</f>
        <v>0</v>
      </c>
      <c r="AF48" s="37">
        <f>SUMIFS(Wine1!$I:$I,Wine1!$K:$K,Location!$A48,Wine1!$AA:$AA,Location!AF$1)</f>
        <v>0</v>
      </c>
      <c r="AG48" s="37">
        <f>SUMIFS(Wine1!$I:$I,Wine1!$K:$K,Location!$A48,Wine1!$AA:$AA,Location!AG$1)</f>
        <v>0</v>
      </c>
      <c r="AH48" s="37">
        <f>SUMIFS(Wine1!$I:$I,Wine1!$K:$K,Location!$A48,Wine1!$AA:$AA,Location!AH$1)</f>
        <v>0</v>
      </c>
      <c r="AI48" s="37">
        <f>SUMIFS(Wine1!$I:$I,Wine1!$K:$K,Location!$A48,Wine1!$AA:$AA,Location!AI$1)</f>
        <v>0</v>
      </c>
      <c r="AJ48" s="37">
        <f>SUMIFS(Wine1!$I:$I,Wine1!$K:$K,Location!$A48,Wine1!$AA:$AA,Location!AJ$1)</f>
        <v>0</v>
      </c>
      <c r="AK48" s="37">
        <f>SUMIFS(Wine1!$I:$I,Wine1!$K:$K,Location!$A48,Wine1!$AA:$AA,Location!AK$1)</f>
        <v>0</v>
      </c>
      <c r="AL48" s="37">
        <f>SUMIFS(Wine1!$I:$I,Wine1!$K:$K,Location!$A48,Wine1!$AA:$AA,Location!AL$1)</f>
        <v>0</v>
      </c>
      <c r="AM48" s="37">
        <f>SUMIFS(Wine1!$I:$I,Wine1!$K:$K,Location!$A48,Wine1!$AA:$AA,Location!AM$1)</f>
        <v>0</v>
      </c>
      <c r="AN48" s="37">
        <f>SUMIFS(Wine1!$I:$I,Wine1!$K:$K,Location!$A48,Wine1!$AA:$AA,Location!AN$1)</f>
        <v>0</v>
      </c>
      <c r="AO48" s="37">
        <f>SUMIFS(Wine1!$I:$I,Wine1!$K:$K,Location!$A48,Wine1!$AA:$AA,Location!AO$1)</f>
        <v>0</v>
      </c>
      <c r="AP48" s="37">
        <f>SUMIFS(Wine1!$I:$I,Wine1!$K:$K,Location!$A48,Wine1!$AA:$AA,Location!AP$1)</f>
        <v>0</v>
      </c>
      <c r="AQ48" s="37">
        <f>SUMIFS(Wine1!$I:$I,Wine1!$K:$K,Location!$A48,Wine1!$AA:$AA,Location!AQ$1)</f>
        <v>0</v>
      </c>
      <c r="AR48" s="37">
        <f>SUMIFS(Wine1!$I:$I,Wine1!$K:$K,Location!$A48,Wine1!$AA:$AA,Location!AR$1)</f>
        <v>0</v>
      </c>
      <c r="AS48" s="37">
        <f>SUMIFS(Wine1!$I:$I,Wine1!$K:$K,Location!$A48,Wine1!$AA:$AA,Location!AS$1)</f>
        <v>0</v>
      </c>
      <c r="AT48" s="37">
        <f>SUMIFS(Wine1!$I:$I,Wine1!$K:$K,Location!$A48,Wine1!$AA:$AA,Location!AT$1)</f>
        <v>0</v>
      </c>
      <c r="AU48" s="37">
        <f>SUMIFS(Wine1!$I:$I,Wine1!$K:$K,Location!$A48,Wine1!$AA:$AA,Location!AU$1)</f>
        <v>0</v>
      </c>
      <c r="AV48" s="37">
        <f>SUMIFS(Wine1!$I:$I,Wine1!$K:$K,Location!$A48,Wine1!$AA:$AA,Location!AV$1)</f>
        <v>0</v>
      </c>
      <c r="AW48" s="37">
        <f>SUMIFS(Wine1!$I:$I,Wine1!$K:$K,Location!$A48,Wine1!$AA:$AA,Location!AW$1)</f>
        <v>0</v>
      </c>
      <c r="AX48" s="37">
        <f>SUMIFS(Wine1!$I:$I,Wine1!$K:$K,Location!$A48,Wine1!$AA:$AA,Location!AX$1)</f>
        <v>0</v>
      </c>
      <c r="AY48" s="37">
        <f>SUMIFS(Wine1!$I:$I,Wine1!$K:$K,Location!$A48,Wine1!$AA:$AA,Location!AY$1)</f>
        <v>0</v>
      </c>
      <c r="AZ48" s="37">
        <f>SUMIFS(Wine1!$I:$I,Wine1!$K:$K,Location!$A48,Wine1!$AA:$AA,Location!AZ$1)</f>
        <v>0</v>
      </c>
      <c r="BA48" s="37">
        <f>SUMIFS(Wine1!$I:$I,Wine1!$K:$K,Location!$A48,Wine1!$AA:$AA,Location!BA$1)</f>
        <v>0</v>
      </c>
      <c r="BB48" s="37">
        <f>SUMIFS(Wine1!$I:$I,Wine1!$K:$K,Location!$A48,Wine1!$AA:$AA,Location!BB$1)</f>
        <v>0</v>
      </c>
      <c r="BC48" s="37">
        <f>SUMIFS(Wine1!$I:$I,Wine1!$K:$K,Location!$A48,Wine1!$AA:$AA,Location!BC$1)</f>
        <v>0</v>
      </c>
      <c r="BD48" s="37">
        <f>SUMIFS(Wine1!$I:$I,Wine1!$K:$K,Location!$A48,Wine1!$AA:$AA,Location!BD$1)</f>
        <v>0</v>
      </c>
      <c r="BE48" s="37">
        <f>SUMIFS(Wine1!$I:$I,Wine1!$K:$K,Location!$A48,Wine1!$AA:$AA,Location!BE$1)</f>
        <v>0</v>
      </c>
      <c r="BF48" s="37">
        <f>SUMIFS(Wine1!$I:$I,Wine1!$K:$K,Location!$A48,Wine1!$AA:$AA,Location!BF$1)</f>
        <v>0</v>
      </c>
      <c r="BG48" s="37">
        <f>SUMIFS(Wine1!$I:$I,Wine1!$K:$K,Location!$A48,Wine1!$AA:$AA,Location!BG$1)</f>
        <v>0</v>
      </c>
      <c r="BH48" s="37">
        <f>SUMIFS(Wine1!$I:$I,Wine1!$K:$K,Location!$A48,Wine1!$AA:$AA,Location!BH$1)</f>
        <v>0</v>
      </c>
      <c r="BI48" s="37">
        <f>SUMIFS(Wine1!$I:$I,Wine1!$K:$K,Location!$A48,Wine1!$AA:$AA,Location!BI$1)</f>
        <v>0</v>
      </c>
    </row>
    <row r="49" spans="1:61" s="8" customFormat="1" x14ac:dyDescent="0.25">
      <c r="A49" s="8" t="s">
        <v>1405</v>
      </c>
      <c r="B49" s="37">
        <f>SUMIF(Wine1!K:K,Location!A49,Wine1!I:I)</f>
        <v>12</v>
      </c>
      <c r="C49" s="8">
        <v>12</v>
      </c>
      <c r="D49" s="37">
        <f t="shared" si="1"/>
        <v>0</v>
      </c>
      <c r="E49" s="37" t="s">
        <v>603</v>
      </c>
      <c r="F49" s="37" t="s">
        <v>1533</v>
      </c>
      <c r="G49" s="62"/>
      <c r="H49" s="56">
        <f>COUNTIFS(Wine1!$K:$K,Location!$A49,Wine1!$AF:$AF,Location!H$1)</f>
        <v>1</v>
      </c>
      <c r="I49" s="57">
        <f>COUNTIFS(Wine1!$K:$K,Location!$A49,Wine1!$AF:$AF,Location!I$1)</f>
        <v>1</v>
      </c>
      <c r="J49" s="57">
        <f>COUNTIFS(Wine1!$K:$K,Location!$A49,Wine1!$AF:$AF,Location!J$1)</f>
        <v>6</v>
      </c>
      <c r="K49" s="58">
        <f>COUNTIFS(Wine1!$K:$K,Location!$A49,Wine1!$AF:$AF,Location!K$1)</f>
        <v>4</v>
      </c>
      <c r="L49" s="18">
        <f>IFERROR(AVERAGEIF(Wine1!K:K,Location!A49,Wine1!AA:AA),"Empty")</f>
        <v>2028.0833333333333</v>
      </c>
      <c r="M49" s="37">
        <f>SUMIFS(Wine1!$I:$I,Wine1!$K:$K,Location!$A49,Wine1!$AA:$AA,Location!M$1)</f>
        <v>0</v>
      </c>
      <c r="N49" s="37">
        <f>SUMIFS(Wine1!$I:$I,Wine1!$K:$K,Location!$A49,Wine1!$AA:$AA,Location!N$1)</f>
        <v>0</v>
      </c>
      <c r="O49" s="37">
        <f>SUMIFS(Wine1!$I:$I,Wine1!$K:$K,Location!$A49,Wine1!$AA:$AA,Location!O$1)</f>
        <v>1</v>
      </c>
      <c r="P49" s="37">
        <f>SUMIFS(Wine1!$I:$I,Wine1!$K:$K,Location!$A49,Wine1!$AA:$AA,Location!P$1)</f>
        <v>1</v>
      </c>
      <c r="Q49" s="37">
        <f>SUMIFS(Wine1!$I:$I,Wine1!$K:$K,Location!$A49,Wine1!$AA:$AA,Location!Q$1)</f>
        <v>1</v>
      </c>
      <c r="R49" s="37">
        <f>SUMIFS(Wine1!$I:$I,Wine1!$K:$K,Location!$A49,Wine1!$AA:$AA,Location!R$1)</f>
        <v>1</v>
      </c>
      <c r="S49" s="37">
        <f>SUMIFS(Wine1!$I:$I,Wine1!$K:$K,Location!$A49,Wine1!$AA:$AA,Location!S$1)</f>
        <v>2</v>
      </c>
      <c r="T49" s="37">
        <f>SUMIFS(Wine1!$I:$I,Wine1!$K:$K,Location!$A49,Wine1!$AA:$AA,Location!T$1)</f>
        <v>1</v>
      </c>
      <c r="U49" s="37">
        <f>SUMIFS(Wine1!$I:$I,Wine1!$K:$K,Location!$A49,Wine1!$AA:$AA,Location!U$1)</f>
        <v>2</v>
      </c>
      <c r="V49" s="37">
        <f>SUMIFS(Wine1!$I:$I,Wine1!$K:$K,Location!$A49,Wine1!$AA:$AA,Location!V$1)</f>
        <v>0</v>
      </c>
      <c r="W49" s="37">
        <f>SUMIFS(Wine1!$I:$I,Wine1!$K:$K,Location!$A49,Wine1!$AA:$AA,Location!W$1)</f>
        <v>0</v>
      </c>
      <c r="X49" s="37">
        <f>SUMIFS(Wine1!$I:$I,Wine1!$K:$K,Location!$A49,Wine1!$AA:$AA,Location!X$1)</f>
        <v>0</v>
      </c>
      <c r="Y49" s="37">
        <f>SUMIFS(Wine1!$I:$I,Wine1!$K:$K,Location!$A49,Wine1!$AA:$AA,Location!Y$1)</f>
        <v>0</v>
      </c>
      <c r="Z49" s="37">
        <f>SUMIFS(Wine1!$I:$I,Wine1!$K:$K,Location!$A49,Wine1!$AA:$AA,Location!Z$1)</f>
        <v>0</v>
      </c>
      <c r="AA49" s="37">
        <f>SUMIFS(Wine1!$I:$I,Wine1!$K:$K,Location!$A49,Wine1!$AA:$AA,Location!AA$1)</f>
        <v>0</v>
      </c>
      <c r="AB49" s="37">
        <f>SUMIFS(Wine1!$I:$I,Wine1!$K:$K,Location!$A49,Wine1!$AA:$AA,Location!AB$1)</f>
        <v>2</v>
      </c>
      <c r="AC49" s="37">
        <f>SUMIFS(Wine1!$I:$I,Wine1!$K:$K,Location!$A49,Wine1!$AA:$AA,Location!AC$1)</f>
        <v>0</v>
      </c>
      <c r="AD49" s="37">
        <f>SUMIFS(Wine1!$I:$I,Wine1!$K:$K,Location!$A49,Wine1!$AA:$AA,Location!AD$1)</f>
        <v>0</v>
      </c>
      <c r="AE49" s="37">
        <f>SUMIFS(Wine1!$I:$I,Wine1!$K:$K,Location!$A49,Wine1!$AA:$AA,Location!AE$1)</f>
        <v>1</v>
      </c>
      <c r="AF49" s="37">
        <f>SUMIFS(Wine1!$I:$I,Wine1!$K:$K,Location!$A49,Wine1!$AA:$AA,Location!AF$1)</f>
        <v>0</v>
      </c>
      <c r="AG49" s="37">
        <f>SUMIFS(Wine1!$I:$I,Wine1!$K:$K,Location!$A49,Wine1!$AA:$AA,Location!AG$1)</f>
        <v>0</v>
      </c>
      <c r="AH49" s="37">
        <f>SUMIFS(Wine1!$I:$I,Wine1!$K:$K,Location!$A49,Wine1!$AA:$AA,Location!AH$1)</f>
        <v>0</v>
      </c>
      <c r="AI49" s="37">
        <f>SUMIFS(Wine1!$I:$I,Wine1!$K:$K,Location!$A49,Wine1!$AA:$AA,Location!AI$1)</f>
        <v>0</v>
      </c>
      <c r="AJ49" s="37">
        <f>SUMIFS(Wine1!$I:$I,Wine1!$K:$K,Location!$A49,Wine1!$AA:$AA,Location!AJ$1)</f>
        <v>0</v>
      </c>
      <c r="AK49" s="37">
        <f>SUMIFS(Wine1!$I:$I,Wine1!$K:$K,Location!$A49,Wine1!$AA:$AA,Location!AK$1)</f>
        <v>0</v>
      </c>
      <c r="AL49" s="37">
        <f>SUMIFS(Wine1!$I:$I,Wine1!$K:$K,Location!$A49,Wine1!$AA:$AA,Location!AL$1)</f>
        <v>0</v>
      </c>
      <c r="AM49" s="37">
        <f>SUMIFS(Wine1!$I:$I,Wine1!$K:$K,Location!$A49,Wine1!$AA:$AA,Location!AM$1)</f>
        <v>0</v>
      </c>
      <c r="AN49" s="37">
        <f>SUMIFS(Wine1!$I:$I,Wine1!$K:$K,Location!$A49,Wine1!$AA:$AA,Location!AN$1)</f>
        <v>0</v>
      </c>
      <c r="AO49" s="37">
        <f>SUMIFS(Wine1!$I:$I,Wine1!$K:$K,Location!$A49,Wine1!$AA:$AA,Location!AO$1)</f>
        <v>0</v>
      </c>
      <c r="AP49" s="37">
        <f>SUMIFS(Wine1!$I:$I,Wine1!$K:$K,Location!$A49,Wine1!$AA:$AA,Location!AP$1)</f>
        <v>0</v>
      </c>
      <c r="AQ49" s="37">
        <f>SUMIFS(Wine1!$I:$I,Wine1!$K:$K,Location!$A49,Wine1!$AA:$AA,Location!AQ$1)</f>
        <v>0</v>
      </c>
      <c r="AR49" s="37">
        <f>SUMIFS(Wine1!$I:$I,Wine1!$K:$K,Location!$A49,Wine1!$AA:$AA,Location!AR$1)</f>
        <v>0</v>
      </c>
      <c r="AS49" s="37">
        <f>SUMIFS(Wine1!$I:$I,Wine1!$K:$K,Location!$A49,Wine1!$AA:$AA,Location!AS$1)</f>
        <v>0</v>
      </c>
      <c r="AT49" s="37">
        <f>SUMIFS(Wine1!$I:$I,Wine1!$K:$K,Location!$A49,Wine1!$AA:$AA,Location!AT$1)</f>
        <v>0</v>
      </c>
      <c r="AU49" s="37">
        <f>SUMIFS(Wine1!$I:$I,Wine1!$K:$K,Location!$A49,Wine1!$AA:$AA,Location!AU$1)</f>
        <v>0</v>
      </c>
      <c r="AV49" s="37">
        <f>SUMIFS(Wine1!$I:$I,Wine1!$K:$K,Location!$A49,Wine1!$AA:$AA,Location!AV$1)</f>
        <v>0</v>
      </c>
      <c r="AW49" s="37">
        <f>SUMIFS(Wine1!$I:$I,Wine1!$K:$K,Location!$A49,Wine1!$AA:$AA,Location!AW$1)</f>
        <v>0</v>
      </c>
      <c r="AX49" s="37">
        <f>SUMIFS(Wine1!$I:$I,Wine1!$K:$K,Location!$A49,Wine1!$AA:$AA,Location!AX$1)</f>
        <v>0</v>
      </c>
      <c r="AY49" s="37">
        <f>SUMIFS(Wine1!$I:$I,Wine1!$K:$K,Location!$A49,Wine1!$AA:$AA,Location!AY$1)</f>
        <v>0</v>
      </c>
      <c r="AZ49" s="37">
        <f>SUMIFS(Wine1!$I:$I,Wine1!$K:$K,Location!$A49,Wine1!$AA:$AA,Location!AZ$1)</f>
        <v>0</v>
      </c>
      <c r="BA49" s="37">
        <f>SUMIFS(Wine1!$I:$I,Wine1!$K:$K,Location!$A49,Wine1!$AA:$AA,Location!BA$1)</f>
        <v>0</v>
      </c>
      <c r="BB49" s="37">
        <f>SUMIFS(Wine1!$I:$I,Wine1!$K:$K,Location!$A49,Wine1!$AA:$AA,Location!BB$1)</f>
        <v>0</v>
      </c>
      <c r="BC49" s="37">
        <f>SUMIFS(Wine1!$I:$I,Wine1!$K:$K,Location!$A49,Wine1!$AA:$AA,Location!BC$1)</f>
        <v>0</v>
      </c>
      <c r="BD49" s="37">
        <f>SUMIFS(Wine1!$I:$I,Wine1!$K:$K,Location!$A49,Wine1!$AA:$AA,Location!BD$1)</f>
        <v>0</v>
      </c>
      <c r="BE49" s="37">
        <f>SUMIFS(Wine1!$I:$I,Wine1!$K:$K,Location!$A49,Wine1!$AA:$AA,Location!BE$1)</f>
        <v>0</v>
      </c>
      <c r="BF49" s="37">
        <f>SUMIFS(Wine1!$I:$I,Wine1!$K:$K,Location!$A49,Wine1!$AA:$AA,Location!BF$1)</f>
        <v>0</v>
      </c>
      <c r="BG49" s="37">
        <f>SUMIFS(Wine1!$I:$I,Wine1!$K:$K,Location!$A49,Wine1!$AA:$AA,Location!BG$1)</f>
        <v>0</v>
      </c>
      <c r="BH49" s="37">
        <f>SUMIFS(Wine1!$I:$I,Wine1!$K:$K,Location!$A49,Wine1!$AA:$AA,Location!BH$1)</f>
        <v>0</v>
      </c>
      <c r="BI49" s="37">
        <f>SUMIFS(Wine1!$I:$I,Wine1!$K:$K,Location!$A49,Wine1!$AA:$AA,Location!BI$1)</f>
        <v>0</v>
      </c>
    </row>
    <row r="50" spans="1:61" s="8" customFormat="1" x14ac:dyDescent="0.25">
      <c r="A50" s="8" t="s">
        <v>1406</v>
      </c>
      <c r="B50" s="37">
        <f>SUMIF(Wine1!K:K,Location!A50,Wine1!I:I)</f>
        <v>12</v>
      </c>
      <c r="C50" s="8">
        <v>12</v>
      </c>
      <c r="D50" s="37">
        <f t="shared" si="1"/>
        <v>0</v>
      </c>
      <c r="E50" s="37" t="s">
        <v>603</v>
      </c>
      <c r="F50" s="37" t="s">
        <v>1533</v>
      </c>
      <c r="G50" s="62"/>
      <c r="H50" s="56">
        <f>COUNTIFS(Wine1!$K:$K,Location!$A50,Wine1!$AF:$AF,Location!H$1)</f>
        <v>1</v>
      </c>
      <c r="I50" s="57">
        <f>COUNTIFS(Wine1!$K:$K,Location!$A50,Wine1!$AF:$AF,Location!I$1)</f>
        <v>4</v>
      </c>
      <c r="J50" s="57">
        <f>COUNTIFS(Wine1!$K:$K,Location!$A50,Wine1!$AF:$AF,Location!J$1)</f>
        <v>7</v>
      </c>
      <c r="K50" s="58">
        <f>COUNTIFS(Wine1!$K:$K,Location!$A50,Wine1!$AF:$AF,Location!K$1)</f>
        <v>0</v>
      </c>
      <c r="L50" s="18">
        <f>IFERROR(AVERAGEIF(Wine1!K:K,Location!A50,Wine1!AA:AA),"Empty")</f>
        <v>2028.4166666666667</v>
      </c>
      <c r="M50" s="37">
        <f>SUMIFS(Wine1!$I:$I,Wine1!$K:$K,Location!$A50,Wine1!$AA:$AA,Location!M$1)</f>
        <v>0</v>
      </c>
      <c r="N50" s="37">
        <f>SUMIFS(Wine1!$I:$I,Wine1!$K:$K,Location!$A50,Wine1!$AA:$AA,Location!N$1)</f>
        <v>0</v>
      </c>
      <c r="O50" s="37">
        <f>SUMIFS(Wine1!$I:$I,Wine1!$K:$K,Location!$A50,Wine1!$AA:$AA,Location!O$1)</f>
        <v>1</v>
      </c>
      <c r="P50" s="37">
        <f>SUMIFS(Wine1!$I:$I,Wine1!$K:$K,Location!$A50,Wine1!$AA:$AA,Location!P$1)</f>
        <v>0</v>
      </c>
      <c r="Q50" s="37">
        <f>SUMIFS(Wine1!$I:$I,Wine1!$K:$K,Location!$A50,Wine1!$AA:$AA,Location!Q$1)</f>
        <v>1</v>
      </c>
      <c r="R50" s="37">
        <f>SUMIFS(Wine1!$I:$I,Wine1!$K:$K,Location!$A50,Wine1!$AA:$AA,Location!R$1)</f>
        <v>0</v>
      </c>
      <c r="S50" s="37">
        <f>SUMIFS(Wine1!$I:$I,Wine1!$K:$K,Location!$A50,Wine1!$AA:$AA,Location!S$1)</f>
        <v>1</v>
      </c>
      <c r="T50" s="37">
        <f>SUMIFS(Wine1!$I:$I,Wine1!$K:$K,Location!$A50,Wine1!$AA:$AA,Location!T$1)</f>
        <v>1</v>
      </c>
      <c r="U50" s="37">
        <f>SUMIFS(Wine1!$I:$I,Wine1!$K:$K,Location!$A50,Wine1!$AA:$AA,Location!U$1)</f>
        <v>0</v>
      </c>
      <c r="V50" s="37">
        <f>SUMIFS(Wine1!$I:$I,Wine1!$K:$K,Location!$A50,Wine1!$AA:$AA,Location!V$1)</f>
        <v>3</v>
      </c>
      <c r="W50" s="37">
        <f>SUMIFS(Wine1!$I:$I,Wine1!$K:$K,Location!$A50,Wine1!$AA:$AA,Location!W$1)</f>
        <v>2</v>
      </c>
      <c r="X50" s="37">
        <f>SUMIFS(Wine1!$I:$I,Wine1!$K:$K,Location!$A50,Wine1!$AA:$AA,Location!X$1)</f>
        <v>2</v>
      </c>
      <c r="Y50" s="37">
        <f>SUMIFS(Wine1!$I:$I,Wine1!$K:$K,Location!$A50,Wine1!$AA:$AA,Location!Y$1)</f>
        <v>0</v>
      </c>
      <c r="Z50" s="37">
        <f>SUMIFS(Wine1!$I:$I,Wine1!$K:$K,Location!$A50,Wine1!$AA:$AA,Location!Z$1)</f>
        <v>1</v>
      </c>
      <c r="AA50" s="37">
        <f>SUMIFS(Wine1!$I:$I,Wine1!$K:$K,Location!$A50,Wine1!$AA:$AA,Location!AA$1)</f>
        <v>0</v>
      </c>
      <c r="AB50" s="37">
        <f>SUMIFS(Wine1!$I:$I,Wine1!$K:$K,Location!$A50,Wine1!$AA:$AA,Location!AB$1)</f>
        <v>0</v>
      </c>
      <c r="AC50" s="37">
        <f>SUMIFS(Wine1!$I:$I,Wine1!$K:$K,Location!$A50,Wine1!$AA:$AA,Location!AC$1)</f>
        <v>0</v>
      </c>
      <c r="AD50" s="37">
        <f>SUMIFS(Wine1!$I:$I,Wine1!$K:$K,Location!$A50,Wine1!$AA:$AA,Location!AD$1)</f>
        <v>0</v>
      </c>
      <c r="AE50" s="37">
        <f>SUMIFS(Wine1!$I:$I,Wine1!$K:$K,Location!$A50,Wine1!$AA:$AA,Location!AE$1)</f>
        <v>0</v>
      </c>
      <c r="AF50" s="37">
        <f>SUMIFS(Wine1!$I:$I,Wine1!$K:$K,Location!$A50,Wine1!$AA:$AA,Location!AF$1)</f>
        <v>0</v>
      </c>
      <c r="AG50" s="37">
        <f>SUMIFS(Wine1!$I:$I,Wine1!$K:$K,Location!$A50,Wine1!$AA:$AA,Location!AG$1)</f>
        <v>0</v>
      </c>
      <c r="AH50" s="37">
        <f>SUMIFS(Wine1!$I:$I,Wine1!$K:$K,Location!$A50,Wine1!$AA:$AA,Location!AH$1)</f>
        <v>0</v>
      </c>
      <c r="AI50" s="37">
        <f>SUMIFS(Wine1!$I:$I,Wine1!$K:$K,Location!$A50,Wine1!$AA:$AA,Location!AI$1)</f>
        <v>0</v>
      </c>
      <c r="AJ50" s="37">
        <f>SUMIFS(Wine1!$I:$I,Wine1!$K:$K,Location!$A50,Wine1!$AA:$AA,Location!AJ$1)</f>
        <v>0</v>
      </c>
      <c r="AK50" s="37">
        <f>SUMIFS(Wine1!$I:$I,Wine1!$K:$K,Location!$A50,Wine1!$AA:$AA,Location!AK$1)</f>
        <v>0</v>
      </c>
      <c r="AL50" s="37">
        <f>SUMIFS(Wine1!$I:$I,Wine1!$K:$K,Location!$A50,Wine1!$AA:$AA,Location!AL$1)</f>
        <v>0</v>
      </c>
      <c r="AM50" s="37">
        <f>SUMIFS(Wine1!$I:$I,Wine1!$K:$K,Location!$A50,Wine1!$AA:$AA,Location!AM$1)</f>
        <v>0</v>
      </c>
      <c r="AN50" s="37">
        <f>SUMIFS(Wine1!$I:$I,Wine1!$K:$K,Location!$A50,Wine1!$AA:$AA,Location!AN$1)</f>
        <v>0</v>
      </c>
      <c r="AO50" s="37">
        <f>SUMIFS(Wine1!$I:$I,Wine1!$K:$K,Location!$A50,Wine1!$AA:$AA,Location!AO$1)</f>
        <v>0</v>
      </c>
      <c r="AP50" s="37">
        <f>SUMIFS(Wine1!$I:$I,Wine1!$K:$K,Location!$A50,Wine1!$AA:$AA,Location!AP$1)</f>
        <v>0</v>
      </c>
      <c r="AQ50" s="37">
        <f>SUMIFS(Wine1!$I:$I,Wine1!$K:$K,Location!$A50,Wine1!$AA:$AA,Location!AQ$1)</f>
        <v>0</v>
      </c>
      <c r="AR50" s="37">
        <f>SUMIFS(Wine1!$I:$I,Wine1!$K:$K,Location!$A50,Wine1!$AA:$AA,Location!AR$1)</f>
        <v>0</v>
      </c>
      <c r="AS50" s="37">
        <f>SUMIFS(Wine1!$I:$I,Wine1!$K:$K,Location!$A50,Wine1!$AA:$AA,Location!AS$1)</f>
        <v>0</v>
      </c>
      <c r="AT50" s="37">
        <f>SUMIFS(Wine1!$I:$I,Wine1!$K:$K,Location!$A50,Wine1!$AA:$AA,Location!AT$1)</f>
        <v>0</v>
      </c>
      <c r="AU50" s="37">
        <f>SUMIFS(Wine1!$I:$I,Wine1!$K:$K,Location!$A50,Wine1!$AA:$AA,Location!AU$1)</f>
        <v>0</v>
      </c>
      <c r="AV50" s="37">
        <f>SUMIFS(Wine1!$I:$I,Wine1!$K:$K,Location!$A50,Wine1!$AA:$AA,Location!AV$1)</f>
        <v>0</v>
      </c>
      <c r="AW50" s="37">
        <f>SUMIFS(Wine1!$I:$I,Wine1!$K:$K,Location!$A50,Wine1!$AA:$AA,Location!AW$1)</f>
        <v>0</v>
      </c>
      <c r="AX50" s="37">
        <f>SUMIFS(Wine1!$I:$I,Wine1!$K:$K,Location!$A50,Wine1!$AA:$AA,Location!AX$1)</f>
        <v>0</v>
      </c>
      <c r="AY50" s="37">
        <f>SUMIFS(Wine1!$I:$I,Wine1!$K:$K,Location!$A50,Wine1!$AA:$AA,Location!AY$1)</f>
        <v>0</v>
      </c>
      <c r="AZ50" s="37">
        <f>SUMIFS(Wine1!$I:$I,Wine1!$K:$K,Location!$A50,Wine1!$AA:$AA,Location!AZ$1)</f>
        <v>0</v>
      </c>
      <c r="BA50" s="37">
        <f>SUMIFS(Wine1!$I:$I,Wine1!$K:$K,Location!$A50,Wine1!$AA:$AA,Location!BA$1)</f>
        <v>0</v>
      </c>
      <c r="BB50" s="37">
        <f>SUMIFS(Wine1!$I:$I,Wine1!$K:$K,Location!$A50,Wine1!$AA:$AA,Location!BB$1)</f>
        <v>0</v>
      </c>
      <c r="BC50" s="37">
        <f>SUMIFS(Wine1!$I:$I,Wine1!$K:$K,Location!$A50,Wine1!$AA:$AA,Location!BC$1)</f>
        <v>0</v>
      </c>
      <c r="BD50" s="37">
        <f>SUMIFS(Wine1!$I:$I,Wine1!$K:$K,Location!$A50,Wine1!$AA:$AA,Location!BD$1)</f>
        <v>0</v>
      </c>
      <c r="BE50" s="37">
        <f>SUMIFS(Wine1!$I:$I,Wine1!$K:$K,Location!$A50,Wine1!$AA:$AA,Location!BE$1)</f>
        <v>0</v>
      </c>
      <c r="BF50" s="37">
        <f>SUMIFS(Wine1!$I:$I,Wine1!$K:$K,Location!$A50,Wine1!$AA:$AA,Location!BF$1)</f>
        <v>0</v>
      </c>
      <c r="BG50" s="37">
        <f>SUMIFS(Wine1!$I:$I,Wine1!$K:$K,Location!$A50,Wine1!$AA:$AA,Location!BG$1)</f>
        <v>0</v>
      </c>
      <c r="BH50" s="37">
        <f>SUMIFS(Wine1!$I:$I,Wine1!$K:$K,Location!$A50,Wine1!$AA:$AA,Location!BH$1)</f>
        <v>0</v>
      </c>
      <c r="BI50" s="37">
        <f>SUMIFS(Wine1!$I:$I,Wine1!$K:$K,Location!$A50,Wine1!$AA:$AA,Location!BI$1)</f>
        <v>0</v>
      </c>
    </row>
    <row r="51" spans="1:61" s="8" customFormat="1" x14ac:dyDescent="0.25">
      <c r="A51" s="8" t="s">
        <v>1407</v>
      </c>
      <c r="B51" s="37">
        <f>SUMIF(Wine1!K:K,Location!A51,Wine1!I:I)</f>
        <v>6</v>
      </c>
      <c r="C51" s="8">
        <v>6</v>
      </c>
      <c r="D51" s="37">
        <f t="shared" si="1"/>
        <v>0</v>
      </c>
      <c r="E51" s="37" t="s">
        <v>603</v>
      </c>
      <c r="F51" s="37" t="s">
        <v>1533</v>
      </c>
      <c r="G51" s="62"/>
      <c r="H51" s="56">
        <f>COUNTIFS(Wine1!$K:$K,Location!$A51,Wine1!$AF:$AF,Location!H$1)</f>
        <v>0</v>
      </c>
      <c r="I51" s="57">
        <f>COUNTIFS(Wine1!$K:$K,Location!$A51,Wine1!$AF:$AF,Location!I$1)</f>
        <v>1</v>
      </c>
      <c r="J51" s="57">
        <f>COUNTIFS(Wine1!$K:$K,Location!$A51,Wine1!$AF:$AF,Location!J$1)</f>
        <v>5</v>
      </c>
      <c r="K51" s="58">
        <f>COUNTIFS(Wine1!$K:$K,Location!$A51,Wine1!$AF:$AF,Location!K$1)</f>
        <v>0</v>
      </c>
      <c r="L51" s="18">
        <f>IFERROR(AVERAGEIF(Wine1!K:K,Location!A51,Wine1!AA:AA),"Empty")</f>
        <v>2028.1666666666667</v>
      </c>
      <c r="M51" s="37">
        <f>SUMIFS(Wine1!$I:$I,Wine1!$K:$K,Location!$A51,Wine1!$AA:$AA,Location!M$1)</f>
        <v>0</v>
      </c>
      <c r="N51" s="37">
        <f>SUMIFS(Wine1!$I:$I,Wine1!$K:$K,Location!$A51,Wine1!$AA:$AA,Location!N$1)</f>
        <v>0</v>
      </c>
      <c r="O51" s="37">
        <f>SUMIFS(Wine1!$I:$I,Wine1!$K:$K,Location!$A51,Wine1!$AA:$AA,Location!O$1)</f>
        <v>0</v>
      </c>
      <c r="P51" s="37">
        <f>SUMIFS(Wine1!$I:$I,Wine1!$K:$K,Location!$A51,Wine1!$AA:$AA,Location!P$1)</f>
        <v>0</v>
      </c>
      <c r="Q51" s="37">
        <f>SUMIFS(Wine1!$I:$I,Wine1!$K:$K,Location!$A51,Wine1!$AA:$AA,Location!Q$1)</f>
        <v>0</v>
      </c>
      <c r="R51" s="37">
        <f>SUMIFS(Wine1!$I:$I,Wine1!$K:$K,Location!$A51,Wine1!$AA:$AA,Location!R$1)</f>
        <v>1</v>
      </c>
      <c r="S51" s="37">
        <f>SUMIFS(Wine1!$I:$I,Wine1!$K:$K,Location!$A51,Wine1!$AA:$AA,Location!S$1)</f>
        <v>1</v>
      </c>
      <c r="T51" s="37">
        <f>SUMIFS(Wine1!$I:$I,Wine1!$K:$K,Location!$A51,Wine1!$AA:$AA,Location!T$1)</f>
        <v>1</v>
      </c>
      <c r="U51" s="37">
        <f>SUMIFS(Wine1!$I:$I,Wine1!$K:$K,Location!$A51,Wine1!$AA:$AA,Location!U$1)</f>
        <v>1</v>
      </c>
      <c r="V51" s="37">
        <f>SUMIFS(Wine1!$I:$I,Wine1!$K:$K,Location!$A51,Wine1!$AA:$AA,Location!V$1)</f>
        <v>0</v>
      </c>
      <c r="W51" s="37">
        <f>SUMIFS(Wine1!$I:$I,Wine1!$K:$K,Location!$A51,Wine1!$AA:$AA,Location!W$1)</f>
        <v>1</v>
      </c>
      <c r="X51" s="37">
        <f>SUMIFS(Wine1!$I:$I,Wine1!$K:$K,Location!$A51,Wine1!$AA:$AA,Location!X$1)</f>
        <v>0</v>
      </c>
      <c r="Y51" s="37">
        <f>SUMIFS(Wine1!$I:$I,Wine1!$K:$K,Location!$A51,Wine1!$AA:$AA,Location!Y$1)</f>
        <v>0</v>
      </c>
      <c r="Z51" s="37">
        <f>SUMIFS(Wine1!$I:$I,Wine1!$K:$K,Location!$A51,Wine1!$AA:$AA,Location!Z$1)</f>
        <v>1</v>
      </c>
      <c r="AA51" s="37">
        <f>SUMIFS(Wine1!$I:$I,Wine1!$K:$K,Location!$A51,Wine1!$AA:$AA,Location!AA$1)</f>
        <v>0</v>
      </c>
      <c r="AB51" s="37">
        <f>SUMIFS(Wine1!$I:$I,Wine1!$K:$K,Location!$A51,Wine1!$AA:$AA,Location!AB$1)</f>
        <v>0</v>
      </c>
      <c r="AC51" s="37">
        <f>SUMIFS(Wine1!$I:$I,Wine1!$K:$K,Location!$A51,Wine1!$AA:$AA,Location!AC$1)</f>
        <v>0</v>
      </c>
      <c r="AD51" s="37">
        <f>SUMIFS(Wine1!$I:$I,Wine1!$K:$K,Location!$A51,Wine1!$AA:$AA,Location!AD$1)</f>
        <v>0</v>
      </c>
      <c r="AE51" s="37">
        <f>SUMIFS(Wine1!$I:$I,Wine1!$K:$K,Location!$A51,Wine1!$AA:$AA,Location!AE$1)</f>
        <v>0</v>
      </c>
      <c r="AF51" s="37">
        <f>SUMIFS(Wine1!$I:$I,Wine1!$K:$K,Location!$A51,Wine1!$AA:$AA,Location!AF$1)</f>
        <v>0</v>
      </c>
      <c r="AG51" s="37">
        <f>SUMIFS(Wine1!$I:$I,Wine1!$K:$K,Location!$A51,Wine1!$AA:$AA,Location!AG$1)</f>
        <v>0</v>
      </c>
      <c r="AH51" s="37">
        <f>SUMIFS(Wine1!$I:$I,Wine1!$K:$K,Location!$A51,Wine1!$AA:$AA,Location!AH$1)</f>
        <v>0</v>
      </c>
      <c r="AI51" s="37">
        <f>SUMIFS(Wine1!$I:$I,Wine1!$K:$K,Location!$A51,Wine1!$AA:$AA,Location!AI$1)</f>
        <v>0</v>
      </c>
      <c r="AJ51" s="37">
        <f>SUMIFS(Wine1!$I:$I,Wine1!$K:$K,Location!$A51,Wine1!$AA:$AA,Location!AJ$1)</f>
        <v>0</v>
      </c>
      <c r="AK51" s="37">
        <f>SUMIFS(Wine1!$I:$I,Wine1!$K:$K,Location!$A51,Wine1!$AA:$AA,Location!AK$1)</f>
        <v>0</v>
      </c>
      <c r="AL51" s="37">
        <f>SUMIFS(Wine1!$I:$I,Wine1!$K:$K,Location!$A51,Wine1!$AA:$AA,Location!AL$1)</f>
        <v>0</v>
      </c>
      <c r="AM51" s="37">
        <f>SUMIFS(Wine1!$I:$I,Wine1!$K:$K,Location!$A51,Wine1!$AA:$AA,Location!AM$1)</f>
        <v>0</v>
      </c>
      <c r="AN51" s="37">
        <f>SUMIFS(Wine1!$I:$I,Wine1!$K:$K,Location!$A51,Wine1!$AA:$AA,Location!AN$1)</f>
        <v>0</v>
      </c>
      <c r="AO51" s="37">
        <f>SUMIFS(Wine1!$I:$I,Wine1!$K:$K,Location!$A51,Wine1!$AA:$AA,Location!AO$1)</f>
        <v>0</v>
      </c>
      <c r="AP51" s="37">
        <f>SUMIFS(Wine1!$I:$I,Wine1!$K:$K,Location!$A51,Wine1!$AA:$AA,Location!AP$1)</f>
        <v>0</v>
      </c>
      <c r="AQ51" s="37">
        <f>SUMIFS(Wine1!$I:$I,Wine1!$K:$K,Location!$A51,Wine1!$AA:$AA,Location!AQ$1)</f>
        <v>0</v>
      </c>
      <c r="AR51" s="37">
        <f>SUMIFS(Wine1!$I:$I,Wine1!$K:$K,Location!$A51,Wine1!$AA:$AA,Location!AR$1)</f>
        <v>0</v>
      </c>
      <c r="AS51" s="37">
        <f>SUMIFS(Wine1!$I:$I,Wine1!$K:$K,Location!$A51,Wine1!$AA:$AA,Location!AS$1)</f>
        <v>0</v>
      </c>
      <c r="AT51" s="37">
        <f>SUMIFS(Wine1!$I:$I,Wine1!$K:$K,Location!$A51,Wine1!$AA:$AA,Location!AT$1)</f>
        <v>0</v>
      </c>
      <c r="AU51" s="37">
        <f>SUMIFS(Wine1!$I:$I,Wine1!$K:$K,Location!$A51,Wine1!$AA:$AA,Location!AU$1)</f>
        <v>0</v>
      </c>
      <c r="AV51" s="37">
        <f>SUMIFS(Wine1!$I:$I,Wine1!$K:$K,Location!$A51,Wine1!$AA:$AA,Location!AV$1)</f>
        <v>0</v>
      </c>
      <c r="AW51" s="37">
        <f>SUMIFS(Wine1!$I:$I,Wine1!$K:$K,Location!$A51,Wine1!$AA:$AA,Location!AW$1)</f>
        <v>0</v>
      </c>
      <c r="AX51" s="37">
        <f>SUMIFS(Wine1!$I:$I,Wine1!$K:$K,Location!$A51,Wine1!$AA:$AA,Location!AX$1)</f>
        <v>0</v>
      </c>
      <c r="AY51" s="37">
        <f>SUMIFS(Wine1!$I:$I,Wine1!$K:$K,Location!$A51,Wine1!$AA:$AA,Location!AY$1)</f>
        <v>0</v>
      </c>
      <c r="AZ51" s="37">
        <f>SUMIFS(Wine1!$I:$I,Wine1!$K:$K,Location!$A51,Wine1!$AA:$AA,Location!AZ$1)</f>
        <v>0</v>
      </c>
      <c r="BA51" s="37">
        <f>SUMIFS(Wine1!$I:$I,Wine1!$K:$K,Location!$A51,Wine1!$AA:$AA,Location!BA$1)</f>
        <v>0</v>
      </c>
      <c r="BB51" s="37">
        <f>SUMIFS(Wine1!$I:$I,Wine1!$K:$K,Location!$A51,Wine1!$AA:$AA,Location!BB$1)</f>
        <v>0</v>
      </c>
      <c r="BC51" s="37">
        <f>SUMIFS(Wine1!$I:$I,Wine1!$K:$K,Location!$A51,Wine1!$AA:$AA,Location!BC$1)</f>
        <v>0</v>
      </c>
      <c r="BD51" s="37">
        <f>SUMIFS(Wine1!$I:$I,Wine1!$K:$K,Location!$A51,Wine1!$AA:$AA,Location!BD$1)</f>
        <v>0</v>
      </c>
      <c r="BE51" s="37">
        <f>SUMIFS(Wine1!$I:$I,Wine1!$K:$K,Location!$A51,Wine1!$AA:$AA,Location!BE$1)</f>
        <v>0</v>
      </c>
      <c r="BF51" s="37">
        <f>SUMIFS(Wine1!$I:$I,Wine1!$K:$K,Location!$A51,Wine1!$AA:$AA,Location!BF$1)</f>
        <v>0</v>
      </c>
      <c r="BG51" s="37">
        <f>SUMIFS(Wine1!$I:$I,Wine1!$K:$K,Location!$A51,Wine1!$AA:$AA,Location!BG$1)</f>
        <v>0</v>
      </c>
      <c r="BH51" s="37">
        <f>SUMIFS(Wine1!$I:$I,Wine1!$K:$K,Location!$A51,Wine1!$AA:$AA,Location!BH$1)</f>
        <v>0</v>
      </c>
      <c r="BI51" s="37">
        <f>SUMIFS(Wine1!$I:$I,Wine1!$K:$K,Location!$A51,Wine1!$AA:$AA,Location!BI$1)</f>
        <v>0</v>
      </c>
    </row>
    <row r="52" spans="1:61" s="8" customFormat="1" x14ac:dyDescent="0.25">
      <c r="A52" s="8" t="s">
        <v>1408</v>
      </c>
      <c r="B52" s="37">
        <f>SUMIF(Wine1!K:K,Location!A52,Wine1!I:I)</f>
        <v>12</v>
      </c>
      <c r="C52" s="8">
        <v>12</v>
      </c>
      <c r="D52" s="37">
        <f t="shared" si="1"/>
        <v>0</v>
      </c>
      <c r="E52" s="37" t="s">
        <v>603</v>
      </c>
      <c r="F52" s="37" t="s">
        <v>1533</v>
      </c>
      <c r="G52" s="62"/>
      <c r="H52" s="56">
        <f>COUNTIFS(Wine1!$K:$K,Location!$A52,Wine1!$AF:$AF,Location!H$1)</f>
        <v>3</v>
      </c>
      <c r="I52" s="57">
        <f>COUNTIFS(Wine1!$K:$K,Location!$A52,Wine1!$AF:$AF,Location!I$1)</f>
        <v>4</v>
      </c>
      <c r="J52" s="57">
        <f>COUNTIFS(Wine1!$K:$K,Location!$A52,Wine1!$AF:$AF,Location!J$1)</f>
        <v>5</v>
      </c>
      <c r="K52" s="58">
        <f>COUNTIFS(Wine1!$K:$K,Location!$A52,Wine1!$AF:$AF,Location!K$1)</f>
        <v>0</v>
      </c>
      <c r="L52" s="18">
        <f>IFERROR(AVERAGEIF(Wine1!K:K,Location!A52,Wine1!AA:AA),"Empty")</f>
        <v>2024.3333333333333</v>
      </c>
      <c r="M52" s="37">
        <f>SUMIFS(Wine1!$I:$I,Wine1!$K:$K,Location!$A52,Wine1!$AA:$AA,Location!M$1)</f>
        <v>0</v>
      </c>
      <c r="N52" s="37">
        <f>SUMIFS(Wine1!$I:$I,Wine1!$K:$K,Location!$A52,Wine1!$AA:$AA,Location!N$1)</f>
        <v>0</v>
      </c>
      <c r="O52" s="37">
        <f>SUMIFS(Wine1!$I:$I,Wine1!$K:$K,Location!$A52,Wine1!$AA:$AA,Location!O$1)</f>
        <v>1</v>
      </c>
      <c r="P52" s="37">
        <f>SUMIFS(Wine1!$I:$I,Wine1!$K:$K,Location!$A52,Wine1!$AA:$AA,Location!P$1)</f>
        <v>4</v>
      </c>
      <c r="Q52" s="37">
        <f>SUMIFS(Wine1!$I:$I,Wine1!$K:$K,Location!$A52,Wine1!$AA:$AA,Location!Q$1)</f>
        <v>2</v>
      </c>
      <c r="R52" s="37">
        <f>SUMIFS(Wine1!$I:$I,Wine1!$K:$K,Location!$A52,Wine1!$AA:$AA,Location!R$1)</f>
        <v>2</v>
      </c>
      <c r="S52" s="37">
        <f>SUMIFS(Wine1!$I:$I,Wine1!$K:$K,Location!$A52,Wine1!$AA:$AA,Location!S$1)</f>
        <v>1</v>
      </c>
      <c r="T52" s="37">
        <f>SUMIFS(Wine1!$I:$I,Wine1!$K:$K,Location!$A52,Wine1!$AA:$AA,Location!T$1)</f>
        <v>2</v>
      </c>
      <c r="U52" s="37">
        <f>SUMIFS(Wine1!$I:$I,Wine1!$K:$K,Location!$A52,Wine1!$AA:$AA,Location!U$1)</f>
        <v>0</v>
      </c>
      <c r="V52" s="37">
        <f>SUMIFS(Wine1!$I:$I,Wine1!$K:$K,Location!$A52,Wine1!$AA:$AA,Location!V$1)</f>
        <v>0</v>
      </c>
      <c r="W52" s="37">
        <f>SUMIFS(Wine1!$I:$I,Wine1!$K:$K,Location!$A52,Wine1!$AA:$AA,Location!W$1)</f>
        <v>0</v>
      </c>
      <c r="X52" s="37">
        <f>SUMIFS(Wine1!$I:$I,Wine1!$K:$K,Location!$A52,Wine1!$AA:$AA,Location!X$1)</f>
        <v>0</v>
      </c>
      <c r="Y52" s="37">
        <f>SUMIFS(Wine1!$I:$I,Wine1!$K:$K,Location!$A52,Wine1!$AA:$AA,Location!Y$1)</f>
        <v>0</v>
      </c>
      <c r="Z52" s="37">
        <f>SUMIFS(Wine1!$I:$I,Wine1!$K:$K,Location!$A52,Wine1!$AA:$AA,Location!Z$1)</f>
        <v>0</v>
      </c>
      <c r="AA52" s="37">
        <f>SUMIFS(Wine1!$I:$I,Wine1!$K:$K,Location!$A52,Wine1!$AA:$AA,Location!AA$1)</f>
        <v>0</v>
      </c>
      <c r="AB52" s="37">
        <f>SUMIFS(Wine1!$I:$I,Wine1!$K:$K,Location!$A52,Wine1!$AA:$AA,Location!AB$1)</f>
        <v>0</v>
      </c>
      <c r="AC52" s="37">
        <f>SUMIFS(Wine1!$I:$I,Wine1!$K:$K,Location!$A52,Wine1!$AA:$AA,Location!AC$1)</f>
        <v>0</v>
      </c>
      <c r="AD52" s="37">
        <f>SUMIFS(Wine1!$I:$I,Wine1!$K:$K,Location!$A52,Wine1!$AA:$AA,Location!AD$1)</f>
        <v>0</v>
      </c>
      <c r="AE52" s="37">
        <f>SUMIFS(Wine1!$I:$I,Wine1!$K:$K,Location!$A52,Wine1!$AA:$AA,Location!AE$1)</f>
        <v>0</v>
      </c>
      <c r="AF52" s="37">
        <f>SUMIFS(Wine1!$I:$I,Wine1!$K:$K,Location!$A52,Wine1!$AA:$AA,Location!AF$1)</f>
        <v>0</v>
      </c>
      <c r="AG52" s="37">
        <f>SUMIFS(Wine1!$I:$I,Wine1!$K:$K,Location!$A52,Wine1!$AA:$AA,Location!AG$1)</f>
        <v>0</v>
      </c>
      <c r="AH52" s="37">
        <f>SUMIFS(Wine1!$I:$I,Wine1!$K:$K,Location!$A52,Wine1!$AA:$AA,Location!AH$1)</f>
        <v>0</v>
      </c>
      <c r="AI52" s="37">
        <f>SUMIFS(Wine1!$I:$I,Wine1!$K:$K,Location!$A52,Wine1!$AA:$AA,Location!AI$1)</f>
        <v>0</v>
      </c>
      <c r="AJ52" s="37">
        <f>SUMIFS(Wine1!$I:$I,Wine1!$K:$K,Location!$A52,Wine1!$AA:$AA,Location!AJ$1)</f>
        <v>0</v>
      </c>
      <c r="AK52" s="37">
        <f>SUMIFS(Wine1!$I:$I,Wine1!$K:$K,Location!$A52,Wine1!$AA:$AA,Location!AK$1)</f>
        <v>0</v>
      </c>
      <c r="AL52" s="37">
        <f>SUMIFS(Wine1!$I:$I,Wine1!$K:$K,Location!$A52,Wine1!$AA:$AA,Location!AL$1)</f>
        <v>0</v>
      </c>
      <c r="AM52" s="37">
        <f>SUMIFS(Wine1!$I:$I,Wine1!$K:$K,Location!$A52,Wine1!$AA:$AA,Location!AM$1)</f>
        <v>0</v>
      </c>
      <c r="AN52" s="37">
        <f>SUMIFS(Wine1!$I:$I,Wine1!$K:$K,Location!$A52,Wine1!$AA:$AA,Location!AN$1)</f>
        <v>0</v>
      </c>
      <c r="AO52" s="37">
        <f>SUMIFS(Wine1!$I:$I,Wine1!$K:$K,Location!$A52,Wine1!$AA:$AA,Location!AO$1)</f>
        <v>0</v>
      </c>
      <c r="AP52" s="37">
        <f>SUMIFS(Wine1!$I:$I,Wine1!$K:$K,Location!$A52,Wine1!$AA:$AA,Location!AP$1)</f>
        <v>0</v>
      </c>
      <c r="AQ52" s="37">
        <f>SUMIFS(Wine1!$I:$I,Wine1!$K:$K,Location!$A52,Wine1!$AA:$AA,Location!AQ$1)</f>
        <v>0</v>
      </c>
      <c r="AR52" s="37">
        <f>SUMIFS(Wine1!$I:$I,Wine1!$K:$K,Location!$A52,Wine1!$AA:$AA,Location!AR$1)</f>
        <v>0</v>
      </c>
      <c r="AS52" s="37">
        <f>SUMIFS(Wine1!$I:$I,Wine1!$K:$K,Location!$A52,Wine1!$AA:$AA,Location!AS$1)</f>
        <v>0</v>
      </c>
      <c r="AT52" s="37">
        <f>SUMIFS(Wine1!$I:$I,Wine1!$K:$K,Location!$A52,Wine1!$AA:$AA,Location!AT$1)</f>
        <v>0</v>
      </c>
      <c r="AU52" s="37">
        <f>SUMIFS(Wine1!$I:$I,Wine1!$K:$K,Location!$A52,Wine1!$AA:$AA,Location!AU$1)</f>
        <v>0</v>
      </c>
      <c r="AV52" s="37">
        <f>SUMIFS(Wine1!$I:$I,Wine1!$K:$K,Location!$A52,Wine1!$AA:$AA,Location!AV$1)</f>
        <v>0</v>
      </c>
      <c r="AW52" s="37">
        <f>SUMIFS(Wine1!$I:$I,Wine1!$K:$K,Location!$A52,Wine1!$AA:$AA,Location!AW$1)</f>
        <v>0</v>
      </c>
      <c r="AX52" s="37">
        <f>SUMIFS(Wine1!$I:$I,Wine1!$K:$K,Location!$A52,Wine1!$AA:$AA,Location!AX$1)</f>
        <v>0</v>
      </c>
      <c r="AY52" s="37">
        <f>SUMIFS(Wine1!$I:$I,Wine1!$K:$K,Location!$A52,Wine1!$AA:$AA,Location!AY$1)</f>
        <v>0</v>
      </c>
      <c r="AZ52" s="37">
        <f>SUMIFS(Wine1!$I:$I,Wine1!$K:$K,Location!$A52,Wine1!$AA:$AA,Location!AZ$1)</f>
        <v>0</v>
      </c>
      <c r="BA52" s="37">
        <f>SUMIFS(Wine1!$I:$I,Wine1!$K:$K,Location!$A52,Wine1!$AA:$AA,Location!BA$1)</f>
        <v>0</v>
      </c>
      <c r="BB52" s="37">
        <f>SUMIFS(Wine1!$I:$I,Wine1!$K:$K,Location!$A52,Wine1!$AA:$AA,Location!BB$1)</f>
        <v>0</v>
      </c>
      <c r="BC52" s="37">
        <f>SUMIFS(Wine1!$I:$I,Wine1!$K:$K,Location!$A52,Wine1!$AA:$AA,Location!BC$1)</f>
        <v>0</v>
      </c>
      <c r="BD52" s="37">
        <f>SUMIFS(Wine1!$I:$I,Wine1!$K:$K,Location!$A52,Wine1!$AA:$AA,Location!BD$1)</f>
        <v>0</v>
      </c>
      <c r="BE52" s="37">
        <f>SUMIFS(Wine1!$I:$I,Wine1!$K:$K,Location!$A52,Wine1!$AA:$AA,Location!BE$1)</f>
        <v>0</v>
      </c>
      <c r="BF52" s="37">
        <f>SUMIFS(Wine1!$I:$I,Wine1!$K:$K,Location!$A52,Wine1!$AA:$AA,Location!BF$1)</f>
        <v>0</v>
      </c>
      <c r="BG52" s="37">
        <f>SUMIFS(Wine1!$I:$I,Wine1!$K:$K,Location!$A52,Wine1!$AA:$AA,Location!BG$1)</f>
        <v>0</v>
      </c>
      <c r="BH52" s="37">
        <f>SUMIFS(Wine1!$I:$I,Wine1!$K:$K,Location!$A52,Wine1!$AA:$AA,Location!BH$1)</f>
        <v>0</v>
      </c>
      <c r="BI52" s="37">
        <f>SUMIFS(Wine1!$I:$I,Wine1!$K:$K,Location!$A52,Wine1!$AA:$AA,Location!BI$1)</f>
        <v>0</v>
      </c>
    </row>
    <row r="53" spans="1:61" s="8" customFormat="1" x14ac:dyDescent="0.25">
      <c r="A53" s="8" t="s">
        <v>1427</v>
      </c>
      <c r="B53" s="37">
        <f>SUMIF(Wine1!K:K,Location!A53,Wine1!I:I)</f>
        <v>12</v>
      </c>
      <c r="C53" s="8">
        <v>12</v>
      </c>
      <c r="D53" s="37">
        <f t="shared" si="1"/>
        <v>0</v>
      </c>
      <c r="E53" s="8" t="s">
        <v>600</v>
      </c>
      <c r="F53" s="8" t="s">
        <v>718</v>
      </c>
      <c r="G53" s="62"/>
      <c r="H53" s="56">
        <f>COUNTIFS(Wine1!$K:$K,Location!$A53,Wine1!$AF:$AF,Location!H$1)</f>
        <v>5</v>
      </c>
      <c r="I53" s="57">
        <f>COUNTIFS(Wine1!$K:$K,Location!$A53,Wine1!$AF:$AF,Location!I$1)</f>
        <v>4</v>
      </c>
      <c r="J53" s="57">
        <f>COUNTIFS(Wine1!$K:$K,Location!$A53,Wine1!$AF:$AF,Location!J$1)</f>
        <v>3</v>
      </c>
      <c r="K53" s="58">
        <f>COUNTIFS(Wine1!$K:$K,Location!$A53,Wine1!$AF:$AF,Location!K$1)</f>
        <v>0</v>
      </c>
      <c r="L53" s="18">
        <f>IFERROR(AVERAGEIF(Wine1!K:K,Location!A53,Wine1!AA:AA),"Empty")</f>
        <v>2020.25</v>
      </c>
      <c r="M53" s="37">
        <f>SUMIFS(Wine1!$I:$I,Wine1!$K:$K,Location!$A53,Wine1!$AA:$AA,Location!M$1)</f>
        <v>9</v>
      </c>
      <c r="N53" s="37">
        <f>SUMIFS(Wine1!$I:$I,Wine1!$K:$K,Location!$A53,Wine1!$AA:$AA,Location!N$1)</f>
        <v>3</v>
      </c>
      <c r="O53" s="37">
        <f>SUMIFS(Wine1!$I:$I,Wine1!$K:$K,Location!$A53,Wine1!$AA:$AA,Location!O$1)</f>
        <v>0</v>
      </c>
      <c r="P53" s="37">
        <f>SUMIFS(Wine1!$I:$I,Wine1!$K:$K,Location!$A53,Wine1!$AA:$AA,Location!P$1)</f>
        <v>0</v>
      </c>
      <c r="Q53" s="37">
        <f>SUMIFS(Wine1!$I:$I,Wine1!$K:$K,Location!$A53,Wine1!$AA:$AA,Location!Q$1)</f>
        <v>0</v>
      </c>
      <c r="R53" s="37">
        <f>SUMIFS(Wine1!$I:$I,Wine1!$K:$K,Location!$A53,Wine1!$AA:$AA,Location!R$1)</f>
        <v>0</v>
      </c>
      <c r="S53" s="37">
        <f>SUMIFS(Wine1!$I:$I,Wine1!$K:$K,Location!$A53,Wine1!$AA:$AA,Location!S$1)</f>
        <v>0</v>
      </c>
      <c r="T53" s="37">
        <f>SUMIFS(Wine1!$I:$I,Wine1!$K:$K,Location!$A53,Wine1!$AA:$AA,Location!T$1)</f>
        <v>0</v>
      </c>
      <c r="U53" s="37">
        <f>SUMIFS(Wine1!$I:$I,Wine1!$K:$K,Location!$A53,Wine1!$AA:$AA,Location!U$1)</f>
        <v>0</v>
      </c>
      <c r="V53" s="37">
        <f>SUMIFS(Wine1!$I:$I,Wine1!$K:$K,Location!$A53,Wine1!$AA:$AA,Location!V$1)</f>
        <v>0</v>
      </c>
      <c r="W53" s="37">
        <f>SUMIFS(Wine1!$I:$I,Wine1!$K:$K,Location!$A53,Wine1!$AA:$AA,Location!W$1)</f>
        <v>0</v>
      </c>
      <c r="X53" s="37">
        <f>SUMIFS(Wine1!$I:$I,Wine1!$K:$K,Location!$A53,Wine1!$AA:$AA,Location!X$1)</f>
        <v>0</v>
      </c>
      <c r="Y53" s="37">
        <f>SUMIFS(Wine1!$I:$I,Wine1!$K:$K,Location!$A53,Wine1!$AA:$AA,Location!Y$1)</f>
        <v>0</v>
      </c>
      <c r="Z53" s="37">
        <f>SUMIFS(Wine1!$I:$I,Wine1!$K:$K,Location!$A53,Wine1!$AA:$AA,Location!Z$1)</f>
        <v>0</v>
      </c>
      <c r="AA53" s="37">
        <f>SUMIFS(Wine1!$I:$I,Wine1!$K:$K,Location!$A53,Wine1!$AA:$AA,Location!AA$1)</f>
        <v>0</v>
      </c>
      <c r="AB53" s="37">
        <f>SUMIFS(Wine1!$I:$I,Wine1!$K:$K,Location!$A53,Wine1!$AA:$AA,Location!AB$1)</f>
        <v>0</v>
      </c>
      <c r="AC53" s="37">
        <f>SUMIFS(Wine1!$I:$I,Wine1!$K:$K,Location!$A53,Wine1!$AA:$AA,Location!AC$1)</f>
        <v>0</v>
      </c>
      <c r="AD53" s="37">
        <f>SUMIFS(Wine1!$I:$I,Wine1!$K:$K,Location!$A53,Wine1!$AA:$AA,Location!AD$1)</f>
        <v>0</v>
      </c>
      <c r="AE53" s="37">
        <f>SUMIFS(Wine1!$I:$I,Wine1!$K:$K,Location!$A53,Wine1!$AA:$AA,Location!AE$1)</f>
        <v>0</v>
      </c>
      <c r="AF53" s="37">
        <f>SUMIFS(Wine1!$I:$I,Wine1!$K:$K,Location!$A53,Wine1!$AA:$AA,Location!AF$1)</f>
        <v>0</v>
      </c>
      <c r="AG53" s="37">
        <f>SUMIFS(Wine1!$I:$I,Wine1!$K:$K,Location!$A53,Wine1!$AA:$AA,Location!AG$1)</f>
        <v>0</v>
      </c>
      <c r="AH53" s="37">
        <f>SUMIFS(Wine1!$I:$I,Wine1!$K:$K,Location!$A53,Wine1!$AA:$AA,Location!AH$1)</f>
        <v>0</v>
      </c>
      <c r="AI53" s="37">
        <f>SUMIFS(Wine1!$I:$I,Wine1!$K:$K,Location!$A53,Wine1!$AA:$AA,Location!AI$1)</f>
        <v>0</v>
      </c>
      <c r="AJ53" s="37">
        <f>SUMIFS(Wine1!$I:$I,Wine1!$K:$K,Location!$A53,Wine1!$AA:$AA,Location!AJ$1)</f>
        <v>0</v>
      </c>
      <c r="AK53" s="37">
        <f>SUMIFS(Wine1!$I:$I,Wine1!$K:$K,Location!$A53,Wine1!$AA:$AA,Location!AK$1)</f>
        <v>0</v>
      </c>
      <c r="AL53" s="37">
        <f>SUMIFS(Wine1!$I:$I,Wine1!$K:$K,Location!$A53,Wine1!$AA:$AA,Location!AL$1)</f>
        <v>0</v>
      </c>
      <c r="AM53" s="37">
        <f>SUMIFS(Wine1!$I:$I,Wine1!$K:$K,Location!$A53,Wine1!$AA:$AA,Location!AM$1)</f>
        <v>0</v>
      </c>
      <c r="AN53" s="37">
        <f>SUMIFS(Wine1!$I:$I,Wine1!$K:$K,Location!$A53,Wine1!$AA:$AA,Location!AN$1)</f>
        <v>0</v>
      </c>
      <c r="AO53" s="37">
        <f>SUMIFS(Wine1!$I:$I,Wine1!$K:$K,Location!$A53,Wine1!$AA:$AA,Location!AO$1)</f>
        <v>0</v>
      </c>
      <c r="AP53" s="37">
        <f>SUMIFS(Wine1!$I:$I,Wine1!$K:$K,Location!$A53,Wine1!$AA:$AA,Location!AP$1)</f>
        <v>0</v>
      </c>
      <c r="AQ53" s="37">
        <f>SUMIFS(Wine1!$I:$I,Wine1!$K:$K,Location!$A53,Wine1!$AA:$AA,Location!AQ$1)</f>
        <v>0</v>
      </c>
      <c r="AR53" s="37">
        <f>SUMIFS(Wine1!$I:$I,Wine1!$K:$K,Location!$A53,Wine1!$AA:$AA,Location!AR$1)</f>
        <v>0</v>
      </c>
      <c r="AS53" s="37">
        <f>SUMIFS(Wine1!$I:$I,Wine1!$K:$K,Location!$A53,Wine1!$AA:$AA,Location!AS$1)</f>
        <v>0</v>
      </c>
      <c r="AT53" s="37">
        <f>SUMIFS(Wine1!$I:$I,Wine1!$K:$K,Location!$A53,Wine1!$AA:$AA,Location!AT$1)</f>
        <v>0</v>
      </c>
      <c r="AU53" s="37">
        <f>SUMIFS(Wine1!$I:$I,Wine1!$K:$K,Location!$A53,Wine1!$AA:$AA,Location!AU$1)</f>
        <v>0</v>
      </c>
      <c r="AV53" s="37">
        <f>SUMIFS(Wine1!$I:$I,Wine1!$K:$K,Location!$A53,Wine1!$AA:$AA,Location!AV$1)</f>
        <v>0</v>
      </c>
      <c r="AW53" s="37">
        <f>SUMIFS(Wine1!$I:$I,Wine1!$K:$K,Location!$A53,Wine1!$AA:$AA,Location!AW$1)</f>
        <v>0</v>
      </c>
      <c r="AX53" s="37">
        <f>SUMIFS(Wine1!$I:$I,Wine1!$K:$K,Location!$A53,Wine1!$AA:$AA,Location!AX$1)</f>
        <v>0</v>
      </c>
      <c r="AY53" s="37">
        <f>SUMIFS(Wine1!$I:$I,Wine1!$K:$K,Location!$A53,Wine1!$AA:$AA,Location!AY$1)</f>
        <v>0</v>
      </c>
      <c r="AZ53" s="37">
        <f>SUMIFS(Wine1!$I:$I,Wine1!$K:$K,Location!$A53,Wine1!$AA:$AA,Location!AZ$1)</f>
        <v>0</v>
      </c>
      <c r="BA53" s="37">
        <f>SUMIFS(Wine1!$I:$I,Wine1!$K:$K,Location!$A53,Wine1!$AA:$AA,Location!BA$1)</f>
        <v>0</v>
      </c>
      <c r="BB53" s="37">
        <f>SUMIFS(Wine1!$I:$I,Wine1!$K:$K,Location!$A53,Wine1!$AA:$AA,Location!BB$1)</f>
        <v>0</v>
      </c>
      <c r="BC53" s="37">
        <f>SUMIFS(Wine1!$I:$I,Wine1!$K:$K,Location!$A53,Wine1!$AA:$AA,Location!BC$1)</f>
        <v>0</v>
      </c>
      <c r="BD53" s="37">
        <f>SUMIFS(Wine1!$I:$I,Wine1!$K:$K,Location!$A53,Wine1!$AA:$AA,Location!BD$1)</f>
        <v>0</v>
      </c>
      <c r="BE53" s="37">
        <f>SUMIFS(Wine1!$I:$I,Wine1!$K:$K,Location!$A53,Wine1!$AA:$AA,Location!BE$1)</f>
        <v>0</v>
      </c>
      <c r="BF53" s="37">
        <f>SUMIFS(Wine1!$I:$I,Wine1!$K:$K,Location!$A53,Wine1!$AA:$AA,Location!BF$1)</f>
        <v>0</v>
      </c>
      <c r="BG53" s="37">
        <f>SUMIFS(Wine1!$I:$I,Wine1!$K:$K,Location!$A53,Wine1!$AA:$AA,Location!BG$1)</f>
        <v>0</v>
      </c>
      <c r="BH53" s="37">
        <f>SUMIFS(Wine1!$I:$I,Wine1!$K:$K,Location!$A53,Wine1!$AA:$AA,Location!BH$1)</f>
        <v>0</v>
      </c>
      <c r="BI53" s="37">
        <f>SUMIFS(Wine1!$I:$I,Wine1!$K:$K,Location!$A53,Wine1!$AA:$AA,Location!BI$1)</f>
        <v>0</v>
      </c>
    </row>
    <row r="54" spans="1:61" s="8" customFormat="1" x14ac:dyDescent="0.25">
      <c r="A54" s="8" t="s">
        <v>1505</v>
      </c>
      <c r="B54" s="37">
        <f>SUMIF(Wine1!K:K,Location!A54,Wine1!I:I)</f>
        <v>12</v>
      </c>
      <c r="C54" s="8">
        <v>12</v>
      </c>
      <c r="D54" s="37">
        <f t="shared" si="1"/>
        <v>0</v>
      </c>
      <c r="E54" s="37" t="s">
        <v>603</v>
      </c>
      <c r="F54" s="37" t="s">
        <v>1533</v>
      </c>
      <c r="G54" s="62"/>
      <c r="H54" s="56">
        <f>COUNTIFS(Wine1!$K:$K,Location!$A54,Wine1!$AF:$AF,Location!H$1)</f>
        <v>6</v>
      </c>
      <c r="I54" s="57">
        <f>COUNTIFS(Wine1!$K:$K,Location!$A54,Wine1!$AF:$AF,Location!I$1)</f>
        <v>5</v>
      </c>
      <c r="J54" s="57">
        <f>COUNTIFS(Wine1!$K:$K,Location!$A54,Wine1!$AF:$AF,Location!J$1)</f>
        <v>0</v>
      </c>
      <c r="K54" s="58">
        <f>COUNTIFS(Wine1!$K:$K,Location!$A54,Wine1!$AF:$AF,Location!K$1)</f>
        <v>1</v>
      </c>
      <c r="L54" s="18">
        <f>IFERROR(AVERAGEIF(Wine1!K:K,Location!A54,Wine1!AA:AA),"Empty")</f>
        <v>2026</v>
      </c>
      <c r="M54" s="37">
        <f>SUMIFS(Wine1!$I:$I,Wine1!$K:$K,Location!$A54,Wine1!$AA:$AA,Location!M$1)</f>
        <v>0</v>
      </c>
      <c r="N54" s="37">
        <f>SUMIFS(Wine1!$I:$I,Wine1!$K:$K,Location!$A54,Wine1!$AA:$AA,Location!N$1)</f>
        <v>0</v>
      </c>
      <c r="O54" s="37">
        <f>SUMIFS(Wine1!$I:$I,Wine1!$K:$K,Location!$A54,Wine1!$AA:$AA,Location!O$1)</f>
        <v>0</v>
      </c>
      <c r="P54" s="37">
        <f>SUMIFS(Wine1!$I:$I,Wine1!$K:$K,Location!$A54,Wine1!$AA:$AA,Location!P$1)</f>
        <v>0</v>
      </c>
      <c r="Q54" s="37">
        <f>SUMIFS(Wine1!$I:$I,Wine1!$K:$K,Location!$A54,Wine1!$AA:$AA,Location!Q$1)</f>
        <v>3</v>
      </c>
      <c r="R54" s="37">
        <f>SUMIFS(Wine1!$I:$I,Wine1!$K:$K,Location!$A54,Wine1!$AA:$AA,Location!R$1)</f>
        <v>4</v>
      </c>
      <c r="S54" s="37">
        <f>SUMIFS(Wine1!$I:$I,Wine1!$K:$K,Location!$A54,Wine1!$AA:$AA,Location!S$1)</f>
        <v>0</v>
      </c>
      <c r="T54" s="37">
        <f>SUMIFS(Wine1!$I:$I,Wine1!$K:$K,Location!$A54,Wine1!$AA:$AA,Location!T$1)</f>
        <v>2</v>
      </c>
      <c r="U54" s="37">
        <f>SUMIFS(Wine1!$I:$I,Wine1!$K:$K,Location!$A54,Wine1!$AA:$AA,Location!U$1)</f>
        <v>1</v>
      </c>
      <c r="V54" s="37">
        <f>SUMIFS(Wine1!$I:$I,Wine1!$K:$K,Location!$A54,Wine1!$AA:$AA,Location!V$1)</f>
        <v>2</v>
      </c>
      <c r="W54" s="37">
        <f>SUMIFS(Wine1!$I:$I,Wine1!$K:$K,Location!$A54,Wine1!$AA:$AA,Location!W$1)</f>
        <v>0</v>
      </c>
      <c r="X54" s="37">
        <f>SUMIFS(Wine1!$I:$I,Wine1!$K:$K,Location!$A54,Wine1!$AA:$AA,Location!X$1)</f>
        <v>0</v>
      </c>
      <c r="Y54" s="37">
        <f>SUMIFS(Wine1!$I:$I,Wine1!$K:$K,Location!$A54,Wine1!$AA:$AA,Location!Y$1)</f>
        <v>0</v>
      </c>
      <c r="Z54" s="37">
        <f>SUMIFS(Wine1!$I:$I,Wine1!$K:$K,Location!$A54,Wine1!$AA:$AA,Location!Z$1)</f>
        <v>0</v>
      </c>
      <c r="AA54" s="37">
        <f>SUMIFS(Wine1!$I:$I,Wine1!$K:$K,Location!$A54,Wine1!$AA:$AA,Location!AA$1)</f>
        <v>0</v>
      </c>
      <c r="AB54" s="37">
        <f>SUMIFS(Wine1!$I:$I,Wine1!$K:$K,Location!$A54,Wine1!$AA:$AA,Location!AB$1)</f>
        <v>0</v>
      </c>
      <c r="AC54" s="37">
        <f>SUMIFS(Wine1!$I:$I,Wine1!$K:$K,Location!$A54,Wine1!$AA:$AA,Location!AC$1)</f>
        <v>0</v>
      </c>
      <c r="AD54" s="37">
        <f>SUMIFS(Wine1!$I:$I,Wine1!$K:$K,Location!$A54,Wine1!$AA:$AA,Location!AD$1)</f>
        <v>0</v>
      </c>
      <c r="AE54" s="37">
        <f>SUMIFS(Wine1!$I:$I,Wine1!$K:$K,Location!$A54,Wine1!$AA:$AA,Location!AE$1)</f>
        <v>0</v>
      </c>
      <c r="AF54" s="37">
        <f>SUMIFS(Wine1!$I:$I,Wine1!$K:$K,Location!$A54,Wine1!$AA:$AA,Location!AF$1)</f>
        <v>0</v>
      </c>
      <c r="AG54" s="37">
        <f>SUMIFS(Wine1!$I:$I,Wine1!$K:$K,Location!$A54,Wine1!$AA:$AA,Location!AG$1)</f>
        <v>0</v>
      </c>
      <c r="AH54" s="37">
        <f>SUMIFS(Wine1!$I:$I,Wine1!$K:$K,Location!$A54,Wine1!$AA:$AA,Location!AH$1)</f>
        <v>0</v>
      </c>
      <c r="AI54" s="37">
        <f>SUMIFS(Wine1!$I:$I,Wine1!$K:$K,Location!$A54,Wine1!$AA:$AA,Location!AI$1)</f>
        <v>0</v>
      </c>
      <c r="AJ54" s="37">
        <f>SUMIFS(Wine1!$I:$I,Wine1!$K:$K,Location!$A54,Wine1!$AA:$AA,Location!AJ$1)</f>
        <v>0</v>
      </c>
      <c r="AK54" s="37">
        <f>SUMIFS(Wine1!$I:$I,Wine1!$K:$K,Location!$A54,Wine1!$AA:$AA,Location!AK$1)</f>
        <v>0</v>
      </c>
      <c r="AL54" s="37">
        <f>SUMIFS(Wine1!$I:$I,Wine1!$K:$K,Location!$A54,Wine1!$AA:$AA,Location!AL$1)</f>
        <v>0</v>
      </c>
      <c r="AM54" s="37">
        <f>SUMIFS(Wine1!$I:$I,Wine1!$K:$K,Location!$A54,Wine1!$AA:$AA,Location!AM$1)</f>
        <v>0</v>
      </c>
      <c r="AN54" s="37">
        <f>SUMIFS(Wine1!$I:$I,Wine1!$K:$K,Location!$A54,Wine1!$AA:$AA,Location!AN$1)</f>
        <v>0</v>
      </c>
      <c r="AO54" s="37">
        <f>SUMIFS(Wine1!$I:$I,Wine1!$K:$K,Location!$A54,Wine1!$AA:$AA,Location!AO$1)</f>
        <v>0</v>
      </c>
      <c r="AP54" s="37">
        <f>SUMIFS(Wine1!$I:$I,Wine1!$K:$K,Location!$A54,Wine1!$AA:$AA,Location!AP$1)</f>
        <v>0</v>
      </c>
      <c r="AQ54" s="37">
        <f>SUMIFS(Wine1!$I:$I,Wine1!$K:$K,Location!$A54,Wine1!$AA:$AA,Location!AQ$1)</f>
        <v>0</v>
      </c>
      <c r="AR54" s="37">
        <f>SUMIFS(Wine1!$I:$I,Wine1!$K:$K,Location!$A54,Wine1!$AA:$AA,Location!AR$1)</f>
        <v>0</v>
      </c>
      <c r="AS54" s="37">
        <f>SUMIFS(Wine1!$I:$I,Wine1!$K:$K,Location!$A54,Wine1!$AA:$AA,Location!AS$1)</f>
        <v>0</v>
      </c>
      <c r="AT54" s="37">
        <f>SUMIFS(Wine1!$I:$I,Wine1!$K:$K,Location!$A54,Wine1!$AA:$AA,Location!AT$1)</f>
        <v>0</v>
      </c>
      <c r="AU54" s="37">
        <f>SUMIFS(Wine1!$I:$I,Wine1!$K:$K,Location!$A54,Wine1!$AA:$AA,Location!AU$1)</f>
        <v>0</v>
      </c>
      <c r="AV54" s="37">
        <f>SUMIFS(Wine1!$I:$I,Wine1!$K:$K,Location!$A54,Wine1!$AA:$AA,Location!AV$1)</f>
        <v>0</v>
      </c>
      <c r="AW54" s="37">
        <f>SUMIFS(Wine1!$I:$I,Wine1!$K:$K,Location!$A54,Wine1!$AA:$AA,Location!AW$1)</f>
        <v>0</v>
      </c>
      <c r="AX54" s="37">
        <f>SUMIFS(Wine1!$I:$I,Wine1!$K:$K,Location!$A54,Wine1!$AA:$AA,Location!AX$1)</f>
        <v>0</v>
      </c>
      <c r="AY54" s="37">
        <f>SUMIFS(Wine1!$I:$I,Wine1!$K:$K,Location!$A54,Wine1!$AA:$AA,Location!AY$1)</f>
        <v>0</v>
      </c>
      <c r="AZ54" s="37">
        <f>SUMIFS(Wine1!$I:$I,Wine1!$K:$K,Location!$A54,Wine1!$AA:$AA,Location!AZ$1)</f>
        <v>0</v>
      </c>
      <c r="BA54" s="37">
        <f>SUMIFS(Wine1!$I:$I,Wine1!$K:$K,Location!$A54,Wine1!$AA:$AA,Location!BA$1)</f>
        <v>0</v>
      </c>
      <c r="BB54" s="37">
        <f>SUMIFS(Wine1!$I:$I,Wine1!$K:$K,Location!$A54,Wine1!$AA:$AA,Location!BB$1)</f>
        <v>0</v>
      </c>
      <c r="BC54" s="37">
        <f>SUMIFS(Wine1!$I:$I,Wine1!$K:$K,Location!$A54,Wine1!$AA:$AA,Location!BC$1)</f>
        <v>0</v>
      </c>
      <c r="BD54" s="37">
        <f>SUMIFS(Wine1!$I:$I,Wine1!$K:$K,Location!$A54,Wine1!$AA:$AA,Location!BD$1)</f>
        <v>0</v>
      </c>
      <c r="BE54" s="37">
        <f>SUMIFS(Wine1!$I:$I,Wine1!$K:$K,Location!$A54,Wine1!$AA:$AA,Location!BE$1)</f>
        <v>0</v>
      </c>
      <c r="BF54" s="37">
        <f>SUMIFS(Wine1!$I:$I,Wine1!$K:$K,Location!$A54,Wine1!$AA:$AA,Location!BF$1)</f>
        <v>0</v>
      </c>
      <c r="BG54" s="37">
        <f>SUMIFS(Wine1!$I:$I,Wine1!$K:$K,Location!$A54,Wine1!$AA:$AA,Location!BG$1)</f>
        <v>0</v>
      </c>
      <c r="BH54" s="37">
        <f>SUMIFS(Wine1!$I:$I,Wine1!$K:$K,Location!$A54,Wine1!$AA:$AA,Location!BH$1)</f>
        <v>0</v>
      </c>
      <c r="BI54" s="37">
        <f>SUMIFS(Wine1!$I:$I,Wine1!$K:$K,Location!$A54,Wine1!$AA:$AA,Location!BI$1)</f>
        <v>0</v>
      </c>
    </row>
    <row r="55" spans="1:61" s="8" customFormat="1" x14ac:dyDescent="0.25">
      <c r="A55" s="8" t="s">
        <v>1541</v>
      </c>
      <c r="B55" s="37">
        <f>SUMIF(Wine1!K:K,Location!A55,Wine1!I:I)</f>
        <v>12</v>
      </c>
      <c r="C55" s="8">
        <v>12</v>
      </c>
      <c r="D55" s="37">
        <f t="shared" si="1"/>
        <v>0</v>
      </c>
      <c r="E55" s="37" t="s">
        <v>600</v>
      </c>
      <c r="F55" s="8" t="s">
        <v>718</v>
      </c>
      <c r="G55" s="62"/>
      <c r="H55" s="56">
        <f>COUNTIFS(Wine1!$K:$K,Location!$A55,Wine1!$AF:$AF,Location!H$1)</f>
        <v>6</v>
      </c>
      <c r="I55" s="57">
        <f>COUNTIFS(Wine1!$K:$K,Location!$A55,Wine1!$AF:$AF,Location!I$1)</f>
        <v>4</v>
      </c>
      <c r="J55" s="57">
        <f>COUNTIFS(Wine1!$K:$K,Location!$A55,Wine1!$AF:$AF,Location!J$1)</f>
        <v>1</v>
      </c>
      <c r="K55" s="58">
        <f>COUNTIFS(Wine1!$K:$K,Location!$A55,Wine1!$AF:$AF,Location!K$1)</f>
        <v>1</v>
      </c>
      <c r="L55" s="18">
        <f>IFERROR(AVERAGEIF(Wine1!K:K,Location!A55,Wine1!AA:AA),"Empty")</f>
        <v>2020.6666666666667</v>
      </c>
      <c r="M55" s="37">
        <f>SUMIFS(Wine1!$I:$I,Wine1!$K:$K,Location!$A55,Wine1!$AA:$AA,Location!M$1)</f>
        <v>4</v>
      </c>
      <c r="N55" s="37">
        <f>SUMIFS(Wine1!$I:$I,Wine1!$K:$K,Location!$A55,Wine1!$AA:$AA,Location!N$1)</f>
        <v>8</v>
      </c>
      <c r="O55" s="37">
        <f>SUMIFS(Wine1!$I:$I,Wine1!$K:$K,Location!$A55,Wine1!$AA:$AA,Location!O$1)</f>
        <v>0</v>
      </c>
      <c r="P55" s="37">
        <f>SUMIFS(Wine1!$I:$I,Wine1!$K:$K,Location!$A55,Wine1!$AA:$AA,Location!P$1)</f>
        <v>0</v>
      </c>
      <c r="Q55" s="37">
        <f>SUMIFS(Wine1!$I:$I,Wine1!$K:$K,Location!$A55,Wine1!$AA:$AA,Location!Q$1)</f>
        <v>0</v>
      </c>
      <c r="R55" s="37">
        <f>SUMIFS(Wine1!$I:$I,Wine1!$K:$K,Location!$A55,Wine1!$AA:$AA,Location!R$1)</f>
        <v>0</v>
      </c>
      <c r="S55" s="37">
        <f>SUMIFS(Wine1!$I:$I,Wine1!$K:$K,Location!$A55,Wine1!$AA:$AA,Location!S$1)</f>
        <v>0</v>
      </c>
      <c r="T55" s="37">
        <f>SUMIFS(Wine1!$I:$I,Wine1!$K:$K,Location!$A55,Wine1!$AA:$AA,Location!T$1)</f>
        <v>0</v>
      </c>
      <c r="U55" s="37">
        <f>SUMIFS(Wine1!$I:$I,Wine1!$K:$K,Location!$A55,Wine1!$AA:$AA,Location!U$1)</f>
        <v>0</v>
      </c>
      <c r="V55" s="37">
        <f>SUMIFS(Wine1!$I:$I,Wine1!$K:$K,Location!$A55,Wine1!$AA:$AA,Location!V$1)</f>
        <v>0</v>
      </c>
      <c r="W55" s="37">
        <f>SUMIFS(Wine1!$I:$I,Wine1!$K:$K,Location!$A55,Wine1!$AA:$AA,Location!W$1)</f>
        <v>0</v>
      </c>
      <c r="X55" s="37">
        <f>SUMIFS(Wine1!$I:$I,Wine1!$K:$K,Location!$A55,Wine1!$AA:$AA,Location!X$1)</f>
        <v>0</v>
      </c>
      <c r="Y55" s="37">
        <f>SUMIFS(Wine1!$I:$I,Wine1!$K:$K,Location!$A55,Wine1!$AA:$AA,Location!Y$1)</f>
        <v>0</v>
      </c>
      <c r="Z55" s="37">
        <f>SUMIFS(Wine1!$I:$I,Wine1!$K:$K,Location!$A55,Wine1!$AA:$AA,Location!Z$1)</f>
        <v>0</v>
      </c>
      <c r="AA55" s="37">
        <f>SUMIFS(Wine1!$I:$I,Wine1!$K:$K,Location!$A55,Wine1!$AA:$AA,Location!AA$1)</f>
        <v>0</v>
      </c>
      <c r="AB55" s="37">
        <f>SUMIFS(Wine1!$I:$I,Wine1!$K:$K,Location!$A55,Wine1!$AA:$AA,Location!AB$1)</f>
        <v>0</v>
      </c>
      <c r="AC55" s="37">
        <f>SUMIFS(Wine1!$I:$I,Wine1!$K:$K,Location!$A55,Wine1!$AA:$AA,Location!AC$1)</f>
        <v>0</v>
      </c>
      <c r="AD55" s="37">
        <f>SUMIFS(Wine1!$I:$I,Wine1!$K:$K,Location!$A55,Wine1!$AA:$AA,Location!AD$1)</f>
        <v>0</v>
      </c>
      <c r="AE55" s="37">
        <f>SUMIFS(Wine1!$I:$I,Wine1!$K:$K,Location!$A55,Wine1!$AA:$AA,Location!AE$1)</f>
        <v>0</v>
      </c>
      <c r="AF55" s="37">
        <f>SUMIFS(Wine1!$I:$I,Wine1!$K:$K,Location!$A55,Wine1!$AA:$AA,Location!AF$1)</f>
        <v>0</v>
      </c>
      <c r="AG55" s="37">
        <f>SUMIFS(Wine1!$I:$I,Wine1!$K:$K,Location!$A55,Wine1!$AA:$AA,Location!AG$1)</f>
        <v>0</v>
      </c>
      <c r="AH55" s="37">
        <f>SUMIFS(Wine1!$I:$I,Wine1!$K:$K,Location!$A55,Wine1!$AA:$AA,Location!AH$1)</f>
        <v>0</v>
      </c>
      <c r="AI55" s="37">
        <f>SUMIFS(Wine1!$I:$I,Wine1!$K:$K,Location!$A55,Wine1!$AA:$AA,Location!AI$1)</f>
        <v>0</v>
      </c>
      <c r="AJ55" s="37">
        <f>SUMIFS(Wine1!$I:$I,Wine1!$K:$K,Location!$A55,Wine1!$AA:$AA,Location!AJ$1)</f>
        <v>0</v>
      </c>
      <c r="AK55" s="37">
        <f>SUMIFS(Wine1!$I:$I,Wine1!$K:$K,Location!$A55,Wine1!$AA:$AA,Location!AK$1)</f>
        <v>0</v>
      </c>
      <c r="AL55" s="37">
        <f>SUMIFS(Wine1!$I:$I,Wine1!$K:$K,Location!$A55,Wine1!$AA:$AA,Location!AL$1)</f>
        <v>0</v>
      </c>
      <c r="AM55" s="37">
        <f>SUMIFS(Wine1!$I:$I,Wine1!$K:$K,Location!$A55,Wine1!$AA:$AA,Location!AM$1)</f>
        <v>0</v>
      </c>
      <c r="AN55" s="37">
        <f>SUMIFS(Wine1!$I:$I,Wine1!$K:$K,Location!$A55,Wine1!$AA:$AA,Location!AN$1)</f>
        <v>0</v>
      </c>
      <c r="AO55" s="37">
        <f>SUMIFS(Wine1!$I:$I,Wine1!$K:$K,Location!$A55,Wine1!$AA:$AA,Location!AO$1)</f>
        <v>0</v>
      </c>
      <c r="AP55" s="37">
        <f>SUMIFS(Wine1!$I:$I,Wine1!$K:$K,Location!$A55,Wine1!$AA:$AA,Location!AP$1)</f>
        <v>0</v>
      </c>
      <c r="AQ55" s="37">
        <f>SUMIFS(Wine1!$I:$I,Wine1!$K:$K,Location!$A55,Wine1!$AA:$AA,Location!AQ$1)</f>
        <v>0</v>
      </c>
      <c r="AR55" s="37">
        <f>SUMIFS(Wine1!$I:$I,Wine1!$K:$K,Location!$A55,Wine1!$AA:$AA,Location!AR$1)</f>
        <v>0</v>
      </c>
      <c r="AS55" s="37">
        <f>SUMIFS(Wine1!$I:$I,Wine1!$K:$K,Location!$A55,Wine1!$AA:$AA,Location!AS$1)</f>
        <v>0</v>
      </c>
      <c r="AT55" s="37">
        <f>SUMIFS(Wine1!$I:$I,Wine1!$K:$K,Location!$A55,Wine1!$AA:$AA,Location!AT$1)</f>
        <v>0</v>
      </c>
      <c r="AU55" s="37">
        <f>SUMIFS(Wine1!$I:$I,Wine1!$K:$K,Location!$A55,Wine1!$AA:$AA,Location!AU$1)</f>
        <v>0</v>
      </c>
      <c r="AV55" s="37">
        <f>SUMIFS(Wine1!$I:$I,Wine1!$K:$K,Location!$A55,Wine1!$AA:$AA,Location!AV$1)</f>
        <v>0</v>
      </c>
      <c r="AW55" s="37">
        <f>SUMIFS(Wine1!$I:$I,Wine1!$K:$K,Location!$A55,Wine1!$AA:$AA,Location!AW$1)</f>
        <v>0</v>
      </c>
      <c r="AX55" s="37">
        <f>SUMIFS(Wine1!$I:$I,Wine1!$K:$K,Location!$A55,Wine1!$AA:$AA,Location!AX$1)</f>
        <v>0</v>
      </c>
      <c r="AY55" s="37">
        <f>SUMIFS(Wine1!$I:$I,Wine1!$K:$K,Location!$A55,Wine1!$AA:$AA,Location!AY$1)</f>
        <v>0</v>
      </c>
      <c r="AZ55" s="37">
        <f>SUMIFS(Wine1!$I:$I,Wine1!$K:$K,Location!$A55,Wine1!$AA:$AA,Location!AZ$1)</f>
        <v>0</v>
      </c>
      <c r="BA55" s="37">
        <f>SUMIFS(Wine1!$I:$I,Wine1!$K:$K,Location!$A55,Wine1!$AA:$AA,Location!BA$1)</f>
        <v>0</v>
      </c>
      <c r="BB55" s="37">
        <f>SUMIFS(Wine1!$I:$I,Wine1!$K:$K,Location!$A55,Wine1!$AA:$AA,Location!BB$1)</f>
        <v>0</v>
      </c>
      <c r="BC55" s="37">
        <f>SUMIFS(Wine1!$I:$I,Wine1!$K:$K,Location!$A55,Wine1!$AA:$AA,Location!BC$1)</f>
        <v>0</v>
      </c>
      <c r="BD55" s="37">
        <f>SUMIFS(Wine1!$I:$I,Wine1!$K:$K,Location!$A55,Wine1!$AA:$AA,Location!BD$1)</f>
        <v>0</v>
      </c>
      <c r="BE55" s="37">
        <f>SUMIFS(Wine1!$I:$I,Wine1!$K:$K,Location!$A55,Wine1!$AA:$AA,Location!BE$1)</f>
        <v>0</v>
      </c>
      <c r="BF55" s="37">
        <f>SUMIFS(Wine1!$I:$I,Wine1!$K:$K,Location!$A55,Wine1!$AA:$AA,Location!BF$1)</f>
        <v>0</v>
      </c>
      <c r="BG55" s="37">
        <f>SUMIFS(Wine1!$I:$I,Wine1!$K:$K,Location!$A55,Wine1!$AA:$AA,Location!BG$1)</f>
        <v>0</v>
      </c>
      <c r="BH55" s="37">
        <f>SUMIFS(Wine1!$I:$I,Wine1!$K:$K,Location!$A55,Wine1!$AA:$AA,Location!BH$1)</f>
        <v>0</v>
      </c>
      <c r="BI55" s="37">
        <f>SUMIFS(Wine1!$I:$I,Wine1!$K:$K,Location!$A55,Wine1!$AA:$AA,Location!BI$1)</f>
        <v>0</v>
      </c>
    </row>
    <row r="56" spans="1:61" s="8" customFormat="1" x14ac:dyDescent="0.25">
      <c r="A56" s="8" t="s">
        <v>1542</v>
      </c>
      <c r="B56" s="37">
        <f>SUMIF(Wine1!K:K,Location!A56,Wine1!I:I)</f>
        <v>12</v>
      </c>
      <c r="C56" s="8">
        <v>12</v>
      </c>
      <c r="D56" s="37">
        <f t="shared" si="1"/>
        <v>0</v>
      </c>
      <c r="E56" s="37" t="s">
        <v>600</v>
      </c>
      <c r="F56" s="8" t="s">
        <v>1533</v>
      </c>
      <c r="G56" s="62"/>
      <c r="H56" s="56">
        <f>COUNTIFS(Wine1!$K:$K,Location!$A56,Wine1!$AF:$AF,Location!H$1)</f>
        <v>1</v>
      </c>
      <c r="I56" s="57">
        <f>COUNTIFS(Wine1!$K:$K,Location!$A56,Wine1!$AF:$AF,Location!I$1)</f>
        <v>0</v>
      </c>
      <c r="J56" s="57">
        <f>COUNTIFS(Wine1!$K:$K,Location!$A56,Wine1!$AF:$AF,Location!J$1)</f>
        <v>9</v>
      </c>
      <c r="K56" s="58">
        <f>COUNTIFS(Wine1!$K:$K,Location!$A56,Wine1!$AF:$AF,Location!K$1)</f>
        <v>2</v>
      </c>
      <c r="L56" s="18">
        <f>IFERROR(AVERAGEIF(Wine1!K:K,Location!A56,Wine1!AA:AA),"Empty")</f>
        <v>2025.6666666666667</v>
      </c>
      <c r="M56" s="37">
        <f>SUMIFS(Wine1!$I:$I,Wine1!$K:$K,Location!$A56,Wine1!$AA:$AA,Location!M$1)</f>
        <v>0</v>
      </c>
      <c r="N56" s="37">
        <f>SUMIFS(Wine1!$I:$I,Wine1!$K:$K,Location!$A56,Wine1!$AA:$AA,Location!N$1)</f>
        <v>0</v>
      </c>
      <c r="O56" s="37">
        <f>SUMIFS(Wine1!$I:$I,Wine1!$K:$K,Location!$A56,Wine1!$AA:$AA,Location!O$1)</f>
        <v>2</v>
      </c>
      <c r="P56" s="37">
        <f>SUMIFS(Wine1!$I:$I,Wine1!$K:$K,Location!$A56,Wine1!$AA:$AA,Location!P$1)</f>
        <v>1</v>
      </c>
      <c r="Q56" s="37">
        <f>SUMIFS(Wine1!$I:$I,Wine1!$K:$K,Location!$A56,Wine1!$AA:$AA,Location!Q$1)</f>
        <v>1</v>
      </c>
      <c r="R56" s="37">
        <f>SUMIFS(Wine1!$I:$I,Wine1!$K:$K,Location!$A56,Wine1!$AA:$AA,Location!R$1)</f>
        <v>1</v>
      </c>
      <c r="S56" s="37">
        <f>SUMIFS(Wine1!$I:$I,Wine1!$K:$K,Location!$A56,Wine1!$AA:$AA,Location!S$1)</f>
        <v>1</v>
      </c>
      <c r="T56" s="37">
        <f>SUMIFS(Wine1!$I:$I,Wine1!$K:$K,Location!$A56,Wine1!$AA:$AA,Location!T$1)</f>
        <v>3</v>
      </c>
      <c r="U56" s="37">
        <f>SUMIFS(Wine1!$I:$I,Wine1!$K:$K,Location!$A56,Wine1!$AA:$AA,Location!U$1)</f>
        <v>2</v>
      </c>
      <c r="V56" s="37">
        <f>SUMIFS(Wine1!$I:$I,Wine1!$K:$K,Location!$A56,Wine1!$AA:$AA,Location!V$1)</f>
        <v>1</v>
      </c>
      <c r="W56" s="37">
        <f>SUMIFS(Wine1!$I:$I,Wine1!$K:$K,Location!$A56,Wine1!$AA:$AA,Location!W$1)</f>
        <v>0</v>
      </c>
      <c r="X56" s="37">
        <f>SUMIFS(Wine1!$I:$I,Wine1!$K:$K,Location!$A56,Wine1!$AA:$AA,Location!X$1)</f>
        <v>0</v>
      </c>
      <c r="Y56" s="37">
        <f>SUMIFS(Wine1!$I:$I,Wine1!$K:$K,Location!$A56,Wine1!$AA:$AA,Location!Y$1)</f>
        <v>0</v>
      </c>
      <c r="Z56" s="37">
        <f>SUMIFS(Wine1!$I:$I,Wine1!$K:$K,Location!$A56,Wine1!$AA:$AA,Location!Z$1)</f>
        <v>0</v>
      </c>
      <c r="AA56" s="37">
        <f>SUMIFS(Wine1!$I:$I,Wine1!$K:$K,Location!$A56,Wine1!$AA:$AA,Location!AA$1)</f>
        <v>0</v>
      </c>
      <c r="AB56" s="37">
        <f>SUMIFS(Wine1!$I:$I,Wine1!$K:$K,Location!$A56,Wine1!$AA:$AA,Location!AB$1)</f>
        <v>0</v>
      </c>
      <c r="AC56" s="37">
        <f>SUMIFS(Wine1!$I:$I,Wine1!$K:$K,Location!$A56,Wine1!$AA:$AA,Location!AC$1)</f>
        <v>0</v>
      </c>
      <c r="AD56" s="37">
        <f>SUMIFS(Wine1!$I:$I,Wine1!$K:$K,Location!$A56,Wine1!$AA:$AA,Location!AD$1)</f>
        <v>0</v>
      </c>
      <c r="AE56" s="37">
        <f>SUMIFS(Wine1!$I:$I,Wine1!$K:$K,Location!$A56,Wine1!$AA:$AA,Location!AE$1)</f>
        <v>0</v>
      </c>
      <c r="AF56" s="37">
        <f>SUMIFS(Wine1!$I:$I,Wine1!$K:$K,Location!$A56,Wine1!$AA:$AA,Location!AF$1)</f>
        <v>0</v>
      </c>
      <c r="AG56" s="37">
        <f>SUMIFS(Wine1!$I:$I,Wine1!$K:$K,Location!$A56,Wine1!$AA:$AA,Location!AG$1)</f>
        <v>0</v>
      </c>
      <c r="AH56" s="37">
        <f>SUMIFS(Wine1!$I:$I,Wine1!$K:$K,Location!$A56,Wine1!$AA:$AA,Location!AH$1)</f>
        <v>0</v>
      </c>
      <c r="AI56" s="37">
        <f>SUMIFS(Wine1!$I:$I,Wine1!$K:$K,Location!$A56,Wine1!$AA:$AA,Location!AI$1)</f>
        <v>0</v>
      </c>
      <c r="AJ56" s="37">
        <f>SUMIFS(Wine1!$I:$I,Wine1!$K:$K,Location!$A56,Wine1!$AA:$AA,Location!AJ$1)</f>
        <v>0</v>
      </c>
      <c r="AK56" s="37">
        <f>SUMIFS(Wine1!$I:$I,Wine1!$K:$K,Location!$A56,Wine1!$AA:$AA,Location!AK$1)</f>
        <v>0</v>
      </c>
      <c r="AL56" s="37">
        <f>SUMIFS(Wine1!$I:$I,Wine1!$K:$K,Location!$A56,Wine1!$AA:$AA,Location!AL$1)</f>
        <v>0</v>
      </c>
      <c r="AM56" s="37">
        <f>SUMIFS(Wine1!$I:$I,Wine1!$K:$K,Location!$A56,Wine1!$AA:$AA,Location!AM$1)</f>
        <v>0</v>
      </c>
      <c r="AN56" s="37">
        <f>SUMIFS(Wine1!$I:$I,Wine1!$K:$K,Location!$A56,Wine1!$AA:$AA,Location!AN$1)</f>
        <v>0</v>
      </c>
      <c r="AO56" s="37">
        <f>SUMIFS(Wine1!$I:$I,Wine1!$K:$K,Location!$A56,Wine1!$AA:$AA,Location!AO$1)</f>
        <v>0</v>
      </c>
      <c r="AP56" s="37">
        <f>SUMIFS(Wine1!$I:$I,Wine1!$K:$K,Location!$A56,Wine1!$AA:$AA,Location!AP$1)</f>
        <v>0</v>
      </c>
      <c r="AQ56" s="37">
        <f>SUMIFS(Wine1!$I:$I,Wine1!$K:$K,Location!$A56,Wine1!$AA:$AA,Location!AQ$1)</f>
        <v>0</v>
      </c>
      <c r="AR56" s="37">
        <f>SUMIFS(Wine1!$I:$I,Wine1!$K:$K,Location!$A56,Wine1!$AA:$AA,Location!AR$1)</f>
        <v>0</v>
      </c>
      <c r="AS56" s="37">
        <f>SUMIFS(Wine1!$I:$I,Wine1!$K:$K,Location!$A56,Wine1!$AA:$AA,Location!AS$1)</f>
        <v>0</v>
      </c>
      <c r="AT56" s="37">
        <f>SUMIFS(Wine1!$I:$I,Wine1!$K:$K,Location!$A56,Wine1!$AA:$AA,Location!AT$1)</f>
        <v>0</v>
      </c>
      <c r="AU56" s="37">
        <f>SUMIFS(Wine1!$I:$I,Wine1!$K:$K,Location!$A56,Wine1!$AA:$AA,Location!AU$1)</f>
        <v>0</v>
      </c>
      <c r="AV56" s="37">
        <f>SUMIFS(Wine1!$I:$I,Wine1!$K:$K,Location!$A56,Wine1!$AA:$AA,Location!AV$1)</f>
        <v>0</v>
      </c>
      <c r="AW56" s="37">
        <f>SUMIFS(Wine1!$I:$I,Wine1!$K:$K,Location!$A56,Wine1!$AA:$AA,Location!AW$1)</f>
        <v>0</v>
      </c>
      <c r="AX56" s="37">
        <f>SUMIFS(Wine1!$I:$I,Wine1!$K:$K,Location!$A56,Wine1!$AA:$AA,Location!AX$1)</f>
        <v>0</v>
      </c>
      <c r="AY56" s="37">
        <f>SUMIFS(Wine1!$I:$I,Wine1!$K:$K,Location!$A56,Wine1!$AA:$AA,Location!AY$1)</f>
        <v>0</v>
      </c>
      <c r="AZ56" s="37">
        <f>SUMIFS(Wine1!$I:$I,Wine1!$K:$K,Location!$A56,Wine1!$AA:$AA,Location!AZ$1)</f>
        <v>0</v>
      </c>
      <c r="BA56" s="37">
        <f>SUMIFS(Wine1!$I:$I,Wine1!$K:$K,Location!$A56,Wine1!$AA:$AA,Location!BA$1)</f>
        <v>0</v>
      </c>
      <c r="BB56" s="37">
        <f>SUMIFS(Wine1!$I:$I,Wine1!$K:$K,Location!$A56,Wine1!$AA:$AA,Location!BB$1)</f>
        <v>0</v>
      </c>
      <c r="BC56" s="37">
        <f>SUMIFS(Wine1!$I:$I,Wine1!$K:$K,Location!$A56,Wine1!$AA:$AA,Location!BC$1)</f>
        <v>0</v>
      </c>
      <c r="BD56" s="37">
        <f>SUMIFS(Wine1!$I:$I,Wine1!$K:$K,Location!$A56,Wine1!$AA:$AA,Location!BD$1)</f>
        <v>0</v>
      </c>
      <c r="BE56" s="37">
        <f>SUMIFS(Wine1!$I:$I,Wine1!$K:$K,Location!$A56,Wine1!$AA:$AA,Location!BE$1)</f>
        <v>0</v>
      </c>
      <c r="BF56" s="37">
        <f>SUMIFS(Wine1!$I:$I,Wine1!$K:$K,Location!$A56,Wine1!$AA:$AA,Location!BF$1)</f>
        <v>0</v>
      </c>
      <c r="BG56" s="37">
        <f>SUMIFS(Wine1!$I:$I,Wine1!$K:$K,Location!$A56,Wine1!$AA:$AA,Location!BG$1)</f>
        <v>0</v>
      </c>
      <c r="BH56" s="37">
        <f>SUMIFS(Wine1!$I:$I,Wine1!$K:$K,Location!$A56,Wine1!$AA:$AA,Location!BH$1)</f>
        <v>0</v>
      </c>
      <c r="BI56" s="37">
        <f>SUMIFS(Wine1!$I:$I,Wine1!$K:$K,Location!$A56,Wine1!$AA:$AA,Location!BI$1)</f>
        <v>0</v>
      </c>
    </row>
    <row r="57" spans="1:61" s="8" customFormat="1" x14ac:dyDescent="0.25">
      <c r="A57" s="8" t="s">
        <v>1795</v>
      </c>
      <c r="B57" s="37">
        <f>SUMIF(Wine1!K:K,Location!A57,Wine1!I:I)</f>
        <v>11</v>
      </c>
      <c r="C57" s="8">
        <v>12</v>
      </c>
      <c r="D57" s="37">
        <f>C57-B57</f>
        <v>1</v>
      </c>
      <c r="E57" s="37" t="s">
        <v>600</v>
      </c>
      <c r="F57" s="8" t="s">
        <v>718</v>
      </c>
      <c r="G57" s="62"/>
      <c r="H57" s="56">
        <f>COUNTIFS(Wine1!$K:$K,Location!$A57,Wine1!$AF:$AF,Location!H$1)</f>
        <v>1</v>
      </c>
      <c r="I57" s="57">
        <f>COUNTIFS(Wine1!$K:$K,Location!$A57,Wine1!$AF:$AF,Location!I$1)</f>
        <v>5</v>
      </c>
      <c r="J57" s="57">
        <f>COUNTIFS(Wine1!$K:$K,Location!$A57,Wine1!$AF:$AF,Location!J$1)</f>
        <v>5</v>
      </c>
      <c r="K57" s="58">
        <f>COUNTIFS(Wine1!$K:$K,Location!$A57,Wine1!$AF:$AF,Location!K$1)</f>
        <v>0</v>
      </c>
      <c r="L57" s="18">
        <f>IFERROR(AVERAGEIF(Wine1!K:K,Location!A57,Wine1!AA:AA),"Empty")</f>
        <v>2020.2727272727273</v>
      </c>
      <c r="M57" s="37">
        <f>SUMIFS(Wine1!$I:$I,Wine1!$K:$K,Location!$A57,Wine1!$AA:$AA,Location!M$1)</f>
        <v>8</v>
      </c>
      <c r="N57" s="37">
        <f>SUMIFS(Wine1!$I:$I,Wine1!$K:$K,Location!$A57,Wine1!$AA:$AA,Location!N$1)</f>
        <v>3</v>
      </c>
      <c r="O57" s="37">
        <f>SUMIFS(Wine1!$I:$I,Wine1!$K:$K,Location!$A57,Wine1!$AA:$AA,Location!O$1)</f>
        <v>0</v>
      </c>
      <c r="P57" s="37">
        <f>SUMIFS(Wine1!$I:$I,Wine1!$K:$K,Location!$A57,Wine1!$AA:$AA,Location!P$1)</f>
        <v>0</v>
      </c>
      <c r="Q57" s="37">
        <f>SUMIFS(Wine1!$I:$I,Wine1!$K:$K,Location!$A57,Wine1!$AA:$AA,Location!Q$1)</f>
        <v>0</v>
      </c>
      <c r="R57" s="37">
        <f>SUMIFS(Wine1!$I:$I,Wine1!$K:$K,Location!$A57,Wine1!$AA:$AA,Location!R$1)</f>
        <v>0</v>
      </c>
      <c r="S57" s="37">
        <f>SUMIFS(Wine1!$I:$I,Wine1!$K:$K,Location!$A57,Wine1!$AA:$AA,Location!S$1)</f>
        <v>0</v>
      </c>
      <c r="T57" s="37">
        <f>SUMIFS(Wine1!$I:$I,Wine1!$K:$K,Location!$A57,Wine1!$AA:$AA,Location!T$1)</f>
        <v>0</v>
      </c>
      <c r="U57" s="37">
        <f>SUMIFS(Wine1!$I:$I,Wine1!$K:$K,Location!$A57,Wine1!$AA:$AA,Location!U$1)</f>
        <v>0</v>
      </c>
      <c r="V57" s="37">
        <f>SUMIFS(Wine1!$I:$I,Wine1!$K:$K,Location!$A57,Wine1!$AA:$AA,Location!V$1)</f>
        <v>0</v>
      </c>
      <c r="W57" s="37">
        <f>SUMIFS(Wine1!$I:$I,Wine1!$K:$K,Location!$A57,Wine1!$AA:$AA,Location!W$1)</f>
        <v>0</v>
      </c>
      <c r="X57" s="37">
        <f>SUMIFS(Wine1!$I:$I,Wine1!$K:$K,Location!$A57,Wine1!$AA:$AA,Location!X$1)</f>
        <v>0</v>
      </c>
      <c r="Y57" s="37">
        <f>SUMIFS(Wine1!$I:$I,Wine1!$K:$K,Location!$A57,Wine1!$AA:$AA,Location!Y$1)</f>
        <v>0</v>
      </c>
      <c r="Z57" s="37">
        <f>SUMIFS(Wine1!$I:$I,Wine1!$K:$K,Location!$A57,Wine1!$AA:$AA,Location!Z$1)</f>
        <v>0</v>
      </c>
      <c r="AA57" s="37">
        <f>SUMIFS(Wine1!$I:$I,Wine1!$K:$K,Location!$A57,Wine1!$AA:$AA,Location!AA$1)</f>
        <v>0</v>
      </c>
      <c r="AB57" s="37">
        <f>SUMIFS(Wine1!$I:$I,Wine1!$K:$K,Location!$A57,Wine1!$AA:$AA,Location!AB$1)</f>
        <v>0</v>
      </c>
      <c r="AC57" s="37">
        <f>SUMIFS(Wine1!$I:$I,Wine1!$K:$K,Location!$A57,Wine1!$AA:$AA,Location!AC$1)</f>
        <v>0</v>
      </c>
      <c r="AD57" s="37">
        <f>SUMIFS(Wine1!$I:$I,Wine1!$K:$K,Location!$A57,Wine1!$AA:$AA,Location!AD$1)</f>
        <v>0</v>
      </c>
      <c r="AE57" s="37">
        <f>SUMIFS(Wine1!$I:$I,Wine1!$K:$K,Location!$A57,Wine1!$AA:$AA,Location!AE$1)</f>
        <v>0</v>
      </c>
      <c r="AF57" s="37">
        <f>SUMIFS(Wine1!$I:$I,Wine1!$K:$K,Location!$A57,Wine1!$AA:$AA,Location!AF$1)</f>
        <v>0</v>
      </c>
      <c r="AG57" s="37">
        <f>SUMIFS(Wine1!$I:$I,Wine1!$K:$K,Location!$A57,Wine1!$AA:$AA,Location!AG$1)</f>
        <v>0</v>
      </c>
      <c r="AH57" s="37">
        <f>SUMIFS(Wine1!$I:$I,Wine1!$K:$K,Location!$A57,Wine1!$AA:$AA,Location!AH$1)</f>
        <v>0</v>
      </c>
      <c r="AI57" s="37">
        <f>SUMIFS(Wine1!$I:$I,Wine1!$K:$K,Location!$A57,Wine1!$AA:$AA,Location!AI$1)</f>
        <v>0</v>
      </c>
      <c r="AJ57" s="37">
        <f>SUMIFS(Wine1!$I:$I,Wine1!$K:$K,Location!$A57,Wine1!$AA:$AA,Location!AJ$1)</f>
        <v>0</v>
      </c>
      <c r="AK57" s="37">
        <f>SUMIFS(Wine1!$I:$I,Wine1!$K:$K,Location!$A57,Wine1!$AA:$AA,Location!AK$1)</f>
        <v>0</v>
      </c>
      <c r="AL57" s="37">
        <f>SUMIFS(Wine1!$I:$I,Wine1!$K:$K,Location!$A57,Wine1!$AA:$AA,Location!AL$1)</f>
        <v>0</v>
      </c>
      <c r="AM57" s="37">
        <f>SUMIFS(Wine1!$I:$I,Wine1!$K:$K,Location!$A57,Wine1!$AA:$AA,Location!AM$1)</f>
        <v>0</v>
      </c>
      <c r="AN57" s="37">
        <f>SUMIFS(Wine1!$I:$I,Wine1!$K:$K,Location!$A57,Wine1!$AA:$AA,Location!AN$1)</f>
        <v>0</v>
      </c>
      <c r="AO57" s="37">
        <f>SUMIFS(Wine1!$I:$I,Wine1!$K:$K,Location!$A57,Wine1!$AA:$AA,Location!AO$1)</f>
        <v>0</v>
      </c>
      <c r="AP57" s="37">
        <f>SUMIFS(Wine1!$I:$I,Wine1!$K:$K,Location!$A57,Wine1!$AA:$AA,Location!AP$1)</f>
        <v>0</v>
      </c>
      <c r="AQ57" s="37">
        <f>SUMIFS(Wine1!$I:$I,Wine1!$K:$K,Location!$A57,Wine1!$AA:$AA,Location!AQ$1)</f>
        <v>0</v>
      </c>
      <c r="AR57" s="37">
        <f>SUMIFS(Wine1!$I:$I,Wine1!$K:$K,Location!$A57,Wine1!$AA:$AA,Location!AR$1)</f>
        <v>0</v>
      </c>
      <c r="AS57" s="37">
        <f>SUMIFS(Wine1!$I:$I,Wine1!$K:$K,Location!$A57,Wine1!$AA:$AA,Location!AS$1)</f>
        <v>0</v>
      </c>
      <c r="AT57" s="37">
        <f>SUMIFS(Wine1!$I:$I,Wine1!$K:$K,Location!$A57,Wine1!$AA:$AA,Location!AT$1)</f>
        <v>0</v>
      </c>
      <c r="AU57" s="37">
        <f>SUMIFS(Wine1!$I:$I,Wine1!$K:$K,Location!$A57,Wine1!$AA:$AA,Location!AU$1)</f>
        <v>0</v>
      </c>
      <c r="AV57" s="37">
        <f>SUMIFS(Wine1!$I:$I,Wine1!$K:$K,Location!$A57,Wine1!$AA:$AA,Location!AV$1)</f>
        <v>0</v>
      </c>
      <c r="AW57" s="37">
        <f>SUMIFS(Wine1!$I:$I,Wine1!$K:$K,Location!$A57,Wine1!$AA:$AA,Location!AW$1)</f>
        <v>0</v>
      </c>
      <c r="AX57" s="37">
        <f>SUMIFS(Wine1!$I:$I,Wine1!$K:$K,Location!$A57,Wine1!$AA:$AA,Location!AX$1)</f>
        <v>0</v>
      </c>
      <c r="AY57" s="37">
        <f>SUMIFS(Wine1!$I:$I,Wine1!$K:$K,Location!$A57,Wine1!$AA:$AA,Location!AY$1)</f>
        <v>0</v>
      </c>
      <c r="AZ57" s="37">
        <f>SUMIFS(Wine1!$I:$I,Wine1!$K:$K,Location!$A57,Wine1!$AA:$AA,Location!AZ$1)</f>
        <v>0</v>
      </c>
      <c r="BA57" s="37">
        <f>SUMIFS(Wine1!$I:$I,Wine1!$K:$K,Location!$A57,Wine1!$AA:$AA,Location!BA$1)</f>
        <v>0</v>
      </c>
      <c r="BB57" s="37">
        <f>SUMIFS(Wine1!$I:$I,Wine1!$K:$K,Location!$A57,Wine1!$AA:$AA,Location!BB$1)</f>
        <v>0</v>
      </c>
      <c r="BC57" s="37">
        <f>SUMIFS(Wine1!$I:$I,Wine1!$K:$K,Location!$A57,Wine1!$AA:$AA,Location!BC$1)</f>
        <v>0</v>
      </c>
      <c r="BD57" s="37">
        <f>SUMIFS(Wine1!$I:$I,Wine1!$K:$K,Location!$A57,Wine1!$AA:$AA,Location!BD$1)</f>
        <v>0</v>
      </c>
      <c r="BE57" s="37">
        <f>SUMIFS(Wine1!$I:$I,Wine1!$K:$K,Location!$A57,Wine1!$AA:$AA,Location!BE$1)</f>
        <v>0</v>
      </c>
      <c r="BF57" s="37">
        <f>SUMIFS(Wine1!$I:$I,Wine1!$K:$K,Location!$A57,Wine1!$AA:$AA,Location!BF$1)</f>
        <v>0</v>
      </c>
      <c r="BG57" s="37">
        <f>SUMIFS(Wine1!$I:$I,Wine1!$K:$K,Location!$A57,Wine1!$AA:$AA,Location!BG$1)</f>
        <v>0</v>
      </c>
      <c r="BH57" s="37">
        <f>SUMIFS(Wine1!$I:$I,Wine1!$K:$K,Location!$A57,Wine1!$AA:$AA,Location!BH$1)</f>
        <v>0</v>
      </c>
      <c r="BI57" s="37">
        <f>SUMIFS(Wine1!$I:$I,Wine1!$K:$K,Location!$A57,Wine1!$AA:$AA,Location!BI$1)</f>
        <v>0</v>
      </c>
    </row>
    <row r="58" spans="1:61" s="8" customFormat="1" x14ac:dyDescent="0.25">
      <c r="A58" s="8" t="s">
        <v>1812</v>
      </c>
      <c r="B58" s="37">
        <f>SUMIF(Wine1!K:K,Location!A58,Wine1!I:I)</f>
        <v>12</v>
      </c>
      <c r="C58" s="8">
        <v>12</v>
      </c>
      <c r="D58" s="37">
        <f t="shared" ref="D58:D84" si="2">C58-B58</f>
        <v>0</v>
      </c>
      <c r="E58" s="37" t="s">
        <v>600</v>
      </c>
      <c r="F58" s="8" t="s">
        <v>1533</v>
      </c>
      <c r="G58" s="62"/>
      <c r="H58" s="56">
        <f>COUNTIFS(Wine1!$K:$K,Location!$A58,Wine1!$AF:$AF,Location!H$1)</f>
        <v>2</v>
      </c>
      <c r="I58" s="57">
        <f>COUNTIFS(Wine1!$K:$K,Location!$A58,Wine1!$AF:$AF,Location!I$1)</f>
        <v>0</v>
      </c>
      <c r="J58" s="57">
        <f>COUNTIFS(Wine1!$K:$K,Location!$A58,Wine1!$AF:$AF,Location!J$1)</f>
        <v>2</v>
      </c>
      <c r="K58" s="58">
        <f>COUNTIFS(Wine1!$K:$K,Location!$A58,Wine1!$AF:$AF,Location!K$1)</f>
        <v>8</v>
      </c>
      <c r="L58" s="18">
        <f>IFERROR(AVERAGEIF(Wine1!K:K,Location!A58,Wine1!AA:AA),"Empty")</f>
        <v>2032.8333333333333</v>
      </c>
      <c r="M58" s="37">
        <f>SUMIFS(Wine1!$I:$I,Wine1!$K:$K,Location!$A58,Wine1!$AA:$AA,Location!M$1)</f>
        <v>0</v>
      </c>
      <c r="N58" s="37">
        <f>SUMIFS(Wine1!$I:$I,Wine1!$K:$K,Location!$A58,Wine1!$AA:$AA,Location!N$1)</f>
        <v>0</v>
      </c>
      <c r="O58" s="37">
        <f>SUMIFS(Wine1!$I:$I,Wine1!$K:$K,Location!$A58,Wine1!$AA:$AA,Location!O$1)</f>
        <v>1</v>
      </c>
      <c r="P58" s="37">
        <f>SUMIFS(Wine1!$I:$I,Wine1!$K:$K,Location!$A58,Wine1!$AA:$AA,Location!P$1)</f>
        <v>1</v>
      </c>
      <c r="Q58" s="37">
        <f>SUMIFS(Wine1!$I:$I,Wine1!$K:$K,Location!$A58,Wine1!$AA:$AA,Location!Q$1)</f>
        <v>1</v>
      </c>
      <c r="R58" s="37">
        <f>SUMIFS(Wine1!$I:$I,Wine1!$K:$K,Location!$A58,Wine1!$AA:$AA,Location!R$1)</f>
        <v>0</v>
      </c>
      <c r="S58" s="37">
        <f>SUMIFS(Wine1!$I:$I,Wine1!$K:$K,Location!$A58,Wine1!$AA:$AA,Location!S$1)</f>
        <v>0</v>
      </c>
      <c r="T58" s="37">
        <f>SUMIFS(Wine1!$I:$I,Wine1!$K:$K,Location!$A58,Wine1!$AA:$AA,Location!T$1)</f>
        <v>1</v>
      </c>
      <c r="U58" s="37">
        <f>SUMIFS(Wine1!$I:$I,Wine1!$K:$K,Location!$A58,Wine1!$AA:$AA,Location!U$1)</f>
        <v>1</v>
      </c>
      <c r="V58" s="37">
        <f>SUMIFS(Wine1!$I:$I,Wine1!$K:$K,Location!$A58,Wine1!$AA:$AA,Location!V$1)</f>
        <v>1</v>
      </c>
      <c r="W58" s="37">
        <f>SUMIFS(Wine1!$I:$I,Wine1!$K:$K,Location!$A58,Wine1!$AA:$AA,Location!W$1)</f>
        <v>0</v>
      </c>
      <c r="X58" s="37">
        <f>SUMIFS(Wine1!$I:$I,Wine1!$K:$K,Location!$A58,Wine1!$AA:$AA,Location!X$1)</f>
        <v>1</v>
      </c>
      <c r="Y58" s="37">
        <f>SUMIFS(Wine1!$I:$I,Wine1!$K:$K,Location!$A58,Wine1!$AA:$AA,Location!Y$1)</f>
        <v>0</v>
      </c>
      <c r="Z58" s="37">
        <f>SUMIFS(Wine1!$I:$I,Wine1!$K:$K,Location!$A58,Wine1!$AA:$AA,Location!Z$1)</f>
        <v>0</v>
      </c>
      <c r="AA58" s="37">
        <f>SUMIFS(Wine1!$I:$I,Wine1!$K:$K,Location!$A58,Wine1!$AA:$AA,Location!AA$1)</f>
        <v>1</v>
      </c>
      <c r="AB58" s="37">
        <f>SUMIFS(Wine1!$I:$I,Wine1!$K:$K,Location!$A58,Wine1!$AA:$AA,Location!AB$1)</f>
        <v>0</v>
      </c>
      <c r="AC58" s="37">
        <f>SUMIFS(Wine1!$I:$I,Wine1!$K:$K,Location!$A58,Wine1!$AA:$AA,Location!AC$1)</f>
        <v>0</v>
      </c>
      <c r="AD58" s="37">
        <f>SUMIFS(Wine1!$I:$I,Wine1!$K:$K,Location!$A58,Wine1!$AA:$AA,Location!AD$1)</f>
        <v>0</v>
      </c>
      <c r="AE58" s="37">
        <f>SUMIFS(Wine1!$I:$I,Wine1!$K:$K,Location!$A58,Wine1!$AA:$AA,Location!AE$1)</f>
        <v>1</v>
      </c>
      <c r="AF58" s="37">
        <f>SUMIFS(Wine1!$I:$I,Wine1!$K:$K,Location!$A58,Wine1!$AA:$AA,Location!AF$1)</f>
        <v>0</v>
      </c>
      <c r="AG58" s="37">
        <f>SUMIFS(Wine1!$I:$I,Wine1!$K:$K,Location!$A58,Wine1!$AA:$AA,Location!AG$1)</f>
        <v>0</v>
      </c>
      <c r="AH58" s="37">
        <f>SUMIFS(Wine1!$I:$I,Wine1!$K:$K,Location!$A58,Wine1!$AA:$AA,Location!AH$1)</f>
        <v>0</v>
      </c>
      <c r="AI58" s="37">
        <f>SUMIFS(Wine1!$I:$I,Wine1!$K:$K,Location!$A58,Wine1!$AA:$AA,Location!AI$1)</f>
        <v>1</v>
      </c>
      <c r="AJ58" s="37">
        <f>SUMIFS(Wine1!$I:$I,Wine1!$K:$K,Location!$A58,Wine1!$AA:$AA,Location!AJ$1)</f>
        <v>0</v>
      </c>
      <c r="AK58" s="37">
        <f>SUMIFS(Wine1!$I:$I,Wine1!$K:$K,Location!$A58,Wine1!$AA:$AA,Location!AK$1)</f>
        <v>0</v>
      </c>
      <c r="AL58" s="37">
        <f>SUMIFS(Wine1!$I:$I,Wine1!$K:$K,Location!$A58,Wine1!$AA:$AA,Location!AL$1)</f>
        <v>0</v>
      </c>
      <c r="AM58" s="37">
        <f>SUMIFS(Wine1!$I:$I,Wine1!$K:$K,Location!$A58,Wine1!$AA:$AA,Location!AM$1)</f>
        <v>1</v>
      </c>
      <c r="AN58" s="37">
        <f>SUMIFS(Wine1!$I:$I,Wine1!$K:$K,Location!$A58,Wine1!$AA:$AA,Location!AN$1)</f>
        <v>0</v>
      </c>
      <c r="AO58" s="37">
        <f>SUMIFS(Wine1!$I:$I,Wine1!$K:$K,Location!$A58,Wine1!$AA:$AA,Location!AO$1)</f>
        <v>0</v>
      </c>
      <c r="AP58" s="37">
        <f>SUMIFS(Wine1!$I:$I,Wine1!$K:$K,Location!$A58,Wine1!$AA:$AA,Location!AP$1)</f>
        <v>0</v>
      </c>
      <c r="AQ58" s="37">
        <f>SUMIFS(Wine1!$I:$I,Wine1!$K:$K,Location!$A58,Wine1!$AA:$AA,Location!AQ$1)</f>
        <v>1</v>
      </c>
      <c r="AR58" s="37">
        <f>SUMIFS(Wine1!$I:$I,Wine1!$K:$K,Location!$A58,Wine1!$AA:$AA,Location!AR$1)</f>
        <v>0</v>
      </c>
      <c r="AS58" s="37">
        <f>SUMIFS(Wine1!$I:$I,Wine1!$K:$K,Location!$A58,Wine1!$AA:$AA,Location!AS$1)</f>
        <v>0</v>
      </c>
      <c r="AT58" s="37">
        <f>SUMIFS(Wine1!$I:$I,Wine1!$K:$K,Location!$A58,Wine1!$AA:$AA,Location!AT$1)</f>
        <v>0</v>
      </c>
      <c r="AU58" s="37">
        <f>SUMIFS(Wine1!$I:$I,Wine1!$K:$K,Location!$A58,Wine1!$AA:$AA,Location!AU$1)</f>
        <v>0</v>
      </c>
      <c r="AV58" s="37">
        <f>SUMIFS(Wine1!$I:$I,Wine1!$K:$K,Location!$A58,Wine1!$AA:$AA,Location!AV$1)</f>
        <v>0</v>
      </c>
      <c r="AW58" s="37">
        <f>SUMIFS(Wine1!$I:$I,Wine1!$K:$K,Location!$A58,Wine1!$AA:$AA,Location!AW$1)</f>
        <v>0</v>
      </c>
      <c r="AX58" s="37">
        <f>SUMIFS(Wine1!$I:$I,Wine1!$K:$K,Location!$A58,Wine1!$AA:$AA,Location!AX$1)</f>
        <v>0</v>
      </c>
      <c r="AY58" s="37">
        <f>SUMIFS(Wine1!$I:$I,Wine1!$K:$K,Location!$A58,Wine1!$AA:$AA,Location!AY$1)</f>
        <v>0</v>
      </c>
      <c r="AZ58" s="37">
        <f>SUMIFS(Wine1!$I:$I,Wine1!$K:$K,Location!$A58,Wine1!$AA:$AA,Location!AZ$1)</f>
        <v>0</v>
      </c>
      <c r="BA58" s="37">
        <f>SUMIFS(Wine1!$I:$I,Wine1!$K:$K,Location!$A58,Wine1!$AA:$AA,Location!BA$1)</f>
        <v>0</v>
      </c>
      <c r="BB58" s="37">
        <f>SUMIFS(Wine1!$I:$I,Wine1!$K:$K,Location!$A58,Wine1!$AA:$AA,Location!BB$1)</f>
        <v>0</v>
      </c>
      <c r="BC58" s="37">
        <f>SUMIFS(Wine1!$I:$I,Wine1!$K:$K,Location!$A58,Wine1!$AA:$AA,Location!BC$1)</f>
        <v>0</v>
      </c>
      <c r="BD58" s="37">
        <f>SUMIFS(Wine1!$I:$I,Wine1!$K:$K,Location!$A58,Wine1!$AA:$AA,Location!BD$1)</f>
        <v>0</v>
      </c>
      <c r="BE58" s="37">
        <f>SUMIFS(Wine1!$I:$I,Wine1!$K:$K,Location!$A58,Wine1!$AA:$AA,Location!BE$1)</f>
        <v>0</v>
      </c>
      <c r="BF58" s="37">
        <f>SUMIFS(Wine1!$I:$I,Wine1!$K:$K,Location!$A58,Wine1!$AA:$AA,Location!BF$1)</f>
        <v>0</v>
      </c>
      <c r="BG58" s="37">
        <f>SUMIFS(Wine1!$I:$I,Wine1!$K:$K,Location!$A58,Wine1!$AA:$AA,Location!BG$1)</f>
        <v>0</v>
      </c>
      <c r="BH58" s="37">
        <f>SUMIFS(Wine1!$I:$I,Wine1!$K:$K,Location!$A58,Wine1!$AA:$AA,Location!BH$1)</f>
        <v>0</v>
      </c>
      <c r="BI58" s="37">
        <f>SUMIFS(Wine1!$I:$I,Wine1!$K:$K,Location!$A58,Wine1!$AA:$AA,Location!BI$1)</f>
        <v>0</v>
      </c>
    </row>
    <row r="59" spans="1:61" s="8" customFormat="1" x14ac:dyDescent="0.25">
      <c r="A59" s="8" t="s">
        <v>1813</v>
      </c>
      <c r="B59" s="37">
        <f>SUMIF(Wine1!K:K,Location!A59,Wine1!I:I)</f>
        <v>6</v>
      </c>
      <c r="C59" s="8">
        <v>6</v>
      </c>
      <c r="D59" s="37">
        <f t="shared" si="2"/>
        <v>0</v>
      </c>
      <c r="E59" s="37" t="s">
        <v>600</v>
      </c>
      <c r="F59" s="8" t="s">
        <v>1533</v>
      </c>
      <c r="G59" s="62"/>
      <c r="H59" s="56">
        <f>COUNTIFS(Wine1!$K:$K,Location!$A59,Wine1!$AF:$AF,Location!H$1)</f>
        <v>0</v>
      </c>
      <c r="I59" s="57">
        <f>COUNTIFS(Wine1!$K:$K,Location!$A59,Wine1!$AF:$AF,Location!I$1)</f>
        <v>0</v>
      </c>
      <c r="J59" s="57">
        <f>COUNTIFS(Wine1!$K:$K,Location!$A59,Wine1!$AF:$AF,Location!J$1)</f>
        <v>0</v>
      </c>
      <c r="K59" s="58">
        <f>COUNTIFS(Wine1!$K:$K,Location!$A59,Wine1!$AF:$AF,Location!K$1)</f>
        <v>6</v>
      </c>
      <c r="L59" s="18">
        <f>IFERROR(AVERAGEIF(Wine1!K:K,Location!A59,Wine1!AA:AA),"Empty")</f>
        <v>2039.8333333333333</v>
      </c>
      <c r="M59" s="37">
        <f>SUMIFS(Wine1!$I:$I,Wine1!$K:$K,Location!$A59,Wine1!$AA:$AA,Location!M$1)</f>
        <v>0</v>
      </c>
      <c r="N59" s="37">
        <f>SUMIFS(Wine1!$I:$I,Wine1!$K:$K,Location!$A59,Wine1!$AA:$AA,Location!N$1)</f>
        <v>0</v>
      </c>
      <c r="O59" s="37">
        <f>SUMIFS(Wine1!$I:$I,Wine1!$K:$K,Location!$A59,Wine1!$AA:$AA,Location!O$1)</f>
        <v>0</v>
      </c>
      <c r="P59" s="37">
        <f>SUMIFS(Wine1!$I:$I,Wine1!$K:$K,Location!$A59,Wine1!$AA:$AA,Location!P$1)</f>
        <v>0</v>
      </c>
      <c r="Q59" s="37">
        <f>SUMIFS(Wine1!$I:$I,Wine1!$K:$K,Location!$A59,Wine1!$AA:$AA,Location!Q$1)</f>
        <v>0</v>
      </c>
      <c r="R59" s="37">
        <f>SUMIFS(Wine1!$I:$I,Wine1!$K:$K,Location!$A59,Wine1!$AA:$AA,Location!R$1)</f>
        <v>0</v>
      </c>
      <c r="S59" s="37">
        <f>SUMIFS(Wine1!$I:$I,Wine1!$K:$K,Location!$A59,Wine1!$AA:$AA,Location!S$1)</f>
        <v>0</v>
      </c>
      <c r="T59" s="37">
        <f>SUMIFS(Wine1!$I:$I,Wine1!$K:$K,Location!$A59,Wine1!$AA:$AA,Location!T$1)</f>
        <v>0</v>
      </c>
      <c r="U59" s="37">
        <f>SUMIFS(Wine1!$I:$I,Wine1!$K:$K,Location!$A59,Wine1!$AA:$AA,Location!U$1)</f>
        <v>0</v>
      </c>
      <c r="V59" s="37">
        <f>SUMIFS(Wine1!$I:$I,Wine1!$K:$K,Location!$A59,Wine1!$AA:$AA,Location!V$1)</f>
        <v>1</v>
      </c>
      <c r="W59" s="37">
        <f>SUMIFS(Wine1!$I:$I,Wine1!$K:$K,Location!$A59,Wine1!$AA:$AA,Location!W$1)</f>
        <v>0</v>
      </c>
      <c r="X59" s="37">
        <f>SUMIFS(Wine1!$I:$I,Wine1!$K:$K,Location!$A59,Wine1!$AA:$AA,Location!X$1)</f>
        <v>0</v>
      </c>
      <c r="Y59" s="37">
        <f>SUMIFS(Wine1!$I:$I,Wine1!$K:$K,Location!$A59,Wine1!$AA:$AA,Location!Y$1)</f>
        <v>0</v>
      </c>
      <c r="Z59" s="37">
        <f>SUMIFS(Wine1!$I:$I,Wine1!$K:$K,Location!$A59,Wine1!$AA:$AA,Location!Z$1)</f>
        <v>0</v>
      </c>
      <c r="AA59" s="37">
        <f>SUMIFS(Wine1!$I:$I,Wine1!$K:$K,Location!$A59,Wine1!$AA:$AA,Location!AA$1)</f>
        <v>1</v>
      </c>
      <c r="AB59" s="37">
        <f>SUMIFS(Wine1!$I:$I,Wine1!$K:$K,Location!$A59,Wine1!$AA:$AA,Location!AB$1)</f>
        <v>0</v>
      </c>
      <c r="AC59" s="37">
        <f>SUMIFS(Wine1!$I:$I,Wine1!$K:$K,Location!$A59,Wine1!$AA:$AA,Location!AC$1)</f>
        <v>0</v>
      </c>
      <c r="AD59" s="37">
        <f>SUMIFS(Wine1!$I:$I,Wine1!$K:$K,Location!$A59,Wine1!$AA:$AA,Location!AD$1)</f>
        <v>0</v>
      </c>
      <c r="AE59" s="37">
        <f>SUMIFS(Wine1!$I:$I,Wine1!$K:$K,Location!$A59,Wine1!$AA:$AA,Location!AE$1)</f>
        <v>1</v>
      </c>
      <c r="AF59" s="37">
        <f>SUMIFS(Wine1!$I:$I,Wine1!$K:$K,Location!$A59,Wine1!$AA:$AA,Location!AF$1)</f>
        <v>0</v>
      </c>
      <c r="AG59" s="37">
        <f>SUMIFS(Wine1!$I:$I,Wine1!$K:$K,Location!$A59,Wine1!$AA:$AA,Location!AG$1)</f>
        <v>0</v>
      </c>
      <c r="AH59" s="37">
        <f>SUMIFS(Wine1!$I:$I,Wine1!$K:$K,Location!$A59,Wine1!$AA:$AA,Location!AH$1)</f>
        <v>0</v>
      </c>
      <c r="AI59" s="37">
        <f>SUMIFS(Wine1!$I:$I,Wine1!$K:$K,Location!$A59,Wine1!$AA:$AA,Location!AI$1)</f>
        <v>1</v>
      </c>
      <c r="AJ59" s="37">
        <f>SUMIFS(Wine1!$I:$I,Wine1!$K:$K,Location!$A59,Wine1!$AA:$AA,Location!AJ$1)</f>
        <v>0</v>
      </c>
      <c r="AK59" s="37">
        <f>SUMIFS(Wine1!$I:$I,Wine1!$K:$K,Location!$A59,Wine1!$AA:$AA,Location!AK$1)</f>
        <v>0</v>
      </c>
      <c r="AL59" s="37">
        <f>SUMIFS(Wine1!$I:$I,Wine1!$K:$K,Location!$A59,Wine1!$AA:$AA,Location!AL$1)</f>
        <v>0</v>
      </c>
      <c r="AM59" s="37">
        <f>SUMIFS(Wine1!$I:$I,Wine1!$K:$K,Location!$A59,Wine1!$AA:$AA,Location!AM$1)</f>
        <v>1</v>
      </c>
      <c r="AN59" s="37">
        <f>SUMIFS(Wine1!$I:$I,Wine1!$K:$K,Location!$A59,Wine1!$AA:$AA,Location!AN$1)</f>
        <v>0</v>
      </c>
      <c r="AO59" s="37">
        <f>SUMIFS(Wine1!$I:$I,Wine1!$K:$K,Location!$A59,Wine1!$AA:$AA,Location!AO$1)</f>
        <v>0</v>
      </c>
      <c r="AP59" s="37">
        <f>SUMIFS(Wine1!$I:$I,Wine1!$K:$K,Location!$A59,Wine1!$AA:$AA,Location!AP$1)</f>
        <v>0</v>
      </c>
      <c r="AQ59" s="37">
        <f>SUMIFS(Wine1!$I:$I,Wine1!$K:$K,Location!$A59,Wine1!$AA:$AA,Location!AQ$1)</f>
        <v>1</v>
      </c>
      <c r="AR59" s="37">
        <f>SUMIFS(Wine1!$I:$I,Wine1!$K:$K,Location!$A59,Wine1!$AA:$AA,Location!AR$1)</f>
        <v>0</v>
      </c>
      <c r="AS59" s="37">
        <f>SUMIFS(Wine1!$I:$I,Wine1!$K:$K,Location!$A59,Wine1!$AA:$AA,Location!AS$1)</f>
        <v>0</v>
      </c>
      <c r="AT59" s="37">
        <f>SUMIFS(Wine1!$I:$I,Wine1!$K:$K,Location!$A59,Wine1!$AA:$AA,Location!AT$1)</f>
        <v>0</v>
      </c>
      <c r="AU59" s="37">
        <f>SUMIFS(Wine1!$I:$I,Wine1!$K:$K,Location!$A59,Wine1!$AA:$AA,Location!AU$1)</f>
        <v>0</v>
      </c>
      <c r="AV59" s="37">
        <f>SUMIFS(Wine1!$I:$I,Wine1!$K:$K,Location!$A59,Wine1!$AA:$AA,Location!AV$1)</f>
        <v>0</v>
      </c>
      <c r="AW59" s="37">
        <f>SUMIFS(Wine1!$I:$I,Wine1!$K:$K,Location!$A59,Wine1!$AA:$AA,Location!AW$1)</f>
        <v>0</v>
      </c>
      <c r="AX59" s="37">
        <f>SUMIFS(Wine1!$I:$I,Wine1!$K:$K,Location!$A59,Wine1!$AA:$AA,Location!AX$1)</f>
        <v>0</v>
      </c>
      <c r="AY59" s="37">
        <f>SUMIFS(Wine1!$I:$I,Wine1!$K:$K,Location!$A59,Wine1!$AA:$AA,Location!AY$1)</f>
        <v>0</v>
      </c>
      <c r="AZ59" s="37">
        <f>SUMIFS(Wine1!$I:$I,Wine1!$K:$K,Location!$A59,Wine1!$AA:$AA,Location!AZ$1)</f>
        <v>0</v>
      </c>
      <c r="BA59" s="37">
        <f>SUMIFS(Wine1!$I:$I,Wine1!$K:$K,Location!$A59,Wine1!$AA:$AA,Location!BA$1)</f>
        <v>0</v>
      </c>
      <c r="BB59" s="37">
        <f>SUMIFS(Wine1!$I:$I,Wine1!$K:$K,Location!$A59,Wine1!$AA:$AA,Location!BB$1)</f>
        <v>0</v>
      </c>
      <c r="BC59" s="37">
        <f>SUMIFS(Wine1!$I:$I,Wine1!$K:$K,Location!$A59,Wine1!$AA:$AA,Location!BC$1)</f>
        <v>0</v>
      </c>
      <c r="BD59" s="37">
        <f>SUMIFS(Wine1!$I:$I,Wine1!$K:$K,Location!$A59,Wine1!$AA:$AA,Location!BD$1)</f>
        <v>0</v>
      </c>
      <c r="BE59" s="37">
        <f>SUMIFS(Wine1!$I:$I,Wine1!$K:$K,Location!$A59,Wine1!$AA:$AA,Location!BE$1)</f>
        <v>0</v>
      </c>
      <c r="BF59" s="37">
        <f>SUMIFS(Wine1!$I:$I,Wine1!$K:$K,Location!$A59,Wine1!$AA:$AA,Location!BF$1)</f>
        <v>0</v>
      </c>
      <c r="BG59" s="37">
        <f>SUMIFS(Wine1!$I:$I,Wine1!$K:$K,Location!$A59,Wine1!$AA:$AA,Location!BG$1)</f>
        <v>0</v>
      </c>
      <c r="BH59" s="37">
        <f>SUMIFS(Wine1!$I:$I,Wine1!$K:$K,Location!$A59,Wine1!$AA:$AA,Location!BH$1)</f>
        <v>0</v>
      </c>
      <c r="BI59" s="37">
        <f>SUMIFS(Wine1!$I:$I,Wine1!$K:$K,Location!$A59,Wine1!$AA:$AA,Location!BI$1)</f>
        <v>0</v>
      </c>
    </row>
    <row r="60" spans="1:61" s="8" customFormat="1" x14ac:dyDescent="0.25">
      <c r="A60" s="8" t="s">
        <v>1814</v>
      </c>
      <c r="B60" s="37">
        <f>SUMIF(Wine1!K:K,Location!A60,Wine1!I:I)</f>
        <v>6</v>
      </c>
      <c r="C60" s="8">
        <v>6</v>
      </c>
      <c r="D60" s="37">
        <f t="shared" si="2"/>
        <v>0</v>
      </c>
      <c r="E60" s="37" t="s">
        <v>600</v>
      </c>
      <c r="F60" s="8" t="s">
        <v>1533</v>
      </c>
      <c r="G60" s="62"/>
      <c r="H60" s="56">
        <f>COUNTIFS(Wine1!$K:$K,Location!$A60,Wine1!$AF:$AF,Location!H$1)</f>
        <v>0</v>
      </c>
      <c r="I60" s="57">
        <f>COUNTIFS(Wine1!$K:$K,Location!$A60,Wine1!$AF:$AF,Location!I$1)</f>
        <v>0</v>
      </c>
      <c r="J60" s="57">
        <f>COUNTIFS(Wine1!$K:$K,Location!$A60,Wine1!$AF:$AF,Location!J$1)</f>
        <v>3</v>
      </c>
      <c r="K60" s="58">
        <f>COUNTIFS(Wine1!$K:$K,Location!$A60,Wine1!$AF:$AF,Location!K$1)</f>
        <v>3</v>
      </c>
      <c r="L60" s="18">
        <f>IFERROR(AVERAGEIF(Wine1!K:K,Location!A60,Wine1!AA:AA),"Empty")</f>
        <v>2036.5</v>
      </c>
      <c r="M60" s="37">
        <f>SUMIFS(Wine1!$I:$I,Wine1!$K:$K,Location!$A60,Wine1!$AA:$AA,Location!M$1)</f>
        <v>0</v>
      </c>
      <c r="N60" s="37">
        <f>SUMIFS(Wine1!$I:$I,Wine1!$K:$K,Location!$A60,Wine1!$AA:$AA,Location!N$1)</f>
        <v>0</v>
      </c>
      <c r="O60" s="37">
        <f>SUMIFS(Wine1!$I:$I,Wine1!$K:$K,Location!$A60,Wine1!$AA:$AA,Location!O$1)</f>
        <v>0</v>
      </c>
      <c r="P60" s="37">
        <f>SUMIFS(Wine1!$I:$I,Wine1!$K:$K,Location!$A60,Wine1!$AA:$AA,Location!P$1)</f>
        <v>0</v>
      </c>
      <c r="Q60" s="37">
        <f>SUMIFS(Wine1!$I:$I,Wine1!$K:$K,Location!$A60,Wine1!$AA:$AA,Location!Q$1)</f>
        <v>0</v>
      </c>
      <c r="R60" s="37">
        <f>SUMIFS(Wine1!$I:$I,Wine1!$K:$K,Location!$A60,Wine1!$AA:$AA,Location!R$1)</f>
        <v>0</v>
      </c>
      <c r="S60" s="37">
        <f>SUMIFS(Wine1!$I:$I,Wine1!$K:$K,Location!$A60,Wine1!$AA:$AA,Location!S$1)</f>
        <v>0</v>
      </c>
      <c r="T60" s="37">
        <f>SUMIFS(Wine1!$I:$I,Wine1!$K:$K,Location!$A60,Wine1!$AA:$AA,Location!T$1)</f>
        <v>0</v>
      </c>
      <c r="U60" s="37">
        <f>SUMIFS(Wine1!$I:$I,Wine1!$K:$K,Location!$A60,Wine1!$AA:$AA,Location!U$1)</f>
        <v>1</v>
      </c>
      <c r="V60" s="37">
        <f>SUMIFS(Wine1!$I:$I,Wine1!$K:$K,Location!$A60,Wine1!$AA:$AA,Location!V$1)</f>
        <v>0</v>
      </c>
      <c r="W60" s="37">
        <f>SUMIFS(Wine1!$I:$I,Wine1!$K:$K,Location!$A60,Wine1!$AA:$AA,Location!W$1)</f>
        <v>0</v>
      </c>
      <c r="X60" s="37">
        <f>SUMIFS(Wine1!$I:$I,Wine1!$K:$K,Location!$A60,Wine1!$AA:$AA,Location!X$1)</f>
        <v>0</v>
      </c>
      <c r="Y60" s="37">
        <f>SUMIFS(Wine1!$I:$I,Wine1!$K:$K,Location!$A60,Wine1!$AA:$AA,Location!Y$1)</f>
        <v>0</v>
      </c>
      <c r="Z60" s="37">
        <f>SUMIFS(Wine1!$I:$I,Wine1!$K:$K,Location!$A60,Wine1!$AA:$AA,Location!Z$1)</f>
        <v>1</v>
      </c>
      <c r="AA60" s="37">
        <f>SUMIFS(Wine1!$I:$I,Wine1!$K:$K,Location!$A60,Wine1!$AA:$AA,Location!AA$1)</f>
        <v>0</v>
      </c>
      <c r="AB60" s="37">
        <f>SUMIFS(Wine1!$I:$I,Wine1!$K:$K,Location!$A60,Wine1!$AA:$AA,Location!AB$1)</f>
        <v>0</v>
      </c>
      <c r="AC60" s="37">
        <f>SUMIFS(Wine1!$I:$I,Wine1!$K:$K,Location!$A60,Wine1!$AA:$AA,Location!AC$1)</f>
        <v>0</v>
      </c>
      <c r="AD60" s="37">
        <f>SUMIFS(Wine1!$I:$I,Wine1!$K:$K,Location!$A60,Wine1!$AA:$AA,Location!AD$1)</f>
        <v>0</v>
      </c>
      <c r="AE60" s="37">
        <f>SUMIFS(Wine1!$I:$I,Wine1!$K:$K,Location!$A60,Wine1!$AA:$AA,Location!AE$1)</f>
        <v>2</v>
      </c>
      <c r="AF60" s="37">
        <f>SUMIFS(Wine1!$I:$I,Wine1!$K:$K,Location!$A60,Wine1!$AA:$AA,Location!AF$1)</f>
        <v>0</v>
      </c>
      <c r="AG60" s="37">
        <f>SUMIFS(Wine1!$I:$I,Wine1!$K:$K,Location!$A60,Wine1!$AA:$AA,Location!AG$1)</f>
        <v>1</v>
      </c>
      <c r="AH60" s="37">
        <f>SUMIFS(Wine1!$I:$I,Wine1!$K:$K,Location!$A60,Wine1!$AA:$AA,Location!AH$1)</f>
        <v>0</v>
      </c>
      <c r="AI60" s="37">
        <f>SUMIFS(Wine1!$I:$I,Wine1!$K:$K,Location!$A60,Wine1!$AA:$AA,Location!AI$1)</f>
        <v>1</v>
      </c>
      <c r="AJ60" s="37">
        <f>SUMIFS(Wine1!$I:$I,Wine1!$K:$K,Location!$A60,Wine1!$AA:$AA,Location!AJ$1)</f>
        <v>0</v>
      </c>
      <c r="AK60" s="37">
        <f>SUMIFS(Wine1!$I:$I,Wine1!$K:$K,Location!$A60,Wine1!$AA:$AA,Location!AK$1)</f>
        <v>0</v>
      </c>
      <c r="AL60" s="37">
        <f>SUMIFS(Wine1!$I:$I,Wine1!$K:$K,Location!$A60,Wine1!$AA:$AA,Location!AL$1)</f>
        <v>0</v>
      </c>
      <c r="AM60" s="37">
        <f>SUMIFS(Wine1!$I:$I,Wine1!$K:$K,Location!$A60,Wine1!$AA:$AA,Location!AM$1)</f>
        <v>0</v>
      </c>
      <c r="AN60" s="37">
        <f>SUMIFS(Wine1!$I:$I,Wine1!$K:$K,Location!$A60,Wine1!$AA:$AA,Location!AN$1)</f>
        <v>0</v>
      </c>
      <c r="AO60" s="37">
        <f>SUMIFS(Wine1!$I:$I,Wine1!$K:$K,Location!$A60,Wine1!$AA:$AA,Location!AO$1)</f>
        <v>0</v>
      </c>
      <c r="AP60" s="37">
        <f>SUMIFS(Wine1!$I:$I,Wine1!$K:$K,Location!$A60,Wine1!$AA:$AA,Location!AP$1)</f>
        <v>0</v>
      </c>
      <c r="AQ60" s="37">
        <f>SUMIFS(Wine1!$I:$I,Wine1!$K:$K,Location!$A60,Wine1!$AA:$AA,Location!AQ$1)</f>
        <v>0</v>
      </c>
      <c r="AR60" s="37">
        <f>SUMIFS(Wine1!$I:$I,Wine1!$K:$K,Location!$A60,Wine1!$AA:$AA,Location!AR$1)</f>
        <v>0</v>
      </c>
      <c r="AS60" s="37">
        <f>SUMIFS(Wine1!$I:$I,Wine1!$K:$K,Location!$A60,Wine1!$AA:$AA,Location!AS$1)</f>
        <v>0</v>
      </c>
      <c r="AT60" s="37">
        <f>SUMIFS(Wine1!$I:$I,Wine1!$K:$K,Location!$A60,Wine1!$AA:$AA,Location!AT$1)</f>
        <v>0</v>
      </c>
      <c r="AU60" s="37">
        <f>SUMIFS(Wine1!$I:$I,Wine1!$K:$K,Location!$A60,Wine1!$AA:$AA,Location!AU$1)</f>
        <v>0</v>
      </c>
      <c r="AV60" s="37">
        <f>SUMIFS(Wine1!$I:$I,Wine1!$K:$K,Location!$A60,Wine1!$AA:$AA,Location!AV$1)</f>
        <v>0</v>
      </c>
      <c r="AW60" s="37">
        <f>SUMIFS(Wine1!$I:$I,Wine1!$K:$K,Location!$A60,Wine1!$AA:$AA,Location!AW$1)</f>
        <v>0</v>
      </c>
      <c r="AX60" s="37">
        <f>SUMIFS(Wine1!$I:$I,Wine1!$K:$K,Location!$A60,Wine1!$AA:$AA,Location!AX$1)</f>
        <v>0</v>
      </c>
      <c r="AY60" s="37">
        <f>SUMIFS(Wine1!$I:$I,Wine1!$K:$K,Location!$A60,Wine1!$AA:$AA,Location!AY$1)</f>
        <v>0</v>
      </c>
      <c r="AZ60" s="37">
        <f>SUMIFS(Wine1!$I:$I,Wine1!$K:$K,Location!$A60,Wine1!$AA:$AA,Location!AZ$1)</f>
        <v>0</v>
      </c>
      <c r="BA60" s="37">
        <f>SUMIFS(Wine1!$I:$I,Wine1!$K:$K,Location!$A60,Wine1!$AA:$AA,Location!BA$1)</f>
        <v>0</v>
      </c>
      <c r="BB60" s="37">
        <f>SUMIFS(Wine1!$I:$I,Wine1!$K:$K,Location!$A60,Wine1!$AA:$AA,Location!BB$1)</f>
        <v>0</v>
      </c>
      <c r="BC60" s="37">
        <f>SUMIFS(Wine1!$I:$I,Wine1!$K:$K,Location!$A60,Wine1!$AA:$AA,Location!BC$1)</f>
        <v>0</v>
      </c>
      <c r="BD60" s="37">
        <f>SUMIFS(Wine1!$I:$I,Wine1!$K:$K,Location!$A60,Wine1!$AA:$AA,Location!BD$1)</f>
        <v>0</v>
      </c>
      <c r="BE60" s="37">
        <f>SUMIFS(Wine1!$I:$I,Wine1!$K:$K,Location!$A60,Wine1!$AA:$AA,Location!BE$1)</f>
        <v>0</v>
      </c>
      <c r="BF60" s="37">
        <f>SUMIFS(Wine1!$I:$I,Wine1!$K:$K,Location!$A60,Wine1!$AA:$AA,Location!BF$1)</f>
        <v>0</v>
      </c>
      <c r="BG60" s="37">
        <f>SUMIFS(Wine1!$I:$I,Wine1!$K:$K,Location!$A60,Wine1!$AA:$AA,Location!BG$1)</f>
        <v>0</v>
      </c>
      <c r="BH60" s="37">
        <f>SUMIFS(Wine1!$I:$I,Wine1!$K:$K,Location!$A60,Wine1!$AA:$AA,Location!BH$1)</f>
        <v>0</v>
      </c>
      <c r="BI60" s="37">
        <f>SUMIFS(Wine1!$I:$I,Wine1!$K:$K,Location!$A60,Wine1!$AA:$AA,Location!BI$1)</f>
        <v>0</v>
      </c>
    </row>
    <row r="61" spans="1:61" s="8" customFormat="1" x14ac:dyDescent="0.25">
      <c r="A61" s="8" t="s">
        <v>1829</v>
      </c>
      <c r="B61" s="37">
        <f>SUMIF(Wine1!K:K,Location!A61,Wine1!I:I)</f>
        <v>4</v>
      </c>
      <c r="C61" s="8">
        <v>6</v>
      </c>
      <c r="D61" s="37">
        <f t="shared" si="2"/>
        <v>2</v>
      </c>
      <c r="E61" s="37" t="s">
        <v>600</v>
      </c>
      <c r="F61" s="8" t="s">
        <v>718</v>
      </c>
      <c r="G61" s="62"/>
      <c r="H61" s="56">
        <f>COUNTIFS(Wine1!$K:$K,Location!$A61,Wine1!$AF:$AF,Location!H$1)</f>
        <v>4</v>
      </c>
      <c r="I61" s="57">
        <f>COUNTIFS(Wine1!$K:$K,Location!$A61,Wine1!$AF:$AF,Location!I$1)</f>
        <v>0</v>
      </c>
      <c r="J61" s="57">
        <f>COUNTIFS(Wine1!$K:$K,Location!$A61,Wine1!$AF:$AF,Location!J$1)</f>
        <v>0</v>
      </c>
      <c r="K61" s="58">
        <f>COUNTIFS(Wine1!$K:$K,Location!$A61,Wine1!$AF:$AF,Location!K$1)</f>
        <v>0</v>
      </c>
      <c r="L61" s="18">
        <f>IFERROR(AVERAGEIF(Wine1!K:K,Location!A61,Wine1!AA:AA),"Empty")</f>
        <v>2020.75</v>
      </c>
      <c r="M61" s="37">
        <f>SUMIFS(Wine1!$I:$I,Wine1!$K:$K,Location!$A61,Wine1!$AA:$AA,Location!M$1)</f>
        <v>1</v>
      </c>
      <c r="N61" s="37">
        <f>SUMIFS(Wine1!$I:$I,Wine1!$K:$K,Location!$A61,Wine1!$AA:$AA,Location!N$1)</f>
        <v>3</v>
      </c>
      <c r="O61" s="37">
        <f>SUMIFS(Wine1!$I:$I,Wine1!$K:$K,Location!$A61,Wine1!$AA:$AA,Location!O$1)</f>
        <v>0</v>
      </c>
      <c r="P61" s="37">
        <f>SUMIFS(Wine1!$I:$I,Wine1!$K:$K,Location!$A61,Wine1!$AA:$AA,Location!P$1)</f>
        <v>0</v>
      </c>
      <c r="Q61" s="37">
        <f>SUMIFS(Wine1!$I:$I,Wine1!$K:$K,Location!$A61,Wine1!$AA:$AA,Location!Q$1)</f>
        <v>0</v>
      </c>
      <c r="R61" s="37">
        <f>SUMIFS(Wine1!$I:$I,Wine1!$K:$K,Location!$A61,Wine1!$AA:$AA,Location!R$1)</f>
        <v>0</v>
      </c>
      <c r="S61" s="37">
        <f>SUMIFS(Wine1!$I:$I,Wine1!$K:$K,Location!$A61,Wine1!$AA:$AA,Location!S$1)</f>
        <v>0</v>
      </c>
      <c r="T61" s="37">
        <f>SUMIFS(Wine1!$I:$I,Wine1!$K:$K,Location!$A61,Wine1!$AA:$AA,Location!T$1)</f>
        <v>0</v>
      </c>
      <c r="U61" s="37">
        <f>SUMIFS(Wine1!$I:$I,Wine1!$K:$K,Location!$A61,Wine1!$AA:$AA,Location!U$1)</f>
        <v>0</v>
      </c>
      <c r="V61" s="37">
        <f>SUMIFS(Wine1!$I:$I,Wine1!$K:$K,Location!$A61,Wine1!$AA:$AA,Location!V$1)</f>
        <v>0</v>
      </c>
      <c r="W61" s="37">
        <f>SUMIFS(Wine1!$I:$I,Wine1!$K:$K,Location!$A61,Wine1!$AA:$AA,Location!W$1)</f>
        <v>0</v>
      </c>
      <c r="X61" s="37">
        <f>SUMIFS(Wine1!$I:$I,Wine1!$K:$K,Location!$A61,Wine1!$AA:$AA,Location!X$1)</f>
        <v>0</v>
      </c>
      <c r="Y61" s="37">
        <f>SUMIFS(Wine1!$I:$I,Wine1!$K:$K,Location!$A61,Wine1!$AA:$AA,Location!Y$1)</f>
        <v>0</v>
      </c>
      <c r="Z61" s="37">
        <f>SUMIFS(Wine1!$I:$I,Wine1!$K:$K,Location!$A61,Wine1!$AA:$AA,Location!Z$1)</f>
        <v>0</v>
      </c>
      <c r="AA61" s="37">
        <f>SUMIFS(Wine1!$I:$I,Wine1!$K:$K,Location!$A61,Wine1!$AA:$AA,Location!AA$1)</f>
        <v>0</v>
      </c>
      <c r="AB61" s="37">
        <f>SUMIFS(Wine1!$I:$I,Wine1!$K:$K,Location!$A61,Wine1!$AA:$AA,Location!AB$1)</f>
        <v>0</v>
      </c>
      <c r="AC61" s="37">
        <f>SUMIFS(Wine1!$I:$I,Wine1!$K:$K,Location!$A61,Wine1!$AA:$AA,Location!AC$1)</f>
        <v>0</v>
      </c>
      <c r="AD61" s="37">
        <f>SUMIFS(Wine1!$I:$I,Wine1!$K:$K,Location!$A61,Wine1!$AA:$AA,Location!AD$1)</f>
        <v>0</v>
      </c>
      <c r="AE61" s="37">
        <f>SUMIFS(Wine1!$I:$I,Wine1!$K:$K,Location!$A61,Wine1!$AA:$AA,Location!AE$1)</f>
        <v>0</v>
      </c>
      <c r="AF61" s="37">
        <f>SUMIFS(Wine1!$I:$I,Wine1!$K:$K,Location!$A61,Wine1!$AA:$AA,Location!AF$1)</f>
        <v>0</v>
      </c>
      <c r="AG61" s="37">
        <f>SUMIFS(Wine1!$I:$I,Wine1!$K:$K,Location!$A61,Wine1!$AA:$AA,Location!AG$1)</f>
        <v>0</v>
      </c>
      <c r="AH61" s="37">
        <f>SUMIFS(Wine1!$I:$I,Wine1!$K:$K,Location!$A61,Wine1!$AA:$AA,Location!AH$1)</f>
        <v>0</v>
      </c>
      <c r="AI61" s="37">
        <f>SUMIFS(Wine1!$I:$I,Wine1!$K:$K,Location!$A61,Wine1!$AA:$AA,Location!AI$1)</f>
        <v>0</v>
      </c>
      <c r="AJ61" s="37">
        <f>SUMIFS(Wine1!$I:$I,Wine1!$K:$K,Location!$A61,Wine1!$AA:$AA,Location!AJ$1)</f>
        <v>0</v>
      </c>
      <c r="AK61" s="37">
        <f>SUMIFS(Wine1!$I:$I,Wine1!$K:$K,Location!$A61,Wine1!$AA:$AA,Location!AK$1)</f>
        <v>0</v>
      </c>
      <c r="AL61" s="37">
        <f>SUMIFS(Wine1!$I:$I,Wine1!$K:$K,Location!$A61,Wine1!$AA:$AA,Location!AL$1)</f>
        <v>0</v>
      </c>
      <c r="AM61" s="37">
        <f>SUMIFS(Wine1!$I:$I,Wine1!$K:$K,Location!$A61,Wine1!$AA:$AA,Location!AM$1)</f>
        <v>0</v>
      </c>
      <c r="AN61" s="37">
        <f>SUMIFS(Wine1!$I:$I,Wine1!$K:$K,Location!$A61,Wine1!$AA:$AA,Location!AN$1)</f>
        <v>0</v>
      </c>
      <c r="AO61" s="37">
        <f>SUMIFS(Wine1!$I:$I,Wine1!$K:$K,Location!$A61,Wine1!$AA:$AA,Location!AO$1)</f>
        <v>0</v>
      </c>
      <c r="AP61" s="37">
        <f>SUMIFS(Wine1!$I:$I,Wine1!$K:$K,Location!$A61,Wine1!$AA:$AA,Location!AP$1)</f>
        <v>0</v>
      </c>
      <c r="AQ61" s="37">
        <f>SUMIFS(Wine1!$I:$I,Wine1!$K:$K,Location!$A61,Wine1!$AA:$AA,Location!AQ$1)</f>
        <v>0</v>
      </c>
      <c r="AR61" s="37">
        <f>SUMIFS(Wine1!$I:$I,Wine1!$K:$K,Location!$A61,Wine1!$AA:$AA,Location!AR$1)</f>
        <v>0</v>
      </c>
      <c r="AS61" s="37">
        <f>SUMIFS(Wine1!$I:$I,Wine1!$K:$K,Location!$A61,Wine1!$AA:$AA,Location!AS$1)</f>
        <v>0</v>
      </c>
      <c r="AT61" s="37">
        <f>SUMIFS(Wine1!$I:$I,Wine1!$K:$K,Location!$A61,Wine1!$AA:$AA,Location!AT$1)</f>
        <v>0</v>
      </c>
      <c r="AU61" s="37">
        <f>SUMIFS(Wine1!$I:$I,Wine1!$K:$K,Location!$A61,Wine1!$AA:$AA,Location!AU$1)</f>
        <v>0</v>
      </c>
      <c r="AV61" s="37">
        <f>SUMIFS(Wine1!$I:$I,Wine1!$K:$K,Location!$A61,Wine1!$AA:$AA,Location!AV$1)</f>
        <v>0</v>
      </c>
      <c r="AW61" s="37">
        <f>SUMIFS(Wine1!$I:$I,Wine1!$K:$K,Location!$A61,Wine1!$AA:$AA,Location!AW$1)</f>
        <v>0</v>
      </c>
      <c r="AX61" s="37">
        <f>SUMIFS(Wine1!$I:$I,Wine1!$K:$K,Location!$A61,Wine1!$AA:$AA,Location!AX$1)</f>
        <v>0</v>
      </c>
      <c r="AY61" s="37">
        <f>SUMIFS(Wine1!$I:$I,Wine1!$K:$K,Location!$A61,Wine1!$AA:$AA,Location!AY$1)</f>
        <v>0</v>
      </c>
      <c r="AZ61" s="37">
        <f>SUMIFS(Wine1!$I:$I,Wine1!$K:$K,Location!$A61,Wine1!$AA:$AA,Location!AZ$1)</f>
        <v>0</v>
      </c>
      <c r="BA61" s="37">
        <f>SUMIFS(Wine1!$I:$I,Wine1!$K:$K,Location!$A61,Wine1!$AA:$AA,Location!BA$1)</f>
        <v>0</v>
      </c>
      <c r="BB61" s="37">
        <f>SUMIFS(Wine1!$I:$I,Wine1!$K:$K,Location!$A61,Wine1!$AA:$AA,Location!BB$1)</f>
        <v>0</v>
      </c>
      <c r="BC61" s="37">
        <f>SUMIFS(Wine1!$I:$I,Wine1!$K:$K,Location!$A61,Wine1!$AA:$AA,Location!BC$1)</f>
        <v>0</v>
      </c>
      <c r="BD61" s="37">
        <f>SUMIFS(Wine1!$I:$I,Wine1!$K:$K,Location!$A61,Wine1!$AA:$AA,Location!BD$1)</f>
        <v>0</v>
      </c>
      <c r="BE61" s="37">
        <f>SUMIFS(Wine1!$I:$I,Wine1!$K:$K,Location!$A61,Wine1!$AA:$AA,Location!BE$1)</f>
        <v>0</v>
      </c>
      <c r="BF61" s="37">
        <f>SUMIFS(Wine1!$I:$I,Wine1!$K:$K,Location!$A61,Wine1!$AA:$AA,Location!BF$1)</f>
        <v>0</v>
      </c>
      <c r="BG61" s="37">
        <f>SUMIFS(Wine1!$I:$I,Wine1!$K:$K,Location!$A61,Wine1!$AA:$AA,Location!BG$1)</f>
        <v>0</v>
      </c>
      <c r="BH61" s="37">
        <f>SUMIFS(Wine1!$I:$I,Wine1!$K:$K,Location!$A61,Wine1!$AA:$AA,Location!BH$1)</f>
        <v>0</v>
      </c>
      <c r="BI61" s="37">
        <f>SUMIFS(Wine1!$I:$I,Wine1!$K:$K,Location!$A61,Wine1!$AA:$AA,Location!BI$1)</f>
        <v>0</v>
      </c>
    </row>
    <row r="62" spans="1:61" s="8" customFormat="1" x14ac:dyDescent="0.25">
      <c r="A62" s="8" t="s">
        <v>1828</v>
      </c>
      <c r="B62" s="37">
        <f>SUMIF(Wine1!K:K,Location!A62,Wine1!I:I)</f>
        <v>11</v>
      </c>
      <c r="C62" s="8">
        <v>12</v>
      </c>
      <c r="D62" s="37">
        <f t="shared" si="2"/>
        <v>1</v>
      </c>
      <c r="E62" s="37" t="s">
        <v>600</v>
      </c>
      <c r="F62" s="8" t="s">
        <v>718</v>
      </c>
      <c r="G62" s="62"/>
      <c r="H62" s="56">
        <f>COUNTIFS(Wine1!$K:$K,Location!$A62,Wine1!$AF:$AF,Location!H$1)</f>
        <v>11</v>
      </c>
      <c r="I62" s="57">
        <f>COUNTIFS(Wine1!$K:$K,Location!$A62,Wine1!$AF:$AF,Location!I$1)</f>
        <v>0</v>
      </c>
      <c r="J62" s="57">
        <f>COUNTIFS(Wine1!$K:$K,Location!$A62,Wine1!$AF:$AF,Location!J$1)</f>
        <v>0</v>
      </c>
      <c r="K62" s="58">
        <f>COUNTIFS(Wine1!$K:$K,Location!$A62,Wine1!$AF:$AF,Location!K$1)</f>
        <v>0</v>
      </c>
      <c r="L62" s="18">
        <f>IFERROR(AVERAGEIF(Wine1!K:K,Location!A62,Wine1!AA:AA),"Empty")</f>
        <v>2021.1818181818182</v>
      </c>
      <c r="M62" s="37">
        <f>SUMIFS(Wine1!$I:$I,Wine1!$K:$K,Location!$A62,Wine1!$AA:$AA,Location!M$1)</f>
        <v>1</v>
      </c>
      <c r="N62" s="37">
        <f>SUMIFS(Wine1!$I:$I,Wine1!$K:$K,Location!$A62,Wine1!$AA:$AA,Location!N$1)</f>
        <v>8</v>
      </c>
      <c r="O62" s="37">
        <f>SUMIFS(Wine1!$I:$I,Wine1!$K:$K,Location!$A62,Wine1!$AA:$AA,Location!O$1)</f>
        <v>1</v>
      </c>
      <c r="P62" s="37">
        <f>SUMIFS(Wine1!$I:$I,Wine1!$K:$K,Location!$A62,Wine1!$AA:$AA,Location!P$1)</f>
        <v>1</v>
      </c>
      <c r="Q62" s="37">
        <f>SUMIFS(Wine1!$I:$I,Wine1!$K:$K,Location!$A62,Wine1!$AA:$AA,Location!Q$1)</f>
        <v>0</v>
      </c>
      <c r="R62" s="37">
        <f>SUMIFS(Wine1!$I:$I,Wine1!$K:$K,Location!$A62,Wine1!$AA:$AA,Location!R$1)</f>
        <v>0</v>
      </c>
      <c r="S62" s="37">
        <f>SUMIFS(Wine1!$I:$I,Wine1!$K:$K,Location!$A62,Wine1!$AA:$AA,Location!S$1)</f>
        <v>0</v>
      </c>
      <c r="T62" s="37">
        <f>SUMIFS(Wine1!$I:$I,Wine1!$K:$K,Location!$A62,Wine1!$AA:$AA,Location!T$1)</f>
        <v>0</v>
      </c>
      <c r="U62" s="37">
        <f>SUMIFS(Wine1!$I:$I,Wine1!$K:$K,Location!$A62,Wine1!$AA:$AA,Location!U$1)</f>
        <v>0</v>
      </c>
      <c r="V62" s="37">
        <f>SUMIFS(Wine1!$I:$I,Wine1!$K:$K,Location!$A62,Wine1!$AA:$AA,Location!V$1)</f>
        <v>0</v>
      </c>
      <c r="W62" s="37">
        <f>SUMIFS(Wine1!$I:$I,Wine1!$K:$K,Location!$A62,Wine1!$AA:$AA,Location!W$1)</f>
        <v>0</v>
      </c>
      <c r="X62" s="37">
        <f>SUMIFS(Wine1!$I:$I,Wine1!$K:$K,Location!$A62,Wine1!$AA:$AA,Location!X$1)</f>
        <v>0</v>
      </c>
      <c r="Y62" s="37">
        <f>SUMIFS(Wine1!$I:$I,Wine1!$K:$K,Location!$A62,Wine1!$AA:$AA,Location!Y$1)</f>
        <v>0</v>
      </c>
      <c r="Z62" s="37">
        <f>SUMIFS(Wine1!$I:$I,Wine1!$K:$K,Location!$A62,Wine1!$AA:$AA,Location!Z$1)</f>
        <v>0</v>
      </c>
      <c r="AA62" s="37">
        <f>SUMIFS(Wine1!$I:$I,Wine1!$K:$K,Location!$A62,Wine1!$AA:$AA,Location!AA$1)</f>
        <v>0</v>
      </c>
      <c r="AB62" s="37">
        <f>SUMIFS(Wine1!$I:$I,Wine1!$K:$K,Location!$A62,Wine1!$AA:$AA,Location!AB$1)</f>
        <v>0</v>
      </c>
      <c r="AC62" s="37">
        <f>SUMIFS(Wine1!$I:$I,Wine1!$K:$K,Location!$A62,Wine1!$AA:$AA,Location!AC$1)</f>
        <v>0</v>
      </c>
      <c r="AD62" s="37">
        <f>SUMIFS(Wine1!$I:$I,Wine1!$K:$K,Location!$A62,Wine1!$AA:$AA,Location!AD$1)</f>
        <v>0</v>
      </c>
      <c r="AE62" s="37">
        <f>SUMIFS(Wine1!$I:$I,Wine1!$K:$K,Location!$A62,Wine1!$AA:$AA,Location!AE$1)</f>
        <v>0</v>
      </c>
      <c r="AF62" s="37">
        <f>SUMIFS(Wine1!$I:$I,Wine1!$K:$K,Location!$A62,Wine1!$AA:$AA,Location!AF$1)</f>
        <v>0</v>
      </c>
      <c r="AG62" s="37">
        <f>SUMIFS(Wine1!$I:$I,Wine1!$K:$K,Location!$A62,Wine1!$AA:$AA,Location!AG$1)</f>
        <v>0</v>
      </c>
      <c r="AH62" s="37">
        <f>SUMIFS(Wine1!$I:$I,Wine1!$K:$K,Location!$A62,Wine1!$AA:$AA,Location!AH$1)</f>
        <v>0</v>
      </c>
      <c r="AI62" s="37">
        <f>SUMIFS(Wine1!$I:$I,Wine1!$K:$K,Location!$A62,Wine1!$AA:$AA,Location!AI$1)</f>
        <v>0</v>
      </c>
      <c r="AJ62" s="37">
        <f>SUMIFS(Wine1!$I:$I,Wine1!$K:$K,Location!$A62,Wine1!$AA:$AA,Location!AJ$1)</f>
        <v>0</v>
      </c>
      <c r="AK62" s="37">
        <f>SUMIFS(Wine1!$I:$I,Wine1!$K:$K,Location!$A62,Wine1!$AA:$AA,Location!AK$1)</f>
        <v>0</v>
      </c>
      <c r="AL62" s="37">
        <f>SUMIFS(Wine1!$I:$I,Wine1!$K:$K,Location!$A62,Wine1!$AA:$AA,Location!AL$1)</f>
        <v>0</v>
      </c>
      <c r="AM62" s="37">
        <f>SUMIFS(Wine1!$I:$I,Wine1!$K:$K,Location!$A62,Wine1!$AA:$AA,Location!AM$1)</f>
        <v>0</v>
      </c>
      <c r="AN62" s="37">
        <f>SUMIFS(Wine1!$I:$I,Wine1!$K:$K,Location!$A62,Wine1!$AA:$AA,Location!AN$1)</f>
        <v>0</v>
      </c>
      <c r="AO62" s="37">
        <f>SUMIFS(Wine1!$I:$I,Wine1!$K:$K,Location!$A62,Wine1!$AA:$AA,Location!AO$1)</f>
        <v>0</v>
      </c>
      <c r="AP62" s="37">
        <f>SUMIFS(Wine1!$I:$I,Wine1!$K:$K,Location!$A62,Wine1!$AA:$AA,Location!AP$1)</f>
        <v>0</v>
      </c>
      <c r="AQ62" s="37">
        <f>SUMIFS(Wine1!$I:$I,Wine1!$K:$K,Location!$A62,Wine1!$AA:$AA,Location!AQ$1)</f>
        <v>0</v>
      </c>
      <c r="AR62" s="37">
        <f>SUMIFS(Wine1!$I:$I,Wine1!$K:$K,Location!$A62,Wine1!$AA:$AA,Location!AR$1)</f>
        <v>0</v>
      </c>
      <c r="AS62" s="37">
        <f>SUMIFS(Wine1!$I:$I,Wine1!$K:$K,Location!$A62,Wine1!$AA:$AA,Location!AS$1)</f>
        <v>0</v>
      </c>
      <c r="AT62" s="37">
        <f>SUMIFS(Wine1!$I:$I,Wine1!$K:$K,Location!$A62,Wine1!$AA:$AA,Location!AT$1)</f>
        <v>0</v>
      </c>
      <c r="AU62" s="37">
        <f>SUMIFS(Wine1!$I:$I,Wine1!$K:$K,Location!$A62,Wine1!$AA:$AA,Location!AU$1)</f>
        <v>0</v>
      </c>
      <c r="AV62" s="37">
        <f>SUMIFS(Wine1!$I:$I,Wine1!$K:$K,Location!$A62,Wine1!$AA:$AA,Location!AV$1)</f>
        <v>0</v>
      </c>
      <c r="AW62" s="37">
        <f>SUMIFS(Wine1!$I:$I,Wine1!$K:$K,Location!$A62,Wine1!$AA:$AA,Location!AW$1)</f>
        <v>0</v>
      </c>
      <c r="AX62" s="37">
        <f>SUMIFS(Wine1!$I:$I,Wine1!$K:$K,Location!$A62,Wine1!$AA:$AA,Location!AX$1)</f>
        <v>0</v>
      </c>
      <c r="AY62" s="37">
        <f>SUMIFS(Wine1!$I:$I,Wine1!$K:$K,Location!$A62,Wine1!$AA:$AA,Location!AY$1)</f>
        <v>0</v>
      </c>
      <c r="AZ62" s="37">
        <f>SUMIFS(Wine1!$I:$I,Wine1!$K:$K,Location!$A62,Wine1!$AA:$AA,Location!AZ$1)</f>
        <v>0</v>
      </c>
      <c r="BA62" s="37">
        <f>SUMIFS(Wine1!$I:$I,Wine1!$K:$K,Location!$A62,Wine1!$AA:$AA,Location!BA$1)</f>
        <v>0</v>
      </c>
      <c r="BB62" s="37">
        <f>SUMIFS(Wine1!$I:$I,Wine1!$K:$K,Location!$A62,Wine1!$AA:$AA,Location!BB$1)</f>
        <v>0</v>
      </c>
      <c r="BC62" s="37">
        <f>SUMIFS(Wine1!$I:$I,Wine1!$K:$K,Location!$A62,Wine1!$AA:$AA,Location!BC$1)</f>
        <v>0</v>
      </c>
      <c r="BD62" s="37">
        <f>SUMIFS(Wine1!$I:$I,Wine1!$K:$K,Location!$A62,Wine1!$AA:$AA,Location!BD$1)</f>
        <v>0</v>
      </c>
      <c r="BE62" s="37">
        <f>SUMIFS(Wine1!$I:$I,Wine1!$K:$K,Location!$A62,Wine1!$AA:$AA,Location!BE$1)</f>
        <v>0</v>
      </c>
      <c r="BF62" s="37">
        <f>SUMIFS(Wine1!$I:$I,Wine1!$K:$K,Location!$A62,Wine1!$AA:$AA,Location!BF$1)</f>
        <v>0</v>
      </c>
      <c r="BG62" s="37">
        <f>SUMIFS(Wine1!$I:$I,Wine1!$K:$K,Location!$A62,Wine1!$AA:$AA,Location!BG$1)</f>
        <v>0</v>
      </c>
      <c r="BH62" s="37">
        <f>SUMIFS(Wine1!$I:$I,Wine1!$K:$K,Location!$A62,Wine1!$AA:$AA,Location!BH$1)</f>
        <v>0</v>
      </c>
      <c r="BI62" s="37">
        <f>SUMIFS(Wine1!$I:$I,Wine1!$K:$K,Location!$A62,Wine1!$AA:$AA,Location!BI$1)</f>
        <v>0</v>
      </c>
    </row>
    <row r="63" spans="1:61" s="8" customFormat="1" x14ac:dyDescent="0.25">
      <c r="A63" s="8" t="s">
        <v>1830</v>
      </c>
      <c r="B63" s="37">
        <f>SUMIF(Wine1!K:K,Location!A63,Wine1!I:I)</f>
        <v>6</v>
      </c>
      <c r="C63" s="8">
        <v>6</v>
      </c>
      <c r="D63" s="37">
        <f t="shared" si="2"/>
        <v>0</v>
      </c>
      <c r="E63" s="37" t="s">
        <v>600</v>
      </c>
      <c r="F63" s="8" t="s">
        <v>1533</v>
      </c>
      <c r="G63" s="62"/>
      <c r="H63" s="56">
        <f>COUNTIFS(Wine1!$K:$K,Location!$A63,Wine1!$AF:$AF,Location!H$1)</f>
        <v>0</v>
      </c>
      <c r="I63" s="57">
        <f>COUNTIFS(Wine1!$K:$K,Location!$A63,Wine1!$AF:$AF,Location!I$1)</f>
        <v>0</v>
      </c>
      <c r="J63" s="57">
        <f>COUNTIFS(Wine1!$K:$K,Location!$A63,Wine1!$AF:$AF,Location!J$1)</f>
        <v>4</v>
      </c>
      <c r="K63" s="58">
        <f>COUNTIFS(Wine1!$K:$K,Location!$A63,Wine1!$AF:$AF,Location!K$1)</f>
        <v>2</v>
      </c>
      <c r="L63" s="18">
        <f>IFERROR(AVERAGEIF(Wine1!K:K,Location!A63,Wine1!AA:AA),"Empty")</f>
        <v>2030.5</v>
      </c>
      <c r="M63" s="37">
        <f>SUMIFS(Wine1!$I:$I,Wine1!$K:$K,Location!$A63,Wine1!$AA:$AA,Location!M$1)</f>
        <v>0</v>
      </c>
      <c r="N63" s="37">
        <f>SUMIFS(Wine1!$I:$I,Wine1!$K:$K,Location!$A63,Wine1!$AA:$AA,Location!N$1)</f>
        <v>0</v>
      </c>
      <c r="O63" s="37">
        <f>SUMIFS(Wine1!$I:$I,Wine1!$K:$K,Location!$A63,Wine1!$AA:$AA,Location!O$1)</f>
        <v>0</v>
      </c>
      <c r="P63" s="37">
        <f>SUMIFS(Wine1!$I:$I,Wine1!$K:$K,Location!$A63,Wine1!$AA:$AA,Location!P$1)</f>
        <v>0</v>
      </c>
      <c r="Q63" s="37">
        <f>SUMIFS(Wine1!$I:$I,Wine1!$K:$K,Location!$A63,Wine1!$AA:$AA,Location!Q$1)</f>
        <v>0</v>
      </c>
      <c r="R63" s="37">
        <f>SUMIFS(Wine1!$I:$I,Wine1!$K:$K,Location!$A63,Wine1!$AA:$AA,Location!R$1)</f>
        <v>0</v>
      </c>
      <c r="S63" s="37">
        <f>SUMIFS(Wine1!$I:$I,Wine1!$K:$K,Location!$A63,Wine1!$AA:$AA,Location!S$1)</f>
        <v>1</v>
      </c>
      <c r="T63" s="37">
        <f>SUMIFS(Wine1!$I:$I,Wine1!$K:$K,Location!$A63,Wine1!$AA:$AA,Location!T$1)</f>
        <v>0</v>
      </c>
      <c r="U63" s="37">
        <f>SUMIFS(Wine1!$I:$I,Wine1!$K:$K,Location!$A63,Wine1!$AA:$AA,Location!U$1)</f>
        <v>2</v>
      </c>
      <c r="V63" s="37">
        <f>SUMIFS(Wine1!$I:$I,Wine1!$K:$K,Location!$A63,Wine1!$AA:$AA,Location!V$1)</f>
        <v>0</v>
      </c>
      <c r="W63" s="37">
        <f>SUMIFS(Wine1!$I:$I,Wine1!$K:$K,Location!$A63,Wine1!$AA:$AA,Location!W$1)</f>
        <v>0</v>
      </c>
      <c r="X63" s="37">
        <f>SUMIFS(Wine1!$I:$I,Wine1!$K:$K,Location!$A63,Wine1!$AA:$AA,Location!X$1)</f>
        <v>0</v>
      </c>
      <c r="Y63" s="37">
        <f>SUMIFS(Wine1!$I:$I,Wine1!$K:$K,Location!$A63,Wine1!$AA:$AA,Location!Y$1)</f>
        <v>1</v>
      </c>
      <c r="Z63" s="37">
        <f>SUMIFS(Wine1!$I:$I,Wine1!$K:$K,Location!$A63,Wine1!$AA:$AA,Location!Z$1)</f>
        <v>0</v>
      </c>
      <c r="AA63" s="37">
        <f>SUMIFS(Wine1!$I:$I,Wine1!$K:$K,Location!$A63,Wine1!$AA:$AA,Location!AA$1)</f>
        <v>1</v>
      </c>
      <c r="AB63" s="37">
        <f>SUMIFS(Wine1!$I:$I,Wine1!$K:$K,Location!$A63,Wine1!$AA:$AA,Location!AB$1)</f>
        <v>1</v>
      </c>
      <c r="AC63" s="37">
        <f>SUMIFS(Wine1!$I:$I,Wine1!$K:$K,Location!$A63,Wine1!$AA:$AA,Location!AC$1)</f>
        <v>0</v>
      </c>
      <c r="AD63" s="37">
        <f>SUMIFS(Wine1!$I:$I,Wine1!$K:$K,Location!$A63,Wine1!$AA:$AA,Location!AD$1)</f>
        <v>0</v>
      </c>
      <c r="AE63" s="37">
        <f>SUMIFS(Wine1!$I:$I,Wine1!$K:$K,Location!$A63,Wine1!$AA:$AA,Location!AE$1)</f>
        <v>0</v>
      </c>
      <c r="AF63" s="37">
        <f>SUMIFS(Wine1!$I:$I,Wine1!$K:$K,Location!$A63,Wine1!$AA:$AA,Location!AF$1)</f>
        <v>0</v>
      </c>
      <c r="AG63" s="37">
        <f>SUMIFS(Wine1!$I:$I,Wine1!$K:$K,Location!$A63,Wine1!$AA:$AA,Location!AG$1)</f>
        <v>0</v>
      </c>
      <c r="AH63" s="37">
        <f>SUMIFS(Wine1!$I:$I,Wine1!$K:$K,Location!$A63,Wine1!$AA:$AA,Location!AH$1)</f>
        <v>0</v>
      </c>
      <c r="AI63" s="37">
        <f>SUMIFS(Wine1!$I:$I,Wine1!$K:$K,Location!$A63,Wine1!$AA:$AA,Location!AI$1)</f>
        <v>0</v>
      </c>
      <c r="AJ63" s="37">
        <f>SUMIFS(Wine1!$I:$I,Wine1!$K:$K,Location!$A63,Wine1!$AA:$AA,Location!AJ$1)</f>
        <v>0</v>
      </c>
      <c r="AK63" s="37">
        <f>SUMIFS(Wine1!$I:$I,Wine1!$K:$K,Location!$A63,Wine1!$AA:$AA,Location!AK$1)</f>
        <v>0</v>
      </c>
      <c r="AL63" s="37">
        <f>SUMIFS(Wine1!$I:$I,Wine1!$K:$K,Location!$A63,Wine1!$AA:$AA,Location!AL$1)</f>
        <v>0</v>
      </c>
      <c r="AM63" s="37">
        <f>SUMIFS(Wine1!$I:$I,Wine1!$K:$K,Location!$A63,Wine1!$AA:$AA,Location!AM$1)</f>
        <v>0</v>
      </c>
      <c r="AN63" s="37">
        <f>SUMIFS(Wine1!$I:$I,Wine1!$K:$K,Location!$A63,Wine1!$AA:$AA,Location!AN$1)</f>
        <v>0</v>
      </c>
      <c r="AO63" s="37">
        <f>SUMIFS(Wine1!$I:$I,Wine1!$K:$K,Location!$A63,Wine1!$AA:$AA,Location!AO$1)</f>
        <v>0</v>
      </c>
      <c r="AP63" s="37">
        <f>SUMIFS(Wine1!$I:$I,Wine1!$K:$K,Location!$A63,Wine1!$AA:$AA,Location!AP$1)</f>
        <v>0</v>
      </c>
      <c r="AQ63" s="37">
        <f>SUMIFS(Wine1!$I:$I,Wine1!$K:$K,Location!$A63,Wine1!$AA:$AA,Location!AQ$1)</f>
        <v>0</v>
      </c>
      <c r="AR63" s="37">
        <f>SUMIFS(Wine1!$I:$I,Wine1!$K:$K,Location!$A63,Wine1!$AA:$AA,Location!AR$1)</f>
        <v>0</v>
      </c>
      <c r="AS63" s="37">
        <f>SUMIFS(Wine1!$I:$I,Wine1!$K:$K,Location!$A63,Wine1!$AA:$AA,Location!AS$1)</f>
        <v>0</v>
      </c>
      <c r="AT63" s="37">
        <f>SUMIFS(Wine1!$I:$I,Wine1!$K:$K,Location!$A63,Wine1!$AA:$AA,Location!AT$1)</f>
        <v>0</v>
      </c>
      <c r="AU63" s="37">
        <f>SUMIFS(Wine1!$I:$I,Wine1!$K:$K,Location!$A63,Wine1!$AA:$AA,Location!AU$1)</f>
        <v>0</v>
      </c>
      <c r="AV63" s="37">
        <f>SUMIFS(Wine1!$I:$I,Wine1!$K:$K,Location!$A63,Wine1!$AA:$AA,Location!AV$1)</f>
        <v>0</v>
      </c>
      <c r="AW63" s="37">
        <f>SUMIFS(Wine1!$I:$I,Wine1!$K:$K,Location!$A63,Wine1!$AA:$AA,Location!AW$1)</f>
        <v>0</v>
      </c>
      <c r="AX63" s="37">
        <f>SUMIFS(Wine1!$I:$I,Wine1!$K:$K,Location!$A63,Wine1!$AA:$AA,Location!AX$1)</f>
        <v>0</v>
      </c>
      <c r="AY63" s="37">
        <f>SUMIFS(Wine1!$I:$I,Wine1!$K:$K,Location!$A63,Wine1!$AA:$AA,Location!AY$1)</f>
        <v>0</v>
      </c>
      <c r="AZ63" s="37">
        <f>SUMIFS(Wine1!$I:$I,Wine1!$K:$K,Location!$A63,Wine1!$AA:$AA,Location!AZ$1)</f>
        <v>0</v>
      </c>
      <c r="BA63" s="37">
        <f>SUMIFS(Wine1!$I:$I,Wine1!$K:$K,Location!$A63,Wine1!$AA:$AA,Location!BA$1)</f>
        <v>0</v>
      </c>
      <c r="BB63" s="37">
        <f>SUMIFS(Wine1!$I:$I,Wine1!$K:$K,Location!$A63,Wine1!$AA:$AA,Location!BB$1)</f>
        <v>0</v>
      </c>
      <c r="BC63" s="37">
        <f>SUMIFS(Wine1!$I:$I,Wine1!$K:$K,Location!$A63,Wine1!$AA:$AA,Location!BC$1)</f>
        <v>0</v>
      </c>
      <c r="BD63" s="37">
        <f>SUMIFS(Wine1!$I:$I,Wine1!$K:$K,Location!$A63,Wine1!$AA:$AA,Location!BD$1)</f>
        <v>0</v>
      </c>
      <c r="BE63" s="37">
        <f>SUMIFS(Wine1!$I:$I,Wine1!$K:$K,Location!$A63,Wine1!$AA:$AA,Location!BE$1)</f>
        <v>0</v>
      </c>
      <c r="BF63" s="37">
        <f>SUMIFS(Wine1!$I:$I,Wine1!$K:$K,Location!$A63,Wine1!$AA:$AA,Location!BF$1)</f>
        <v>0</v>
      </c>
      <c r="BG63" s="37">
        <f>SUMIFS(Wine1!$I:$I,Wine1!$K:$K,Location!$A63,Wine1!$AA:$AA,Location!BG$1)</f>
        <v>0</v>
      </c>
      <c r="BH63" s="37">
        <f>SUMIFS(Wine1!$I:$I,Wine1!$K:$K,Location!$A63,Wine1!$AA:$AA,Location!BH$1)</f>
        <v>0</v>
      </c>
      <c r="BI63" s="37">
        <f>SUMIFS(Wine1!$I:$I,Wine1!$K:$K,Location!$A63,Wine1!$AA:$AA,Location!BI$1)</f>
        <v>0</v>
      </c>
    </row>
    <row r="64" spans="1:61" s="8" customFormat="1" x14ac:dyDescent="0.25">
      <c r="A64" s="8" t="s">
        <v>1831</v>
      </c>
      <c r="B64" s="37">
        <f>SUMIF(Wine1!K:K,Location!A64,Wine1!I:I)</f>
        <v>6</v>
      </c>
      <c r="C64" s="8">
        <v>6</v>
      </c>
      <c r="D64" s="37">
        <f t="shared" si="2"/>
        <v>0</v>
      </c>
      <c r="E64" s="37" t="s">
        <v>600</v>
      </c>
      <c r="F64" s="8" t="s">
        <v>1533</v>
      </c>
      <c r="G64" s="62"/>
      <c r="H64" s="56">
        <f>COUNTIFS(Wine1!$K:$K,Location!$A64,Wine1!$AF:$AF,Location!H$1)</f>
        <v>0</v>
      </c>
      <c r="I64" s="57">
        <f>COUNTIFS(Wine1!$K:$K,Location!$A64,Wine1!$AF:$AF,Location!I$1)</f>
        <v>0</v>
      </c>
      <c r="J64" s="57">
        <f>COUNTIFS(Wine1!$K:$K,Location!$A64,Wine1!$AF:$AF,Location!J$1)</f>
        <v>6</v>
      </c>
      <c r="K64" s="58">
        <f>COUNTIFS(Wine1!$K:$K,Location!$A64,Wine1!$AF:$AF,Location!K$1)</f>
        <v>0</v>
      </c>
      <c r="L64" s="18">
        <f>IFERROR(AVERAGEIF(Wine1!K:K,Location!A64,Wine1!AA:AA),"Empty")</f>
        <v>2031.8333333333333</v>
      </c>
      <c r="M64" s="37">
        <f>SUMIFS(Wine1!$I:$I,Wine1!$K:$K,Location!$A64,Wine1!$AA:$AA,Location!M$1)</f>
        <v>0</v>
      </c>
      <c r="N64" s="37">
        <f>SUMIFS(Wine1!$I:$I,Wine1!$K:$K,Location!$A64,Wine1!$AA:$AA,Location!N$1)</f>
        <v>1</v>
      </c>
      <c r="O64" s="37">
        <f>SUMIFS(Wine1!$I:$I,Wine1!$K:$K,Location!$A64,Wine1!$AA:$AA,Location!O$1)</f>
        <v>0</v>
      </c>
      <c r="P64" s="37">
        <f>SUMIFS(Wine1!$I:$I,Wine1!$K:$K,Location!$A64,Wine1!$AA:$AA,Location!P$1)</f>
        <v>0</v>
      </c>
      <c r="Q64" s="37">
        <f>SUMIFS(Wine1!$I:$I,Wine1!$K:$K,Location!$A64,Wine1!$AA:$AA,Location!Q$1)</f>
        <v>0</v>
      </c>
      <c r="R64" s="37">
        <f>SUMIFS(Wine1!$I:$I,Wine1!$K:$K,Location!$A64,Wine1!$AA:$AA,Location!R$1)</f>
        <v>0</v>
      </c>
      <c r="S64" s="37">
        <f>SUMIFS(Wine1!$I:$I,Wine1!$K:$K,Location!$A64,Wine1!$AA:$AA,Location!S$1)</f>
        <v>0</v>
      </c>
      <c r="T64" s="37">
        <f>SUMIFS(Wine1!$I:$I,Wine1!$K:$K,Location!$A64,Wine1!$AA:$AA,Location!T$1)</f>
        <v>0</v>
      </c>
      <c r="U64" s="37">
        <f>SUMIFS(Wine1!$I:$I,Wine1!$K:$K,Location!$A64,Wine1!$AA:$AA,Location!U$1)</f>
        <v>1</v>
      </c>
      <c r="V64" s="37">
        <f>SUMIFS(Wine1!$I:$I,Wine1!$K:$K,Location!$A64,Wine1!$AA:$AA,Location!V$1)</f>
        <v>0</v>
      </c>
      <c r="W64" s="37">
        <f>SUMIFS(Wine1!$I:$I,Wine1!$K:$K,Location!$A64,Wine1!$AA:$AA,Location!W$1)</f>
        <v>0</v>
      </c>
      <c r="X64" s="37">
        <f>SUMIFS(Wine1!$I:$I,Wine1!$K:$K,Location!$A64,Wine1!$AA:$AA,Location!X$1)</f>
        <v>1</v>
      </c>
      <c r="Y64" s="37">
        <f>SUMIFS(Wine1!$I:$I,Wine1!$K:$K,Location!$A64,Wine1!$AA:$AA,Location!Y$1)</f>
        <v>0</v>
      </c>
      <c r="Z64" s="37">
        <f>SUMIFS(Wine1!$I:$I,Wine1!$K:$K,Location!$A64,Wine1!$AA:$AA,Location!Z$1)</f>
        <v>0</v>
      </c>
      <c r="AA64" s="37">
        <f>SUMIFS(Wine1!$I:$I,Wine1!$K:$K,Location!$A64,Wine1!$AA:$AA,Location!AA$1)</f>
        <v>1</v>
      </c>
      <c r="AB64" s="37">
        <f>SUMIFS(Wine1!$I:$I,Wine1!$K:$K,Location!$A64,Wine1!$AA:$AA,Location!AB$1)</f>
        <v>0</v>
      </c>
      <c r="AC64" s="37">
        <f>SUMIFS(Wine1!$I:$I,Wine1!$K:$K,Location!$A64,Wine1!$AA:$AA,Location!AC$1)</f>
        <v>0</v>
      </c>
      <c r="AD64" s="37">
        <f>SUMIFS(Wine1!$I:$I,Wine1!$K:$K,Location!$A64,Wine1!$AA:$AA,Location!AD$1)</f>
        <v>1</v>
      </c>
      <c r="AE64" s="37">
        <f>SUMIFS(Wine1!$I:$I,Wine1!$K:$K,Location!$A64,Wine1!$AA:$AA,Location!AE$1)</f>
        <v>0</v>
      </c>
      <c r="AF64" s="37">
        <f>SUMIFS(Wine1!$I:$I,Wine1!$K:$K,Location!$A64,Wine1!$AA:$AA,Location!AF$1)</f>
        <v>0</v>
      </c>
      <c r="AG64" s="37">
        <f>SUMIFS(Wine1!$I:$I,Wine1!$K:$K,Location!$A64,Wine1!$AA:$AA,Location!AG$1)</f>
        <v>1</v>
      </c>
      <c r="AH64" s="37">
        <f>SUMIFS(Wine1!$I:$I,Wine1!$K:$K,Location!$A64,Wine1!$AA:$AA,Location!AH$1)</f>
        <v>0</v>
      </c>
      <c r="AI64" s="37">
        <f>SUMIFS(Wine1!$I:$I,Wine1!$K:$K,Location!$A64,Wine1!$AA:$AA,Location!AI$1)</f>
        <v>0</v>
      </c>
      <c r="AJ64" s="37">
        <f>SUMIFS(Wine1!$I:$I,Wine1!$K:$K,Location!$A64,Wine1!$AA:$AA,Location!AJ$1)</f>
        <v>0</v>
      </c>
      <c r="AK64" s="37">
        <f>SUMIFS(Wine1!$I:$I,Wine1!$K:$K,Location!$A64,Wine1!$AA:$AA,Location!AK$1)</f>
        <v>0</v>
      </c>
      <c r="AL64" s="37">
        <f>SUMIFS(Wine1!$I:$I,Wine1!$K:$K,Location!$A64,Wine1!$AA:$AA,Location!AL$1)</f>
        <v>0</v>
      </c>
      <c r="AM64" s="37">
        <f>SUMIFS(Wine1!$I:$I,Wine1!$K:$K,Location!$A64,Wine1!$AA:$AA,Location!AM$1)</f>
        <v>0</v>
      </c>
      <c r="AN64" s="37">
        <f>SUMIFS(Wine1!$I:$I,Wine1!$K:$K,Location!$A64,Wine1!$AA:$AA,Location!AN$1)</f>
        <v>0</v>
      </c>
      <c r="AO64" s="37">
        <f>SUMIFS(Wine1!$I:$I,Wine1!$K:$K,Location!$A64,Wine1!$AA:$AA,Location!AO$1)</f>
        <v>0</v>
      </c>
      <c r="AP64" s="37">
        <f>SUMIFS(Wine1!$I:$I,Wine1!$K:$K,Location!$A64,Wine1!$AA:$AA,Location!AP$1)</f>
        <v>0</v>
      </c>
      <c r="AQ64" s="37">
        <f>SUMIFS(Wine1!$I:$I,Wine1!$K:$K,Location!$A64,Wine1!$AA:$AA,Location!AQ$1)</f>
        <v>0</v>
      </c>
      <c r="AR64" s="37">
        <f>SUMIFS(Wine1!$I:$I,Wine1!$K:$K,Location!$A64,Wine1!$AA:$AA,Location!AR$1)</f>
        <v>0</v>
      </c>
      <c r="AS64" s="37">
        <f>SUMIFS(Wine1!$I:$I,Wine1!$K:$K,Location!$A64,Wine1!$AA:$AA,Location!AS$1)</f>
        <v>0</v>
      </c>
      <c r="AT64" s="37">
        <f>SUMIFS(Wine1!$I:$I,Wine1!$K:$K,Location!$A64,Wine1!$AA:$AA,Location!AT$1)</f>
        <v>0</v>
      </c>
      <c r="AU64" s="37">
        <f>SUMIFS(Wine1!$I:$I,Wine1!$K:$K,Location!$A64,Wine1!$AA:$AA,Location!AU$1)</f>
        <v>0</v>
      </c>
      <c r="AV64" s="37">
        <f>SUMIFS(Wine1!$I:$I,Wine1!$K:$K,Location!$A64,Wine1!$AA:$AA,Location!AV$1)</f>
        <v>0</v>
      </c>
      <c r="AW64" s="37">
        <f>SUMIFS(Wine1!$I:$I,Wine1!$K:$K,Location!$A64,Wine1!$AA:$AA,Location!AW$1)</f>
        <v>0</v>
      </c>
      <c r="AX64" s="37">
        <f>SUMIFS(Wine1!$I:$I,Wine1!$K:$K,Location!$A64,Wine1!$AA:$AA,Location!AX$1)</f>
        <v>0</v>
      </c>
      <c r="AY64" s="37">
        <f>SUMIFS(Wine1!$I:$I,Wine1!$K:$K,Location!$A64,Wine1!$AA:$AA,Location!AY$1)</f>
        <v>0</v>
      </c>
      <c r="AZ64" s="37">
        <f>SUMIFS(Wine1!$I:$I,Wine1!$K:$K,Location!$A64,Wine1!$AA:$AA,Location!AZ$1)</f>
        <v>0</v>
      </c>
      <c r="BA64" s="37">
        <f>SUMIFS(Wine1!$I:$I,Wine1!$K:$K,Location!$A64,Wine1!$AA:$AA,Location!BA$1)</f>
        <v>0</v>
      </c>
      <c r="BB64" s="37">
        <f>SUMIFS(Wine1!$I:$I,Wine1!$K:$K,Location!$A64,Wine1!$AA:$AA,Location!BB$1)</f>
        <v>0</v>
      </c>
      <c r="BC64" s="37">
        <f>SUMIFS(Wine1!$I:$I,Wine1!$K:$K,Location!$A64,Wine1!$AA:$AA,Location!BC$1)</f>
        <v>0</v>
      </c>
      <c r="BD64" s="37">
        <f>SUMIFS(Wine1!$I:$I,Wine1!$K:$K,Location!$A64,Wine1!$AA:$AA,Location!BD$1)</f>
        <v>0</v>
      </c>
      <c r="BE64" s="37">
        <f>SUMIFS(Wine1!$I:$I,Wine1!$K:$K,Location!$A64,Wine1!$AA:$AA,Location!BE$1)</f>
        <v>0</v>
      </c>
      <c r="BF64" s="37">
        <f>SUMIFS(Wine1!$I:$I,Wine1!$K:$K,Location!$A64,Wine1!$AA:$AA,Location!BF$1)</f>
        <v>0</v>
      </c>
      <c r="BG64" s="37">
        <f>SUMIFS(Wine1!$I:$I,Wine1!$K:$K,Location!$A64,Wine1!$AA:$AA,Location!BG$1)</f>
        <v>0</v>
      </c>
      <c r="BH64" s="37">
        <f>SUMIFS(Wine1!$I:$I,Wine1!$K:$K,Location!$A64,Wine1!$AA:$AA,Location!BH$1)</f>
        <v>0</v>
      </c>
      <c r="BI64" s="37">
        <f>SUMIFS(Wine1!$I:$I,Wine1!$K:$K,Location!$A64,Wine1!$AA:$AA,Location!BI$1)</f>
        <v>0</v>
      </c>
    </row>
    <row r="65" spans="1:61" s="8" customFormat="1" x14ac:dyDescent="0.25">
      <c r="A65" s="8" t="s">
        <v>1845</v>
      </c>
      <c r="B65" s="37">
        <f>SUMIF(Wine1!K:K,Location!A65,Wine1!I:I)</f>
        <v>6</v>
      </c>
      <c r="C65" s="8">
        <v>6</v>
      </c>
      <c r="D65" s="37">
        <f t="shared" si="2"/>
        <v>0</v>
      </c>
      <c r="E65" s="37" t="s">
        <v>600</v>
      </c>
      <c r="F65" s="8" t="s">
        <v>1533</v>
      </c>
      <c r="G65" s="62"/>
      <c r="H65" s="56">
        <f>COUNTIFS(Wine1!$K:$K,Location!$A65,Wine1!$AF:$AF,Location!H$1)</f>
        <v>0</v>
      </c>
      <c r="I65" s="57">
        <f>COUNTIFS(Wine1!$K:$K,Location!$A65,Wine1!$AF:$AF,Location!I$1)</f>
        <v>0</v>
      </c>
      <c r="J65" s="57">
        <f>COUNTIFS(Wine1!$K:$K,Location!$A65,Wine1!$AF:$AF,Location!J$1)</f>
        <v>0</v>
      </c>
      <c r="K65" s="58">
        <f>COUNTIFS(Wine1!$K:$K,Location!$A65,Wine1!$AF:$AF,Location!K$1)</f>
        <v>6</v>
      </c>
      <c r="L65" s="18">
        <f>IFERROR(AVERAGEIF(Wine1!K:K,Location!A65,Wine1!AA:AA),"Empty")</f>
        <v>2036.5</v>
      </c>
      <c r="M65" s="37">
        <f>SUMIFS(Wine1!$I:$I,Wine1!$K:$K,Location!$A65,Wine1!$AA:$AA,Location!M$1)</f>
        <v>0</v>
      </c>
      <c r="N65" s="37">
        <f>SUMIFS(Wine1!$I:$I,Wine1!$K:$K,Location!$A65,Wine1!$AA:$AA,Location!N$1)</f>
        <v>0</v>
      </c>
      <c r="O65" s="37">
        <f>SUMIFS(Wine1!$I:$I,Wine1!$K:$K,Location!$A65,Wine1!$AA:$AA,Location!O$1)</f>
        <v>0</v>
      </c>
      <c r="P65" s="37">
        <f>SUMIFS(Wine1!$I:$I,Wine1!$K:$K,Location!$A65,Wine1!$AA:$AA,Location!P$1)</f>
        <v>0</v>
      </c>
      <c r="Q65" s="37">
        <f>SUMIFS(Wine1!$I:$I,Wine1!$K:$K,Location!$A65,Wine1!$AA:$AA,Location!Q$1)</f>
        <v>0</v>
      </c>
      <c r="R65" s="37">
        <f>SUMIFS(Wine1!$I:$I,Wine1!$K:$K,Location!$A65,Wine1!$AA:$AA,Location!R$1)</f>
        <v>0</v>
      </c>
      <c r="S65" s="37">
        <f>SUMIFS(Wine1!$I:$I,Wine1!$K:$K,Location!$A65,Wine1!$AA:$AA,Location!S$1)</f>
        <v>0</v>
      </c>
      <c r="T65" s="37">
        <f>SUMIFS(Wine1!$I:$I,Wine1!$K:$K,Location!$A65,Wine1!$AA:$AA,Location!T$1)</f>
        <v>1</v>
      </c>
      <c r="U65" s="37">
        <f>SUMIFS(Wine1!$I:$I,Wine1!$K:$K,Location!$A65,Wine1!$AA:$AA,Location!U$1)</f>
        <v>0</v>
      </c>
      <c r="V65" s="37">
        <f>SUMIFS(Wine1!$I:$I,Wine1!$K:$K,Location!$A65,Wine1!$AA:$AA,Location!V$1)</f>
        <v>0</v>
      </c>
      <c r="W65" s="37">
        <f>SUMIFS(Wine1!$I:$I,Wine1!$K:$K,Location!$A65,Wine1!$AA:$AA,Location!W$1)</f>
        <v>0</v>
      </c>
      <c r="X65" s="37">
        <f>SUMIFS(Wine1!$I:$I,Wine1!$K:$K,Location!$A65,Wine1!$AA:$AA,Location!X$1)</f>
        <v>1</v>
      </c>
      <c r="Y65" s="37">
        <f>SUMIFS(Wine1!$I:$I,Wine1!$K:$K,Location!$A65,Wine1!$AA:$AA,Location!Y$1)</f>
        <v>0</v>
      </c>
      <c r="Z65" s="37">
        <f>SUMIFS(Wine1!$I:$I,Wine1!$K:$K,Location!$A65,Wine1!$AA:$AA,Location!Z$1)</f>
        <v>0</v>
      </c>
      <c r="AA65" s="37">
        <f>SUMIFS(Wine1!$I:$I,Wine1!$K:$K,Location!$A65,Wine1!$AA:$AA,Location!AA$1)</f>
        <v>0</v>
      </c>
      <c r="AB65" s="37">
        <f>SUMIFS(Wine1!$I:$I,Wine1!$K:$K,Location!$A65,Wine1!$AA:$AA,Location!AB$1)</f>
        <v>1</v>
      </c>
      <c r="AC65" s="37">
        <f>SUMIFS(Wine1!$I:$I,Wine1!$K:$K,Location!$A65,Wine1!$AA:$AA,Location!AC$1)</f>
        <v>0</v>
      </c>
      <c r="AD65" s="37">
        <f>SUMIFS(Wine1!$I:$I,Wine1!$K:$K,Location!$A65,Wine1!$AA:$AA,Location!AD$1)</f>
        <v>0</v>
      </c>
      <c r="AE65" s="37">
        <f>SUMIFS(Wine1!$I:$I,Wine1!$K:$K,Location!$A65,Wine1!$AA:$AA,Location!AE$1)</f>
        <v>0</v>
      </c>
      <c r="AF65" s="37">
        <f>SUMIFS(Wine1!$I:$I,Wine1!$K:$K,Location!$A65,Wine1!$AA:$AA,Location!AF$1)</f>
        <v>1</v>
      </c>
      <c r="AG65" s="37">
        <f>SUMIFS(Wine1!$I:$I,Wine1!$K:$K,Location!$A65,Wine1!$AA:$AA,Location!AG$1)</f>
        <v>0</v>
      </c>
      <c r="AH65" s="37">
        <f>SUMIFS(Wine1!$I:$I,Wine1!$K:$K,Location!$A65,Wine1!$AA:$AA,Location!AH$1)</f>
        <v>0</v>
      </c>
      <c r="AI65" s="37">
        <f>SUMIFS(Wine1!$I:$I,Wine1!$K:$K,Location!$A65,Wine1!$AA:$AA,Location!AI$1)</f>
        <v>1</v>
      </c>
      <c r="AJ65" s="37">
        <f>SUMIFS(Wine1!$I:$I,Wine1!$K:$K,Location!$A65,Wine1!$AA:$AA,Location!AJ$1)</f>
        <v>0</v>
      </c>
      <c r="AK65" s="37">
        <f>SUMIFS(Wine1!$I:$I,Wine1!$K:$K,Location!$A65,Wine1!$AA:$AA,Location!AK$1)</f>
        <v>0</v>
      </c>
      <c r="AL65" s="37">
        <f>SUMIFS(Wine1!$I:$I,Wine1!$K:$K,Location!$A65,Wine1!$AA:$AA,Location!AL$1)</f>
        <v>1</v>
      </c>
      <c r="AM65" s="37">
        <f>SUMIFS(Wine1!$I:$I,Wine1!$K:$K,Location!$A65,Wine1!$AA:$AA,Location!AM$1)</f>
        <v>0</v>
      </c>
      <c r="AN65" s="37">
        <f>SUMIFS(Wine1!$I:$I,Wine1!$K:$K,Location!$A65,Wine1!$AA:$AA,Location!AN$1)</f>
        <v>0</v>
      </c>
      <c r="AO65" s="37">
        <f>SUMIFS(Wine1!$I:$I,Wine1!$K:$K,Location!$A65,Wine1!$AA:$AA,Location!AO$1)</f>
        <v>0</v>
      </c>
      <c r="AP65" s="37">
        <f>SUMIFS(Wine1!$I:$I,Wine1!$K:$K,Location!$A65,Wine1!$AA:$AA,Location!AP$1)</f>
        <v>0</v>
      </c>
      <c r="AQ65" s="37">
        <f>SUMIFS(Wine1!$I:$I,Wine1!$K:$K,Location!$A65,Wine1!$AA:$AA,Location!AQ$1)</f>
        <v>0</v>
      </c>
      <c r="AR65" s="37">
        <f>SUMIFS(Wine1!$I:$I,Wine1!$K:$K,Location!$A65,Wine1!$AA:$AA,Location!AR$1)</f>
        <v>0</v>
      </c>
      <c r="AS65" s="37">
        <f>SUMIFS(Wine1!$I:$I,Wine1!$K:$K,Location!$A65,Wine1!$AA:$AA,Location!AS$1)</f>
        <v>0</v>
      </c>
      <c r="AT65" s="37">
        <f>SUMIFS(Wine1!$I:$I,Wine1!$K:$K,Location!$A65,Wine1!$AA:$AA,Location!AT$1)</f>
        <v>0</v>
      </c>
      <c r="AU65" s="37">
        <f>SUMIFS(Wine1!$I:$I,Wine1!$K:$K,Location!$A65,Wine1!$AA:$AA,Location!AU$1)</f>
        <v>0</v>
      </c>
      <c r="AV65" s="37">
        <f>SUMIFS(Wine1!$I:$I,Wine1!$K:$K,Location!$A65,Wine1!$AA:$AA,Location!AV$1)</f>
        <v>0</v>
      </c>
      <c r="AW65" s="37">
        <f>SUMIFS(Wine1!$I:$I,Wine1!$K:$K,Location!$A65,Wine1!$AA:$AA,Location!AW$1)</f>
        <v>0</v>
      </c>
      <c r="AX65" s="37">
        <f>SUMIFS(Wine1!$I:$I,Wine1!$K:$K,Location!$A65,Wine1!$AA:$AA,Location!AX$1)</f>
        <v>0</v>
      </c>
      <c r="AY65" s="37">
        <f>SUMIFS(Wine1!$I:$I,Wine1!$K:$K,Location!$A65,Wine1!$AA:$AA,Location!AY$1)</f>
        <v>0</v>
      </c>
      <c r="AZ65" s="37">
        <f>SUMIFS(Wine1!$I:$I,Wine1!$K:$K,Location!$A65,Wine1!$AA:$AA,Location!AZ$1)</f>
        <v>0</v>
      </c>
      <c r="BA65" s="37">
        <f>SUMIFS(Wine1!$I:$I,Wine1!$K:$K,Location!$A65,Wine1!$AA:$AA,Location!BA$1)</f>
        <v>0</v>
      </c>
      <c r="BB65" s="37">
        <f>SUMIFS(Wine1!$I:$I,Wine1!$K:$K,Location!$A65,Wine1!$AA:$AA,Location!BB$1)</f>
        <v>0</v>
      </c>
      <c r="BC65" s="37">
        <f>SUMIFS(Wine1!$I:$I,Wine1!$K:$K,Location!$A65,Wine1!$AA:$AA,Location!BC$1)</f>
        <v>0</v>
      </c>
      <c r="BD65" s="37">
        <f>SUMIFS(Wine1!$I:$I,Wine1!$K:$K,Location!$A65,Wine1!$AA:$AA,Location!BD$1)</f>
        <v>0</v>
      </c>
      <c r="BE65" s="37">
        <f>SUMIFS(Wine1!$I:$I,Wine1!$K:$K,Location!$A65,Wine1!$AA:$AA,Location!BE$1)</f>
        <v>0</v>
      </c>
      <c r="BF65" s="37">
        <f>SUMIFS(Wine1!$I:$I,Wine1!$K:$K,Location!$A65,Wine1!$AA:$AA,Location!BF$1)</f>
        <v>0</v>
      </c>
      <c r="BG65" s="37">
        <f>SUMIFS(Wine1!$I:$I,Wine1!$K:$K,Location!$A65,Wine1!$AA:$AA,Location!BG$1)</f>
        <v>0</v>
      </c>
      <c r="BH65" s="37">
        <f>SUMIFS(Wine1!$I:$I,Wine1!$K:$K,Location!$A65,Wine1!$AA:$AA,Location!BH$1)</f>
        <v>0</v>
      </c>
      <c r="BI65" s="37">
        <f>SUMIFS(Wine1!$I:$I,Wine1!$K:$K,Location!$A65,Wine1!$AA:$AA,Location!BI$1)</f>
        <v>0</v>
      </c>
    </row>
    <row r="66" spans="1:61" s="8" customFormat="1" x14ac:dyDescent="0.25">
      <c r="A66" s="8" t="s">
        <v>1846</v>
      </c>
      <c r="B66" s="37">
        <f>SUMIF(Wine1!K:K,Location!A66,Wine1!I:I)</f>
        <v>6</v>
      </c>
      <c r="C66" s="8">
        <v>6</v>
      </c>
      <c r="D66" s="37">
        <f t="shared" si="2"/>
        <v>0</v>
      </c>
      <c r="E66" s="37" t="s">
        <v>600</v>
      </c>
      <c r="F66" s="8" t="s">
        <v>1533</v>
      </c>
      <c r="G66" s="62"/>
      <c r="H66" s="56">
        <f>COUNTIFS(Wine1!$K:$K,Location!$A66,Wine1!$AF:$AF,Location!H$1)</f>
        <v>0</v>
      </c>
      <c r="I66" s="57">
        <f>COUNTIFS(Wine1!$K:$K,Location!$A66,Wine1!$AF:$AF,Location!I$1)</f>
        <v>0</v>
      </c>
      <c r="J66" s="57">
        <f>COUNTIFS(Wine1!$K:$K,Location!$A66,Wine1!$AF:$AF,Location!J$1)</f>
        <v>6</v>
      </c>
      <c r="K66" s="58">
        <f>COUNTIFS(Wine1!$K:$K,Location!$A66,Wine1!$AF:$AF,Location!K$1)</f>
        <v>0</v>
      </c>
      <c r="L66" s="18">
        <f>IFERROR(AVERAGEIF(Wine1!K:K,Location!A66,Wine1!AA:AA),"Empty")</f>
        <v>2023.3333333333333</v>
      </c>
      <c r="M66" s="37">
        <f>SUMIFS(Wine1!$I:$I,Wine1!$K:$K,Location!$A66,Wine1!$AA:$AA,Location!M$1)</f>
        <v>0</v>
      </c>
      <c r="N66" s="37">
        <f>SUMIFS(Wine1!$I:$I,Wine1!$K:$K,Location!$A66,Wine1!$AA:$AA,Location!N$1)</f>
        <v>0</v>
      </c>
      <c r="O66" s="37">
        <f>SUMIFS(Wine1!$I:$I,Wine1!$K:$K,Location!$A66,Wine1!$AA:$AA,Location!O$1)</f>
        <v>1</v>
      </c>
      <c r="P66" s="37">
        <f>SUMIFS(Wine1!$I:$I,Wine1!$K:$K,Location!$A66,Wine1!$AA:$AA,Location!P$1)</f>
        <v>2</v>
      </c>
      <c r="Q66" s="37">
        <f>SUMIFS(Wine1!$I:$I,Wine1!$K:$K,Location!$A66,Wine1!$AA:$AA,Location!Q$1)</f>
        <v>3</v>
      </c>
      <c r="R66" s="37">
        <f>SUMIFS(Wine1!$I:$I,Wine1!$K:$K,Location!$A66,Wine1!$AA:$AA,Location!R$1)</f>
        <v>0</v>
      </c>
      <c r="S66" s="37">
        <f>SUMIFS(Wine1!$I:$I,Wine1!$K:$K,Location!$A66,Wine1!$AA:$AA,Location!S$1)</f>
        <v>0</v>
      </c>
      <c r="T66" s="37">
        <f>SUMIFS(Wine1!$I:$I,Wine1!$K:$K,Location!$A66,Wine1!$AA:$AA,Location!T$1)</f>
        <v>0</v>
      </c>
      <c r="U66" s="37">
        <f>SUMIFS(Wine1!$I:$I,Wine1!$K:$K,Location!$A66,Wine1!$AA:$AA,Location!U$1)</f>
        <v>0</v>
      </c>
      <c r="V66" s="37">
        <f>SUMIFS(Wine1!$I:$I,Wine1!$K:$K,Location!$A66,Wine1!$AA:$AA,Location!V$1)</f>
        <v>0</v>
      </c>
      <c r="W66" s="37">
        <f>SUMIFS(Wine1!$I:$I,Wine1!$K:$K,Location!$A66,Wine1!$AA:$AA,Location!W$1)</f>
        <v>0</v>
      </c>
      <c r="X66" s="37">
        <f>SUMIFS(Wine1!$I:$I,Wine1!$K:$K,Location!$A66,Wine1!$AA:$AA,Location!X$1)</f>
        <v>0</v>
      </c>
      <c r="Y66" s="37">
        <f>SUMIFS(Wine1!$I:$I,Wine1!$K:$K,Location!$A66,Wine1!$AA:$AA,Location!Y$1)</f>
        <v>0</v>
      </c>
      <c r="Z66" s="37">
        <f>SUMIFS(Wine1!$I:$I,Wine1!$K:$K,Location!$A66,Wine1!$AA:$AA,Location!Z$1)</f>
        <v>0</v>
      </c>
      <c r="AA66" s="37">
        <f>SUMIFS(Wine1!$I:$I,Wine1!$K:$K,Location!$A66,Wine1!$AA:$AA,Location!AA$1)</f>
        <v>0</v>
      </c>
      <c r="AB66" s="37">
        <f>SUMIFS(Wine1!$I:$I,Wine1!$K:$K,Location!$A66,Wine1!$AA:$AA,Location!AB$1)</f>
        <v>0</v>
      </c>
      <c r="AC66" s="37">
        <f>SUMIFS(Wine1!$I:$I,Wine1!$K:$K,Location!$A66,Wine1!$AA:$AA,Location!AC$1)</f>
        <v>0</v>
      </c>
      <c r="AD66" s="37">
        <f>SUMIFS(Wine1!$I:$I,Wine1!$K:$K,Location!$A66,Wine1!$AA:$AA,Location!AD$1)</f>
        <v>0</v>
      </c>
      <c r="AE66" s="37">
        <f>SUMIFS(Wine1!$I:$I,Wine1!$K:$K,Location!$A66,Wine1!$AA:$AA,Location!AE$1)</f>
        <v>0</v>
      </c>
      <c r="AF66" s="37">
        <f>SUMIFS(Wine1!$I:$I,Wine1!$K:$K,Location!$A66,Wine1!$AA:$AA,Location!AF$1)</f>
        <v>0</v>
      </c>
      <c r="AG66" s="37">
        <f>SUMIFS(Wine1!$I:$I,Wine1!$K:$K,Location!$A66,Wine1!$AA:$AA,Location!AG$1)</f>
        <v>0</v>
      </c>
      <c r="AH66" s="37">
        <f>SUMIFS(Wine1!$I:$I,Wine1!$K:$K,Location!$A66,Wine1!$AA:$AA,Location!AH$1)</f>
        <v>0</v>
      </c>
      <c r="AI66" s="37">
        <f>SUMIFS(Wine1!$I:$I,Wine1!$K:$K,Location!$A66,Wine1!$AA:$AA,Location!AI$1)</f>
        <v>0</v>
      </c>
      <c r="AJ66" s="37">
        <f>SUMIFS(Wine1!$I:$I,Wine1!$K:$K,Location!$A66,Wine1!$AA:$AA,Location!AJ$1)</f>
        <v>0</v>
      </c>
      <c r="AK66" s="37">
        <f>SUMIFS(Wine1!$I:$I,Wine1!$K:$K,Location!$A66,Wine1!$AA:$AA,Location!AK$1)</f>
        <v>0</v>
      </c>
      <c r="AL66" s="37">
        <f>SUMIFS(Wine1!$I:$I,Wine1!$K:$K,Location!$A66,Wine1!$AA:$AA,Location!AL$1)</f>
        <v>0</v>
      </c>
      <c r="AM66" s="37">
        <f>SUMIFS(Wine1!$I:$I,Wine1!$K:$K,Location!$A66,Wine1!$AA:$AA,Location!AM$1)</f>
        <v>0</v>
      </c>
      <c r="AN66" s="37">
        <f>SUMIFS(Wine1!$I:$I,Wine1!$K:$K,Location!$A66,Wine1!$AA:$AA,Location!AN$1)</f>
        <v>0</v>
      </c>
      <c r="AO66" s="37">
        <f>SUMIFS(Wine1!$I:$I,Wine1!$K:$K,Location!$A66,Wine1!$AA:$AA,Location!AO$1)</f>
        <v>0</v>
      </c>
      <c r="AP66" s="37">
        <f>SUMIFS(Wine1!$I:$I,Wine1!$K:$K,Location!$A66,Wine1!$AA:$AA,Location!AP$1)</f>
        <v>0</v>
      </c>
      <c r="AQ66" s="37">
        <f>SUMIFS(Wine1!$I:$I,Wine1!$K:$K,Location!$A66,Wine1!$AA:$AA,Location!AQ$1)</f>
        <v>0</v>
      </c>
      <c r="AR66" s="37">
        <f>SUMIFS(Wine1!$I:$I,Wine1!$K:$K,Location!$A66,Wine1!$AA:$AA,Location!AR$1)</f>
        <v>0</v>
      </c>
      <c r="AS66" s="37">
        <f>SUMIFS(Wine1!$I:$I,Wine1!$K:$K,Location!$A66,Wine1!$AA:$AA,Location!AS$1)</f>
        <v>0</v>
      </c>
      <c r="AT66" s="37">
        <f>SUMIFS(Wine1!$I:$I,Wine1!$K:$K,Location!$A66,Wine1!$AA:$AA,Location!AT$1)</f>
        <v>0</v>
      </c>
      <c r="AU66" s="37">
        <f>SUMIFS(Wine1!$I:$I,Wine1!$K:$K,Location!$A66,Wine1!$AA:$AA,Location!AU$1)</f>
        <v>0</v>
      </c>
      <c r="AV66" s="37">
        <f>SUMIFS(Wine1!$I:$I,Wine1!$K:$K,Location!$A66,Wine1!$AA:$AA,Location!AV$1)</f>
        <v>0</v>
      </c>
      <c r="AW66" s="37">
        <f>SUMIFS(Wine1!$I:$I,Wine1!$K:$K,Location!$A66,Wine1!$AA:$AA,Location!AW$1)</f>
        <v>0</v>
      </c>
      <c r="AX66" s="37">
        <f>SUMIFS(Wine1!$I:$I,Wine1!$K:$K,Location!$A66,Wine1!$AA:$AA,Location!AX$1)</f>
        <v>0</v>
      </c>
      <c r="AY66" s="37">
        <f>SUMIFS(Wine1!$I:$I,Wine1!$K:$K,Location!$A66,Wine1!$AA:$AA,Location!AY$1)</f>
        <v>0</v>
      </c>
      <c r="AZ66" s="37">
        <f>SUMIFS(Wine1!$I:$I,Wine1!$K:$K,Location!$A66,Wine1!$AA:$AA,Location!AZ$1)</f>
        <v>0</v>
      </c>
      <c r="BA66" s="37">
        <f>SUMIFS(Wine1!$I:$I,Wine1!$K:$K,Location!$A66,Wine1!$AA:$AA,Location!BA$1)</f>
        <v>0</v>
      </c>
      <c r="BB66" s="37">
        <f>SUMIFS(Wine1!$I:$I,Wine1!$K:$K,Location!$A66,Wine1!$AA:$AA,Location!BB$1)</f>
        <v>0</v>
      </c>
      <c r="BC66" s="37">
        <f>SUMIFS(Wine1!$I:$I,Wine1!$K:$K,Location!$A66,Wine1!$AA:$AA,Location!BC$1)</f>
        <v>0</v>
      </c>
      <c r="BD66" s="37">
        <f>SUMIFS(Wine1!$I:$I,Wine1!$K:$K,Location!$A66,Wine1!$AA:$AA,Location!BD$1)</f>
        <v>0</v>
      </c>
      <c r="BE66" s="37">
        <f>SUMIFS(Wine1!$I:$I,Wine1!$K:$K,Location!$A66,Wine1!$AA:$AA,Location!BE$1)</f>
        <v>0</v>
      </c>
      <c r="BF66" s="37">
        <f>SUMIFS(Wine1!$I:$I,Wine1!$K:$K,Location!$A66,Wine1!$AA:$AA,Location!BF$1)</f>
        <v>0</v>
      </c>
      <c r="BG66" s="37">
        <f>SUMIFS(Wine1!$I:$I,Wine1!$K:$K,Location!$A66,Wine1!$AA:$AA,Location!BG$1)</f>
        <v>0</v>
      </c>
      <c r="BH66" s="37">
        <f>SUMIFS(Wine1!$I:$I,Wine1!$K:$K,Location!$A66,Wine1!$AA:$AA,Location!BH$1)</f>
        <v>0</v>
      </c>
      <c r="BI66" s="37">
        <f>SUMIFS(Wine1!$I:$I,Wine1!$K:$K,Location!$A66,Wine1!$AA:$AA,Location!BI$1)</f>
        <v>0</v>
      </c>
    </row>
    <row r="67" spans="1:61" s="8" customFormat="1" x14ac:dyDescent="0.25">
      <c r="A67" s="8" t="s">
        <v>1847</v>
      </c>
      <c r="B67" s="37">
        <f>SUMIF(Wine1!K:K,Location!A67,Wine1!I:I)</f>
        <v>6</v>
      </c>
      <c r="C67" s="8">
        <v>6</v>
      </c>
      <c r="D67" s="37">
        <f t="shared" si="2"/>
        <v>0</v>
      </c>
      <c r="E67" s="37" t="s">
        <v>600</v>
      </c>
      <c r="F67" s="8" t="s">
        <v>1533</v>
      </c>
      <c r="G67" s="62"/>
      <c r="H67" s="56">
        <f>COUNTIFS(Wine1!$K:$K,Location!$A67,Wine1!$AF:$AF,Location!H$1)</f>
        <v>0</v>
      </c>
      <c r="I67" s="57">
        <f>COUNTIFS(Wine1!$K:$K,Location!$A67,Wine1!$AF:$AF,Location!I$1)</f>
        <v>0</v>
      </c>
      <c r="J67" s="57">
        <f>COUNTIFS(Wine1!$K:$K,Location!$A67,Wine1!$AF:$AF,Location!J$1)</f>
        <v>6</v>
      </c>
      <c r="K67" s="58">
        <f>COUNTIFS(Wine1!$K:$K,Location!$A67,Wine1!$AF:$AF,Location!K$1)</f>
        <v>0</v>
      </c>
      <c r="L67" s="18">
        <f>IFERROR(AVERAGEIF(Wine1!K:K,Location!A67,Wine1!AA:AA),"Empty")</f>
        <v>2025.6666666666667</v>
      </c>
      <c r="M67" s="37">
        <f>SUMIFS(Wine1!$I:$I,Wine1!$K:$K,Location!$A67,Wine1!$AA:$AA,Location!M$1)</f>
        <v>0</v>
      </c>
      <c r="N67" s="37">
        <f>SUMIFS(Wine1!$I:$I,Wine1!$K:$K,Location!$A67,Wine1!$AA:$AA,Location!N$1)</f>
        <v>0</v>
      </c>
      <c r="O67" s="37">
        <f>SUMIFS(Wine1!$I:$I,Wine1!$K:$K,Location!$A67,Wine1!$AA:$AA,Location!O$1)</f>
        <v>0</v>
      </c>
      <c r="P67" s="37">
        <f>SUMIFS(Wine1!$I:$I,Wine1!$K:$K,Location!$A67,Wine1!$AA:$AA,Location!P$1)</f>
        <v>0</v>
      </c>
      <c r="Q67" s="37">
        <f>SUMIFS(Wine1!$I:$I,Wine1!$K:$K,Location!$A67,Wine1!$AA:$AA,Location!Q$1)</f>
        <v>0</v>
      </c>
      <c r="R67" s="37">
        <f>SUMIFS(Wine1!$I:$I,Wine1!$K:$K,Location!$A67,Wine1!$AA:$AA,Location!R$1)</f>
        <v>3</v>
      </c>
      <c r="S67" s="37">
        <f>SUMIFS(Wine1!$I:$I,Wine1!$K:$K,Location!$A67,Wine1!$AA:$AA,Location!S$1)</f>
        <v>2</v>
      </c>
      <c r="T67" s="37">
        <f>SUMIFS(Wine1!$I:$I,Wine1!$K:$K,Location!$A67,Wine1!$AA:$AA,Location!T$1)</f>
        <v>1</v>
      </c>
      <c r="U67" s="37">
        <f>SUMIFS(Wine1!$I:$I,Wine1!$K:$K,Location!$A67,Wine1!$AA:$AA,Location!U$1)</f>
        <v>0</v>
      </c>
      <c r="V67" s="37">
        <f>SUMIFS(Wine1!$I:$I,Wine1!$K:$K,Location!$A67,Wine1!$AA:$AA,Location!V$1)</f>
        <v>0</v>
      </c>
      <c r="W67" s="37">
        <f>SUMIFS(Wine1!$I:$I,Wine1!$K:$K,Location!$A67,Wine1!$AA:$AA,Location!W$1)</f>
        <v>0</v>
      </c>
      <c r="X67" s="37">
        <f>SUMIFS(Wine1!$I:$I,Wine1!$K:$K,Location!$A67,Wine1!$AA:$AA,Location!X$1)</f>
        <v>0</v>
      </c>
      <c r="Y67" s="37">
        <f>SUMIFS(Wine1!$I:$I,Wine1!$K:$K,Location!$A67,Wine1!$AA:$AA,Location!Y$1)</f>
        <v>0</v>
      </c>
      <c r="Z67" s="37">
        <f>SUMIFS(Wine1!$I:$I,Wine1!$K:$K,Location!$A67,Wine1!$AA:$AA,Location!Z$1)</f>
        <v>0</v>
      </c>
      <c r="AA67" s="37">
        <f>SUMIFS(Wine1!$I:$I,Wine1!$K:$K,Location!$A67,Wine1!$AA:$AA,Location!AA$1)</f>
        <v>0</v>
      </c>
      <c r="AB67" s="37">
        <f>SUMIFS(Wine1!$I:$I,Wine1!$K:$K,Location!$A67,Wine1!$AA:$AA,Location!AB$1)</f>
        <v>0</v>
      </c>
      <c r="AC67" s="37">
        <f>SUMIFS(Wine1!$I:$I,Wine1!$K:$K,Location!$A67,Wine1!$AA:$AA,Location!AC$1)</f>
        <v>0</v>
      </c>
      <c r="AD67" s="37">
        <f>SUMIFS(Wine1!$I:$I,Wine1!$K:$K,Location!$A67,Wine1!$AA:$AA,Location!AD$1)</f>
        <v>0</v>
      </c>
      <c r="AE67" s="37">
        <f>SUMIFS(Wine1!$I:$I,Wine1!$K:$K,Location!$A67,Wine1!$AA:$AA,Location!AE$1)</f>
        <v>0</v>
      </c>
      <c r="AF67" s="37">
        <f>SUMIFS(Wine1!$I:$I,Wine1!$K:$K,Location!$A67,Wine1!$AA:$AA,Location!AF$1)</f>
        <v>0</v>
      </c>
      <c r="AG67" s="37">
        <f>SUMIFS(Wine1!$I:$I,Wine1!$K:$K,Location!$A67,Wine1!$AA:$AA,Location!AG$1)</f>
        <v>0</v>
      </c>
      <c r="AH67" s="37">
        <f>SUMIFS(Wine1!$I:$I,Wine1!$K:$K,Location!$A67,Wine1!$AA:$AA,Location!AH$1)</f>
        <v>0</v>
      </c>
      <c r="AI67" s="37">
        <f>SUMIFS(Wine1!$I:$I,Wine1!$K:$K,Location!$A67,Wine1!$AA:$AA,Location!AI$1)</f>
        <v>0</v>
      </c>
      <c r="AJ67" s="37">
        <f>SUMIFS(Wine1!$I:$I,Wine1!$K:$K,Location!$A67,Wine1!$AA:$AA,Location!AJ$1)</f>
        <v>0</v>
      </c>
      <c r="AK67" s="37">
        <f>SUMIFS(Wine1!$I:$I,Wine1!$K:$K,Location!$A67,Wine1!$AA:$AA,Location!AK$1)</f>
        <v>0</v>
      </c>
      <c r="AL67" s="37">
        <f>SUMIFS(Wine1!$I:$I,Wine1!$K:$K,Location!$A67,Wine1!$AA:$AA,Location!AL$1)</f>
        <v>0</v>
      </c>
      <c r="AM67" s="37">
        <f>SUMIFS(Wine1!$I:$I,Wine1!$K:$K,Location!$A67,Wine1!$AA:$AA,Location!AM$1)</f>
        <v>0</v>
      </c>
      <c r="AN67" s="37">
        <f>SUMIFS(Wine1!$I:$I,Wine1!$K:$K,Location!$A67,Wine1!$AA:$AA,Location!AN$1)</f>
        <v>0</v>
      </c>
      <c r="AO67" s="37">
        <f>SUMIFS(Wine1!$I:$I,Wine1!$K:$K,Location!$A67,Wine1!$AA:$AA,Location!AO$1)</f>
        <v>0</v>
      </c>
      <c r="AP67" s="37">
        <f>SUMIFS(Wine1!$I:$I,Wine1!$K:$K,Location!$A67,Wine1!$AA:$AA,Location!AP$1)</f>
        <v>0</v>
      </c>
      <c r="AQ67" s="37">
        <f>SUMIFS(Wine1!$I:$I,Wine1!$K:$K,Location!$A67,Wine1!$AA:$AA,Location!AQ$1)</f>
        <v>0</v>
      </c>
      <c r="AR67" s="37">
        <f>SUMIFS(Wine1!$I:$I,Wine1!$K:$K,Location!$A67,Wine1!$AA:$AA,Location!AR$1)</f>
        <v>0</v>
      </c>
      <c r="AS67" s="37">
        <f>SUMIFS(Wine1!$I:$I,Wine1!$K:$K,Location!$A67,Wine1!$AA:$AA,Location!AS$1)</f>
        <v>0</v>
      </c>
      <c r="AT67" s="37">
        <f>SUMIFS(Wine1!$I:$I,Wine1!$K:$K,Location!$A67,Wine1!$AA:$AA,Location!AT$1)</f>
        <v>0</v>
      </c>
      <c r="AU67" s="37">
        <f>SUMIFS(Wine1!$I:$I,Wine1!$K:$K,Location!$A67,Wine1!$AA:$AA,Location!AU$1)</f>
        <v>0</v>
      </c>
      <c r="AV67" s="37">
        <f>SUMIFS(Wine1!$I:$I,Wine1!$K:$K,Location!$A67,Wine1!$AA:$AA,Location!AV$1)</f>
        <v>0</v>
      </c>
      <c r="AW67" s="37">
        <f>SUMIFS(Wine1!$I:$I,Wine1!$K:$K,Location!$A67,Wine1!$AA:$AA,Location!AW$1)</f>
        <v>0</v>
      </c>
      <c r="AX67" s="37">
        <f>SUMIFS(Wine1!$I:$I,Wine1!$K:$K,Location!$A67,Wine1!$AA:$AA,Location!AX$1)</f>
        <v>0</v>
      </c>
      <c r="AY67" s="37">
        <f>SUMIFS(Wine1!$I:$I,Wine1!$K:$K,Location!$A67,Wine1!$AA:$AA,Location!AY$1)</f>
        <v>0</v>
      </c>
      <c r="AZ67" s="37">
        <f>SUMIFS(Wine1!$I:$I,Wine1!$K:$K,Location!$A67,Wine1!$AA:$AA,Location!AZ$1)</f>
        <v>0</v>
      </c>
      <c r="BA67" s="37">
        <f>SUMIFS(Wine1!$I:$I,Wine1!$K:$K,Location!$A67,Wine1!$AA:$AA,Location!BA$1)</f>
        <v>0</v>
      </c>
      <c r="BB67" s="37">
        <f>SUMIFS(Wine1!$I:$I,Wine1!$K:$K,Location!$A67,Wine1!$AA:$AA,Location!BB$1)</f>
        <v>0</v>
      </c>
      <c r="BC67" s="37">
        <f>SUMIFS(Wine1!$I:$I,Wine1!$K:$K,Location!$A67,Wine1!$AA:$AA,Location!BC$1)</f>
        <v>0</v>
      </c>
      <c r="BD67" s="37">
        <f>SUMIFS(Wine1!$I:$I,Wine1!$K:$K,Location!$A67,Wine1!$AA:$AA,Location!BD$1)</f>
        <v>0</v>
      </c>
      <c r="BE67" s="37">
        <f>SUMIFS(Wine1!$I:$I,Wine1!$K:$K,Location!$A67,Wine1!$AA:$AA,Location!BE$1)</f>
        <v>0</v>
      </c>
      <c r="BF67" s="37">
        <f>SUMIFS(Wine1!$I:$I,Wine1!$K:$K,Location!$A67,Wine1!$AA:$AA,Location!BF$1)</f>
        <v>0</v>
      </c>
      <c r="BG67" s="37">
        <f>SUMIFS(Wine1!$I:$I,Wine1!$K:$K,Location!$A67,Wine1!$AA:$AA,Location!BG$1)</f>
        <v>0</v>
      </c>
      <c r="BH67" s="37">
        <f>SUMIFS(Wine1!$I:$I,Wine1!$K:$K,Location!$A67,Wine1!$AA:$AA,Location!BH$1)</f>
        <v>0</v>
      </c>
      <c r="BI67" s="37">
        <f>SUMIFS(Wine1!$I:$I,Wine1!$K:$K,Location!$A67,Wine1!$AA:$AA,Location!BI$1)</f>
        <v>0</v>
      </c>
    </row>
    <row r="68" spans="1:61" s="8" customFormat="1" x14ac:dyDescent="0.25">
      <c r="A68" s="8" t="s">
        <v>1848</v>
      </c>
      <c r="B68" s="37">
        <f>SUMIF(Wine1!K:K,Location!A68,Wine1!I:I)</f>
        <v>6</v>
      </c>
      <c r="C68" s="8">
        <v>6</v>
      </c>
      <c r="D68" s="37">
        <f t="shared" si="2"/>
        <v>0</v>
      </c>
      <c r="E68" s="37" t="s">
        <v>600</v>
      </c>
      <c r="F68" s="8" t="s">
        <v>1533</v>
      </c>
      <c r="G68" s="62"/>
      <c r="H68" s="56">
        <f>COUNTIFS(Wine1!$K:$K,Location!$A68,Wine1!$AF:$AF,Location!H$1)</f>
        <v>0</v>
      </c>
      <c r="I68" s="57">
        <f>COUNTIFS(Wine1!$K:$K,Location!$A68,Wine1!$AF:$AF,Location!I$1)</f>
        <v>0</v>
      </c>
      <c r="J68" s="57">
        <f>COUNTIFS(Wine1!$K:$K,Location!$A68,Wine1!$AF:$AF,Location!J$1)</f>
        <v>6</v>
      </c>
      <c r="K68" s="58">
        <f>COUNTIFS(Wine1!$K:$K,Location!$A68,Wine1!$AF:$AF,Location!K$1)</f>
        <v>0</v>
      </c>
      <c r="L68" s="18">
        <f>IFERROR(AVERAGEIF(Wine1!K:K,Location!A68,Wine1!AA:AA),"Empty")</f>
        <v>2028.5</v>
      </c>
      <c r="M68" s="37">
        <f>SUMIFS(Wine1!$I:$I,Wine1!$K:$K,Location!$A68,Wine1!$AA:$AA,Location!M$1)</f>
        <v>0</v>
      </c>
      <c r="N68" s="37">
        <f>SUMIFS(Wine1!$I:$I,Wine1!$K:$K,Location!$A68,Wine1!$AA:$AA,Location!N$1)</f>
        <v>0</v>
      </c>
      <c r="O68" s="37">
        <f>SUMIFS(Wine1!$I:$I,Wine1!$K:$K,Location!$A68,Wine1!$AA:$AA,Location!O$1)</f>
        <v>0</v>
      </c>
      <c r="P68" s="37">
        <f>SUMIFS(Wine1!$I:$I,Wine1!$K:$K,Location!$A68,Wine1!$AA:$AA,Location!P$1)</f>
        <v>0</v>
      </c>
      <c r="Q68" s="37">
        <f>SUMIFS(Wine1!$I:$I,Wine1!$K:$K,Location!$A68,Wine1!$AA:$AA,Location!Q$1)</f>
        <v>0</v>
      </c>
      <c r="R68" s="37">
        <f>SUMIFS(Wine1!$I:$I,Wine1!$K:$K,Location!$A68,Wine1!$AA:$AA,Location!R$1)</f>
        <v>0</v>
      </c>
      <c r="S68" s="37">
        <f>SUMIFS(Wine1!$I:$I,Wine1!$K:$K,Location!$A68,Wine1!$AA:$AA,Location!S$1)</f>
        <v>0</v>
      </c>
      <c r="T68" s="37">
        <f>SUMIFS(Wine1!$I:$I,Wine1!$K:$K,Location!$A68,Wine1!$AA:$AA,Location!T$1)</f>
        <v>1</v>
      </c>
      <c r="U68" s="37">
        <f>SUMIFS(Wine1!$I:$I,Wine1!$K:$K,Location!$A68,Wine1!$AA:$AA,Location!U$1)</f>
        <v>2</v>
      </c>
      <c r="V68" s="37">
        <f>SUMIFS(Wine1!$I:$I,Wine1!$K:$K,Location!$A68,Wine1!$AA:$AA,Location!V$1)</f>
        <v>2</v>
      </c>
      <c r="W68" s="37">
        <f>SUMIFS(Wine1!$I:$I,Wine1!$K:$K,Location!$A68,Wine1!$AA:$AA,Location!W$1)</f>
        <v>1</v>
      </c>
      <c r="X68" s="37">
        <f>SUMIFS(Wine1!$I:$I,Wine1!$K:$K,Location!$A68,Wine1!$AA:$AA,Location!X$1)</f>
        <v>0</v>
      </c>
      <c r="Y68" s="37">
        <f>SUMIFS(Wine1!$I:$I,Wine1!$K:$K,Location!$A68,Wine1!$AA:$AA,Location!Y$1)</f>
        <v>0</v>
      </c>
      <c r="Z68" s="37">
        <f>SUMIFS(Wine1!$I:$I,Wine1!$K:$K,Location!$A68,Wine1!$AA:$AA,Location!Z$1)</f>
        <v>0</v>
      </c>
      <c r="AA68" s="37">
        <f>SUMIFS(Wine1!$I:$I,Wine1!$K:$K,Location!$A68,Wine1!$AA:$AA,Location!AA$1)</f>
        <v>0</v>
      </c>
      <c r="AB68" s="37">
        <f>SUMIFS(Wine1!$I:$I,Wine1!$K:$K,Location!$A68,Wine1!$AA:$AA,Location!AB$1)</f>
        <v>0</v>
      </c>
      <c r="AC68" s="37">
        <f>SUMIFS(Wine1!$I:$I,Wine1!$K:$K,Location!$A68,Wine1!$AA:$AA,Location!AC$1)</f>
        <v>0</v>
      </c>
      <c r="AD68" s="37">
        <f>SUMIFS(Wine1!$I:$I,Wine1!$K:$K,Location!$A68,Wine1!$AA:$AA,Location!AD$1)</f>
        <v>0</v>
      </c>
      <c r="AE68" s="37">
        <f>SUMIFS(Wine1!$I:$I,Wine1!$K:$K,Location!$A68,Wine1!$AA:$AA,Location!AE$1)</f>
        <v>0</v>
      </c>
      <c r="AF68" s="37">
        <f>SUMIFS(Wine1!$I:$I,Wine1!$K:$K,Location!$A68,Wine1!$AA:$AA,Location!AF$1)</f>
        <v>0</v>
      </c>
      <c r="AG68" s="37">
        <f>SUMIFS(Wine1!$I:$I,Wine1!$K:$K,Location!$A68,Wine1!$AA:$AA,Location!AG$1)</f>
        <v>0</v>
      </c>
      <c r="AH68" s="37">
        <f>SUMIFS(Wine1!$I:$I,Wine1!$K:$K,Location!$A68,Wine1!$AA:$AA,Location!AH$1)</f>
        <v>0</v>
      </c>
      <c r="AI68" s="37">
        <f>SUMIFS(Wine1!$I:$I,Wine1!$K:$K,Location!$A68,Wine1!$AA:$AA,Location!AI$1)</f>
        <v>0</v>
      </c>
      <c r="AJ68" s="37">
        <f>SUMIFS(Wine1!$I:$I,Wine1!$K:$K,Location!$A68,Wine1!$AA:$AA,Location!AJ$1)</f>
        <v>0</v>
      </c>
      <c r="AK68" s="37">
        <f>SUMIFS(Wine1!$I:$I,Wine1!$K:$K,Location!$A68,Wine1!$AA:$AA,Location!AK$1)</f>
        <v>0</v>
      </c>
      <c r="AL68" s="37">
        <f>SUMIFS(Wine1!$I:$I,Wine1!$K:$K,Location!$A68,Wine1!$AA:$AA,Location!AL$1)</f>
        <v>0</v>
      </c>
      <c r="AM68" s="37">
        <f>SUMIFS(Wine1!$I:$I,Wine1!$K:$K,Location!$A68,Wine1!$AA:$AA,Location!AM$1)</f>
        <v>0</v>
      </c>
      <c r="AN68" s="37">
        <f>SUMIFS(Wine1!$I:$I,Wine1!$K:$K,Location!$A68,Wine1!$AA:$AA,Location!AN$1)</f>
        <v>0</v>
      </c>
      <c r="AO68" s="37">
        <f>SUMIFS(Wine1!$I:$I,Wine1!$K:$K,Location!$A68,Wine1!$AA:$AA,Location!AO$1)</f>
        <v>0</v>
      </c>
      <c r="AP68" s="37">
        <f>SUMIFS(Wine1!$I:$I,Wine1!$K:$K,Location!$A68,Wine1!$AA:$AA,Location!AP$1)</f>
        <v>0</v>
      </c>
      <c r="AQ68" s="37">
        <f>SUMIFS(Wine1!$I:$I,Wine1!$K:$K,Location!$A68,Wine1!$AA:$AA,Location!AQ$1)</f>
        <v>0</v>
      </c>
      <c r="AR68" s="37">
        <f>SUMIFS(Wine1!$I:$I,Wine1!$K:$K,Location!$A68,Wine1!$AA:$AA,Location!AR$1)</f>
        <v>0</v>
      </c>
      <c r="AS68" s="37">
        <f>SUMIFS(Wine1!$I:$I,Wine1!$K:$K,Location!$A68,Wine1!$AA:$AA,Location!AS$1)</f>
        <v>0</v>
      </c>
      <c r="AT68" s="37">
        <f>SUMIFS(Wine1!$I:$I,Wine1!$K:$K,Location!$A68,Wine1!$AA:$AA,Location!AT$1)</f>
        <v>0</v>
      </c>
      <c r="AU68" s="37">
        <f>SUMIFS(Wine1!$I:$I,Wine1!$K:$K,Location!$A68,Wine1!$AA:$AA,Location!AU$1)</f>
        <v>0</v>
      </c>
      <c r="AV68" s="37">
        <f>SUMIFS(Wine1!$I:$I,Wine1!$K:$K,Location!$A68,Wine1!$AA:$AA,Location!AV$1)</f>
        <v>0</v>
      </c>
      <c r="AW68" s="37">
        <f>SUMIFS(Wine1!$I:$I,Wine1!$K:$K,Location!$A68,Wine1!$AA:$AA,Location!AW$1)</f>
        <v>0</v>
      </c>
      <c r="AX68" s="37">
        <f>SUMIFS(Wine1!$I:$I,Wine1!$K:$K,Location!$A68,Wine1!$AA:$AA,Location!AX$1)</f>
        <v>0</v>
      </c>
      <c r="AY68" s="37">
        <f>SUMIFS(Wine1!$I:$I,Wine1!$K:$K,Location!$A68,Wine1!$AA:$AA,Location!AY$1)</f>
        <v>0</v>
      </c>
      <c r="AZ68" s="37">
        <f>SUMIFS(Wine1!$I:$I,Wine1!$K:$K,Location!$A68,Wine1!$AA:$AA,Location!AZ$1)</f>
        <v>0</v>
      </c>
      <c r="BA68" s="37">
        <f>SUMIFS(Wine1!$I:$I,Wine1!$K:$K,Location!$A68,Wine1!$AA:$AA,Location!BA$1)</f>
        <v>0</v>
      </c>
      <c r="BB68" s="37">
        <f>SUMIFS(Wine1!$I:$I,Wine1!$K:$K,Location!$A68,Wine1!$AA:$AA,Location!BB$1)</f>
        <v>0</v>
      </c>
      <c r="BC68" s="37">
        <f>SUMIFS(Wine1!$I:$I,Wine1!$K:$K,Location!$A68,Wine1!$AA:$AA,Location!BC$1)</f>
        <v>0</v>
      </c>
      <c r="BD68" s="37">
        <f>SUMIFS(Wine1!$I:$I,Wine1!$K:$K,Location!$A68,Wine1!$AA:$AA,Location!BD$1)</f>
        <v>0</v>
      </c>
      <c r="BE68" s="37">
        <f>SUMIFS(Wine1!$I:$I,Wine1!$K:$K,Location!$A68,Wine1!$AA:$AA,Location!BE$1)</f>
        <v>0</v>
      </c>
      <c r="BF68" s="37">
        <f>SUMIFS(Wine1!$I:$I,Wine1!$K:$K,Location!$A68,Wine1!$AA:$AA,Location!BF$1)</f>
        <v>0</v>
      </c>
      <c r="BG68" s="37">
        <f>SUMIFS(Wine1!$I:$I,Wine1!$K:$K,Location!$A68,Wine1!$AA:$AA,Location!BG$1)</f>
        <v>0</v>
      </c>
      <c r="BH68" s="37">
        <f>SUMIFS(Wine1!$I:$I,Wine1!$K:$K,Location!$A68,Wine1!$AA:$AA,Location!BH$1)</f>
        <v>0</v>
      </c>
      <c r="BI68" s="37">
        <f>SUMIFS(Wine1!$I:$I,Wine1!$K:$K,Location!$A68,Wine1!$AA:$AA,Location!BI$1)</f>
        <v>0</v>
      </c>
    </row>
    <row r="69" spans="1:61" s="8" customFormat="1" x14ac:dyDescent="0.25">
      <c r="A69" s="8" t="s">
        <v>1849</v>
      </c>
      <c r="B69" s="37">
        <f>SUMIF(Wine1!K:K,Location!A69,Wine1!I:I)</f>
        <v>6</v>
      </c>
      <c r="C69" s="8">
        <v>6</v>
      </c>
      <c r="D69" s="37">
        <f t="shared" si="2"/>
        <v>0</v>
      </c>
      <c r="E69" s="37" t="s">
        <v>600</v>
      </c>
      <c r="F69" s="8" t="s">
        <v>1533</v>
      </c>
      <c r="G69" s="62"/>
      <c r="H69" s="56">
        <f>COUNTIFS(Wine1!$K:$K,Location!$A69,Wine1!$AF:$AF,Location!H$1)</f>
        <v>0</v>
      </c>
      <c r="I69" s="57">
        <f>COUNTIFS(Wine1!$K:$K,Location!$A69,Wine1!$AF:$AF,Location!I$1)</f>
        <v>0</v>
      </c>
      <c r="J69" s="57">
        <f>COUNTIFS(Wine1!$K:$K,Location!$A69,Wine1!$AF:$AF,Location!J$1)</f>
        <v>6</v>
      </c>
      <c r="K69" s="58">
        <f>COUNTIFS(Wine1!$K:$K,Location!$A69,Wine1!$AF:$AF,Location!K$1)</f>
        <v>0</v>
      </c>
      <c r="L69" s="18">
        <f>IFERROR(AVERAGEIF(Wine1!K:K,Location!A69,Wine1!AA:AA),"Empty")</f>
        <v>2032.3333333333333</v>
      </c>
      <c r="M69" s="37">
        <f>SUMIFS(Wine1!$I:$I,Wine1!$K:$K,Location!$A69,Wine1!$AA:$AA,Location!M$1)</f>
        <v>0</v>
      </c>
      <c r="N69" s="37">
        <f>SUMIFS(Wine1!$I:$I,Wine1!$K:$K,Location!$A69,Wine1!$AA:$AA,Location!N$1)</f>
        <v>0</v>
      </c>
      <c r="O69" s="37">
        <f>SUMIFS(Wine1!$I:$I,Wine1!$K:$K,Location!$A69,Wine1!$AA:$AA,Location!O$1)</f>
        <v>0</v>
      </c>
      <c r="P69" s="37">
        <f>SUMIFS(Wine1!$I:$I,Wine1!$K:$K,Location!$A69,Wine1!$AA:$AA,Location!P$1)</f>
        <v>0</v>
      </c>
      <c r="Q69" s="37">
        <f>SUMIFS(Wine1!$I:$I,Wine1!$K:$K,Location!$A69,Wine1!$AA:$AA,Location!Q$1)</f>
        <v>0</v>
      </c>
      <c r="R69" s="37">
        <f>SUMIFS(Wine1!$I:$I,Wine1!$K:$K,Location!$A69,Wine1!$AA:$AA,Location!R$1)</f>
        <v>0</v>
      </c>
      <c r="S69" s="37">
        <f>SUMIFS(Wine1!$I:$I,Wine1!$K:$K,Location!$A69,Wine1!$AA:$AA,Location!S$1)</f>
        <v>0</v>
      </c>
      <c r="T69" s="37">
        <f>SUMIFS(Wine1!$I:$I,Wine1!$K:$K,Location!$A69,Wine1!$AA:$AA,Location!T$1)</f>
        <v>0</v>
      </c>
      <c r="U69" s="37">
        <f>SUMIFS(Wine1!$I:$I,Wine1!$K:$K,Location!$A69,Wine1!$AA:$AA,Location!U$1)</f>
        <v>0</v>
      </c>
      <c r="V69" s="37">
        <f>SUMIFS(Wine1!$I:$I,Wine1!$K:$K,Location!$A69,Wine1!$AA:$AA,Location!V$1)</f>
        <v>0</v>
      </c>
      <c r="W69" s="37">
        <f>SUMIFS(Wine1!$I:$I,Wine1!$K:$K,Location!$A69,Wine1!$AA:$AA,Location!W$1)</f>
        <v>0</v>
      </c>
      <c r="X69" s="37">
        <f>SUMIFS(Wine1!$I:$I,Wine1!$K:$K,Location!$A69,Wine1!$AA:$AA,Location!X$1)</f>
        <v>2</v>
      </c>
      <c r="Y69" s="37">
        <f>SUMIFS(Wine1!$I:$I,Wine1!$K:$K,Location!$A69,Wine1!$AA:$AA,Location!Y$1)</f>
        <v>1</v>
      </c>
      <c r="Z69" s="37">
        <f>SUMIFS(Wine1!$I:$I,Wine1!$K:$K,Location!$A69,Wine1!$AA:$AA,Location!Z$1)</f>
        <v>2</v>
      </c>
      <c r="AA69" s="37">
        <f>SUMIFS(Wine1!$I:$I,Wine1!$K:$K,Location!$A69,Wine1!$AA:$AA,Location!AA$1)</f>
        <v>1</v>
      </c>
      <c r="AB69" s="37">
        <f>SUMIFS(Wine1!$I:$I,Wine1!$K:$K,Location!$A69,Wine1!$AA:$AA,Location!AB$1)</f>
        <v>0</v>
      </c>
      <c r="AC69" s="37">
        <f>SUMIFS(Wine1!$I:$I,Wine1!$K:$K,Location!$A69,Wine1!$AA:$AA,Location!AC$1)</f>
        <v>0</v>
      </c>
      <c r="AD69" s="37">
        <f>SUMIFS(Wine1!$I:$I,Wine1!$K:$K,Location!$A69,Wine1!$AA:$AA,Location!AD$1)</f>
        <v>0</v>
      </c>
      <c r="AE69" s="37">
        <f>SUMIFS(Wine1!$I:$I,Wine1!$K:$K,Location!$A69,Wine1!$AA:$AA,Location!AE$1)</f>
        <v>0</v>
      </c>
      <c r="AF69" s="37">
        <f>SUMIFS(Wine1!$I:$I,Wine1!$K:$K,Location!$A69,Wine1!$AA:$AA,Location!AF$1)</f>
        <v>0</v>
      </c>
      <c r="AG69" s="37">
        <f>SUMIFS(Wine1!$I:$I,Wine1!$K:$K,Location!$A69,Wine1!$AA:$AA,Location!AG$1)</f>
        <v>0</v>
      </c>
      <c r="AH69" s="37">
        <f>SUMIFS(Wine1!$I:$I,Wine1!$K:$K,Location!$A69,Wine1!$AA:$AA,Location!AH$1)</f>
        <v>0</v>
      </c>
      <c r="AI69" s="37">
        <f>SUMIFS(Wine1!$I:$I,Wine1!$K:$K,Location!$A69,Wine1!$AA:$AA,Location!AI$1)</f>
        <v>0</v>
      </c>
      <c r="AJ69" s="37">
        <f>SUMIFS(Wine1!$I:$I,Wine1!$K:$K,Location!$A69,Wine1!$AA:$AA,Location!AJ$1)</f>
        <v>0</v>
      </c>
      <c r="AK69" s="37">
        <f>SUMIFS(Wine1!$I:$I,Wine1!$K:$K,Location!$A69,Wine1!$AA:$AA,Location!AK$1)</f>
        <v>0</v>
      </c>
      <c r="AL69" s="37">
        <f>SUMIFS(Wine1!$I:$I,Wine1!$K:$K,Location!$A69,Wine1!$AA:$AA,Location!AL$1)</f>
        <v>0</v>
      </c>
      <c r="AM69" s="37">
        <f>SUMIFS(Wine1!$I:$I,Wine1!$K:$K,Location!$A69,Wine1!$AA:$AA,Location!AM$1)</f>
        <v>0</v>
      </c>
      <c r="AN69" s="37">
        <f>SUMIFS(Wine1!$I:$I,Wine1!$K:$K,Location!$A69,Wine1!$AA:$AA,Location!AN$1)</f>
        <v>0</v>
      </c>
      <c r="AO69" s="37">
        <f>SUMIFS(Wine1!$I:$I,Wine1!$K:$K,Location!$A69,Wine1!$AA:$AA,Location!AO$1)</f>
        <v>0</v>
      </c>
      <c r="AP69" s="37">
        <f>SUMIFS(Wine1!$I:$I,Wine1!$K:$K,Location!$A69,Wine1!$AA:$AA,Location!AP$1)</f>
        <v>0</v>
      </c>
      <c r="AQ69" s="37">
        <f>SUMIFS(Wine1!$I:$I,Wine1!$K:$K,Location!$A69,Wine1!$AA:$AA,Location!AQ$1)</f>
        <v>0</v>
      </c>
      <c r="AR69" s="37">
        <f>SUMIFS(Wine1!$I:$I,Wine1!$K:$K,Location!$A69,Wine1!$AA:$AA,Location!AR$1)</f>
        <v>0</v>
      </c>
      <c r="AS69" s="37">
        <f>SUMIFS(Wine1!$I:$I,Wine1!$K:$K,Location!$A69,Wine1!$AA:$AA,Location!AS$1)</f>
        <v>0</v>
      </c>
      <c r="AT69" s="37">
        <f>SUMIFS(Wine1!$I:$I,Wine1!$K:$K,Location!$A69,Wine1!$AA:$AA,Location!AT$1)</f>
        <v>0</v>
      </c>
      <c r="AU69" s="37">
        <f>SUMIFS(Wine1!$I:$I,Wine1!$K:$K,Location!$A69,Wine1!$AA:$AA,Location!AU$1)</f>
        <v>0</v>
      </c>
      <c r="AV69" s="37">
        <f>SUMIFS(Wine1!$I:$I,Wine1!$K:$K,Location!$A69,Wine1!$AA:$AA,Location!AV$1)</f>
        <v>0</v>
      </c>
      <c r="AW69" s="37">
        <f>SUMIFS(Wine1!$I:$I,Wine1!$K:$K,Location!$A69,Wine1!$AA:$AA,Location!AW$1)</f>
        <v>0</v>
      </c>
      <c r="AX69" s="37">
        <f>SUMIFS(Wine1!$I:$I,Wine1!$K:$K,Location!$A69,Wine1!$AA:$AA,Location!AX$1)</f>
        <v>0</v>
      </c>
      <c r="AY69" s="37">
        <f>SUMIFS(Wine1!$I:$I,Wine1!$K:$K,Location!$A69,Wine1!$AA:$AA,Location!AY$1)</f>
        <v>0</v>
      </c>
      <c r="AZ69" s="37">
        <f>SUMIFS(Wine1!$I:$I,Wine1!$K:$K,Location!$A69,Wine1!$AA:$AA,Location!AZ$1)</f>
        <v>0</v>
      </c>
      <c r="BA69" s="37">
        <f>SUMIFS(Wine1!$I:$I,Wine1!$K:$K,Location!$A69,Wine1!$AA:$AA,Location!BA$1)</f>
        <v>0</v>
      </c>
      <c r="BB69" s="37">
        <f>SUMIFS(Wine1!$I:$I,Wine1!$K:$K,Location!$A69,Wine1!$AA:$AA,Location!BB$1)</f>
        <v>0</v>
      </c>
      <c r="BC69" s="37">
        <f>SUMIFS(Wine1!$I:$I,Wine1!$K:$K,Location!$A69,Wine1!$AA:$AA,Location!BC$1)</f>
        <v>0</v>
      </c>
      <c r="BD69" s="37">
        <f>SUMIFS(Wine1!$I:$I,Wine1!$K:$K,Location!$A69,Wine1!$AA:$AA,Location!BD$1)</f>
        <v>0</v>
      </c>
      <c r="BE69" s="37">
        <f>SUMIFS(Wine1!$I:$I,Wine1!$K:$K,Location!$A69,Wine1!$AA:$AA,Location!BE$1)</f>
        <v>0</v>
      </c>
      <c r="BF69" s="37">
        <f>SUMIFS(Wine1!$I:$I,Wine1!$K:$K,Location!$A69,Wine1!$AA:$AA,Location!BF$1)</f>
        <v>0</v>
      </c>
      <c r="BG69" s="37">
        <f>SUMIFS(Wine1!$I:$I,Wine1!$K:$K,Location!$A69,Wine1!$AA:$AA,Location!BG$1)</f>
        <v>0</v>
      </c>
      <c r="BH69" s="37">
        <f>SUMIFS(Wine1!$I:$I,Wine1!$K:$K,Location!$A69,Wine1!$AA:$AA,Location!BH$1)</f>
        <v>0</v>
      </c>
      <c r="BI69" s="37">
        <f>SUMIFS(Wine1!$I:$I,Wine1!$K:$K,Location!$A69,Wine1!$AA:$AA,Location!BI$1)</f>
        <v>0</v>
      </c>
    </row>
    <row r="70" spans="1:61" s="8" customFormat="1" x14ac:dyDescent="0.25">
      <c r="A70" s="8" t="s">
        <v>1850</v>
      </c>
      <c r="B70" s="37">
        <f>SUMIF(Wine1!K:K,Location!A70,Wine1!I:I)</f>
        <v>12</v>
      </c>
      <c r="C70" s="8">
        <v>12</v>
      </c>
      <c r="D70" s="37">
        <f t="shared" si="2"/>
        <v>0</v>
      </c>
      <c r="E70" s="37" t="s">
        <v>600</v>
      </c>
      <c r="F70" s="8" t="s">
        <v>1533</v>
      </c>
      <c r="G70" s="62"/>
      <c r="H70" s="56">
        <f>COUNTIFS(Wine1!$K:$K,Location!$A70,Wine1!$AF:$AF,Location!H$1)</f>
        <v>0</v>
      </c>
      <c r="I70" s="57">
        <f>COUNTIFS(Wine1!$K:$K,Location!$A70,Wine1!$AF:$AF,Location!I$1)</f>
        <v>0</v>
      </c>
      <c r="J70" s="57">
        <f>COUNTIFS(Wine1!$K:$K,Location!$A70,Wine1!$AF:$AF,Location!J$1)</f>
        <v>12</v>
      </c>
      <c r="K70" s="58">
        <f>COUNTIFS(Wine1!$K:$K,Location!$A70,Wine1!$AF:$AF,Location!K$1)</f>
        <v>0</v>
      </c>
      <c r="L70" s="18">
        <f>IFERROR(AVERAGEIF(Wine1!K:K,Location!A70,Wine1!AA:AA),"Empty")</f>
        <v>2029.3333333333333</v>
      </c>
      <c r="M70" s="37">
        <f>SUMIFS(Wine1!$I:$I,Wine1!$K:$K,Location!$A70,Wine1!$AA:$AA,Location!M$1)</f>
        <v>0</v>
      </c>
      <c r="N70" s="37">
        <f>SUMIFS(Wine1!$I:$I,Wine1!$K:$K,Location!$A70,Wine1!$AA:$AA,Location!N$1)</f>
        <v>0</v>
      </c>
      <c r="O70" s="37">
        <f>SUMIFS(Wine1!$I:$I,Wine1!$K:$K,Location!$A70,Wine1!$AA:$AA,Location!O$1)</f>
        <v>1</v>
      </c>
      <c r="P70" s="37">
        <f>SUMIFS(Wine1!$I:$I,Wine1!$K:$K,Location!$A70,Wine1!$AA:$AA,Location!P$1)</f>
        <v>1</v>
      </c>
      <c r="Q70" s="37">
        <f>SUMIFS(Wine1!$I:$I,Wine1!$K:$K,Location!$A70,Wine1!$AA:$AA,Location!Q$1)</f>
        <v>0</v>
      </c>
      <c r="R70" s="37">
        <f>SUMIFS(Wine1!$I:$I,Wine1!$K:$K,Location!$A70,Wine1!$AA:$AA,Location!R$1)</f>
        <v>1</v>
      </c>
      <c r="S70" s="37">
        <f>SUMIFS(Wine1!$I:$I,Wine1!$K:$K,Location!$A70,Wine1!$AA:$AA,Location!S$1)</f>
        <v>0</v>
      </c>
      <c r="T70" s="37">
        <f>SUMIFS(Wine1!$I:$I,Wine1!$K:$K,Location!$A70,Wine1!$AA:$AA,Location!T$1)</f>
        <v>0</v>
      </c>
      <c r="U70" s="37">
        <f>SUMIFS(Wine1!$I:$I,Wine1!$K:$K,Location!$A70,Wine1!$AA:$AA,Location!U$1)</f>
        <v>0</v>
      </c>
      <c r="V70" s="37">
        <f>SUMIFS(Wine1!$I:$I,Wine1!$K:$K,Location!$A70,Wine1!$AA:$AA,Location!V$1)</f>
        <v>1</v>
      </c>
      <c r="W70" s="37">
        <f>SUMIFS(Wine1!$I:$I,Wine1!$K:$K,Location!$A70,Wine1!$AA:$AA,Location!W$1)</f>
        <v>2</v>
      </c>
      <c r="X70" s="37">
        <f>SUMIFS(Wine1!$I:$I,Wine1!$K:$K,Location!$A70,Wine1!$AA:$AA,Location!X$1)</f>
        <v>2</v>
      </c>
      <c r="Y70" s="37">
        <f>SUMIFS(Wine1!$I:$I,Wine1!$K:$K,Location!$A70,Wine1!$AA:$AA,Location!Y$1)</f>
        <v>1</v>
      </c>
      <c r="Z70" s="37">
        <f>SUMIFS(Wine1!$I:$I,Wine1!$K:$K,Location!$A70,Wine1!$AA:$AA,Location!Z$1)</f>
        <v>3</v>
      </c>
      <c r="AA70" s="37">
        <f>SUMIFS(Wine1!$I:$I,Wine1!$K:$K,Location!$A70,Wine1!$AA:$AA,Location!AA$1)</f>
        <v>0</v>
      </c>
      <c r="AB70" s="37">
        <f>SUMIFS(Wine1!$I:$I,Wine1!$K:$K,Location!$A70,Wine1!$AA:$AA,Location!AB$1)</f>
        <v>0</v>
      </c>
      <c r="AC70" s="37">
        <f>SUMIFS(Wine1!$I:$I,Wine1!$K:$K,Location!$A70,Wine1!$AA:$AA,Location!AC$1)</f>
        <v>0</v>
      </c>
      <c r="AD70" s="37">
        <f>SUMIFS(Wine1!$I:$I,Wine1!$K:$K,Location!$A70,Wine1!$AA:$AA,Location!AD$1)</f>
        <v>0</v>
      </c>
      <c r="AE70" s="37">
        <f>SUMIFS(Wine1!$I:$I,Wine1!$K:$K,Location!$A70,Wine1!$AA:$AA,Location!AE$1)</f>
        <v>0</v>
      </c>
      <c r="AF70" s="37">
        <f>SUMIFS(Wine1!$I:$I,Wine1!$K:$K,Location!$A70,Wine1!$AA:$AA,Location!AF$1)</f>
        <v>0</v>
      </c>
      <c r="AG70" s="37">
        <f>SUMIFS(Wine1!$I:$I,Wine1!$K:$K,Location!$A70,Wine1!$AA:$AA,Location!AG$1)</f>
        <v>0</v>
      </c>
      <c r="AH70" s="37">
        <f>SUMIFS(Wine1!$I:$I,Wine1!$K:$K,Location!$A70,Wine1!$AA:$AA,Location!AH$1)</f>
        <v>0</v>
      </c>
      <c r="AI70" s="37">
        <f>SUMIFS(Wine1!$I:$I,Wine1!$K:$K,Location!$A70,Wine1!$AA:$AA,Location!AI$1)</f>
        <v>0</v>
      </c>
      <c r="AJ70" s="37">
        <f>SUMIFS(Wine1!$I:$I,Wine1!$K:$K,Location!$A70,Wine1!$AA:$AA,Location!AJ$1)</f>
        <v>0</v>
      </c>
      <c r="AK70" s="37">
        <f>SUMIFS(Wine1!$I:$I,Wine1!$K:$K,Location!$A70,Wine1!$AA:$AA,Location!AK$1)</f>
        <v>0</v>
      </c>
      <c r="AL70" s="37">
        <f>SUMIFS(Wine1!$I:$I,Wine1!$K:$K,Location!$A70,Wine1!$AA:$AA,Location!AL$1)</f>
        <v>0</v>
      </c>
      <c r="AM70" s="37">
        <f>SUMIFS(Wine1!$I:$I,Wine1!$K:$K,Location!$A70,Wine1!$AA:$AA,Location!AM$1)</f>
        <v>0</v>
      </c>
      <c r="AN70" s="37">
        <f>SUMIFS(Wine1!$I:$I,Wine1!$K:$K,Location!$A70,Wine1!$AA:$AA,Location!AN$1)</f>
        <v>0</v>
      </c>
      <c r="AO70" s="37">
        <f>SUMIFS(Wine1!$I:$I,Wine1!$K:$K,Location!$A70,Wine1!$AA:$AA,Location!AO$1)</f>
        <v>0</v>
      </c>
      <c r="AP70" s="37">
        <f>SUMIFS(Wine1!$I:$I,Wine1!$K:$K,Location!$A70,Wine1!$AA:$AA,Location!AP$1)</f>
        <v>0</v>
      </c>
      <c r="AQ70" s="37">
        <f>SUMIFS(Wine1!$I:$I,Wine1!$K:$K,Location!$A70,Wine1!$AA:$AA,Location!AQ$1)</f>
        <v>0</v>
      </c>
      <c r="AR70" s="37">
        <f>SUMIFS(Wine1!$I:$I,Wine1!$K:$K,Location!$A70,Wine1!$AA:$AA,Location!AR$1)</f>
        <v>0</v>
      </c>
      <c r="AS70" s="37">
        <f>SUMIFS(Wine1!$I:$I,Wine1!$K:$K,Location!$A70,Wine1!$AA:$AA,Location!AS$1)</f>
        <v>0</v>
      </c>
      <c r="AT70" s="37">
        <f>SUMIFS(Wine1!$I:$I,Wine1!$K:$K,Location!$A70,Wine1!$AA:$AA,Location!AT$1)</f>
        <v>0</v>
      </c>
      <c r="AU70" s="37">
        <f>SUMIFS(Wine1!$I:$I,Wine1!$K:$K,Location!$A70,Wine1!$AA:$AA,Location!AU$1)</f>
        <v>0</v>
      </c>
      <c r="AV70" s="37">
        <f>SUMIFS(Wine1!$I:$I,Wine1!$K:$K,Location!$A70,Wine1!$AA:$AA,Location!AV$1)</f>
        <v>0</v>
      </c>
      <c r="AW70" s="37">
        <f>SUMIFS(Wine1!$I:$I,Wine1!$K:$K,Location!$A70,Wine1!$AA:$AA,Location!AW$1)</f>
        <v>0</v>
      </c>
      <c r="AX70" s="37">
        <f>SUMIFS(Wine1!$I:$I,Wine1!$K:$K,Location!$A70,Wine1!$AA:$AA,Location!AX$1)</f>
        <v>0</v>
      </c>
      <c r="AY70" s="37">
        <f>SUMIFS(Wine1!$I:$I,Wine1!$K:$K,Location!$A70,Wine1!$AA:$AA,Location!AY$1)</f>
        <v>0</v>
      </c>
      <c r="AZ70" s="37">
        <f>SUMIFS(Wine1!$I:$I,Wine1!$K:$K,Location!$A70,Wine1!$AA:$AA,Location!AZ$1)</f>
        <v>0</v>
      </c>
      <c r="BA70" s="37">
        <f>SUMIFS(Wine1!$I:$I,Wine1!$K:$K,Location!$A70,Wine1!$AA:$AA,Location!BA$1)</f>
        <v>0</v>
      </c>
      <c r="BB70" s="37">
        <f>SUMIFS(Wine1!$I:$I,Wine1!$K:$K,Location!$A70,Wine1!$AA:$AA,Location!BB$1)</f>
        <v>0</v>
      </c>
      <c r="BC70" s="37">
        <f>SUMIFS(Wine1!$I:$I,Wine1!$K:$K,Location!$A70,Wine1!$AA:$AA,Location!BC$1)</f>
        <v>0</v>
      </c>
      <c r="BD70" s="37">
        <f>SUMIFS(Wine1!$I:$I,Wine1!$K:$K,Location!$A70,Wine1!$AA:$AA,Location!BD$1)</f>
        <v>0</v>
      </c>
      <c r="BE70" s="37">
        <f>SUMIFS(Wine1!$I:$I,Wine1!$K:$K,Location!$A70,Wine1!$AA:$AA,Location!BE$1)</f>
        <v>0</v>
      </c>
      <c r="BF70" s="37">
        <f>SUMIFS(Wine1!$I:$I,Wine1!$K:$K,Location!$A70,Wine1!$AA:$AA,Location!BF$1)</f>
        <v>0</v>
      </c>
      <c r="BG70" s="37">
        <f>SUMIFS(Wine1!$I:$I,Wine1!$K:$K,Location!$A70,Wine1!$AA:$AA,Location!BG$1)</f>
        <v>0</v>
      </c>
      <c r="BH70" s="37">
        <f>SUMIFS(Wine1!$I:$I,Wine1!$K:$K,Location!$A70,Wine1!$AA:$AA,Location!BH$1)</f>
        <v>0</v>
      </c>
      <c r="BI70" s="37">
        <f>SUMIFS(Wine1!$I:$I,Wine1!$K:$K,Location!$A70,Wine1!$AA:$AA,Location!BI$1)</f>
        <v>0</v>
      </c>
    </row>
    <row r="71" spans="1:61" s="8" customFormat="1" x14ac:dyDescent="0.25">
      <c r="A71" s="8" t="s">
        <v>1851</v>
      </c>
      <c r="B71" s="37">
        <f>SUMIF(Wine1!K:K,Location!A71,Wine1!I:I)</f>
        <v>12</v>
      </c>
      <c r="C71" s="8">
        <v>12</v>
      </c>
      <c r="D71" s="37">
        <f t="shared" si="2"/>
        <v>0</v>
      </c>
      <c r="E71" s="37" t="s">
        <v>600</v>
      </c>
      <c r="F71" s="8" t="s">
        <v>1533</v>
      </c>
      <c r="G71" s="62"/>
      <c r="H71" s="56">
        <f>COUNTIFS(Wine1!$K:$K,Location!$A71,Wine1!$AF:$AF,Location!H$1)</f>
        <v>0</v>
      </c>
      <c r="I71" s="57">
        <f>COUNTIFS(Wine1!$K:$K,Location!$A71,Wine1!$AF:$AF,Location!I$1)</f>
        <v>0</v>
      </c>
      <c r="J71" s="57">
        <f>COUNTIFS(Wine1!$K:$K,Location!$A71,Wine1!$AF:$AF,Location!J$1)</f>
        <v>12</v>
      </c>
      <c r="K71" s="58">
        <f>COUNTIFS(Wine1!$K:$K,Location!$A71,Wine1!$AF:$AF,Location!K$1)</f>
        <v>0</v>
      </c>
      <c r="L71" s="18">
        <f>IFERROR(AVERAGEIF(Wine1!K:K,Location!A71,Wine1!AA:AA),"Empty")</f>
        <v>2036.6666666666667</v>
      </c>
      <c r="M71" s="37">
        <f>SUMIFS(Wine1!$I:$I,Wine1!$K:$K,Location!$A71,Wine1!$AA:$AA,Location!M$1)</f>
        <v>0</v>
      </c>
      <c r="N71" s="37">
        <f>SUMIFS(Wine1!$I:$I,Wine1!$K:$K,Location!$A71,Wine1!$AA:$AA,Location!N$1)</f>
        <v>0</v>
      </c>
      <c r="O71" s="37">
        <f>SUMIFS(Wine1!$I:$I,Wine1!$K:$K,Location!$A71,Wine1!$AA:$AA,Location!O$1)</f>
        <v>0</v>
      </c>
      <c r="P71" s="37">
        <f>SUMIFS(Wine1!$I:$I,Wine1!$K:$K,Location!$A71,Wine1!$AA:$AA,Location!P$1)</f>
        <v>0</v>
      </c>
      <c r="Q71" s="37">
        <f>SUMIFS(Wine1!$I:$I,Wine1!$K:$K,Location!$A71,Wine1!$AA:$AA,Location!Q$1)</f>
        <v>0</v>
      </c>
      <c r="R71" s="37">
        <f>SUMIFS(Wine1!$I:$I,Wine1!$K:$K,Location!$A71,Wine1!$AA:$AA,Location!R$1)</f>
        <v>0</v>
      </c>
      <c r="S71" s="37">
        <f>SUMIFS(Wine1!$I:$I,Wine1!$K:$K,Location!$A71,Wine1!$AA:$AA,Location!S$1)</f>
        <v>0</v>
      </c>
      <c r="T71" s="37">
        <f>SUMIFS(Wine1!$I:$I,Wine1!$K:$K,Location!$A71,Wine1!$AA:$AA,Location!T$1)</f>
        <v>0</v>
      </c>
      <c r="U71" s="37">
        <f>SUMIFS(Wine1!$I:$I,Wine1!$K:$K,Location!$A71,Wine1!$AA:$AA,Location!U$1)</f>
        <v>0</v>
      </c>
      <c r="V71" s="37">
        <f>SUMIFS(Wine1!$I:$I,Wine1!$K:$K,Location!$A71,Wine1!$AA:$AA,Location!V$1)</f>
        <v>0</v>
      </c>
      <c r="W71" s="37">
        <f>SUMIFS(Wine1!$I:$I,Wine1!$K:$K,Location!$A71,Wine1!$AA:$AA,Location!W$1)</f>
        <v>0</v>
      </c>
      <c r="X71" s="37">
        <f>SUMIFS(Wine1!$I:$I,Wine1!$K:$K,Location!$A71,Wine1!$AA:$AA,Location!X$1)</f>
        <v>0</v>
      </c>
      <c r="Y71" s="37">
        <f>SUMIFS(Wine1!$I:$I,Wine1!$K:$K,Location!$A71,Wine1!$AA:$AA,Location!Y$1)</f>
        <v>0</v>
      </c>
      <c r="Z71" s="37">
        <f>SUMIFS(Wine1!$I:$I,Wine1!$K:$K,Location!$A71,Wine1!$AA:$AA,Location!Z$1)</f>
        <v>1</v>
      </c>
      <c r="AA71" s="37">
        <f>SUMIFS(Wine1!$I:$I,Wine1!$K:$K,Location!$A71,Wine1!$AA:$AA,Location!AA$1)</f>
        <v>1</v>
      </c>
      <c r="AB71" s="37">
        <f>SUMIFS(Wine1!$I:$I,Wine1!$K:$K,Location!$A71,Wine1!$AA:$AA,Location!AB$1)</f>
        <v>2</v>
      </c>
      <c r="AC71" s="37">
        <f>SUMIFS(Wine1!$I:$I,Wine1!$K:$K,Location!$A71,Wine1!$AA:$AA,Location!AC$1)</f>
        <v>1</v>
      </c>
      <c r="AD71" s="37">
        <f>SUMIFS(Wine1!$I:$I,Wine1!$K:$K,Location!$A71,Wine1!$AA:$AA,Location!AD$1)</f>
        <v>3</v>
      </c>
      <c r="AE71" s="37">
        <f>SUMIFS(Wine1!$I:$I,Wine1!$K:$K,Location!$A71,Wine1!$AA:$AA,Location!AE$1)</f>
        <v>1</v>
      </c>
      <c r="AF71" s="37">
        <f>SUMIFS(Wine1!$I:$I,Wine1!$K:$K,Location!$A71,Wine1!$AA:$AA,Location!AF$1)</f>
        <v>2</v>
      </c>
      <c r="AG71" s="37">
        <f>SUMIFS(Wine1!$I:$I,Wine1!$K:$K,Location!$A71,Wine1!$AA:$AA,Location!AG$1)</f>
        <v>1</v>
      </c>
      <c r="AH71" s="37">
        <f>SUMIFS(Wine1!$I:$I,Wine1!$K:$K,Location!$A71,Wine1!$AA:$AA,Location!AH$1)</f>
        <v>0</v>
      </c>
      <c r="AI71" s="37">
        <f>SUMIFS(Wine1!$I:$I,Wine1!$K:$K,Location!$A71,Wine1!$AA:$AA,Location!AI$1)</f>
        <v>0</v>
      </c>
      <c r="AJ71" s="37">
        <f>SUMIFS(Wine1!$I:$I,Wine1!$K:$K,Location!$A71,Wine1!$AA:$AA,Location!AJ$1)</f>
        <v>0</v>
      </c>
      <c r="AK71" s="37">
        <f>SUMIFS(Wine1!$I:$I,Wine1!$K:$K,Location!$A71,Wine1!$AA:$AA,Location!AK$1)</f>
        <v>0</v>
      </c>
      <c r="AL71" s="37">
        <f>SUMIFS(Wine1!$I:$I,Wine1!$K:$K,Location!$A71,Wine1!$AA:$AA,Location!AL$1)</f>
        <v>0</v>
      </c>
      <c r="AM71" s="37">
        <f>SUMIFS(Wine1!$I:$I,Wine1!$K:$K,Location!$A71,Wine1!$AA:$AA,Location!AM$1)</f>
        <v>0</v>
      </c>
      <c r="AN71" s="37">
        <f>SUMIFS(Wine1!$I:$I,Wine1!$K:$K,Location!$A71,Wine1!$AA:$AA,Location!AN$1)</f>
        <v>0</v>
      </c>
      <c r="AO71" s="37">
        <f>SUMIFS(Wine1!$I:$I,Wine1!$K:$K,Location!$A71,Wine1!$AA:$AA,Location!AO$1)</f>
        <v>0</v>
      </c>
      <c r="AP71" s="37">
        <f>SUMIFS(Wine1!$I:$I,Wine1!$K:$K,Location!$A71,Wine1!$AA:$AA,Location!AP$1)</f>
        <v>0</v>
      </c>
      <c r="AQ71" s="37">
        <f>SUMIFS(Wine1!$I:$I,Wine1!$K:$K,Location!$A71,Wine1!$AA:$AA,Location!AQ$1)</f>
        <v>0</v>
      </c>
      <c r="AR71" s="37">
        <f>SUMIFS(Wine1!$I:$I,Wine1!$K:$K,Location!$A71,Wine1!$AA:$AA,Location!AR$1)</f>
        <v>0</v>
      </c>
      <c r="AS71" s="37">
        <f>SUMIFS(Wine1!$I:$I,Wine1!$K:$K,Location!$A71,Wine1!$AA:$AA,Location!AS$1)</f>
        <v>0</v>
      </c>
      <c r="AT71" s="37">
        <f>SUMIFS(Wine1!$I:$I,Wine1!$K:$K,Location!$A71,Wine1!$AA:$AA,Location!AT$1)</f>
        <v>0</v>
      </c>
      <c r="AU71" s="37">
        <f>SUMIFS(Wine1!$I:$I,Wine1!$K:$K,Location!$A71,Wine1!$AA:$AA,Location!AU$1)</f>
        <v>0</v>
      </c>
      <c r="AV71" s="37">
        <f>SUMIFS(Wine1!$I:$I,Wine1!$K:$K,Location!$A71,Wine1!$AA:$AA,Location!AV$1)</f>
        <v>0</v>
      </c>
      <c r="AW71" s="37">
        <f>SUMIFS(Wine1!$I:$I,Wine1!$K:$K,Location!$A71,Wine1!$AA:$AA,Location!AW$1)</f>
        <v>0</v>
      </c>
      <c r="AX71" s="37">
        <f>SUMIFS(Wine1!$I:$I,Wine1!$K:$K,Location!$A71,Wine1!$AA:$AA,Location!AX$1)</f>
        <v>0</v>
      </c>
      <c r="AY71" s="37">
        <f>SUMIFS(Wine1!$I:$I,Wine1!$K:$K,Location!$A71,Wine1!$AA:$AA,Location!AY$1)</f>
        <v>0</v>
      </c>
      <c r="AZ71" s="37">
        <f>SUMIFS(Wine1!$I:$I,Wine1!$K:$K,Location!$A71,Wine1!$AA:$AA,Location!AZ$1)</f>
        <v>0</v>
      </c>
      <c r="BA71" s="37">
        <f>SUMIFS(Wine1!$I:$I,Wine1!$K:$K,Location!$A71,Wine1!$AA:$AA,Location!BA$1)</f>
        <v>0</v>
      </c>
      <c r="BB71" s="37">
        <f>SUMIFS(Wine1!$I:$I,Wine1!$K:$K,Location!$A71,Wine1!$AA:$AA,Location!BB$1)</f>
        <v>0</v>
      </c>
      <c r="BC71" s="37">
        <f>SUMIFS(Wine1!$I:$I,Wine1!$K:$K,Location!$A71,Wine1!$AA:$AA,Location!BC$1)</f>
        <v>0</v>
      </c>
      <c r="BD71" s="37">
        <f>SUMIFS(Wine1!$I:$I,Wine1!$K:$K,Location!$A71,Wine1!$AA:$AA,Location!BD$1)</f>
        <v>0</v>
      </c>
      <c r="BE71" s="37">
        <f>SUMIFS(Wine1!$I:$I,Wine1!$K:$K,Location!$A71,Wine1!$AA:$AA,Location!BE$1)</f>
        <v>0</v>
      </c>
      <c r="BF71" s="37">
        <f>SUMIFS(Wine1!$I:$I,Wine1!$K:$K,Location!$A71,Wine1!$AA:$AA,Location!BF$1)</f>
        <v>0</v>
      </c>
      <c r="BG71" s="37">
        <f>SUMIFS(Wine1!$I:$I,Wine1!$K:$K,Location!$A71,Wine1!$AA:$AA,Location!BG$1)</f>
        <v>0</v>
      </c>
      <c r="BH71" s="37">
        <f>SUMIFS(Wine1!$I:$I,Wine1!$K:$K,Location!$A71,Wine1!$AA:$AA,Location!BH$1)</f>
        <v>0</v>
      </c>
      <c r="BI71" s="37">
        <f>SUMIFS(Wine1!$I:$I,Wine1!$K:$K,Location!$A71,Wine1!$AA:$AA,Location!BI$1)</f>
        <v>0</v>
      </c>
    </row>
    <row r="72" spans="1:61" s="8" customFormat="1" x14ac:dyDescent="0.25">
      <c r="A72" s="8" t="s">
        <v>1852</v>
      </c>
      <c r="B72" s="37">
        <f>SUMIF(Wine1!K:K,Location!A72,Wine1!I:I)</f>
        <v>6</v>
      </c>
      <c r="C72" s="8">
        <v>6</v>
      </c>
      <c r="D72" s="37">
        <f t="shared" si="2"/>
        <v>0</v>
      </c>
      <c r="E72" s="37" t="s">
        <v>600</v>
      </c>
      <c r="F72" s="8" t="s">
        <v>1533</v>
      </c>
      <c r="G72" s="62"/>
      <c r="H72" s="56">
        <f>COUNTIFS(Wine1!$K:$K,Location!$A72,Wine1!$AF:$AF,Location!H$1)</f>
        <v>0</v>
      </c>
      <c r="I72" s="57">
        <f>COUNTIFS(Wine1!$K:$K,Location!$A72,Wine1!$AF:$AF,Location!I$1)</f>
        <v>0</v>
      </c>
      <c r="J72" s="57">
        <f>COUNTIFS(Wine1!$K:$K,Location!$A72,Wine1!$AF:$AF,Location!J$1)</f>
        <v>6</v>
      </c>
      <c r="K72" s="58">
        <f>COUNTIFS(Wine1!$K:$K,Location!$A72,Wine1!$AF:$AF,Location!K$1)</f>
        <v>0</v>
      </c>
      <c r="L72" s="18">
        <f>IFERROR(AVERAGEIF(Wine1!K:K,Location!A72,Wine1!AA:AA),"Empty")</f>
        <v>2027</v>
      </c>
      <c r="M72" s="37">
        <f>SUMIFS(Wine1!$I:$I,Wine1!$K:$K,Location!$A72,Wine1!$AA:$AA,Location!M$1)</f>
        <v>0</v>
      </c>
      <c r="N72" s="37">
        <f>SUMIFS(Wine1!$I:$I,Wine1!$K:$K,Location!$A72,Wine1!$AA:$AA,Location!N$1)</f>
        <v>0</v>
      </c>
      <c r="O72" s="37">
        <f>SUMIFS(Wine1!$I:$I,Wine1!$K:$K,Location!$A72,Wine1!$AA:$AA,Location!O$1)</f>
        <v>0</v>
      </c>
      <c r="P72" s="37">
        <f>SUMIFS(Wine1!$I:$I,Wine1!$K:$K,Location!$A72,Wine1!$AA:$AA,Location!P$1)</f>
        <v>1</v>
      </c>
      <c r="Q72" s="37">
        <f>SUMIFS(Wine1!$I:$I,Wine1!$K:$K,Location!$A72,Wine1!$AA:$AA,Location!Q$1)</f>
        <v>0</v>
      </c>
      <c r="R72" s="37">
        <f>SUMIFS(Wine1!$I:$I,Wine1!$K:$K,Location!$A72,Wine1!$AA:$AA,Location!R$1)</f>
        <v>1</v>
      </c>
      <c r="S72" s="37">
        <f>SUMIFS(Wine1!$I:$I,Wine1!$K:$K,Location!$A72,Wine1!$AA:$AA,Location!S$1)</f>
        <v>1</v>
      </c>
      <c r="T72" s="37">
        <f>SUMIFS(Wine1!$I:$I,Wine1!$K:$K,Location!$A72,Wine1!$AA:$AA,Location!T$1)</f>
        <v>0</v>
      </c>
      <c r="U72" s="37">
        <f>SUMIFS(Wine1!$I:$I,Wine1!$K:$K,Location!$A72,Wine1!$AA:$AA,Location!U$1)</f>
        <v>1</v>
      </c>
      <c r="V72" s="37">
        <f>SUMIFS(Wine1!$I:$I,Wine1!$K:$K,Location!$A72,Wine1!$AA:$AA,Location!V$1)</f>
        <v>1</v>
      </c>
      <c r="W72" s="37">
        <f>SUMIFS(Wine1!$I:$I,Wine1!$K:$K,Location!$A72,Wine1!$AA:$AA,Location!W$1)</f>
        <v>0</v>
      </c>
      <c r="X72" s="37">
        <f>SUMIFS(Wine1!$I:$I,Wine1!$K:$K,Location!$A72,Wine1!$AA:$AA,Location!X$1)</f>
        <v>1</v>
      </c>
      <c r="Y72" s="37">
        <f>SUMIFS(Wine1!$I:$I,Wine1!$K:$K,Location!$A72,Wine1!$AA:$AA,Location!Y$1)</f>
        <v>0</v>
      </c>
      <c r="Z72" s="37">
        <f>SUMIFS(Wine1!$I:$I,Wine1!$K:$K,Location!$A72,Wine1!$AA:$AA,Location!Z$1)</f>
        <v>0</v>
      </c>
      <c r="AA72" s="37">
        <f>SUMIFS(Wine1!$I:$I,Wine1!$K:$K,Location!$A72,Wine1!$AA:$AA,Location!AA$1)</f>
        <v>0</v>
      </c>
      <c r="AB72" s="37">
        <f>SUMIFS(Wine1!$I:$I,Wine1!$K:$K,Location!$A72,Wine1!$AA:$AA,Location!AB$1)</f>
        <v>0</v>
      </c>
      <c r="AC72" s="37">
        <f>SUMIFS(Wine1!$I:$I,Wine1!$K:$K,Location!$A72,Wine1!$AA:$AA,Location!AC$1)</f>
        <v>0</v>
      </c>
      <c r="AD72" s="37">
        <f>SUMIFS(Wine1!$I:$I,Wine1!$K:$K,Location!$A72,Wine1!$AA:$AA,Location!AD$1)</f>
        <v>0</v>
      </c>
      <c r="AE72" s="37">
        <f>SUMIFS(Wine1!$I:$I,Wine1!$K:$K,Location!$A72,Wine1!$AA:$AA,Location!AE$1)</f>
        <v>0</v>
      </c>
      <c r="AF72" s="37">
        <f>SUMIFS(Wine1!$I:$I,Wine1!$K:$K,Location!$A72,Wine1!$AA:$AA,Location!AF$1)</f>
        <v>0</v>
      </c>
      <c r="AG72" s="37">
        <f>SUMIFS(Wine1!$I:$I,Wine1!$K:$K,Location!$A72,Wine1!$AA:$AA,Location!AG$1)</f>
        <v>0</v>
      </c>
      <c r="AH72" s="37">
        <f>SUMIFS(Wine1!$I:$I,Wine1!$K:$K,Location!$A72,Wine1!$AA:$AA,Location!AH$1)</f>
        <v>0</v>
      </c>
      <c r="AI72" s="37">
        <f>SUMIFS(Wine1!$I:$I,Wine1!$K:$K,Location!$A72,Wine1!$AA:$AA,Location!AI$1)</f>
        <v>0</v>
      </c>
      <c r="AJ72" s="37">
        <f>SUMIFS(Wine1!$I:$I,Wine1!$K:$K,Location!$A72,Wine1!$AA:$AA,Location!AJ$1)</f>
        <v>0</v>
      </c>
      <c r="AK72" s="37">
        <f>SUMIFS(Wine1!$I:$I,Wine1!$K:$K,Location!$A72,Wine1!$AA:$AA,Location!AK$1)</f>
        <v>0</v>
      </c>
      <c r="AL72" s="37">
        <f>SUMIFS(Wine1!$I:$I,Wine1!$K:$K,Location!$A72,Wine1!$AA:$AA,Location!AL$1)</f>
        <v>0</v>
      </c>
      <c r="AM72" s="37">
        <f>SUMIFS(Wine1!$I:$I,Wine1!$K:$K,Location!$A72,Wine1!$AA:$AA,Location!AM$1)</f>
        <v>0</v>
      </c>
      <c r="AN72" s="37">
        <f>SUMIFS(Wine1!$I:$I,Wine1!$K:$K,Location!$A72,Wine1!$AA:$AA,Location!AN$1)</f>
        <v>0</v>
      </c>
      <c r="AO72" s="37">
        <f>SUMIFS(Wine1!$I:$I,Wine1!$K:$K,Location!$A72,Wine1!$AA:$AA,Location!AO$1)</f>
        <v>0</v>
      </c>
      <c r="AP72" s="37">
        <f>SUMIFS(Wine1!$I:$I,Wine1!$K:$K,Location!$A72,Wine1!$AA:$AA,Location!AP$1)</f>
        <v>0</v>
      </c>
      <c r="AQ72" s="37">
        <f>SUMIFS(Wine1!$I:$I,Wine1!$K:$K,Location!$A72,Wine1!$AA:$AA,Location!AQ$1)</f>
        <v>0</v>
      </c>
      <c r="AR72" s="37">
        <f>SUMIFS(Wine1!$I:$I,Wine1!$K:$K,Location!$A72,Wine1!$AA:$AA,Location!AR$1)</f>
        <v>0</v>
      </c>
      <c r="AS72" s="37">
        <f>SUMIFS(Wine1!$I:$I,Wine1!$K:$K,Location!$A72,Wine1!$AA:$AA,Location!AS$1)</f>
        <v>0</v>
      </c>
      <c r="AT72" s="37">
        <f>SUMIFS(Wine1!$I:$I,Wine1!$K:$K,Location!$A72,Wine1!$AA:$AA,Location!AT$1)</f>
        <v>0</v>
      </c>
      <c r="AU72" s="37">
        <f>SUMIFS(Wine1!$I:$I,Wine1!$K:$K,Location!$A72,Wine1!$AA:$AA,Location!AU$1)</f>
        <v>0</v>
      </c>
      <c r="AV72" s="37">
        <f>SUMIFS(Wine1!$I:$I,Wine1!$K:$K,Location!$A72,Wine1!$AA:$AA,Location!AV$1)</f>
        <v>0</v>
      </c>
      <c r="AW72" s="37">
        <f>SUMIFS(Wine1!$I:$I,Wine1!$K:$K,Location!$A72,Wine1!$AA:$AA,Location!AW$1)</f>
        <v>0</v>
      </c>
      <c r="AX72" s="37">
        <f>SUMIFS(Wine1!$I:$I,Wine1!$K:$K,Location!$A72,Wine1!$AA:$AA,Location!AX$1)</f>
        <v>0</v>
      </c>
      <c r="AY72" s="37">
        <f>SUMIFS(Wine1!$I:$I,Wine1!$K:$K,Location!$A72,Wine1!$AA:$AA,Location!AY$1)</f>
        <v>0</v>
      </c>
      <c r="AZ72" s="37">
        <f>SUMIFS(Wine1!$I:$I,Wine1!$K:$K,Location!$A72,Wine1!$AA:$AA,Location!AZ$1)</f>
        <v>0</v>
      </c>
      <c r="BA72" s="37">
        <f>SUMIFS(Wine1!$I:$I,Wine1!$K:$K,Location!$A72,Wine1!$AA:$AA,Location!BA$1)</f>
        <v>0</v>
      </c>
      <c r="BB72" s="37">
        <f>SUMIFS(Wine1!$I:$I,Wine1!$K:$K,Location!$A72,Wine1!$AA:$AA,Location!BB$1)</f>
        <v>0</v>
      </c>
      <c r="BC72" s="37">
        <f>SUMIFS(Wine1!$I:$I,Wine1!$K:$K,Location!$A72,Wine1!$AA:$AA,Location!BC$1)</f>
        <v>0</v>
      </c>
      <c r="BD72" s="37">
        <f>SUMIFS(Wine1!$I:$I,Wine1!$K:$K,Location!$A72,Wine1!$AA:$AA,Location!BD$1)</f>
        <v>0</v>
      </c>
      <c r="BE72" s="37">
        <f>SUMIFS(Wine1!$I:$I,Wine1!$K:$K,Location!$A72,Wine1!$AA:$AA,Location!BE$1)</f>
        <v>0</v>
      </c>
      <c r="BF72" s="37">
        <f>SUMIFS(Wine1!$I:$I,Wine1!$K:$K,Location!$A72,Wine1!$AA:$AA,Location!BF$1)</f>
        <v>0</v>
      </c>
      <c r="BG72" s="37">
        <f>SUMIFS(Wine1!$I:$I,Wine1!$K:$K,Location!$A72,Wine1!$AA:$AA,Location!BG$1)</f>
        <v>0</v>
      </c>
      <c r="BH72" s="37">
        <f>SUMIFS(Wine1!$I:$I,Wine1!$K:$K,Location!$A72,Wine1!$AA:$AA,Location!BH$1)</f>
        <v>0</v>
      </c>
      <c r="BI72" s="37">
        <f>SUMIFS(Wine1!$I:$I,Wine1!$K:$K,Location!$A72,Wine1!$AA:$AA,Location!BI$1)</f>
        <v>0</v>
      </c>
    </row>
    <row r="73" spans="1:61" s="8" customFormat="1" x14ac:dyDescent="0.25">
      <c r="A73" s="8" t="s">
        <v>1853</v>
      </c>
      <c r="B73" s="37">
        <f>SUMIF(Wine1!K:K,Location!A73,Wine1!I:I)</f>
        <v>0</v>
      </c>
      <c r="C73" s="8">
        <v>6</v>
      </c>
      <c r="D73" s="37">
        <f t="shared" si="2"/>
        <v>6</v>
      </c>
      <c r="E73" s="37" t="s">
        <v>600</v>
      </c>
      <c r="F73" s="8" t="s">
        <v>718</v>
      </c>
      <c r="G73" s="62"/>
      <c r="H73" s="56">
        <f>COUNTIFS(Wine1!$K:$K,Location!$A73,Wine1!$AF:$AF,Location!H$1)</f>
        <v>0</v>
      </c>
      <c r="I73" s="57">
        <f>COUNTIFS(Wine1!$K:$K,Location!$A73,Wine1!$AF:$AF,Location!I$1)</f>
        <v>0</v>
      </c>
      <c r="J73" s="57">
        <f>COUNTIFS(Wine1!$K:$K,Location!$A73,Wine1!$AF:$AF,Location!J$1)</f>
        <v>0</v>
      </c>
      <c r="K73" s="58">
        <f>COUNTIFS(Wine1!$K:$K,Location!$A73,Wine1!$AF:$AF,Location!K$1)</f>
        <v>0</v>
      </c>
      <c r="L73" s="18" t="str">
        <f>IFERROR(AVERAGEIF(Wine1!K:K,Location!A73,Wine1!AA:AA),"Empty")</f>
        <v>Empty</v>
      </c>
      <c r="M73" s="37">
        <f>SUMIFS(Wine1!$I:$I,Wine1!$K:$K,Location!$A73,Wine1!$AA:$AA,Location!M$1)</f>
        <v>0</v>
      </c>
      <c r="N73" s="37">
        <f>SUMIFS(Wine1!$I:$I,Wine1!$K:$K,Location!$A73,Wine1!$AA:$AA,Location!N$1)</f>
        <v>0</v>
      </c>
      <c r="O73" s="37">
        <f>SUMIFS(Wine1!$I:$I,Wine1!$K:$K,Location!$A73,Wine1!$AA:$AA,Location!O$1)</f>
        <v>0</v>
      </c>
      <c r="P73" s="37">
        <f>SUMIFS(Wine1!$I:$I,Wine1!$K:$K,Location!$A73,Wine1!$AA:$AA,Location!P$1)</f>
        <v>0</v>
      </c>
      <c r="Q73" s="37">
        <f>SUMIFS(Wine1!$I:$I,Wine1!$K:$K,Location!$A73,Wine1!$AA:$AA,Location!Q$1)</f>
        <v>0</v>
      </c>
      <c r="R73" s="37">
        <f>SUMIFS(Wine1!$I:$I,Wine1!$K:$K,Location!$A73,Wine1!$AA:$AA,Location!R$1)</f>
        <v>0</v>
      </c>
      <c r="S73" s="37">
        <f>SUMIFS(Wine1!$I:$I,Wine1!$K:$K,Location!$A73,Wine1!$AA:$AA,Location!S$1)</f>
        <v>0</v>
      </c>
      <c r="T73" s="37">
        <f>SUMIFS(Wine1!$I:$I,Wine1!$K:$K,Location!$A73,Wine1!$AA:$AA,Location!T$1)</f>
        <v>0</v>
      </c>
      <c r="U73" s="37">
        <f>SUMIFS(Wine1!$I:$I,Wine1!$K:$K,Location!$A73,Wine1!$AA:$AA,Location!U$1)</f>
        <v>0</v>
      </c>
      <c r="V73" s="37">
        <f>SUMIFS(Wine1!$I:$I,Wine1!$K:$K,Location!$A73,Wine1!$AA:$AA,Location!V$1)</f>
        <v>0</v>
      </c>
      <c r="W73" s="37">
        <f>SUMIFS(Wine1!$I:$I,Wine1!$K:$K,Location!$A73,Wine1!$AA:$AA,Location!W$1)</f>
        <v>0</v>
      </c>
      <c r="X73" s="37">
        <f>SUMIFS(Wine1!$I:$I,Wine1!$K:$K,Location!$A73,Wine1!$AA:$AA,Location!X$1)</f>
        <v>0</v>
      </c>
      <c r="Y73" s="37">
        <f>SUMIFS(Wine1!$I:$I,Wine1!$K:$K,Location!$A73,Wine1!$AA:$AA,Location!Y$1)</f>
        <v>0</v>
      </c>
      <c r="Z73" s="37">
        <f>SUMIFS(Wine1!$I:$I,Wine1!$K:$K,Location!$A73,Wine1!$AA:$AA,Location!Z$1)</f>
        <v>0</v>
      </c>
      <c r="AA73" s="37">
        <f>SUMIFS(Wine1!$I:$I,Wine1!$K:$K,Location!$A73,Wine1!$AA:$AA,Location!AA$1)</f>
        <v>0</v>
      </c>
      <c r="AB73" s="37">
        <f>SUMIFS(Wine1!$I:$I,Wine1!$K:$K,Location!$A73,Wine1!$AA:$AA,Location!AB$1)</f>
        <v>0</v>
      </c>
      <c r="AC73" s="37">
        <f>SUMIFS(Wine1!$I:$I,Wine1!$K:$K,Location!$A73,Wine1!$AA:$AA,Location!AC$1)</f>
        <v>0</v>
      </c>
      <c r="AD73" s="37">
        <f>SUMIFS(Wine1!$I:$I,Wine1!$K:$K,Location!$A73,Wine1!$AA:$AA,Location!AD$1)</f>
        <v>0</v>
      </c>
      <c r="AE73" s="37">
        <f>SUMIFS(Wine1!$I:$I,Wine1!$K:$K,Location!$A73,Wine1!$AA:$AA,Location!AE$1)</f>
        <v>0</v>
      </c>
      <c r="AF73" s="37">
        <f>SUMIFS(Wine1!$I:$I,Wine1!$K:$K,Location!$A73,Wine1!$AA:$AA,Location!AF$1)</f>
        <v>0</v>
      </c>
      <c r="AG73" s="37">
        <f>SUMIFS(Wine1!$I:$I,Wine1!$K:$K,Location!$A73,Wine1!$AA:$AA,Location!AG$1)</f>
        <v>0</v>
      </c>
      <c r="AH73" s="37">
        <f>SUMIFS(Wine1!$I:$I,Wine1!$K:$K,Location!$A73,Wine1!$AA:$AA,Location!AH$1)</f>
        <v>0</v>
      </c>
      <c r="AI73" s="37">
        <f>SUMIFS(Wine1!$I:$I,Wine1!$K:$K,Location!$A73,Wine1!$AA:$AA,Location!AI$1)</f>
        <v>0</v>
      </c>
      <c r="AJ73" s="37">
        <f>SUMIFS(Wine1!$I:$I,Wine1!$K:$K,Location!$A73,Wine1!$AA:$AA,Location!AJ$1)</f>
        <v>0</v>
      </c>
      <c r="AK73" s="37">
        <f>SUMIFS(Wine1!$I:$I,Wine1!$K:$K,Location!$A73,Wine1!$AA:$AA,Location!AK$1)</f>
        <v>0</v>
      </c>
      <c r="AL73" s="37">
        <f>SUMIFS(Wine1!$I:$I,Wine1!$K:$K,Location!$A73,Wine1!$AA:$AA,Location!AL$1)</f>
        <v>0</v>
      </c>
      <c r="AM73" s="37">
        <f>SUMIFS(Wine1!$I:$I,Wine1!$K:$K,Location!$A73,Wine1!$AA:$AA,Location!AM$1)</f>
        <v>0</v>
      </c>
      <c r="AN73" s="37">
        <f>SUMIFS(Wine1!$I:$I,Wine1!$K:$K,Location!$A73,Wine1!$AA:$AA,Location!AN$1)</f>
        <v>0</v>
      </c>
      <c r="AO73" s="37">
        <f>SUMIFS(Wine1!$I:$I,Wine1!$K:$K,Location!$A73,Wine1!$AA:$AA,Location!AO$1)</f>
        <v>0</v>
      </c>
      <c r="AP73" s="37">
        <f>SUMIFS(Wine1!$I:$I,Wine1!$K:$K,Location!$A73,Wine1!$AA:$AA,Location!AP$1)</f>
        <v>0</v>
      </c>
      <c r="AQ73" s="37">
        <f>SUMIFS(Wine1!$I:$I,Wine1!$K:$K,Location!$A73,Wine1!$AA:$AA,Location!AQ$1)</f>
        <v>0</v>
      </c>
      <c r="AR73" s="37">
        <f>SUMIFS(Wine1!$I:$I,Wine1!$K:$K,Location!$A73,Wine1!$AA:$AA,Location!AR$1)</f>
        <v>0</v>
      </c>
      <c r="AS73" s="37">
        <f>SUMIFS(Wine1!$I:$I,Wine1!$K:$K,Location!$A73,Wine1!$AA:$AA,Location!AS$1)</f>
        <v>0</v>
      </c>
      <c r="AT73" s="37">
        <f>SUMIFS(Wine1!$I:$I,Wine1!$K:$K,Location!$A73,Wine1!$AA:$AA,Location!AT$1)</f>
        <v>0</v>
      </c>
      <c r="AU73" s="37">
        <f>SUMIFS(Wine1!$I:$I,Wine1!$K:$K,Location!$A73,Wine1!$AA:$AA,Location!AU$1)</f>
        <v>0</v>
      </c>
      <c r="AV73" s="37">
        <f>SUMIFS(Wine1!$I:$I,Wine1!$K:$K,Location!$A73,Wine1!$AA:$AA,Location!AV$1)</f>
        <v>0</v>
      </c>
      <c r="AW73" s="37">
        <f>SUMIFS(Wine1!$I:$I,Wine1!$K:$K,Location!$A73,Wine1!$AA:$AA,Location!AW$1)</f>
        <v>0</v>
      </c>
      <c r="AX73" s="37">
        <f>SUMIFS(Wine1!$I:$I,Wine1!$K:$K,Location!$A73,Wine1!$AA:$AA,Location!AX$1)</f>
        <v>0</v>
      </c>
      <c r="AY73" s="37">
        <f>SUMIFS(Wine1!$I:$I,Wine1!$K:$K,Location!$A73,Wine1!$AA:$AA,Location!AY$1)</f>
        <v>0</v>
      </c>
      <c r="AZ73" s="37">
        <f>SUMIFS(Wine1!$I:$I,Wine1!$K:$K,Location!$A73,Wine1!$AA:$AA,Location!AZ$1)</f>
        <v>0</v>
      </c>
      <c r="BA73" s="37">
        <f>SUMIFS(Wine1!$I:$I,Wine1!$K:$K,Location!$A73,Wine1!$AA:$AA,Location!BA$1)</f>
        <v>0</v>
      </c>
      <c r="BB73" s="37">
        <f>SUMIFS(Wine1!$I:$I,Wine1!$K:$K,Location!$A73,Wine1!$AA:$AA,Location!BB$1)</f>
        <v>0</v>
      </c>
      <c r="BC73" s="37">
        <f>SUMIFS(Wine1!$I:$I,Wine1!$K:$K,Location!$A73,Wine1!$AA:$AA,Location!BC$1)</f>
        <v>0</v>
      </c>
      <c r="BD73" s="37">
        <f>SUMIFS(Wine1!$I:$I,Wine1!$K:$K,Location!$A73,Wine1!$AA:$AA,Location!BD$1)</f>
        <v>0</v>
      </c>
      <c r="BE73" s="37">
        <f>SUMIFS(Wine1!$I:$I,Wine1!$K:$K,Location!$A73,Wine1!$AA:$AA,Location!BE$1)</f>
        <v>0</v>
      </c>
      <c r="BF73" s="37">
        <f>SUMIFS(Wine1!$I:$I,Wine1!$K:$K,Location!$A73,Wine1!$AA:$AA,Location!BF$1)</f>
        <v>0</v>
      </c>
      <c r="BG73" s="37">
        <f>SUMIFS(Wine1!$I:$I,Wine1!$K:$K,Location!$A73,Wine1!$AA:$AA,Location!BG$1)</f>
        <v>0</v>
      </c>
      <c r="BH73" s="37">
        <f>SUMIFS(Wine1!$I:$I,Wine1!$K:$K,Location!$A73,Wine1!$AA:$AA,Location!BH$1)</f>
        <v>0</v>
      </c>
      <c r="BI73" s="37">
        <f>SUMIFS(Wine1!$I:$I,Wine1!$K:$K,Location!$A73,Wine1!$AA:$AA,Location!BI$1)</f>
        <v>0</v>
      </c>
    </row>
    <row r="74" spans="1:61" s="8" customFormat="1" x14ac:dyDescent="0.25">
      <c r="A74" s="8" t="s">
        <v>1832</v>
      </c>
      <c r="B74" s="37">
        <f>SUMIF(Wine1!K:K,Location!A74,Wine1!I:I)</f>
        <v>12</v>
      </c>
      <c r="C74" s="8">
        <v>12</v>
      </c>
      <c r="D74" s="37">
        <f t="shared" si="2"/>
        <v>0</v>
      </c>
      <c r="E74" s="37" t="s">
        <v>600</v>
      </c>
      <c r="F74" s="8" t="s">
        <v>1533</v>
      </c>
      <c r="G74" s="62"/>
      <c r="H74" s="56">
        <f>COUNTIFS(Wine1!$K:$K,Location!$A74,Wine1!$AF:$AF,Location!H$1)</f>
        <v>0</v>
      </c>
      <c r="I74" s="57">
        <f>COUNTIFS(Wine1!$K:$K,Location!$A74,Wine1!$AF:$AF,Location!I$1)</f>
        <v>0</v>
      </c>
      <c r="J74" s="57">
        <f>COUNTIFS(Wine1!$K:$K,Location!$A74,Wine1!$AF:$AF,Location!J$1)</f>
        <v>10</v>
      </c>
      <c r="K74" s="58">
        <f>COUNTIFS(Wine1!$K:$K,Location!$A74,Wine1!$AF:$AF,Location!K$1)</f>
        <v>2</v>
      </c>
      <c r="L74" s="18">
        <f>IFERROR(AVERAGEIF(Wine1!K:K,Location!A74,Wine1!AA:AA),"Empty")</f>
        <v>2029</v>
      </c>
      <c r="M74" s="37">
        <f>SUMIFS(Wine1!$I:$I,Wine1!$K:$K,Location!$A74,Wine1!$AA:$AA,Location!M$1)</f>
        <v>0</v>
      </c>
      <c r="N74" s="37">
        <f>SUMIFS(Wine1!$I:$I,Wine1!$K:$K,Location!$A74,Wine1!$AA:$AA,Location!N$1)</f>
        <v>0</v>
      </c>
      <c r="O74" s="37">
        <f>SUMIFS(Wine1!$I:$I,Wine1!$K:$K,Location!$A74,Wine1!$AA:$AA,Location!O$1)</f>
        <v>0</v>
      </c>
      <c r="P74" s="37">
        <f>SUMIFS(Wine1!$I:$I,Wine1!$K:$K,Location!$A74,Wine1!$AA:$AA,Location!P$1)</f>
        <v>0</v>
      </c>
      <c r="Q74" s="37">
        <f>SUMIFS(Wine1!$I:$I,Wine1!$K:$K,Location!$A74,Wine1!$AA:$AA,Location!Q$1)</f>
        <v>1</v>
      </c>
      <c r="R74" s="37">
        <f>SUMIFS(Wine1!$I:$I,Wine1!$K:$K,Location!$A74,Wine1!$AA:$AA,Location!R$1)</f>
        <v>0</v>
      </c>
      <c r="S74" s="37">
        <f>SUMIFS(Wine1!$I:$I,Wine1!$K:$K,Location!$A74,Wine1!$AA:$AA,Location!S$1)</f>
        <v>0</v>
      </c>
      <c r="T74" s="37">
        <f>SUMIFS(Wine1!$I:$I,Wine1!$K:$K,Location!$A74,Wine1!$AA:$AA,Location!T$1)</f>
        <v>2</v>
      </c>
      <c r="U74" s="37">
        <f>SUMIFS(Wine1!$I:$I,Wine1!$K:$K,Location!$A74,Wine1!$AA:$AA,Location!U$1)</f>
        <v>3</v>
      </c>
      <c r="V74" s="37">
        <f>SUMIFS(Wine1!$I:$I,Wine1!$K:$K,Location!$A74,Wine1!$AA:$AA,Location!V$1)</f>
        <v>1</v>
      </c>
      <c r="W74" s="37">
        <f>SUMIFS(Wine1!$I:$I,Wine1!$K:$K,Location!$A74,Wine1!$AA:$AA,Location!W$1)</f>
        <v>1</v>
      </c>
      <c r="X74" s="37">
        <f>SUMIFS(Wine1!$I:$I,Wine1!$K:$K,Location!$A74,Wine1!$AA:$AA,Location!X$1)</f>
        <v>1</v>
      </c>
      <c r="Y74" s="37">
        <f>SUMIFS(Wine1!$I:$I,Wine1!$K:$K,Location!$A74,Wine1!$AA:$AA,Location!Y$1)</f>
        <v>3</v>
      </c>
      <c r="Z74" s="37">
        <f>SUMIFS(Wine1!$I:$I,Wine1!$K:$K,Location!$A74,Wine1!$AA:$AA,Location!Z$1)</f>
        <v>0</v>
      </c>
      <c r="AA74" s="37">
        <f>SUMIFS(Wine1!$I:$I,Wine1!$K:$K,Location!$A74,Wine1!$AA:$AA,Location!AA$1)</f>
        <v>0</v>
      </c>
      <c r="AB74" s="37">
        <f>SUMIFS(Wine1!$I:$I,Wine1!$K:$K,Location!$A74,Wine1!$AA:$AA,Location!AB$1)</f>
        <v>0</v>
      </c>
      <c r="AC74" s="37">
        <f>SUMIFS(Wine1!$I:$I,Wine1!$K:$K,Location!$A74,Wine1!$AA:$AA,Location!AC$1)</f>
        <v>0</v>
      </c>
      <c r="AD74" s="37">
        <f>SUMIFS(Wine1!$I:$I,Wine1!$K:$K,Location!$A74,Wine1!$AA:$AA,Location!AD$1)</f>
        <v>0</v>
      </c>
      <c r="AE74" s="37">
        <f>SUMIFS(Wine1!$I:$I,Wine1!$K:$K,Location!$A74,Wine1!$AA:$AA,Location!AE$1)</f>
        <v>0</v>
      </c>
      <c r="AF74" s="37">
        <f>SUMIFS(Wine1!$I:$I,Wine1!$K:$K,Location!$A74,Wine1!$AA:$AA,Location!AF$1)</f>
        <v>0</v>
      </c>
      <c r="AG74" s="37">
        <f>SUMIFS(Wine1!$I:$I,Wine1!$K:$K,Location!$A74,Wine1!$AA:$AA,Location!AG$1)</f>
        <v>0</v>
      </c>
      <c r="AH74" s="37">
        <f>SUMIFS(Wine1!$I:$I,Wine1!$K:$K,Location!$A74,Wine1!$AA:$AA,Location!AH$1)</f>
        <v>0</v>
      </c>
      <c r="AI74" s="37">
        <f>SUMIFS(Wine1!$I:$I,Wine1!$K:$K,Location!$A74,Wine1!$AA:$AA,Location!AI$1)</f>
        <v>0</v>
      </c>
      <c r="AJ74" s="37">
        <f>SUMIFS(Wine1!$I:$I,Wine1!$K:$K,Location!$A74,Wine1!$AA:$AA,Location!AJ$1)</f>
        <v>0</v>
      </c>
      <c r="AK74" s="37">
        <f>SUMIFS(Wine1!$I:$I,Wine1!$K:$K,Location!$A74,Wine1!$AA:$AA,Location!AK$1)</f>
        <v>0</v>
      </c>
      <c r="AL74" s="37">
        <f>SUMIFS(Wine1!$I:$I,Wine1!$K:$K,Location!$A74,Wine1!$AA:$AA,Location!AL$1)</f>
        <v>0</v>
      </c>
      <c r="AM74" s="37">
        <f>SUMIFS(Wine1!$I:$I,Wine1!$K:$K,Location!$A74,Wine1!$AA:$AA,Location!AM$1)</f>
        <v>0</v>
      </c>
      <c r="AN74" s="37">
        <f>SUMIFS(Wine1!$I:$I,Wine1!$K:$K,Location!$A74,Wine1!$AA:$AA,Location!AN$1)</f>
        <v>0</v>
      </c>
      <c r="AO74" s="37">
        <f>SUMIFS(Wine1!$I:$I,Wine1!$K:$K,Location!$A74,Wine1!$AA:$AA,Location!AO$1)</f>
        <v>0</v>
      </c>
      <c r="AP74" s="37">
        <f>SUMIFS(Wine1!$I:$I,Wine1!$K:$K,Location!$A74,Wine1!$AA:$AA,Location!AP$1)</f>
        <v>0</v>
      </c>
      <c r="AQ74" s="37">
        <f>SUMIFS(Wine1!$I:$I,Wine1!$K:$K,Location!$A74,Wine1!$AA:$AA,Location!AQ$1)</f>
        <v>0</v>
      </c>
      <c r="AR74" s="37">
        <f>SUMIFS(Wine1!$I:$I,Wine1!$K:$K,Location!$A74,Wine1!$AA:$AA,Location!AR$1)</f>
        <v>0</v>
      </c>
      <c r="AS74" s="37">
        <f>SUMIFS(Wine1!$I:$I,Wine1!$K:$K,Location!$A74,Wine1!$AA:$AA,Location!AS$1)</f>
        <v>0</v>
      </c>
      <c r="AT74" s="37">
        <f>SUMIFS(Wine1!$I:$I,Wine1!$K:$K,Location!$A74,Wine1!$AA:$AA,Location!AT$1)</f>
        <v>0</v>
      </c>
      <c r="AU74" s="37">
        <f>SUMIFS(Wine1!$I:$I,Wine1!$K:$K,Location!$A74,Wine1!$AA:$AA,Location!AU$1)</f>
        <v>0</v>
      </c>
      <c r="AV74" s="37">
        <f>SUMIFS(Wine1!$I:$I,Wine1!$K:$K,Location!$A74,Wine1!$AA:$AA,Location!AV$1)</f>
        <v>0</v>
      </c>
      <c r="AW74" s="37">
        <f>SUMIFS(Wine1!$I:$I,Wine1!$K:$K,Location!$A74,Wine1!$AA:$AA,Location!AW$1)</f>
        <v>0</v>
      </c>
      <c r="AX74" s="37">
        <f>SUMIFS(Wine1!$I:$I,Wine1!$K:$K,Location!$A74,Wine1!$AA:$AA,Location!AX$1)</f>
        <v>0</v>
      </c>
      <c r="AY74" s="37">
        <f>SUMIFS(Wine1!$I:$I,Wine1!$K:$K,Location!$A74,Wine1!$AA:$AA,Location!AY$1)</f>
        <v>0</v>
      </c>
      <c r="AZ74" s="37">
        <f>SUMIFS(Wine1!$I:$I,Wine1!$K:$K,Location!$A74,Wine1!$AA:$AA,Location!AZ$1)</f>
        <v>0</v>
      </c>
      <c r="BA74" s="37">
        <f>SUMIFS(Wine1!$I:$I,Wine1!$K:$K,Location!$A74,Wine1!$AA:$AA,Location!BA$1)</f>
        <v>0</v>
      </c>
      <c r="BB74" s="37">
        <f>SUMIFS(Wine1!$I:$I,Wine1!$K:$K,Location!$A74,Wine1!$AA:$AA,Location!BB$1)</f>
        <v>0</v>
      </c>
      <c r="BC74" s="37">
        <f>SUMIFS(Wine1!$I:$I,Wine1!$K:$K,Location!$A74,Wine1!$AA:$AA,Location!BC$1)</f>
        <v>0</v>
      </c>
      <c r="BD74" s="37">
        <f>SUMIFS(Wine1!$I:$I,Wine1!$K:$K,Location!$A74,Wine1!$AA:$AA,Location!BD$1)</f>
        <v>0</v>
      </c>
      <c r="BE74" s="37">
        <f>SUMIFS(Wine1!$I:$I,Wine1!$K:$K,Location!$A74,Wine1!$AA:$AA,Location!BE$1)</f>
        <v>0</v>
      </c>
      <c r="BF74" s="37">
        <f>SUMIFS(Wine1!$I:$I,Wine1!$K:$K,Location!$A74,Wine1!$AA:$AA,Location!BF$1)</f>
        <v>0</v>
      </c>
      <c r="BG74" s="37">
        <f>SUMIFS(Wine1!$I:$I,Wine1!$K:$K,Location!$A74,Wine1!$AA:$AA,Location!BG$1)</f>
        <v>0</v>
      </c>
      <c r="BH74" s="37">
        <f>SUMIFS(Wine1!$I:$I,Wine1!$K:$K,Location!$A74,Wine1!$AA:$AA,Location!BH$1)</f>
        <v>0</v>
      </c>
      <c r="BI74" s="37">
        <f>SUMIFS(Wine1!$I:$I,Wine1!$K:$K,Location!$A74,Wine1!$AA:$AA,Location!BI$1)</f>
        <v>0</v>
      </c>
    </row>
    <row r="75" spans="1:61" s="8" customFormat="1" x14ac:dyDescent="0.25">
      <c r="A75" s="8" t="s">
        <v>1833</v>
      </c>
      <c r="B75" s="37">
        <f>SUMIF(Wine1!K:K,Location!A75,Wine1!I:I)</f>
        <v>13</v>
      </c>
      <c r="C75" s="8">
        <v>12</v>
      </c>
      <c r="D75" s="37">
        <f t="shared" si="2"/>
        <v>-1</v>
      </c>
      <c r="E75" s="37" t="s">
        <v>600</v>
      </c>
      <c r="F75" s="8" t="s">
        <v>718</v>
      </c>
      <c r="G75" s="62"/>
      <c r="H75" s="56">
        <f>COUNTIFS(Wine1!$K:$K,Location!$A75,Wine1!$AF:$AF,Location!H$1)</f>
        <v>7</v>
      </c>
      <c r="I75" s="57">
        <f>COUNTIFS(Wine1!$K:$K,Location!$A75,Wine1!$AF:$AF,Location!I$1)</f>
        <v>3</v>
      </c>
      <c r="J75" s="57">
        <f>COUNTIFS(Wine1!$K:$K,Location!$A75,Wine1!$AF:$AF,Location!J$1)</f>
        <v>0</v>
      </c>
      <c r="K75" s="58">
        <f>COUNTIFS(Wine1!$K:$K,Location!$A75,Wine1!$AF:$AF,Location!K$1)</f>
        <v>3</v>
      </c>
      <c r="L75" s="18">
        <f>IFERROR(AVERAGEIF(Wine1!K:K,Location!A75,Wine1!AA:AA),"Empty")</f>
        <v>2021</v>
      </c>
      <c r="M75" s="37">
        <f>SUMIFS(Wine1!$I:$I,Wine1!$K:$K,Location!$A75,Wine1!$AA:$AA,Location!M$1)</f>
        <v>3</v>
      </c>
      <c r="N75" s="37">
        <f>SUMIFS(Wine1!$I:$I,Wine1!$K:$K,Location!$A75,Wine1!$AA:$AA,Location!N$1)</f>
        <v>8</v>
      </c>
      <c r="O75" s="37">
        <f>SUMIFS(Wine1!$I:$I,Wine1!$K:$K,Location!$A75,Wine1!$AA:$AA,Location!O$1)</f>
        <v>1</v>
      </c>
      <c r="P75" s="37">
        <f>SUMIFS(Wine1!$I:$I,Wine1!$K:$K,Location!$A75,Wine1!$AA:$AA,Location!P$1)</f>
        <v>1</v>
      </c>
      <c r="Q75" s="37">
        <f>SUMIFS(Wine1!$I:$I,Wine1!$K:$K,Location!$A75,Wine1!$AA:$AA,Location!Q$1)</f>
        <v>0</v>
      </c>
      <c r="R75" s="37">
        <f>SUMIFS(Wine1!$I:$I,Wine1!$K:$K,Location!$A75,Wine1!$AA:$AA,Location!R$1)</f>
        <v>0</v>
      </c>
      <c r="S75" s="37">
        <f>SUMIFS(Wine1!$I:$I,Wine1!$K:$K,Location!$A75,Wine1!$AA:$AA,Location!S$1)</f>
        <v>0</v>
      </c>
      <c r="T75" s="37">
        <f>SUMIFS(Wine1!$I:$I,Wine1!$K:$K,Location!$A75,Wine1!$AA:$AA,Location!T$1)</f>
        <v>0</v>
      </c>
      <c r="U75" s="37">
        <f>SUMIFS(Wine1!$I:$I,Wine1!$K:$K,Location!$A75,Wine1!$AA:$AA,Location!U$1)</f>
        <v>0</v>
      </c>
      <c r="V75" s="37">
        <f>SUMIFS(Wine1!$I:$I,Wine1!$K:$K,Location!$A75,Wine1!$AA:$AA,Location!V$1)</f>
        <v>0</v>
      </c>
      <c r="W75" s="37">
        <f>SUMIFS(Wine1!$I:$I,Wine1!$K:$K,Location!$A75,Wine1!$AA:$AA,Location!W$1)</f>
        <v>0</v>
      </c>
      <c r="X75" s="37">
        <f>SUMIFS(Wine1!$I:$I,Wine1!$K:$K,Location!$A75,Wine1!$AA:$AA,Location!X$1)</f>
        <v>0</v>
      </c>
      <c r="Y75" s="37">
        <f>SUMIFS(Wine1!$I:$I,Wine1!$K:$K,Location!$A75,Wine1!$AA:$AA,Location!Y$1)</f>
        <v>0</v>
      </c>
      <c r="Z75" s="37">
        <f>SUMIFS(Wine1!$I:$I,Wine1!$K:$K,Location!$A75,Wine1!$AA:$AA,Location!Z$1)</f>
        <v>0</v>
      </c>
      <c r="AA75" s="37">
        <f>SUMIFS(Wine1!$I:$I,Wine1!$K:$K,Location!$A75,Wine1!$AA:$AA,Location!AA$1)</f>
        <v>0</v>
      </c>
      <c r="AB75" s="37">
        <f>SUMIFS(Wine1!$I:$I,Wine1!$K:$K,Location!$A75,Wine1!$AA:$AA,Location!AB$1)</f>
        <v>0</v>
      </c>
      <c r="AC75" s="37">
        <f>SUMIFS(Wine1!$I:$I,Wine1!$K:$K,Location!$A75,Wine1!$AA:$AA,Location!AC$1)</f>
        <v>0</v>
      </c>
      <c r="AD75" s="37">
        <f>SUMIFS(Wine1!$I:$I,Wine1!$K:$K,Location!$A75,Wine1!$AA:$AA,Location!AD$1)</f>
        <v>0</v>
      </c>
      <c r="AE75" s="37">
        <f>SUMIFS(Wine1!$I:$I,Wine1!$K:$K,Location!$A75,Wine1!$AA:$AA,Location!AE$1)</f>
        <v>0</v>
      </c>
      <c r="AF75" s="37">
        <f>SUMIFS(Wine1!$I:$I,Wine1!$K:$K,Location!$A75,Wine1!$AA:$AA,Location!AF$1)</f>
        <v>0</v>
      </c>
      <c r="AG75" s="37">
        <f>SUMIFS(Wine1!$I:$I,Wine1!$K:$K,Location!$A75,Wine1!$AA:$AA,Location!AG$1)</f>
        <v>0</v>
      </c>
      <c r="AH75" s="37">
        <f>SUMIFS(Wine1!$I:$I,Wine1!$K:$K,Location!$A75,Wine1!$AA:$AA,Location!AH$1)</f>
        <v>0</v>
      </c>
      <c r="AI75" s="37">
        <f>SUMIFS(Wine1!$I:$I,Wine1!$K:$K,Location!$A75,Wine1!$AA:$AA,Location!AI$1)</f>
        <v>0</v>
      </c>
      <c r="AJ75" s="37">
        <f>SUMIFS(Wine1!$I:$I,Wine1!$K:$K,Location!$A75,Wine1!$AA:$AA,Location!AJ$1)</f>
        <v>0</v>
      </c>
      <c r="AK75" s="37">
        <f>SUMIFS(Wine1!$I:$I,Wine1!$K:$K,Location!$A75,Wine1!$AA:$AA,Location!AK$1)</f>
        <v>0</v>
      </c>
      <c r="AL75" s="37">
        <f>SUMIFS(Wine1!$I:$I,Wine1!$K:$K,Location!$A75,Wine1!$AA:$AA,Location!AL$1)</f>
        <v>0</v>
      </c>
      <c r="AM75" s="37">
        <f>SUMIFS(Wine1!$I:$I,Wine1!$K:$K,Location!$A75,Wine1!$AA:$AA,Location!AM$1)</f>
        <v>0</v>
      </c>
      <c r="AN75" s="37">
        <f>SUMIFS(Wine1!$I:$I,Wine1!$K:$K,Location!$A75,Wine1!$AA:$AA,Location!AN$1)</f>
        <v>0</v>
      </c>
      <c r="AO75" s="37">
        <f>SUMIFS(Wine1!$I:$I,Wine1!$K:$K,Location!$A75,Wine1!$AA:$AA,Location!AO$1)</f>
        <v>0</v>
      </c>
      <c r="AP75" s="37">
        <f>SUMIFS(Wine1!$I:$I,Wine1!$K:$K,Location!$A75,Wine1!$AA:$AA,Location!AP$1)</f>
        <v>0</v>
      </c>
      <c r="AQ75" s="37">
        <f>SUMIFS(Wine1!$I:$I,Wine1!$K:$K,Location!$A75,Wine1!$AA:$AA,Location!AQ$1)</f>
        <v>0</v>
      </c>
      <c r="AR75" s="37">
        <f>SUMIFS(Wine1!$I:$I,Wine1!$K:$K,Location!$A75,Wine1!$AA:$AA,Location!AR$1)</f>
        <v>0</v>
      </c>
      <c r="AS75" s="37">
        <f>SUMIFS(Wine1!$I:$I,Wine1!$K:$K,Location!$A75,Wine1!$AA:$AA,Location!AS$1)</f>
        <v>0</v>
      </c>
      <c r="AT75" s="37">
        <f>SUMIFS(Wine1!$I:$I,Wine1!$K:$K,Location!$A75,Wine1!$AA:$AA,Location!AT$1)</f>
        <v>0</v>
      </c>
      <c r="AU75" s="37">
        <f>SUMIFS(Wine1!$I:$I,Wine1!$K:$K,Location!$A75,Wine1!$AA:$AA,Location!AU$1)</f>
        <v>0</v>
      </c>
      <c r="AV75" s="37">
        <f>SUMIFS(Wine1!$I:$I,Wine1!$K:$K,Location!$A75,Wine1!$AA:$AA,Location!AV$1)</f>
        <v>0</v>
      </c>
      <c r="AW75" s="37">
        <f>SUMIFS(Wine1!$I:$I,Wine1!$K:$K,Location!$A75,Wine1!$AA:$AA,Location!AW$1)</f>
        <v>0</v>
      </c>
      <c r="AX75" s="37">
        <f>SUMIFS(Wine1!$I:$I,Wine1!$K:$K,Location!$A75,Wine1!$AA:$AA,Location!AX$1)</f>
        <v>0</v>
      </c>
      <c r="AY75" s="37">
        <f>SUMIFS(Wine1!$I:$I,Wine1!$K:$K,Location!$A75,Wine1!$AA:$AA,Location!AY$1)</f>
        <v>0</v>
      </c>
      <c r="AZ75" s="37">
        <f>SUMIFS(Wine1!$I:$I,Wine1!$K:$K,Location!$A75,Wine1!$AA:$AA,Location!AZ$1)</f>
        <v>0</v>
      </c>
      <c r="BA75" s="37">
        <f>SUMIFS(Wine1!$I:$I,Wine1!$K:$K,Location!$A75,Wine1!$AA:$AA,Location!BA$1)</f>
        <v>0</v>
      </c>
      <c r="BB75" s="37">
        <f>SUMIFS(Wine1!$I:$I,Wine1!$K:$K,Location!$A75,Wine1!$AA:$AA,Location!BB$1)</f>
        <v>0</v>
      </c>
      <c r="BC75" s="37">
        <f>SUMIFS(Wine1!$I:$I,Wine1!$K:$K,Location!$A75,Wine1!$AA:$AA,Location!BC$1)</f>
        <v>0</v>
      </c>
      <c r="BD75" s="37">
        <f>SUMIFS(Wine1!$I:$I,Wine1!$K:$K,Location!$A75,Wine1!$AA:$AA,Location!BD$1)</f>
        <v>0</v>
      </c>
      <c r="BE75" s="37">
        <f>SUMIFS(Wine1!$I:$I,Wine1!$K:$K,Location!$A75,Wine1!$AA:$AA,Location!BE$1)</f>
        <v>0</v>
      </c>
      <c r="BF75" s="37">
        <f>SUMIFS(Wine1!$I:$I,Wine1!$K:$K,Location!$A75,Wine1!$AA:$AA,Location!BF$1)</f>
        <v>0</v>
      </c>
      <c r="BG75" s="37">
        <f>SUMIFS(Wine1!$I:$I,Wine1!$K:$K,Location!$A75,Wine1!$AA:$AA,Location!BG$1)</f>
        <v>0</v>
      </c>
      <c r="BH75" s="37">
        <f>SUMIFS(Wine1!$I:$I,Wine1!$K:$K,Location!$A75,Wine1!$AA:$AA,Location!BH$1)</f>
        <v>0</v>
      </c>
      <c r="BI75" s="37">
        <f>SUMIFS(Wine1!$I:$I,Wine1!$K:$K,Location!$A75,Wine1!$AA:$AA,Location!BI$1)</f>
        <v>0</v>
      </c>
    </row>
    <row r="76" spans="1:61" s="8" customFormat="1" x14ac:dyDescent="0.25">
      <c r="A76" s="8" t="s">
        <v>1834</v>
      </c>
      <c r="B76" s="37">
        <f>SUMIF(Wine1!K:K,Location!A76,Wine1!I:I)</f>
        <v>0</v>
      </c>
      <c r="C76" s="8">
        <v>12</v>
      </c>
      <c r="D76" s="37">
        <f t="shared" si="2"/>
        <v>12</v>
      </c>
      <c r="E76" s="37" t="s">
        <v>600</v>
      </c>
      <c r="F76" s="8" t="s">
        <v>718</v>
      </c>
      <c r="G76" s="62"/>
      <c r="H76" s="56">
        <f>COUNTIFS(Wine1!$K:$K,Location!$A76,Wine1!$AF:$AF,Location!H$1)</f>
        <v>0</v>
      </c>
      <c r="I76" s="57">
        <f>COUNTIFS(Wine1!$K:$K,Location!$A76,Wine1!$AF:$AF,Location!I$1)</f>
        <v>0</v>
      </c>
      <c r="J76" s="57">
        <f>COUNTIFS(Wine1!$K:$K,Location!$A76,Wine1!$AF:$AF,Location!J$1)</f>
        <v>0</v>
      </c>
      <c r="K76" s="58">
        <f>COUNTIFS(Wine1!$K:$K,Location!$A76,Wine1!$AF:$AF,Location!K$1)</f>
        <v>0</v>
      </c>
      <c r="L76" s="18" t="str">
        <f>IFERROR(AVERAGEIF(Wine1!K:K,Location!A76,Wine1!AA:AA),"Empty")</f>
        <v>Empty</v>
      </c>
      <c r="M76" s="37">
        <f>SUMIFS(Wine1!$I:$I,Wine1!$K:$K,Location!$A76,Wine1!$AA:$AA,Location!M$1)</f>
        <v>0</v>
      </c>
      <c r="N76" s="37">
        <f>SUMIFS(Wine1!$I:$I,Wine1!$K:$K,Location!$A76,Wine1!$AA:$AA,Location!N$1)</f>
        <v>0</v>
      </c>
      <c r="O76" s="37">
        <f>SUMIFS(Wine1!$I:$I,Wine1!$K:$K,Location!$A76,Wine1!$AA:$AA,Location!O$1)</f>
        <v>0</v>
      </c>
      <c r="P76" s="37">
        <f>SUMIFS(Wine1!$I:$I,Wine1!$K:$K,Location!$A76,Wine1!$AA:$AA,Location!P$1)</f>
        <v>0</v>
      </c>
      <c r="Q76" s="37">
        <f>SUMIFS(Wine1!$I:$I,Wine1!$K:$K,Location!$A76,Wine1!$AA:$AA,Location!Q$1)</f>
        <v>0</v>
      </c>
      <c r="R76" s="37">
        <f>SUMIFS(Wine1!$I:$I,Wine1!$K:$K,Location!$A76,Wine1!$AA:$AA,Location!R$1)</f>
        <v>0</v>
      </c>
      <c r="S76" s="37">
        <f>SUMIFS(Wine1!$I:$I,Wine1!$K:$K,Location!$A76,Wine1!$AA:$AA,Location!S$1)</f>
        <v>0</v>
      </c>
      <c r="T76" s="37">
        <f>SUMIFS(Wine1!$I:$I,Wine1!$K:$K,Location!$A76,Wine1!$AA:$AA,Location!T$1)</f>
        <v>0</v>
      </c>
      <c r="U76" s="37">
        <f>SUMIFS(Wine1!$I:$I,Wine1!$K:$K,Location!$A76,Wine1!$AA:$AA,Location!U$1)</f>
        <v>0</v>
      </c>
      <c r="V76" s="37">
        <f>SUMIFS(Wine1!$I:$I,Wine1!$K:$K,Location!$A76,Wine1!$AA:$AA,Location!V$1)</f>
        <v>0</v>
      </c>
      <c r="W76" s="37">
        <f>SUMIFS(Wine1!$I:$I,Wine1!$K:$K,Location!$A76,Wine1!$AA:$AA,Location!W$1)</f>
        <v>0</v>
      </c>
      <c r="X76" s="37">
        <f>SUMIFS(Wine1!$I:$I,Wine1!$K:$K,Location!$A76,Wine1!$AA:$AA,Location!X$1)</f>
        <v>0</v>
      </c>
      <c r="Y76" s="37">
        <f>SUMIFS(Wine1!$I:$I,Wine1!$K:$K,Location!$A76,Wine1!$AA:$AA,Location!Y$1)</f>
        <v>0</v>
      </c>
      <c r="Z76" s="37">
        <f>SUMIFS(Wine1!$I:$I,Wine1!$K:$K,Location!$A76,Wine1!$AA:$AA,Location!Z$1)</f>
        <v>0</v>
      </c>
      <c r="AA76" s="37">
        <f>SUMIFS(Wine1!$I:$I,Wine1!$K:$K,Location!$A76,Wine1!$AA:$AA,Location!AA$1)</f>
        <v>0</v>
      </c>
      <c r="AB76" s="37">
        <f>SUMIFS(Wine1!$I:$I,Wine1!$K:$K,Location!$A76,Wine1!$AA:$AA,Location!AB$1)</f>
        <v>0</v>
      </c>
      <c r="AC76" s="37">
        <f>SUMIFS(Wine1!$I:$I,Wine1!$K:$K,Location!$A76,Wine1!$AA:$AA,Location!AC$1)</f>
        <v>0</v>
      </c>
      <c r="AD76" s="37">
        <f>SUMIFS(Wine1!$I:$I,Wine1!$K:$K,Location!$A76,Wine1!$AA:$AA,Location!AD$1)</f>
        <v>0</v>
      </c>
      <c r="AE76" s="37">
        <f>SUMIFS(Wine1!$I:$I,Wine1!$K:$K,Location!$A76,Wine1!$AA:$AA,Location!AE$1)</f>
        <v>0</v>
      </c>
      <c r="AF76" s="37">
        <f>SUMIFS(Wine1!$I:$I,Wine1!$K:$K,Location!$A76,Wine1!$AA:$AA,Location!AF$1)</f>
        <v>0</v>
      </c>
      <c r="AG76" s="37">
        <f>SUMIFS(Wine1!$I:$I,Wine1!$K:$K,Location!$A76,Wine1!$AA:$AA,Location!AG$1)</f>
        <v>0</v>
      </c>
      <c r="AH76" s="37">
        <f>SUMIFS(Wine1!$I:$I,Wine1!$K:$K,Location!$A76,Wine1!$AA:$AA,Location!AH$1)</f>
        <v>0</v>
      </c>
      <c r="AI76" s="37">
        <f>SUMIFS(Wine1!$I:$I,Wine1!$K:$K,Location!$A76,Wine1!$AA:$AA,Location!AI$1)</f>
        <v>0</v>
      </c>
      <c r="AJ76" s="37">
        <f>SUMIFS(Wine1!$I:$I,Wine1!$K:$K,Location!$A76,Wine1!$AA:$AA,Location!AJ$1)</f>
        <v>0</v>
      </c>
      <c r="AK76" s="37">
        <f>SUMIFS(Wine1!$I:$I,Wine1!$K:$K,Location!$A76,Wine1!$AA:$AA,Location!AK$1)</f>
        <v>0</v>
      </c>
      <c r="AL76" s="37">
        <f>SUMIFS(Wine1!$I:$I,Wine1!$K:$K,Location!$A76,Wine1!$AA:$AA,Location!AL$1)</f>
        <v>0</v>
      </c>
      <c r="AM76" s="37">
        <f>SUMIFS(Wine1!$I:$I,Wine1!$K:$K,Location!$A76,Wine1!$AA:$AA,Location!AM$1)</f>
        <v>0</v>
      </c>
      <c r="AN76" s="37">
        <f>SUMIFS(Wine1!$I:$I,Wine1!$K:$K,Location!$A76,Wine1!$AA:$AA,Location!AN$1)</f>
        <v>0</v>
      </c>
      <c r="AO76" s="37">
        <f>SUMIFS(Wine1!$I:$I,Wine1!$K:$K,Location!$A76,Wine1!$AA:$AA,Location!AO$1)</f>
        <v>0</v>
      </c>
      <c r="AP76" s="37">
        <f>SUMIFS(Wine1!$I:$I,Wine1!$K:$K,Location!$A76,Wine1!$AA:$AA,Location!AP$1)</f>
        <v>0</v>
      </c>
      <c r="AQ76" s="37">
        <f>SUMIFS(Wine1!$I:$I,Wine1!$K:$K,Location!$A76,Wine1!$AA:$AA,Location!AQ$1)</f>
        <v>0</v>
      </c>
      <c r="AR76" s="37">
        <f>SUMIFS(Wine1!$I:$I,Wine1!$K:$K,Location!$A76,Wine1!$AA:$AA,Location!AR$1)</f>
        <v>0</v>
      </c>
      <c r="AS76" s="37">
        <f>SUMIFS(Wine1!$I:$I,Wine1!$K:$K,Location!$A76,Wine1!$AA:$AA,Location!AS$1)</f>
        <v>0</v>
      </c>
      <c r="AT76" s="37">
        <f>SUMIFS(Wine1!$I:$I,Wine1!$K:$K,Location!$A76,Wine1!$AA:$AA,Location!AT$1)</f>
        <v>0</v>
      </c>
      <c r="AU76" s="37">
        <f>SUMIFS(Wine1!$I:$I,Wine1!$K:$K,Location!$A76,Wine1!$AA:$AA,Location!AU$1)</f>
        <v>0</v>
      </c>
      <c r="AV76" s="37">
        <f>SUMIFS(Wine1!$I:$I,Wine1!$K:$K,Location!$A76,Wine1!$AA:$AA,Location!AV$1)</f>
        <v>0</v>
      </c>
      <c r="AW76" s="37">
        <f>SUMIFS(Wine1!$I:$I,Wine1!$K:$K,Location!$A76,Wine1!$AA:$AA,Location!AW$1)</f>
        <v>0</v>
      </c>
      <c r="AX76" s="37">
        <f>SUMIFS(Wine1!$I:$I,Wine1!$K:$K,Location!$A76,Wine1!$AA:$AA,Location!AX$1)</f>
        <v>0</v>
      </c>
      <c r="AY76" s="37">
        <f>SUMIFS(Wine1!$I:$I,Wine1!$K:$K,Location!$A76,Wine1!$AA:$AA,Location!AY$1)</f>
        <v>0</v>
      </c>
      <c r="AZ76" s="37">
        <f>SUMIFS(Wine1!$I:$I,Wine1!$K:$K,Location!$A76,Wine1!$AA:$AA,Location!AZ$1)</f>
        <v>0</v>
      </c>
      <c r="BA76" s="37">
        <f>SUMIFS(Wine1!$I:$I,Wine1!$K:$K,Location!$A76,Wine1!$AA:$AA,Location!BA$1)</f>
        <v>0</v>
      </c>
      <c r="BB76" s="37">
        <f>SUMIFS(Wine1!$I:$I,Wine1!$K:$K,Location!$A76,Wine1!$AA:$AA,Location!BB$1)</f>
        <v>0</v>
      </c>
      <c r="BC76" s="37">
        <f>SUMIFS(Wine1!$I:$I,Wine1!$K:$K,Location!$A76,Wine1!$AA:$AA,Location!BC$1)</f>
        <v>0</v>
      </c>
      <c r="BD76" s="37">
        <f>SUMIFS(Wine1!$I:$I,Wine1!$K:$K,Location!$A76,Wine1!$AA:$AA,Location!BD$1)</f>
        <v>0</v>
      </c>
      <c r="BE76" s="37">
        <f>SUMIFS(Wine1!$I:$I,Wine1!$K:$K,Location!$A76,Wine1!$AA:$AA,Location!BE$1)</f>
        <v>0</v>
      </c>
      <c r="BF76" s="37">
        <f>SUMIFS(Wine1!$I:$I,Wine1!$K:$K,Location!$A76,Wine1!$AA:$AA,Location!BF$1)</f>
        <v>0</v>
      </c>
      <c r="BG76" s="37">
        <f>SUMIFS(Wine1!$I:$I,Wine1!$K:$K,Location!$A76,Wine1!$AA:$AA,Location!BG$1)</f>
        <v>0</v>
      </c>
      <c r="BH76" s="37">
        <f>SUMIFS(Wine1!$I:$I,Wine1!$K:$K,Location!$A76,Wine1!$AA:$AA,Location!BH$1)</f>
        <v>0</v>
      </c>
      <c r="BI76" s="37">
        <f>SUMIFS(Wine1!$I:$I,Wine1!$K:$K,Location!$A76,Wine1!$AA:$AA,Location!BI$1)</f>
        <v>0</v>
      </c>
    </row>
    <row r="77" spans="1:61" s="8" customFormat="1" x14ac:dyDescent="0.25">
      <c r="A77" s="8" t="s">
        <v>1835</v>
      </c>
      <c r="B77" s="37">
        <f>SUMIF(Wine1!K:K,Location!A77,Wine1!I:I)</f>
        <v>0</v>
      </c>
      <c r="C77" s="8">
        <v>12</v>
      </c>
      <c r="D77" s="37">
        <f t="shared" si="2"/>
        <v>12</v>
      </c>
      <c r="E77" s="37" t="s">
        <v>600</v>
      </c>
      <c r="F77" s="8" t="s">
        <v>718</v>
      </c>
      <c r="G77" s="62"/>
      <c r="H77" s="56">
        <f>COUNTIFS(Wine1!$K:$K,Location!$A77,Wine1!$AF:$AF,Location!H$1)</f>
        <v>0</v>
      </c>
      <c r="I77" s="57">
        <f>COUNTIFS(Wine1!$K:$K,Location!$A77,Wine1!$AF:$AF,Location!I$1)</f>
        <v>0</v>
      </c>
      <c r="J77" s="57">
        <f>COUNTIFS(Wine1!$K:$K,Location!$A77,Wine1!$AF:$AF,Location!J$1)</f>
        <v>0</v>
      </c>
      <c r="K77" s="58">
        <f>COUNTIFS(Wine1!$K:$K,Location!$A77,Wine1!$AF:$AF,Location!K$1)</f>
        <v>0</v>
      </c>
      <c r="L77" s="18" t="str">
        <f>IFERROR(AVERAGEIF(Wine1!K:K,Location!A77,Wine1!AA:AA),"Empty")</f>
        <v>Empty</v>
      </c>
      <c r="M77" s="37">
        <f>SUMIFS(Wine1!$I:$I,Wine1!$K:$K,Location!$A77,Wine1!$AA:$AA,Location!M$1)</f>
        <v>0</v>
      </c>
      <c r="N77" s="37">
        <f>SUMIFS(Wine1!$I:$I,Wine1!$K:$K,Location!$A77,Wine1!$AA:$AA,Location!N$1)</f>
        <v>0</v>
      </c>
      <c r="O77" s="37">
        <f>SUMIFS(Wine1!$I:$I,Wine1!$K:$K,Location!$A77,Wine1!$AA:$AA,Location!O$1)</f>
        <v>0</v>
      </c>
      <c r="P77" s="37">
        <f>SUMIFS(Wine1!$I:$I,Wine1!$K:$K,Location!$A77,Wine1!$AA:$AA,Location!P$1)</f>
        <v>0</v>
      </c>
      <c r="Q77" s="37">
        <f>SUMIFS(Wine1!$I:$I,Wine1!$K:$K,Location!$A77,Wine1!$AA:$AA,Location!Q$1)</f>
        <v>0</v>
      </c>
      <c r="R77" s="37">
        <f>SUMIFS(Wine1!$I:$I,Wine1!$K:$K,Location!$A77,Wine1!$AA:$AA,Location!R$1)</f>
        <v>0</v>
      </c>
      <c r="S77" s="37">
        <f>SUMIFS(Wine1!$I:$I,Wine1!$K:$K,Location!$A77,Wine1!$AA:$AA,Location!S$1)</f>
        <v>0</v>
      </c>
      <c r="T77" s="37">
        <f>SUMIFS(Wine1!$I:$I,Wine1!$K:$K,Location!$A77,Wine1!$AA:$AA,Location!T$1)</f>
        <v>0</v>
      </c>
      <c r="U77" s="37">
        <f>SUMIFS(Wine1!$I:$I,Wine1!$K:$K,Location!$A77,Wine1!$AA:$AA,Location!U$1)</f>
        <v>0</v>
      </c>
      <c r="V77" s="37">
        <f>SUMIFS(Wine1!$I:$I,Wine1!$K:$K,Location!$A77,Wine1!$AA:$AA,Location!V$1)</f>
        <v>0</v>
      </c>
      <c r="W77" s="37">
        <f>SUMIFS(Wine1!$I:$I,Wine1!$K:$K,Location!$A77,Wine1!$AA:$AA,Location!W$1)</f>
        <v>0</v>
      </c>
      <c r="X77" s="37">
        <f>SUMIFS(Wine1!$I:$I,Wine1!$K:$K,Location!$A77,Wine1!$AA:$AA,Location!X$1)</f>
        <v>0</v>
      </c>
      <c r="Y77" s="37">
        <f>SUMIFS(Wine1!$I:$I,Wine1!$K:$K,Location!$A77,Wine1!$AA:$AA,Location!Y$1)</f>
        <v>0</v>
      </c>
      <c r="Z77" s="37">
        <f>SUMIFS(Wine1!$I:$I,Wine1!$K:$K,Location!$A77,Wine1!$AA:$AA,Location!Z$1)</f>
        <v>0</v>
      </c>
      <c r="AA77" s="37">
        <f>SUMIFS(Wine1!$I:$I,Wine1!$K:$K,Location!$A77,Wine1!$AA:$AA,Location!AA$1)</f>
        <v>0</v>
      </c>
      <c r="AB77" s="37">
        <f>SUMIFS(Wine1!$I:$I,Wine1!$K:$K,Location!$A77,Wine1!$AA:$AA,Location!AB$1)</f>
        <v>0</v>
      </c>
      <c r="AC77" s="37">
        <f>SUMIFS(Wine1!$I:$I,Wine1!$K:$K,Location!$A77,Wine1!$AA:$AA,Location!AC$1)</f>
        <v>0</v>
      </c>
      <c r="AD77" s="37">
        <f>SUMIFS(Wine1!$I:$I,Wine1!$K:$K,Location!$A77,Wine1!$AA:$AA,Location!AD$1)</f>
        <v>0</v>
      </c>
      <c r="AE77" s="37">
        <f>SUMIFS(Wine1!$I:$I,Wine1!$K:$K,Location!$A77,Wine1!$AA:$AA,Location!AE$1)</f>
        <v>0</v>
      </c>
      <c r="AF77" s="37">
        <f>SUMIFS(Wine1!$I:$I,Wine1!$K:$K,Location!$A77,Wine1!$AA:$AA,Location!AF$1)</f>
        <v>0</v>
      </c>
      <c r="AG77" s="37">
        <f>SUMIFS(Wine1!$I:$I,Wine1!$K:$K,Location!$A77,Wine1!$AA:$AA,Location!AG$1)</f>
        <v>0</v>
      </c>
      <c r="AH77" s="37">
        <f>SUMIFS(Wine1!$I:$I,Wine1!$K:$K,Location!$A77,Wine1!$AA:$AA,Location!AH$1)</f>
        <v>0</v>
      </c>
      <c r="AI77" s="37">
        <f>SUMIFS(Wine1!$I:$I,Wine1!$K:$K,Location!$A77,Wine1!$AA:$AA,Location!AI$1)</f>
        <v>0</v>
      </c>
      <c r="AJ77" s="37">
        <f>SUMIFS(Wine1!$I:$I,Wine1!$K:$K,Location!$A77,Wine1!$AA:$AA,Location!AJ$1)</f>
        <v>0</v>
      </c>
      <c r="AK77" s="37">
        <f>SUMIFS(Wine1!$I:$I,Wine1!$K:$K,Location!$A77,Wine1!$AA:$AA,Location!AK$1)</f>
        <v>0</v>
      </c>
      <c r="AL77" s="37">
        <f>SUMIFS(Wine1!$I:$I,Wine1!$K:$K,Location!$A77,Wine1!$AA:$AA,Location!AL$1)</f>
        <v>0</v>
      </c>
      <c r="AM77" s="37">
        <f>SUMIFS(Wine1!$I:$I,Wine1!$K:$K,Location!$A77,Wine1!$AA:$AA,Location!AM$1)</f>
        <v>0</v>
      </c>
      <c r="AN77" s="37">
        <f>SUMIFS(Wine1!$I:$I,Wine1!$K:$K,Location!$A77,Wine1!$AA:$AA,Location!AN$1)</f>
        <v>0</v>
      </c>
      <c r="AO77" s="37">
        <f>SUMIFS(Wine1!$I:$I,Wine1!$K:$K,Location!$A77,Wine1!$AA:$AA,Location!AO$1)</f>
        <v>0</v>
      </c>
      <c r="AP77" s="37">
        <f>SUMIFS(Wine1!$I:$I,Wine1!$K:$K,Location!$A77,Wine1!$AA:$AA,Location!AP$1)</f>
        <v>0</v>
      </c>
      <c r="AQ77" s="37">
        <f>SUMIFS(Wine1!$I:$I,Wine1!$K:$K,Location!$A77,Wine1!$AA:$AA,Location!AQ$1)</f>
        <v>0</v>
      </c>
      <c r="AR77" s="37">
        <f>SUMIFS(Wine1!$I:$I,Wine1!$K:$K,Location!$A77,Wine1!$AA:$AA,Location!AR$1)</f>
        <v>0</v>
      </c>
      <c r="AS77" s="37">
        <f>SUMIFS(Wine1!$I:$I,Wine1!$K:$K,Location!$A77,Wine1!$AA:$AA,Location!AS$1)</f>
        <v>0</v>
      </c>
      <c r="AT77" s="37">
        <f>SUMIFS(Wine1!$I:$I,Wine1!$K:$K,Location!$A77,Wine1!$AA:$AA,Location!AT$1)</f>
        <v>0</v>
      </c>
      <c r="AU77" s="37">
        <f>SUMIFS(Wine1!$I:$I,Wine1!$K:$K,Location!$A77,Wine1!$AA:$AA,Location!AU$1)</f>
        <v>0</v>
      </c>
      <c r="AV77" s="37">
        <f>SUMIFS(Wine1!$I:$I,Wine1!$K:$K,Location!$A77,Wine1!$AA:$AA,Location!AV$1)</f>
        <v>0</v>
      </c>
      <c r="AW77" s="37">
        <f>SUMIFS(Wine1!$I:$I,Wine1!$K:$K,Location!$A77,Wine1!$AA:$AA,Location!AW$1)</f>
        <v>0</v>
      </c>
      <c r="AX77" s="37">
        <f>SUMIFS(Wine1!$I:$I,Wine1!$K:$K,Location!$A77,Wine1!$AA:$AA,Location!AX$1)</f>
        <v>0</v>
      </c>
      <c r="AY77" s="37">
        <f>SUMIFS(Wine1!$I:$I,Wine1!$K:$K,Location!$A77,Wine1!$AA:$AA,Location!AY$1)</f>
        <v>0</v>
      </c>
      <c r="AZ77" s="37">
        <f>SUMIFS(Wine1!$I:$I,Wine1!$K:$K,Location!$A77,Wine1!$AA:$AA,Location!AZ$1)</f>
        <v>0</v>
      </c>
      <c r="BA77" s="37">
        <f>SUMIFS(Wine1!$I:$I,Wine1!$K:$K,Location!$A77,Wine1!$AA:$AA,Location!BA$1)</f>
        <v>0</v>
      </c>
      <c r="BB77" s="37">
        <f>SUMIFS(Wine1!$I:$I,Wine1!$K:$K,Location!$A77,Wine1!$AA:$AA,Location!BB$1)</f>
        <v>0</v>
      </c>
      <c r="BC77" s="37">
        <f>SUMIFS(Wine1!$I:$I,Wine1!$K:$K,Location!$A77,Wine1!$AA:$AA,Location!BC$1)</f>
        <v>0</v>
      </c>
      <c r="BD77" s="37">
        <f>SUMIFS(Wine1!$I:$I,Wine1!$K:$K,Location!$A77,Wine1!$AA:$AA,Location!BD$1)</f>
        <v>0</v>
      </c>
      <c r="BE77" s="37">
        <f>SUMIFS(Wine1!$I:$I,Wine1!$K:$K,Location!$A77,Wine1!$AA:$AA,Location!BE$1)</f>
        <v>0</v>
      </c>
      <c r="BF77" s="37">
        <f>SUMIFS(Wine1!$I:$I,Wine1!$K:$K,Location!$A77,Wine1!$AA:$AA,Location!BF$1)</f>
        <v>0</v>
      </c>
      <c r="BG77" s="37">
        <f>SUMIFS(Wine1!$I:$I,Wine1!$K:$K,Location!$A77,Wine1!$AA:$AA,Location!BG$1)</f>
        <v>0</v>
      </c>
      <c r="BH77" s="37">
        <f>SUMIFS(Wine1!$I:$I,Wine1!$K:$K,Location!$A77,Wine1!$AA:$AA,Location!BH$1)</f>
        <v>0</v>
      </c>
      <c r="BI77" s="37">
        <f>SUMIFS(Wine1!$I:$I,Wine1!$K:$K,Location!$A77,Wine1!$AA:$AA,Location!BI$1)</f>
        <v>0</v>
      </c>
    </row>
    <row r="78" spans="1:61" s="8" customFormat="1" x14ac:dyDescent="0.25">
      <c r="A78" s="8" t="s">
        <v>1836</v>
      </c>
      <c r="B78" s="37">
        <f>SUMIF(Wine1!K:K,Location!A78,Wine1!I:I)</f>
        <v>0</v>
      </c>
      <c r="C78" s="8">
        <v>12</v>
      </c>
      <c r="D78" s="37">
        <f t="shared" si="2"/>
        <v>12</v>
      </c>
      <c r="E78" s="37" t="s">
        <v>600</v>
      </c>
      <c r="F78" s="8" t="s">
        <v>718</v>
      </c>
      <c r="G78" s="62"/>
      <c r="H78" s="56">
        <f>COUNTIFS(Wine1!$K:$K,Location!$A78,Wine1!$AF:$AF,Location!H$1)</f>
        <v>0</v>
      </c>
      <c r="I78" s="57">
        <f>COUNTIFS(Wine1!$K:$K,Location!$A78,Wine1!$AF:$AF,Location!I$1)</f>
        <v>0</v>
      </c>
      <c r="J78" s="57">
        <f>COUNTIFS(Wine1!$K:$K,Location!$A78,Wine1!$AF:$AF,Location!J$1)</f>
        <v>0</v>
      </c>
      <c r="K78" s="58">
        <f>COUNTIFS(Wine1!$K:$K,Location!$A78,Wine1!$AF:$AF,Location!K$1)</f>
        <v>0</v>
      </c>
      <c r="L78" s="18" t="str">
        <f>IFERROR(AVERAGEIF(Wine1!K:K,Location!A78,Wine1!AA:AA),"Empty")</f>
        <v>Empty</v>
      </c>
      <c r="M78" s="37">
        <f>SUMIFS(Wine1!$I:$I,Wine1!$K:$K,Location!$A78,Wine1!$AA:$AA,Location!M$1)</f>
        <v>0</v>
      </c>
      <c r="N78" s="37">
        <f>SUMIFS(Wine1!$I:$I,Wine1!$K:$K,Location!$A78,Wine1!$AA:$AA,Location!N$1)</f>
        <v>0</v>
      </c>
      <c r="O78" s="37">
        <f>SUMIFS(Wine1!$I:$I,Wine1!$K:$K,Location!$A78,Wine1!$AA:$AA,Location!O$1)</f>
        <v>0</v>
      </c>
      <c r="P78" s="37">
        <f>SUMIFS(Wine1!$I:$I,Wine1!$K:$K,Location!$A78,Wine1!$AA:$AA,Location!P$1)</f>
        <v>0</v>
      </c>
      <c r="Q78" s="37">
        <f>SUMIFS(Wine1!$I:$I,Wine1!$K:$K,Location!$A78,Wine1!$AA:$AA,Location!Q$1)</f>
        <v>0</v>
      </c>
      <c r="R78" s="37">
        <f>SUMIFS(Wine1!$I:$I,Wine1!$K:$K,Location!$A78,Wine1!$AA:$AA,Location!R$1)</f>
        <v>0</v>
      </c>
      <c r="S78" s="37">
        <f>SUMIFS(Wine1!$I:$I,Wine1!$K:$K,Location!$A78,Wine1!$AA:$AA,Location!S$1)</f>
        <v>0</v>
      </c>
      <c r="T78" s="37">
        <f>SUMIFS(Wine1!$I:$I,Wine1!$K:$K,Location!$A78,Wine1!$AA:$AA,Location!T$1)</f>
        <v>0</v>
      </c>
      <c r="U78" s="37">
        <f>SUMIFS(Wine1!$I:$I,Wine1!$K:$K,Location!$A78,Wine1!$AA:$AA,Location!U$1)</f>
        <v>0</v>
      </c>
      <c r="V78" s="37">
        <f>SUMIFS(Wine1!$I:$I,Wine1!$K:$K,Location!$A78,Wine1!$AA:$AA,Location!V$1)</f>
        <v>0</v>
      </c>
      <c r="W78" s="37">
        <f>SUMIFS(Wine1!$I:$I,Wine1!$K:$K,Location!$A78,Wine1!$AA:$AA,Location!W$1)</f>
        <v>0</v>
      </c>
      <c r="X78" s="37">
        <f>SUMIFS(Wine1!$I:$I,Wine1!$K:$K,Location!$A78,Wine1!$AA:$AA,Location!X$1)</f>
        <v>0</v>
      </c>
      <c r="Y78" s="37">
        <f>SUMIFS(Wine1!$I:$I,Wine1!$K:$K,Location!$A78,Wine1!$AA:$AA,Location!Y$1)</f>
        <v>0</v>
      </c>
      <c r="Z78" s="37">
        <f>SUMIFS(Wine1!$I:$I,Wine1!$K:$K,Location!$A78,Wine1!$AA:$AA,Location!Z$1)</f>
        <v>0</v>
      </c>
      <c r="AA78" s="37">
        <f>SUMIFS(Wine1!$I:$I,Wine1!$K:$K,Location!$A78,Wine1!$AA:$AA,Location!AA$1)</f>
        <v>0</v>
      </c>
      <c r="AB78" s="37">
        <f>SUMIFS(Wine1!$I:$I,Wine1!$K:$K,Location!$A78,Wine1!$AA:$AA,Location!AB$1)</f>
        <v>0</v>
      </c>
      <c r="AC78" s="37">
        <f>SUMIFS(Wine1!$I:$I,Wine1!$K:$K,Location!$A78,Wine1!$AA:$AA,Location!AC$1)</f>
        <v>0</v>
      </c>
      <c r="AD78" s="37">
        <f>SUMIFS(Wine1!$I:$I,Wine1!$K:$K,Location!$A78,Wine1!$AA:$AA,Location!AD$1)</f>
        <v>0</v>
      </c>
      <c r="AE78" s="37">
        <f>SUMIFS(Wine1!$I:$I,Wine1!$K:$K,Location!$A78,Wine1!$AA:$AA,Location!AE$1)</f>
        <v>0</v>
      </c>
      <c r="AF78" s="37">
        <f>SUMIFS(Wine1!$I:$I,Wine1!$K:$K,Location!$A78,Wine1!$AA:$AA,Location!AF$1)</f>
        <v>0</v>
      </c>
      <c r="AG78" s="37">
        <f>SUMIFS(Wine1!$I:$I,Wine1!$K:$K,Location!$A78,Wine1!$AA:$AA,Location!AG$1)</f>
        <v>0</v>
      </c>
      <c r="AH78" s="37">
        <f>SUMIFS(Wine1!$I:$I,Wine1!$K:$K,Location!$A78,Wine1!$AA:$AA,Location!AH$1)</f>
        <v>0</v>
      </c>
      <c r="AI78" s="37">
        <f>SUMIFS(Wine1!$I:$I,Wine1!$K:$K,Location!$A78,Wine1!$AA:$AA,Location!AI$1)</f>
        <v>0</v>
      </c>
      <c r="AJ78" s="37">
        <f>SUMIFS(Wine1!$I:$I,Wine1!$K:$K,Location!$A78,Wine1!$AA:$AA,Location!AJ$1)</f>
        <v>0</v>
      </c>
      <c r="AK78" s="37">
        <f>SUMIFS(Wine1!$I:$I,Wine1!$K:$K,Location!$A78,Wine1!$AA:$AA,Location!AK$1)</f>
        <v>0</v>
      </c>
      <c r="AL78" s="37">
        <f>SUMIFS(Wine1!$I:$I,Wine1!$K:$K,Location!$A78,Wine1!$AA:$AA,Location!AL$1)</f>
        <v>0</v>
      </c>
      <c r="AM78" s="37">
        <f>SUMIFS(Wine1!$I:$I,Wine1!$K:$K,Location!$A78,Wine1!$AA:$AA,Location!AM$1)</f>
        <v>0</v>
      </c>
      <c r="AN78" s="37">
        <f>SUMIFS(Wine1!$I:$I,Wine1!$K:$K,Location!$A78,Wine1!$AA:$AA,Location!AN$1)</f>
        <v>0</v>
      </c>
      <c r="AO78" s="37">
        <f>SUMIFS(Wine1!$I:$I,Wine1!$K:$K,Location!$A78,Wine1!$AA:$AA,Location!AO$1)</f>
        <v>0</v>
      </c>
      <c r="AP78" s="37">
        <f>SUMIFS(Wine1!$I:$I,Wine1!$K:$K,Location!$A78,Wine1!$AA:$AA,Location!AP$1)</f>
        <v>0</v>
      </c>
      <c r="AQ78" s="37">
        <f>SUMIFS(Wine1!$I:$I,Wine1!$K:$K,Location!$A78,Wine1!$AA:$AA,Location!AQ$1)</f>
        <v>0</v>
      </c>
      <c r="AR78" s="37">
        <f>SUMIFS(Wine1!$I:$I,Wine1!$K:$K,Location!$A78,Wine1!$AA:$AA,Location!AR$1)</f>
        <v>0</v>
      </c>
      <c r="AS78" s="37">
        <f>SUMIFS(Wine1!$I:$I,Wine1!$K:$K,Location!$A78,Wine1!$AA:$AA,Location!AS$1)</f>
        <v>0</v>
      </c>
      <c r="AT78" s="37">
        <f>SUMIFS(Wine1!$I:$I,Wine1!$K:$K,Location!$A78,Wine1!$AA:$AA,Location!AT$1)</f>
        <v>0</v>
      </c>
      <c r="AU78" s="37">
        <f>SUMIFS(Wine1!$I:$I,Wine1!$K:$K,Location!$A78,Wine1!$AA:$AA,Location!AU$1)</f>
        <v>0</v>
      </c>
      <c r="AV78" s="37">
        <f>SUMIFS(Wine1!$I:$I,Wine1!$K:$K,Location!$A78,Wine1!$AA:$AA,Location!AV$1)</f>
        <v>0</v>
      </c>
      <c r="AW78" s="37">
        <f>SUMIFS(Wine1!$I:$I,Wine1!$K:$K,Location!$A78,Wine1!$AA:$AA,Location!AW$1)</f>
        <v>0</v>
      </c>
      <c r="AX78" s="37">
        <f>SUMIFS(Wine1!$I:$I,Wine1!$K:$K,Location!$A78,Wine1!$AA:$AA,Location!AX$1)</f>
        <v>0</v>
      </c>
      <c r="AY78" s="37">
        <f>SUMIFS(Wine1!$I:$I,Wine1!$K:$K,Location!$A78,Wine1!$AA:$AA,Location!AY$1)</f>
        <v>0</v>
      </c>
      <c r="AZ78" s="37">
        <f>SUMIFS(Wine1!$I:$I,Wine1!$K:$K,Location!$A78,Wine1!$AA:$AA,Location!AZ$1)</f>
        <v>0</v>
      </c>
      <c r="BA78" s="37">
        <f>SUMIFS(Wine1!$I:$I,Wine1!$K:$K,Location!$A78,Wine1!$AA:$AA,Location!BA$1)</f>
        <v>0</v>
      </c>
      <c r="BB78" s="37">
        <f>SUMIFS(Wine1!$I:$I,Wine1!$K:$K,Location!$A78,Wine1!$AA:$AA,Location!BB$1)</f>
        <v>0</v>
      </c>
      <c r="BC78" s="37">
        <f>SUMIFS(Wine1!$I:$I,Wine1!$K:$K,Location!$A78,Wine1!$AA:$AA,Location!BC$1)</f>
        <v>0</v>
      </c>
      <c r="BD78" s="37">
        <f>SUMIFS(Wine1!$I:$I,Wine1!$K:$K,Location!$A78,Wine1!$AA:$AA,Location!BD$1)</f>
        <v>0</v>
      </c>
      <c r="BE78" s="37">
        <f>SUMIFS(Wine1!$I:$I,Wine1!$K:$K,Location!$A78,Wine1!$AA:$AA,Location!BE$1)</f>
        <v>0</v>
      </c>
      <c r="BF78" s="37">
        <f>SUMIFS(Wine1!$I:$I,Wine1!$K:$K,Location!$A78,Wine1!$AA:$AA,Location!BF$1)</f>
        <v>0</v>
      </c>
      <c r="BG78" s="37">
        <f>SUMIFS(Wine1!$I:$I,Wine1!$K:$K,Location!$A78,Wine1!$AA:$AA,Location!BG$1)</f>
        <v>0</v>
      </c>
      <c r="BH78" s="37">
        <f>SUMIFS(Wine1!$I:$I,Wine1!$K:$K,Location!$A78,Wine1!$AA:$AA,Location!BH$1)</f>
        <v>0</v>
      </c>
      <c r="BI78" s="37">
        <f>SUMIFS(Wine1!$I:$I,Wine1!$K:$K,Location!$A78,Wine1!$AA:$AA,Location!BI$1)</f>
        <v>0</v>
      </c>
    </row>
    <row r="79" spans="1:61" s="8" customFormat="1" x14ac:dyDescent="0.25">
      <c r="A79" s="8" t="s">
        <v>1837</v>
      </c>
      <c r="B79" s="37">
        <f>SUMIF(Wine1!K:K,Location!A79,Wine1!I:I)</f>
        <v>0</v>
      </c>
      <c r="C79" s="8">
        <v>12</v>
      </c>
      <c r="D79" s="37">
        <f t="shared" si="2"/>
        <v>12</v>
      </c>
      <c r="E79" s="37" t="s">
        <v>600</v>
      </c>
      <c r="F79" s="8" t="s">
        <v>718</v>
      </c>
      <c r="G79" s="62"/>
      <c r="H79" s="56">
        <f>COUNTIFS(Wine1!$K:$K,Location!$A79,Wine1!$AF:$AF,Location!H$1)</f>
        <v>0</v>
      </c>
      <c r="I79" s="57">
        <f>COUNTIFS(Wine1!$K:$K,Location!$A79,Wine1!$AF:$AF,Location!I$1)</f>
        <v>0</v>
      </c>
      <c r="J79" s="57">
        <f>COUNTIFS(Wine1!$K:$K,Location!$A79,Wine1!$AF:$AF,Location!J$1)</f>
        <v>0</v>
      </c>
      <c r="K79" s="58">
        <f>COUNTIFS(Wine1!$K:$K,Location!$A79,Wine1!$AF:$AF,Location!K$1)</f>
        <v>0</v>
      </c>
      <c r="L79" s="18" t="str">
        <f>IFERROR(AVERAGEIF(Wine1!K:K,Location!A79,Wine1!AA:AA),"Empty")</f>
        <v>Empty</v>
      </c>
      <c r="M79" s="37">
        <f>SUMIFS(Wine1!$I:$I,Wine1!$K:$K,Location!$A79,Wine1!$AA:$AA,Location!M$1)</f>
        <v>0</v>
      </c>
      <c r="N79" s="37">
        <f>SUMIFS(Wine1!$I:$I,Wine1!$K:$K,Location!$A79,Wine1!$AA:$AA,Location!N$1)</f>
        <v>0</v>
      </c>
      <c r="O79" s="37">
        <f>SUMIFS(Wine1!$I:$I,Wine1!$K:$K,Location!$A79,Wine1!$AA:$AA,Location!O$1)</f>
        <v>0</v>
      </c>
      <c r="P79" s="37">
        <f>SUMIFS(Wine1!$I:$I,Wine1!$K:$K,Location!$A79,Wine1!$AA:$AA,Location!P$1)</f>
        <v>0</v>
      </c>
      <c r="Q79" s="37">
        <f>SUMIFS(Wine1!$I:$I,Wine1!$K:$K,Location!$A79,Wine1!$AA:$AA,Location!Q$1)</f>
        <v>0</v>
      </c>
      <c r="R79" s="37">
        <f>SUMIFS(Wine1!$I:$I,Wine1!$K:$K,Location!$A79,Wine1!$AA:$AA,Location!R$1)</f>
        <v>0</v>
      </c>
      <c r="S79" s="37">
        <f>SUMIFS(Wine1!$I:$I,Wine1!$K:$K,Location!$A79,Wine1!$AA:$AA,Location!S$1)</f>
        <v>0</v>
      </c>
      <c r="T79" s="37">
        <f>SUMIFS(Wine1!$I:$I,Wine1!$K:$K,Location!$A79,Wine1!$AA:$AA,Location!T$1)</f>
        <v>0</v>
      </c>
      <c r="U79" s="37">
        <f>SUMIFS(Wine1!$I:$I,Wine1!$K:$K,Location!$A79,Wine1!$AA:$AA,Location!U$1)</f>
        <v>0</v>
      </c>
      <c r="V79" s="37">
        <f>SUMIFS(Wine1!$I:$I,Wine1!$K:$K,Location!$A79,Wine1!$AA:$AA,Location!V$1)</f>
        <v>0</v>
      </c>
      <c r="W79" s="37">
        <f>SUMIFS(Wine1!$I:$I,Wine1!$K:$K,Location!$A79,Wine1!$AA:$AA,Location!W$1)</f>
        <v>0</v>
      </c>
      <c r="X79" s="37">
        <f>SUMIFS(Wine1!$I:$I,Wine1!$K:$K,Location!$A79,Wine1!$AA:$AA,Location!X$1)</f>
        <v>0</v>
      </c>
      <c r="Y79" s="37">
        <f>SUMIFS(Wine1!$I:$I,Wine1!$K:$K,Location!$A79,Wine1!$AA:$AA,Location!Y$1)</f>
        <v>0</v>
      </c>
      <c r="Z79" s="37">
        <f>SUMIFS(Wine1!$I:$I,Wine1!$K:$K,Location!$A79,Wine1!$AA:$AA,Location!Z$1)</f>
        <v>0</v>
      </c>
      <c r="AA79" s="37">
        <f>SUMIFS(Wine1!$I:$I,Wine1!$K:$K,Location!$A79,Wine1!$AA:$AA,Location!AA$1)</f>
        <v>0</v>
      </c>
      <c r="AB79" s="37">
        <f>SUMIFS(Wine1!$I:$I,Wine1!$K:$K,Location!$A79,Wine1!$AA:$AA,Location!AB$1)</f>
        <v>0</v>
      </c>
      <c r="AC79" s="37">
        <f>SUMIFS(Wine1!$I:$I,Wine1!$K:$K,Location!$A79,Wine1!$AA:$AA,Location!AC$1)</f>
        <v>0</v>
      </c>
      <c r="AD79" s="37">
        <f>SUMIFS(Wine1!$I:$I,Wine1!$K:$K,Location!$A79,Wine1!$AA:$AA,Location!AD$1)</f>
        <v>0</v>
      </c>
      <c r="AE79" s="37">
        <f>SUMIFS(Wine1!$I:$I,Wine1!$K:$K,Location!$A79,Wine1!$AA:$AA,Location!AE$1)</f>
        <v>0</v>
      </c>
      <c r="AF79" s="37">
        <f>SUMIFS(Wine1!$I:$I,Wine1!$K:$K,Location!$A79,Wine1!$AA:$AA,Location!AF$1)</f>
        <v>0</v>
      </c>
      <c r="AG79" s="37">
        <f>SUMIFS(Wine1!$I:$I,Wine1!$K:$K,Location!$A79,Wine1!$AA:$AA,Location!AG$1)</f>
        <v>0</v>
      </c>
      <c r="AH79" s="37">
        <f>SUMIFS(Wine1!$I:$I,Wine1!$K:$K,Location!$A79,Wine1!$AA:$AA,Location!AH$1)</f>
        <v>0</v>
      </c>
      <c r="AI79" s="37">
        <f>SUMIFS(Wine1!$I:$I,Wine1!$K:$K,Location!$A79,Wine1!$AA:$AA,Location!AI$1)</f>
        <v>0</v>
      </c>
      <c r="AJ79" s="37">
        <f>SUMIFS(Wine1!$I:$I,Wine1!$K:$K,Location!$A79,Wine1!$AA:$AA,Location!AJ$1)</f>
        <v>0</v>
      </c>
      <c r="AK79" s="37">
        <f>SUMIFS(Wine1!$I:$I,Wine1!$K:$K,Location!$A79,Wine1!$AA:$AA,Location!AK$1)</f>
        <v>0</v>
      </c>
      <c r="AL79" s="37">
        <f>SUMIFS(Wine1!$I:$I,Wine1!$K:$K,Location!$A79,Wine1!$AA:$AA,Location!AL$1)</f>
        <v>0</v>
      </c>
      <c r="AM79" s="37">
        <f>SUMIFS(Wine1!$I:$I,Wine1!$K:$K,Location!$A79,Wine1!$AA:$AA,Location!AM$1)</f>
        <v>0</v>
      </c>
      <c r="AN79" s="37">
        <f>SUMIFS(Wine1!$I:$I,Wine1!$K:$K,Location!$A79,Wine1!$AA:$AA,Location!AN$1)</f>
        <v>0</v>
      </c>
      <c r="AO79" s="37">
        <f>SUMIFS(Wine1!$I:$I,Wine1!$K:$K,Location!$A79,Wine1!$AA:$AA,Location!AO$1)</f>
        <v>0</v>
      </c>
      <c r="AP79" s="37">
        <f>SUMIFS(Wine1!$I:$I,Wine1!$K:$K,Location!$A79,Wine1!$AA:$AA,Location!AP$1)</f>
        <v>0</v>
      </c>
      <c r="AQ79" s="37">
        <f>SUMIFS(Wine1!$I:$I,Wine1!$K:$K,Location!$A79,Wine1!$AA:$AA,Location!AQ$1)</f>
        <v>0</v>
      </c>
      <c r="AR79" s="37">
        <f>SUMIFS(Wine1!$I:$I,Wine1!$K:$K,Location!$A79,Wine1!$AA:$AA,Location!AR$1)</f>
        <v>0</v>
      </c>
      <c r="AS79" s="37">
        <f>SUMIFS(Wine1!$I:$I,Wine1!$K:$K,Location!$A79,Wine1!$AA:$AA,Location!AS$1)</f>
        <v>0</v>
      </c>
      <c r="AT79" s="37">
        <f>SUMIFS(Wine1!$I:$I,Wine1!$K:$K,Location!$A79,Wine1!$AA:$AA,Location!AT$1)</f>
        <v>0</v>
      </c>
      <c r="AU79" s="37">
        <f>SUMIFS(Wine1!$I:$I,Wine1!$K:$K,Location!$A79,Wine1!$AA:$AA,Location!AU$1)</f>
        <v>0</v>
      </c>
      <c r="AV79" s="37">
        <f>SUMIFS(Wine1!$I:$I,Wine1!$K:$K,Location!$A79,Wine1!$AA:$AA,Location!AV$1)</f>
        <v>0</v>
      </c>
      <c r="AW79" s="37">
        <f>SUMIFS(Wine1!$I:$I,Wine1!$K:$K,Location!$A79,Wine1!$AA:$AA,Location!AW$1)</f>
        <v>0</v>
      </c>
      <c r="AX79" s="37">
        <f>SUMIFS(Wine1!$I:$I,Wine1!$K:$K,Location!$A79,Wine1!$AA:$AA,Location!AX$1)</f>
        <v>0</v>
      </c>
      <c r="AY79" s="37">
        <f>SUMIFS(Wine1!$I:$I,Wine1!$K:$K,Location!$A79,Wine1!$AA:$AA,Location!AY$1)</f>
        <v>0</v>
      </c>
      <c r="AZ79" s="37">
        <f>SUMIFS(Wine1!$I:$I,Wine1!$K:$K,Location!$A79,Wine1!$AA:$AA,Location!AZ$1)</f>
        <v>0</v>
      </c>
      <c r="BA79" s="37">
        <f>SUMIFS(Wine1!$I:$I,Wine1!$K:$K,Location!$A79,Wine1!$AA:$AA,Location!BA$1)</f>
        <v>0</v>
      </c>
      <c r="BB79" s="37">
        <f>SUMIFS(Wine1!$I:$I,Wine1!$K:$K,Location!$A79,Wine1!$AA:$AA,Location!BB$1)</f>
        <v>0</v>
      </c>
      <c r="BC79" s="37">
        <f>SUMIFS(Wine1!$I:$I,Wine1!$K:$K,Location!$A79,Wine1!$AA:$AA,Location!BC$1)</f>
        <v>0</v>
      </c>
      <c r="BD79" s="37">
        <f>SUMIFS(Wine1!$I:$I,Wine1!$K:$K,Location!$A79,Wine1!$AA:$AA,Location!BD$1)</f>
        <v>0</v>
      </c>
      <c r="BE79" s="37">
        <f>SUMIFS(Wine1!$I:$I,Wine1!$K:$K,Location!$A79,Wine1!$AA:$AA,Location!BE$1)</f>
        <v>0</v>
      </c>
      <c r="BF79" s="37">
        <f>SUMIFS(Wine1!$I:$I,Wine1!$K:$K,Location!$A79,Wine1!$AA:$AA,Location!BF$1)</f>
        <v>0</v>
      </c>
      <c r="BG79" s="37">
        <f>SUMIFS(Wine1!$I:$I,Wine1!$K:$K,Location!$A79,Wine1!$AA:$AA,Location!BG$1)</f>
        <v>0</v>
      </c>
      <c r="BH79" s="37">
        <f>SUMIFS(Wine1!$I:$I,Wine1!$K:$K,Location!$A79,Wine1!$AA:$AA,Location!BH$1)</f>
        <v>0</v>
      </c>
      <c r="BI79" s="37">
        <f>SUMIFS(Wine1!$I:$I,Wine1!$K:$K,Location!$A79,Wine1!$AA:$AA,Location!BI$1)</f>
        <v>0</v>
      </c>
    </row>
    <row r="80" spans="1:61" s="8" customFormat="1" x14ac:dyDescent="0.25">
      <c r="A80" s="8" t="s">
        <v>1838</v>
      </c>
      <c r="B80" s="37">
        <f>SUMIF(Wine1!K:K,Location!A80,Wine1!I:I)</f>
        <v>0</v>
      </c>
      <c r="C80" s="8">
        <v>12</v>
      </c>
      <c r="D80" s="37">
        <f t="shared" si="2"/>
        <v>12</v>
      </c>
      <c r="E80" s="37" t="s">
        <v>600</v>
      </c>
      <c r="F80" s="8" t="s">
        <v>718</v>
      </c>
      <c r="G80" s="62"/>
      <c r="H80" s="56">
        <f>COUNTIFS(Wine1!$K:$K,Location!$A80,Wine1!$AF:$AF,Location!H$1)</f>
        <v>0</v>
      </c>
      <c r="I80" s="57">
        <f>COUNTIFS(Wine1!$K:$K,Location!$A80,Wine1!$AF:$AF,Location!I$1)</f>
        <v>0</v>
      </c>
      <c r="J80" s="57">
        <f>COUNTIFS(Wine1!$K:$K,Location!$A80,Wine1!$AF:$AF,Location!J$1)</f>
        <v>0</v>
      </c>
      <c r="K80" s="58">
        <f>COUNTIFS(Wine1!$K:$K,Location!$A80,Wine1!$AF:$AF,Location!K$1)</f>
        <v>0</v>
      </c>
      <c r="L80" s="18" t="str">
        <f>IFERROR(AVERAGEIF(Wine1!K:K,Location!A80,Wine1!AA:AA),"Empty")</f>
        <v>Empty</v>
      </c>
      <c r="M80" s="37">
        <f>SUMIFS(Wine1!$I:$I,Wine1!$K:$K,Location!$A80,Wine1!$AA:$AA,Location!M$1)</f>
        <v>0</v>
      </c>
      <c r="N80" s="37">
        <f>SUMIFS(Wine1!$I:$I,Wine1!$K:$K,Location!$A80,Wine1!$AA:$AA,Location!N$1)</f>
        <v>0</v>
      </c>
      <c r="O80" s="37">
        <f>SUMIFS(Wine1!$I:$I,Wine1!$K:$K,Location!$A80,Wine1!$AA:$AA,Location!O$1)</f>
        <v>0</v>
      </c>
      <c r="P80" s="37">
        <f>SUMIFS(Wine1!$I:$I,Wine1!$K:$K,Location!$A80,Wine1!$AA:$AA,Location!P$1)</f>
        <v>0</v>
      </c>
      <c r="Q80" s="37">
        <f>SUMIFS(Wine1!$I:$I,Wine1!$K:$K,Location!$A80,Wine1!$AA:$AA,Location!Q$1)</f>
        <v>0</v>
      </c>
      <c r="R80" s="37">
        <f>SUMIFS(Wine1!$I:$I,Wine1!$K:$K,Location!$A80,Wine1!$AA:$AA,Location!R$1)</f>
        <v>0</v>
      </c>
      <c r="S80" s="37">
        <f>SUMIFS(Wine1!$I:$I,Wine1!$K:$K,Location!$A80,Wine1!$AA:$AA,Location!S$1)</f>
        <v>0</v>
      </c>
      <c r="T80" s="37">
        <f>SUMIFS(Wine1!$I:$I,Wine1!$K:$K,Location!$A80,Wine1!$AA:$AA,Location!T$1)</f>
        <v>0</v>
      </c>
      <c r="U80" s="37">
        <f>SUMIFS(Wine1!$I:$I,Wine1!$K:$K,Location!$A80,Wine1!$AA:$AA,Location!U$1)</f>
        <v>0</v>
      </c>
      <c r="V80" s="37">
        <f>SUMIFS(Wine1!$I:$I,Wine1!$K:$K,Location!$A80,Wine1!$AA:$AA,Location!V$1)</f>
        <v>0</v>
      </c>
      <c r="W80" s="37">
        <f>SUMIFS(Wine1!$I:$I,Wine1!$K:$K,Location!$A80,Wine1!$AA:$AA,Location!W$1)</f>
        <v>0</v>
      </c>
      <c r="X80" s="37">
        <f>SUMIFS(Wine1!$I:$I,Wine1!$K:$K,Location!$A80,Wine1!$AA:$AA,Location!X$1)</f>
        <v>0</v>
      </c>
      <c r="Y80" s="37">
        <f>SUMIFS(Wine1!$I:$I,Wine1!$K:$K,Location!$A80,Wine1!$AA:$AA,Location!Y$1)</f>
        <v>0</v>
      </c>
      <c r="Z80" s="37">
        <f>SUMIFS(Wine1!$I:$I,Wine1!$K:$K,Location!$A80,Wine1!$AA:$AA,Location!Z$1)</f>
        <v>0</v>
      </c>
      <c r="AA80" s="37">
        <f>SUMIFS(Wine1!$I:$I,Wine1!$K:$K,Location!$A80,Wine1!$AA:$AA,Location!AA$1)</f>
        <v>0</v>
      </c>
      <c r="AB80" s="37">
        <f>SUMIFS(Wine1!$I:$I,Wine1!$K:$K,Location!$A80,Wine1!$AA:$AA,Location!AB$1)</f>
        <v>0</v>
      </c>
      <c r="AC80" s="37">
        <f>SUMIFS(Wine1!$I:$I,Wine1!$K:$K,Location!$A80,Wine1!$AA:$AA,Location!AC$1)</f>
        <v>0</v>
      </c>
      <c r="AD80" s="37">
        <f>SUMIFS(Wine1!$I:$I,Wine1!$K:$K,Location!$A80,Wine1!$AA:$AA,Location!AD$1)</f>
        <v>0</v>
      </c>
      <c r="AE80" s="37">
        <f>SUMIFS(Wine1!$I:$I,Wine1!$K:$K,Location!$A80,Wine1!$AA:$AA,Location!AE$1)</f>
        <v>0</v>
      </c>
      <c r="AF80" s="37">
        <f>SUMIFS(Wine1!$I:$I,Wine1!$K:$K,Location!$A80,Wine1!$AA:$AA,Location!AF$1)</f>
        <v>0</v>
      </c>
      <c r="AG80" s="37">
        <f>SUMIFS(Wine1!$I:$I,Wine1!$K:$K,Location!$A80,Wine1!$AA:$AA,Location!AG$1)</f>
        <v>0</v>
      </c>
      <c r="AH80" s="37">
        <f>SUMIFS(Wine1!$I:$I,Wine1!$K:$K,Location!$A80,Wine1!$AA:$AA,Location!AH$1)</f>
        <v>0</v>
      </c>
      <c r="AI80" s="37">
        <f>SUMIFS(Wine1!$I:$I,Wine1!$K:$K,Location!$A80,Wine1!$AA:$AA,Location!AI$1)</f>
        <v>0</v>
      </c>
      <c r="AJ80" s="37">
        <f>SUMIFS(Wine1!$I:$I,Wine1!$K:$K,Location!$A80,Wine1!$AA:$AA,Location!AJ$1)</f>
        <v>0</v>
      </c>
      <c r="AK80" s="37">
        <f>SUMIFS(Wine1!$I:$I,Wine1!$K:$K,Location!$A80,Wine1!$AA:$AA,Location!AK$1)</f>
        <v>0</v>
      </c>
      <c r="AL80" s="37">
        <f>SUMIFS(Wine1!$I:$I,Wine1!$K:$K,Location!$A80,Wine1!$AA:$AA,Location!AL$1)</f>
        <v>0</v>
      </c>
      <c r="AM80" s="37">
        <f>SUMIFS(Wine1!$I:$I,Wine1!$K:$K,Location!$A80,Wine1!$AA:$AA,Location!AM$1)</f>
        <v>0</v>
      </c>
      <c r="AN80" s="37">
        <f>SUMIFS(Wine1!$I:$I,Wine1!$K:$K,Location!$A80,Wine1!$AA:$AA,Location!AN$1)</f>
        <v>0</v>
      </c>
      <c r="AO80" s="37">
        <f>SUMIFS(Wine1!$I:$I,Wine1!$K:$K,Location!$A80,Wine1!$AA:$AA,Location!AO$1)</f>
        <v>0</v>
      </c>
      <c r="AP80" s="37">
        <f>SUMIFS(Wine1!$I:$I,Wine1!$K:$K,Location!$A80,Wine1!$AA:$AA,Location!AP$1)</f>
        <v>0</v>
      </c>
      <c r="AQ80" s="37">
        <f>SUMIFS(Wine1!$I:$I,Wine1!$K:$K,Location!$A80,Wine1!$AA:$AA,Location!AQ$1)</f>
        <v>0</v>
      </c>
      <c r="AR80" s="37">
        <f>SUMIFS(Wine1!$I:$I,Wine1!$K:$K,Location!$A80,Wine1!$AA:$AA,Location!AR$1)</f>
        <v>0</v>
      </c>
      <c r="AS80" s="37">
        <f>SUMIFS(Wine1!$I:$I,Wine1!$K:$K,Location!$A80,Wine1!$AA:$AA,Location!AS$1)</f>
        <v>0</v>
      </c>
      <c r="AT80" s="37">
        <f>SUMIFS(Wine1!$I:$I,Wine1!$K:$K,Location!$A80,Wine1!$AA:$AA,Location!AT$1)</f>
        <v>0</v>
      </c>
      <c r="AU80" s="37">
        <f>SUMIFS(Wine1!$I:$I,Wine1!$K:$K,Location!$A80,Wine1!$AA:$AA,Location!AU$1)</f>
        <v>0</v>
      </c>
      <c r="AV80" s="37">
        <f>SUMIFS(Wine1!$I:$I,Wine1!$K:$K,Location!$A80,Wine1!$AA:$AA,Location!AV$1)</f>
        <v>0</v>
      </c>
      <c r="AW80" s="37">
        <f>SUMIFS(Wine1!$I:$I,Wine1!$K:$K,Location!$A80,Wine1!$AA:$AA,Location!AW$1)</f>
        <v>0</v>
      </c>
      <c r="AX80" s="37">
        <f>SUMIFS(Wine1!$I:$I,Wine1!$K:$K,Location!$A80,Wine1!$AA:$AA,Location!AX$1)</f>
        <v>0</v>
      </c>
      <c r="AY80" s="37">
        <f>SUMIFS(Wine1!$I:$I,Wine1!$K:$K,Location!$A80,Wine1!$AA:$AA,Location!AY$1)</f>
        <v>0</v>
      </c>
      <c r="AZ80" s="37">
        <f>SUMIFS(Wine1!$I:$I,Wine1!$K:$K,Location!$A80,Wine1!$AA:$AA,Location!AZ$1)</f>
        <v>0</v>
      </c>
      <c r="BA80" s="37">
        <f>SUMIFS(Wine1!$I:$I,Wine1!$K:$K,Location!$A80,Wine1!$AA:$AA,Location!BA$1)</f>
        <v>0</v>
      </c>
      <c r="BB80" s="37">
        <f>SUMIFS(Wine1!$I:$I,Wine1!$K:$K,Location!$A80,Wine1!$AA:$AA,Location!BB$1)</f>
        <v>0</v>
      </c>
      <c r="BC80" s="37">
        <f>SUMIFS(Wine1!$I:$I,Wine1!$K:$K,Location!$A80,Wine1!$AA:$AA,Location!BC$1)</f>
        <v>0</v>
      </c>
      <c r="BD80" s="37">
        <f>SUMIFS(Wine1!$I:$I,Wine1!$K:$K,Location!$A80,Wine1!$AA:$AA,Location!BD$1)</f>
        <v>0</v>
      </c>
      <c r="BE80" s="37">
        <f>SUMIFS(Wine1!$I:$I,Wine1!$K:$K,Location!$A80,Wine1!$AA:$AA,Location!BE$1)</f>
        <v>0</v>
      </c>
      <c r="BF80" s="37">
        <f>SUMIFS(Wine1!$I:$I,Wine1!$K:$K,Location!$A80,Wine1!$AA:$AA,Location!BF$1)</f>
        <v>0</v>
      </c>
      <c r="BG80" s="37">
        <f>SUMIFS(Wine1!$I:$I,Wine1!$K:$K,Location!$A80,Wine1!$AA:$AA,Location!BG$1)</f>
        <v>0</v>
      </c>
      <c r="BH80" s="37">
        <f>SUMIFS(Wine1!$I:$I,Wine1!$K:$K,Location!$A80,Wine1!$AA:$AA,Location!BH$1)</f>
        <v>0</v>
      </c>
      <c r="BI80" s="37">
        <f>SUMIFS(Wine1!$I:$I,Wine1!$K:$K,Location!$A80,Wine1!$AA:$AA,Location!BI$1)</f>
        <v>0</v>
      </c>
    </row>
    <row r="81" spans="1:61" s="8" customFormat="1" x14ac:dyDescent="0.25">
      <c r="A81" s="8" t="s">
        <v>1839</v>
      </c>
      <c r="B81" s="37">
        <f>SUMIF(Wine1!K:K,Location!A81,Wine1!I:I)</f>
        <v>0</v>
      </c>
      <c r="C81" s="8">
        <v>12</v>
      </c>
      <c r="D81" s="37">
        <f t="shared" si="2"/>
        <v>12</v>
      </c>
      <c r="E81" s="37" t="s">
        <v>600</v>
      </c>
      <c r="F81" s="8" t="s">
        <v>718</v>
      </c>
      <c r="G81" s="62"/>
      <c r="H81" s="56">
        <f>COUNTIFS(Wine1!$K:$K,Location!$A81,Wine1!$AF:$AF,Location!H$1)</f>
        <v>0</v>
      </c>
      <c r="I81" s="57">
        <f>COUNTIFS(Wine1!$K:$K,Location!$A81,Wine1!$AF:$AF,Location!I$1)</f>
        <v>0</v>
      </c>
      <c r="J81" s="57">
        <f>COUNTIFS(Wine1!$K:$K,Location!$A81,Wine1!$AF:$AF,Location!J$1)</f>
        <v>0</v>
      </c>
      <c r="K81" s="58">
        <f>COUNTIFS(Wine1!$K:$K,Location!$A81,Wine1!$AF:$AF,Location!K$1)</f>
        <v>0</v>
      </c>
      <c r="L81" s="18" t="str">
        <f>IFERROR(AVERAGEIF(Wine1!K:K,Location!A81,Wine1!AA:AA),"Empty")</f>
        <v>Empty</v>
      </c>
      <c r="M81" s="37">
        <f>SUMIFS(Wine1!$I:$I,Wine1!$K:$K,Location!$A81,Wine1!$AA:$AA,Location!M$1)</f>
        <v>0</v>
      </c>
      <c r="N81" s="37">
        <f>SUMIFS(Wine1!$I:$I,Wine1!$K:$K,Location!$A81,Wine1!$AA:$AA,Location!N$1)</f>
        <v>0</v>
      </c>
      <c r="O81" s="37">
        <f>SUMIFS(Wine1!$I:$I,Wine1!$K:$K,Location!$A81,Wine1!$AA:$AA,Location!O$1)</f>
        <v>0</v>
      </c>
      <c r="P81" s="37">
        <f>SUMIFS(Wine1!$I:$I,Wine1!$K:$K,Location!$A81,Wine1!$AA:$AA,Location!P$1)</f>
        <v>0</v>
      </c>
      <c r="Q81" s="37">
        <f>SUMIFS(Wine1!$I:$I,Wine1!$K:$K,Location!$A81,Wine1!$AA:$AA,Location!Q$1)</f>
        <v>0</v>
      </c>
      <c r="R81" s="37">
        <f>SUMIFS(Wine1!$I:$I,Wine1!$K:$K,Location!$A81,Wine1!$AA:$AA,Location!R$1)</f>
        <v>0</v>
      </c>
      <c r="S81" s="37">
        <f>SUMIFS(Wine1!$I:$I,Wine1!$K:$K,Location!$A81,Wine1!$AA:$AA,Location!S$1)</f>
        <v>0</v>
      </c>
      <c r="T81" s="37">
        <f>SUMIFS(Wine1!$I:$I,Wine1!$K:$K,Location!$A81,Wine1!$AA:$AA,Location!T$1)</f>
        <v>0</v>
      </c>
      <c r="U81" s="37">
        <f>SUMIFS(Wine1!$I:$I,Wine1!$K:$K,Location!$A81,Wine1!$AA:$AA,Location!U$1)</f>
        <v>0</v>
      </c>
      <c r="V81" s="37">
        <f>SUMIFS(Wine1!$I:$I,Wine1!$K:$K,Location!$A81,Wine1!$AA:$AA,Location!V$1)</f>
        <v>0</v>
      </c>
      <c r="W81" s="37">
        <f>SUMIFS(Wine1!$I:$I,Wine1!$K:$K,Location!$A81,Wine1!$AA:$AA,Location!W$1)</f>
        <v>0</v>
      </c>
      <c r="X81" s="37">
        <f>SUMIFS(Wine1!$I:$I,Wine1!$K:$K,Location!$A81,Wine1!$AA:$AA,Location!X$1)</f>
        <v>0</v>
      </c>
      <c r="Y81" s="37">
        <f>SUMIFS(Wine1!$I:$I,Wine1!$K:$K,Location!$A81,Wine1!$AA:$AA,Location!Y$1)</f>
        <v>0</v>
      </c>
      <c r="Z81" s="37">
        <f>SUMIFS(Wine1!$I:$I,Wine1!$K:$K,Location!$A81,Wine1!$AA:$AA,Location!Z$1)</f>
        <v>0</v>
      </c>
      <c r="AA81" s="37">
        <f>SUMIFS(Wine1!$I:$I,Wine1!$K:$K,Location!$A81,Wine1!$AA:$AA,Location!AA$1)</f>
        <v>0</v>
      </c>
      <c r="AB81" s="37">
        <f>SUMIFS(Wine1!$I:$I,Wine1!$K:$K,Location!$A81,Wine1!$AA:$AA,Location!AB$1)</f>
        <v>0</v>
      </c>
      <c r="AC81" s="37">
        <f>SUMIFS(Wine1!$I:$I,Wine1!$K:$K,Location!$A81,Wine1!$AA:$AA,Location!AC$1)</f>
        <v>0</v>
      </c>
      <c r="AD81" s="37">
        <f>SUMIFS(Wine1!$I:$I,Wine1!$K:$K,Location!$A81,Wine1!$AA:$AA,Location!AD$1)</f>
        <v>0</v>
      </c>
      <c r="AE81" s="37">
        <f>SUMIFS(Wine1!$I:$I,Wine1!$K:$K,Location!$A81,Wine1!$AA:$AA,Location!AE$1)</f>
        <v>0</v>
      </c>
      <c r="AF81" s="37">
        <f>SUMIFS(Wine1!$I:$I,Wine1!$K:$K,Location!$A81,Wine1!$AA:$AA,Location!AF$1)</f>
        <v>0</v>
      </c>
      <c r="AG81" s="37">
        <f>SUMIFS(Wine1!$I:$I,Wine1!$K:$K,Location!$A81,Wine1!$AA:$AA,Location!AG$1)</f>
        <v>0</v>
      </c>
      <c r="AH81" s="37">
        <f>SUMIFS(Wine1!$I:$I,Wine1!$K:$K,Location!$A81,Wine1!$AA:$AA,Location!AH$1)</f>
        <v>0</v>
      </c>
      <c r="AI81" s="37">
        <f>SUMIFS(Wine1!$I:$I,Wine1!$K:$K,Location!$A81,Wine1!$AA:$AA,Location!AI$1)</f>
        <v>0</v>
      </c>
      <c r="AJ81" s="37">
        <f>SUMIFS(Wine1!$I:$I,Wine1!$K:$K,Location!$A81,Wine1!$AA:$AA,Location!AJ$1)</f>
        <v>0</v>
      </c>
      <c r="AK81" s="37">
        <f>SUMIFS(Wine1!$I:$I,Wine1!$K:$K,Location!$A81,Wine1!$AA:$AA,Location!AK$1)</f>
        <v>0</v>
      </c>
      <c r="AL81" s="37">
        <f>SUMIFS(Wine1!$I:$I,Wine1!$K:$K,Location!$A81,Wine1!$AA:$AA,Location!AL$1)</f>
        <v>0</v>
      </c>
      <c r="AM81" s="37">
        <f>SUMIFS(Wine1!$I:$I,Wine1!$K:$K,Location!$A81,Wine1!$AA:$AA,Location!AM$1)</f>
        <v>0</v>
      </c>
      <c r="AN81" s="37">
        <f>SUMIFS(Wine1!$I:$I,Wine1!$K:$K,Location!$A81,Wine1!$AA:$AA,Location!AN$1)</f>
        <v>0</v>
      </c>
      <c r="AO81" s="37">
        <f>SUMIFS(Wine1!$I:$I,Wine1!$K:$K,Location!$A81,Wine1!$AA:$AA,Location!AO$1)</f>
        <v>0</v>
      </c>
      <c r="AP81" s="37">
        <f>SUMIFS(Wine1!$I:$I,Wine1!$K:$K,Location!$A81,Wine1!$AA:$AA,Location!AP$1)</f>
        <v>0</v>
      </c>
      <c r="AQ81" s="37">
        <f>SUMIFS(Wine1!$I:$I,Wine1!$K:$K,Location!$A81,Wine1!$AA:$AA,Location!AQ$1)</f>
        <v>0</v>
      </c>
      <c r="AR81" s="37">
        <f>SUMIFS(Wine1!$I:$I,Wine1!$K:$K,Location!$A81,Wine1!$AA:$AA,Location!AR$1)</f>
        <v>0</v>
      </c>
      <c r="AS81" s="37">
        <f>SUMIFS(Wine1!$I:$I,Wine1!$K:$K,Location!$A81,Wine1!$AA:$AA,Location!AS$1)</f>
        <v>0</v>
      </c>
      <c r="AT81" s="37">
        <f>SUMIFS(Wine1!$I:$I,Wine1!$K:$K,Location!$A81,Wine1!$AA:$AA,Location!AT$1)</f>
        <v>0</v>
      </c>
      <c r="AU81" s="37">
        <f>SUMIFS(Wine1!$I:$I,Wine1!$K:$K,Location!$A81,Wine1!$AA:$AA,Location!AU$1)</f>
        <v>0</v>
      </c>
      <c r="AV81" s="37">
        <f>SUMIFS(Wine1!$I:$I,Wine1!$K:$K,Location!$A81,Wine1!$AA:$AA,Location!AV$1)</f>
        <v>0</v>
      </c>
      <c r="AW81" s="37">
        <f>SUMIFS(Wine1!$I:$I,Wine1!$K:$K,Location!$A81,Wine1!$AA:$AA,Location!AW$1)</f>
        <v>0</v>
      </c>
      <c r="AX81" s="37">
        <f>SUMIFS(Wine1!$I:$I,Wine1!$K:$K,Location!$A81,Wine1!$AA:$AA,Location!AX$1)</f>
        <v>0</v>
      </c>
      <c r="AY81" s="37">
        <f>SUMIFS(Wine1!$I:$I,Wine1!$K:$K,Location!$A81,Wine1!$AA:$AA,Location!AY$1)</f>
        <v>0</v>
      </c>
      <c r="AZ81" s="37">
        <f>SUMIFS(Wine1!$I:$I,Wine1!$K:$K,Location!$A81,Wine1!$AA:$AA,Location!AZ$1)</f>
        <v>0</v>
      </c>
      <c r="BA81" s="37">
        <f>SUMIFS(Wine1!$I:$I,Wine1!$K:$K,Location!$A81,Wine1!$AA:$AA,Location!BA$1)</f>
        <v>0</v>
      </c>
      <c r="BB81" s="37">
        <f>SUMIFS(Wine1!$I:$I,Wine1!$K:$K,Location!$A81,Wine1!$AA:$AA,Location!BB$1)</f>
        <v>0</v>
      </c>
      <c r="BC81" s="37">
        <f>SUMIFS(Wine1!$I:$I,Wine1!$K:$K,Location!$A81,Wine1!$AA:$AA,Location!BC$1)</f>
        <v>0</v>
      </c>
      <c r="BD81" s="37">
        <f>SUMIFS(Wine1!$I:$I,Wine1!$K:$K,Location!$A81,Wine1!$AA:$AA,Location!BD$1)</f>
        <v>0</v>
      </c>
      <c r="BE81" s="37">
        <f>SUMIFS(Wine1!$I:$I,Wine1!$K:$K,Location!$A81,Wine1!$AA:$AA,Location!BE$1)</f>
        <v>0</v>
      </c>
      <c r="BF81" s="37">
        <f>SUMIFS(Wine1!$I:$I,Wine1!$K:$K,Location!$A81,Wine1!$AA:$AA,Location!BF$1)</f>
        <v>0</v>
      </c>
      <c r="BG81" s="37">
        <f>SUMIFS(Wine1!$I:$I,Wine1!$K:$K,Location!$A81,Wine1!$AA:$AA,Location!BG$1)</f>
        <v>0</v>
      </c>
      <c r="BH81" s="37">
        <f>SUMIFS(Wine1!$I:$I,Wine1!$K:$K,Location!$A81,Wine1!$AA:$AA,Location!BH$1)</f>
        <v>0</v>
      </c>
      <c r="BI81" s="37">
        <f>SUMIFS(Wine1!$I:$I,Wine1!$K:$K,Location!$A81,Wine1!$AA:$AA,Location!BI$1)</f>
        <v>0</v>
      </c>
    </row>
    <row r="82" spans="1:61" s="8" customFormat="1" x14ac:dyDescent="0.25">
      <c r="A82" s="8" t="s">
        <v>1840</v>
      </c>
      <c r="B82" s="37">
        <f>SUMIF(Wine1!K:K,Location!A82,Wine1!I:I)</f>
        <v>0</v>
      </c>
      <c r="C82" s="8">
        <v>12</v>
      </c>
      <c r="D82" s="37">
        <f t="shared" si="2"/>
        <v>12</v>
      </c>
      <c r="E82" s="37" t="s">
        <v>600</v>
      </c>
      <c r="F82" s="8" t="s">
        <v>718</v>
      </c>
      <c r="G82" s="62"/>
      <c r="H82" s="56">
        <f>COUNTIFS(Wine1!$K:$K,Location!$A82,Wine1!$AF:$AF,Location!H$1)</f>
        <v>0</v>
      </c>
      <c r="I82" s="57">
        <f>COUNTIFS(Wine1!$K:$K,Location!$A82,Wine1!$AF:$AF,Location!I$1)</f>
        <v>0</v>
      </c>
      <c r="J82" s="57">
        <f>COUNTIFS(Wine1!$K:$K,Location!$A82,Wine1!$AF:$AF,Location!J$1)</f>
        <v>0</v>
      </c>
      <c r="K82" s="58">
        <f>COUNTIFS(Wine1!$K:$K,Location!$A82,Wine1!$AF:$AF,Location!K$1)</f>
        <v>0</v>
      </c>
      <c r="L82" s="18" t="str">
        <f>IFERROR(AVERAGEIF(Wine1!K:K,Location!A82,Wine1!AA:AA),"Empty")</f>
        <v>Empty</v>
      </c>
      <c r="M82" s="37">
        <f>SUMIFS(Wine1!$I:$I,Wine1!$K:$K,Location!$A82,Wine1!$AA:$AA,Location!M$1)</f>
        <v>0</v>
      </c>
      <c r="N82" s="37">
        <f>SUMIFS(Wine1!$I:$I,Wine1!$K:$K,Location!$A82,Wine1!$AA:$AA,Location!N$1)</f>
        <v>0</v>
      </c>
      <c r="O82" s="37">
        <f>SUMIFS(Wine1!$I:$I,Wine1!$K:$K,Location!$A82,Wine1!$AA:$AA,Location!O$1)</f>
        <v>0</v>
      </c>
      <c r="P82" s="37">
        <f>SUMIFS(Wine1!$I:$I,Wine1!$K:$K,Location!$A82,Wine1!$AA:$AA,Location!P$1)</f>
        <v>0</v>
      </c>
      <c r="Q82" s="37">
        <f>SUMIFS(Wine1!$I:$I,Wine1!$K:$K,Location!$A82,Wine1!$AA:$AA,Location!Q$1)</f>
        <v>0</v>
      </c>
      <c r="R82" s="37">
        <f>SUMIFS(Wine1!$I:$I,Wine1!$K:$K,Location!$A82,Wine1!$AA:$AA,Location!R$1)</f>
        <v>0</v>
      </c>
      <c r="S82" s="37">
        <f>SUMIFS(Wine1!$I:$I,Wine1!$K:$K,Location!$A82,Wine1!$AA:$AA,Location!S$1)</f>
        <v>0</v>
      </c>
      <c r="T82" s="37">
        <f>SUMIFS(Wine1!$I:$I,Wine1!$K:$K,Location!$A82,Wine1!$AA:$AA,Location!T$1)</f>
        <v>0</v>
      </c>
      <c r="U82" s="37">
        <f>SUMIFS(Wine1!$I:$I,Wine1!$K:$K,Location!$A82,Wine1!$AA:$AA,Location!U$1)</f>
        <v>0</v>
      </c>
      <c r="V82" s="37">
        <f>SUMIFS(Wine1!$I:$I,Wine1!$K:$K,Location!$A82,Wine1!$AA:$AA,Location!V$1)</f>
        <v>0</v>
      </c>
      <c r="W82" s="37">
        <f>SUMIFS(Wine1!$I:$I,Wine1!$K:$K,Location!$A82,Wine1!$AA:$AA,Location!W$1)</f>
        <v>0</v>
      </c>
      <c r="X82" s="37">
        <f>SUMIFS(Wine1!$I:$I,Wine1!$K:$K,Location!$A82,Wine1!$AA:$AA,Location!X$1)</f>
        <v>0</v>
      </c>
      <c r="Y82" s="37">
        <f>SUMIFS(Wine1!$I:$I,Wine1!$K:$K,Location!$A82,Wine1!$AA:$AA,Location!Y$1)</f>
        <v>0</v>
      </c>
      <c r="Z82" s="37">
        <f>SUMIFS(Wine1!$I:$I,Wine1!$K:$K,Location!$A82,Wine1!$AA:$AA,Location!Z$1)</f>
        <v>0</v>
      </c>
      <c r="AA82" s="37">
        <f>SUMIFS(Wine1!$I:$I,Wine1!$K:$K,Location!$A82,Wine1!$AA:$AA,Location!AA$1)</f>
        <v>0</v>
      </c>
      <c r="AB82" s="37">
        <f>SUMIFS(Wine1!$I:$I,Wine1!$K:$K,Location!$A82,Wine1!$AA:$AA,Location!AB$1)</f>
        <v>0</v>
      </c>
      <c r="AC82" s="37">
        <f>SUMIFS(Wine1!$I:$I,Wine1!$K:$K,Location!$A82,Wine1!$AA:$AA,Location!AC$1)</f>
        <v>0</v>
      </c>
      <c r="AD82" s="37">
        <f>SUMIFS(Wine1!$I:$I,Wine1!$K:$K,Location!$A82,Wine1!$AA:$AA,Location!AD$1)</f>
        <v>0</v>
      </c>
      <c r="AE82" s="37">
        <f>SUMIFS(Wine1!$I:$I,Wine1!$K:$K,Location!$A82,Wine1!$AA:$AA,Location!AE$1)</f>
        <v>0</v>
      </c>
      <c r="AF82" s="37">
        <f>SUMIFS(Wine1!$I:$I,Wine1!$K:$K,Location!$A82,Wine1!$AA:$AA,Location!AF$1)</f>
        <v>0</v>
      </c>
      <c r="AG82" s="37">
        <f>SUMIFS(Wine1!$I:$I,Wine1!$K:$K,Location!$A82,Wine1!$AA:$AA,Location!AG$1)</f>
        <v>0</v>
      </c>
      <c r="AH82" s="37">
        <f>SUMIFS(Wine1!$I:$I,Wine1!$K:$K,Location!$A82,Wine1!$AA:$AA,Location!AH$1)</f>
        <v>0</v>
      </c>
      <c r="AI82" s="37">
        <f>SUMIFS(Wine1!$I:$I,Wine1!$K:$K,Location!$A82,Wine1!$AA:$AA,Location!AI$1)</f>
        <v>0</v>
      </c>
      <c r="AJ82" s="37">
        <f>SUMIFS(Wine1!$I:$I,Wine1!$K:$K,Location!$A82,Wine1!$AA:$AA,Location!AJ$1)</f>
        <v>0</v>
      </c>
      <c r="AK82" s="37">
        <f>SUMIFS(Wine1!$I:$I,Wine1!$K:$K,Location!$A82,Wine1!$AA:$AA,Location!AK$1)</f>
        <v>0</v>
      </c>
      <c r="AL82" s="37">
        <f>SUMIFS(Wine1!$I:$I,Wine1!$K:$K,Location!$A82,Wine1!$AA:$AA,Location!AL$1)</f>
        <v>0</v>
      </c>
      <c r="AM82" s="37">
        <f>SUMIFS(Wine1!$I:$I,Wine1!$K:$K,Location!$A82,Wine1!$AA:$AA,Location!AM$1)</f>
        <v>0</v>
      </c>
      <c r="AN82" s="37">
        <f>SUMIFS(Wine1!$I:$I,Wine1!$K:$K,Location!$A82,Wine1!$AA:$AA,Location!AN$1)</f>
        <v>0</v>
      </c>
      <c r="AO82" s="37">
        <f>SUMIFS(Wine1!$I:$I,Wine1!$K:$K,Location!$A82,Wine1!$AA:$AA,Location!AO$1)</f>
        <v>0</v>
      </c>
      <c r="AP82" s="37">
        <f>SUMIFS(Wine1!$I:$I,Wine1!$K:$K,Location!$A82,Wine1!$AA:$AA,Location!AP$1)</f>
        <v>0</v>
      </c>
      <c r="AQ82" s="37">
        <f>SUMIFS(Wine1!$I:$I,Wine1!$K:$K,Location!$A82,Wine1!$AA:$AA,Location!AQ$1)</f>
        <v>0</v>
      </c>
      <c r="AR82" s="37">
        <f>SUMIFS(Wine1!$I:$I,Wine1!$K:$K,Location!$A82,Wine1!$AA:$AA,Location!AR$1)</f>
        <v>0</v>
      </c>
      <c r="AS82" s="37">
        <f>SUMIFS(Wine1!$I:$I,Wine1!$K:$K,Location!$A82,Wine1!$AA:$AA,Location!AS$1)</f>
        <v>0</v>
      </c>
      <c r="AT82" s="37">
        <f>SUMIFS(Wine1!$I:$I,Wine1!$K:$K,Location!$A82,Wine1!$AA:$AA,Location!AT$1)</f>
        <v>0</v>
      </c>
      <c r="AU82" s="37">
        <f>SUMIFS(Wine1!$I:$I,Wine1!$K:$K,Location!$A82,Wine1!$AA:$AA,Location!AU$1)</f>
        <v>0</v>
      </c>
      <c r="AV82" s="37">
        <f>SUMIFS(Wine1!$I:$I,Wine1!$K:$K,Location!$A82,Wine1!$AA:$AA,Location!AV$1)</f>
        <v>0</v>
      </c>
      <c r="AW82" s="37">
        <f>SUMIFS(Wine1!$I:$I,Wine1!$K:$K,Location!$A82,Wine1!$AA:$AA,Location!AW$1)</f>
        <v>0</v>
      </c>
      <c r="AX82" s="37">
        <f>SUMIFS(Wine1!$I:$I,Wine1!$K:$K,Location!$A82,Wine1!$AA:$AA,Location!AX$1)</f>
        <v>0</v>
      </c>
      <c r="AY82" s="37">
        <f>SUMIFS(Wine1!$I:$I,Wine1!$K:$K,Location!$A82,Wine1!$AA:$AA,Location!AY$1)</f>
        <v>0</v>
      </c>
      <c r="AZ82" s="37">
        <f>SUMIFS(Wine1!$I:$I,Wine1!$K:$K,Location!$A82,Wine1!$AA:$AA,Location!AZ$1)</f>
        <v>0</v>
      </c>
      <c r="BA82" s="37">
        <f>SUMIFS(Wine1!$I:$I,Wine1!$K:$K,Location!$A82,Wine1!$AA:$AA,Location!BA$1)</f>
        <v>0</v>
      </c>
      <c r="BB82" s="37">
        <f>SUMIFS(Wine1!$I:$I,Wine1!$K:$K,Location!$A82,Wine1!$AA:$AA,Location!BB$1)</f>
        <v>0</v>
      </c>
      <c r="BC82" s="37">
        <f>SUMIFS(Wine1!$I:$I,Wine1!$K:$K,Location!$A82,Wine1!$AA:$AA,Location!BC$1)</f>
        <v>0</v>
      </c>
      <c r="BD82" s="37">
        <f>SUMIFS(Wine1!$I:$I,Wine1!$K:$K,Location!$A82,Wine1!$AA:$AA,Location!BD$1)</f>
        <v>0</v>
      </c>
      <c r="BE82" s="37">
        <f>SUMIFS(Wine1!$I:$I,Wine1!$K:$K,Location!$A82,Wine1!$AA:$AA,Location!BE$1)</f>
        <v>0</v>
      </c>
      <c r="BF82" s="37">
        <f>SUMIFS(Wine1!$I:$I,Wine1!$K:$K,Location!$A82,Wine1!$AA:$AA,Location!BF$1)</f>
        <v>0</v>
      </c>
      <c r="BG82" s="37">
        <f>SUMIFS(Wine1!$I:$I,Wine1!$K:$K,Location!$A82,Wine1!$AA:$AA,Location!BG$1)</f>
        <v>0</v>
      </c>
      <c r="BH82" s="37">
        <f>SUMIFS(Wine1!$I:$I,Wine1!$K:$K,Location!$A82,Wine1!$AA:$AA,Location!BH$1)</f>
        <v>0</v>
      </c>
      <c r="BI82" s="37">
        <f>SUMIFS(Wine1!$I:$I,Wine1!$K:$K,Location!$A82,Wine1!$AA:$AA,Location!BI$1)</f>
        <v>0</v>
      </c>
    </row>
    <row r="83" spans="1:61" s="8" customFormat="1" x14ac:dyDescent="0.25">
      <c r="A83" s="8" t="s">
        <v>1841</v>
      </c>
      <c r="B83" s="37">
        <f>SUMIF(Wine1!K:K,Location!A83,Wine1!I:I)</f>
        <v>0</v>
      </c>
      <c r="C83" s="8">
        <v>12</v>
      </c>
      <c r="D83" s="37">
        <f t="shared" si="2"/>
        <v>12</v>
      </c>
      <c r="E83" s="37" t="s">
        <v>600</v>
      </c>
      <c r="F83" s="8" t="s">
        <v>718</v>
      </c>
      <c r="G83" s="62"/>
      <c r="H83" s="56">
        <f>COUNTIFS(Wine1!$K:$K,Location!$A83,Wine1!$AF:$AF,Location!H$1)</f>
        <v>0</v>
      </c>
      <c r="I83" s="57">
        <f>COUNTIFS(Wine1!$K:$K,Location!$A83,Wine1!$AF:$AF,Location!I$1)</f>
        <v>0</v>
      </c>
      <c r="J83" s="57">
        <f>COUNTIFS(Wine1!$K:$K,Location!$A83,Wine1!$AF:$AF,Location!J$1)</f>
        <v>0</v>
      </c>
      <c r="K83" s="58">
        <f>COUNTIFS(Wine1!$K:$K,Location!$A83,Wine1!$AF:$AF,Location!K$1)</f>
        <v>0</v>
      </c>
      <c r="L83" s="18" t="str">
        <f>IFERROR(AVERAGEIF(Wine1!K:K,Location!A83,Wine1!AA:AA),"Empty")</f>
        <v>Empty</v>
      </c>
      <c r="M83" s="37">
        <f>SUMIFS(Wine1!$I:$I,Wine1!$K:$K,Location!$A83,Wine1!$AA:$AA,Location!M$1)</f>
        <v>0</v>
      </c>
      <c r="N83" s="37">
        <f>SUMIFS(Wine1!$I:$I,Wine1!$K:$K,Location!$A83,Wine1!$AA:$AA,Location!N$1)</f>
        <v>0</v>
      </c>
      <c r="O83" s="37">
        <f>SUMIFS(Wine1!$I:$I,Wine1!$K:$K,Location!$A83,Wine1!$AA:$AA,Location!O$1)</f>
        <v>0</v>
      </c>
      <c r="P83" s="37">
        <f>SUMIFS(Wine1!$I:$I,Wine1!$K:$K,Location!$A83,Wine1!$AA:$AA,Location!P$1)</f>
        <v>0</v>
      </c>
      <c r="Q83" s="37">
        <f>SUMIFS(Wine1!$I:$I,Wine1!$K:$K,Location!$A83,Wine1!$AA:$AA,Location!Q$1)</f>
        <v>0</v>
      </c>
      <c r="R83" s="37">
        <f>SUMIFS(Wine1!$I:$I,Wine1!$K:$K,Location!$A83,Wine1!$AA:$AA,Location!R$1)</f>
        <v>0</v>
      </c>
      <c r="S83" s="37">
        <f>SUMIFS(Wine1!$I:$I,Wine1!$K:$K,Location!$A83,Wine1!$AA:$AA,Location!S$1)</f>
        <v>0</v>
      </c>
      <c r="T83" s="37">
        <f>SUMIFS(Wine1!$I:$I,Wine1!$K:$K,Location!$A83,Wine1!$AA:$AA,Location!T$1)</f>
        <v>0</v>
      </c>
      <c r="U83" s="37">
        <f>SUMIFS(Wine1!$I:$I,Wine1!$K:$K,Location!$A83,Wine1!$AA:$AA,Location!U$1)</f>
        <v>0</v>
      </c>
      <c r="V83" s="37">
        <f>SUMIFS(Wine1!$I:$I,Wine1!$K:$K,Location!$A83,Wine1!$AA:$AA,Location!V$1)</f>
        <v>0</v>
      </c>
      <c r="W83" s="37">
        <f>SUMIFS(Wine1!$I:$I,Wine1!$K:$K,Location!$A83,Wine1!$AA:$AA,Location!W$1)</f>
        <v>0</v>
      </c>
      <c r="X83" s="37">
        <f>SUMIFS(Wine1!$I:$I,Wine1!$K:$K,Location!$A83,Wine1!$AA:$AA,Location!X$1)</f>
        <v>0</v>
      </c>
      <c r="Y83" s="37">
        <f>SUMIFS(Wine1!$I:$I,Wine1!$K:$K,Location!$A83,Wine1!$AA:$AA,Location!Y$1)</f>
        <v>0</v>
      </c>
      <c r="Z83" s="37">
        <f>SUMIFS(Wine1!$I:$I,Wine1!$K:$K,Location!$A83,Wine1!$AA:$AA,Location!Z$1)</f>
        <v>0</v>
      </c>
      <c r="AA83" s="37">
        <f>SUMIFS(Wine1!$I:$I,Wine1!$K:$K,Location!$A83,Wine1!$AA:$AA,Location!AA$1)</f>
        <v>0</v>
      </c>
      <c r="AB83" s="37">
        <f>SUMIFS(Wine1!$I:$I,Wine1!$K:$K,Location!$A83,Wine1!$AA:$AA,Location!AB$1)</f>
        <v>0</v>
      </c>
      <c r="AC83" s="37">
        <f>SUMIFS(Wine1!$I:$I,Wine1!$K:$K,Location!$A83,Wine1!$AA:$AA,Location!AC$1)</f>
        <v>0</v>
      </c>
      <c r="AD83" s="37">
        <f>SUMIFS(Wine1!$I:$I,Wine1!$K:$K,Location!$A83,Wine1!$AA:$AA,Location!AD$1)</f>
        <v>0</v>
      </c>
      <c r="AE83" s="37">
        <f>SUMIFS(Wine1!$I:$I,Wine1!$K:$K,Location!$A83,Wine1!$AA:$AA,Location!AE$1)</f>
        <v>0</v>
      </c>
      <c r="AF83" s="37">
        <f>SUMIFS(Wine1!$I:$I,Wine1!$K:$K,Location!$A83,Wine1!$AA:$AA,Location!AF$1)</f>
        <v>0</v>
      </c>
      <c r="AG83" s="37">
        <f>SUMIFS(Wine1!$I:$I,Wine1!$K:$K,Location!$A83,Wine1!$AA:$AA,Location!AG$1)</f>
        <v>0</v>
      </c>
      <c r="AH83" s="37">
        <f>SUMIFS(Wine1!$I:$I,Wine1!$K:$K,Location!$A83,Wine1!$AA:$AA,Location!AH$1)</f>
        <v>0</v>
      </c>
      <c r="AI83" s="37">
        <f>SUMIFS(Wine1!$I:$I,Wine1!$K:$K,Location!$A83,Wine1!$AA:$AA,Location!AI$1)</f>
        <v>0</v>
      </c>
      <c r="AJ83" s="37">
        <f>SUMIFS(Wine1!$I:$I,Wine1!$K:$K,Location!$A83,Wine1!$AA:$AA,Location!AJ$1)</f>
        <v>0</v>
      </c>
      <c r="AK83" s="37">
        <f>SUMIFS(Wine1!$I:$I,Wine1!$K:$K,Location!$A83,Wine1!$AA:$AA,Location!AK$1)</f>
        <v>0</v>
      </c>
      <c r="AL83" s="37">
        <f>SUMIFS(Wine1!$I:$I,Wine1!$K:$K,Location!$A83,Wine1!$AA:$AA,Location!AL$1)</f>
        <v>0</v>
      </c>
      <c r="AM83" s="37">
        <f>SUMIFS(Wine1!$I:$I,Wine1!$K:$K,Location!$A83,Wine1!$AA:$AA,Location!AM$1)</f>
        <v>0</v>
      </c>
      <c r="AN83" s="37">
        <f>SUMIFS(Wine1!$I:$I,Wine1!$K:$K,Location!$A83,Wine1!$AA:$AA,Location!AN$1)</f>
        <v>0</v>
      </c>
      <c r="AO83" s="37">
        <f>SUMIFS(Wine1!$I:$I,Wine1!$K:$K,Location!$A83,Wine1!$AA:$AA,Location!AO$1)</f>
        <v>0</v>
      </c>
      <c r="AP83" s="37">
        <f>SUMIFS(Wine1!$I:$I,Wine1!$K:$K,Location!$A83,Wine1!$AA:$AA,Location!AP$1)</f>
        <v>0</v>
      </c>
      <c r="AQ83" s="37">
        <f>SUMIFS(Wine1!$I:$I,Wine1!$K:$K,Location!$A83,Wine1!$AA:$AA,Location!AQ$1)</f>
        <v>0</v>
      </c>
      <c r="AR83" s="37">
        <f>SUMIFS(Wine1!$I:$I,Wine1!$K:$K,Location!$A83,Wine1!$AA:$AA,Location!AR$1)</f>
        <v>0</v>
      </c>
      <c r="AS83" s="37">
        <f>SUMIFS(Wine1!$I:$I,Wine1!$K:$K,Location!$A83,Wine1!$AA:$AA,Location!AS$1)</f>
        <v>0</v>
      </c>
      <c r="AT83" s="37">
        <f>SUMIFS(Wine1!$I:$I,Wine1!$K:$K,Location!$A83,Wine1!$AA:$AA,Location!AT$1)</f>
        <v>0</v>
      </c>
      <c r="AU83" s="37">
        <f>SUMIFS(Wine1!$I:$I,Wine1!$K:$K,Location!$A83,Wine1!$AA:$AA,Location!AU$1)</f>
        <v>0</v>
      </c>
      <c r="AV83" s="37">
        <f>SUMIFS(Wine1!$I:$I,Wine1!$K:$K,Location!$A83,Wine1!$AA:$AA,Location!AV$1)</f>
        <v>0</v>
      </c>
      <c r="AW83" s="37">
        <f>SUMIFS(Wine1!$I:$I,Wine1!$K:$K,Location!$A83,Wine1!$AA:$AA,Location!AW$1)</f>
        <v>0</v>
      </c>
      <c r="AX83" s="37">
        <f>SUMIFS(Wine1!$I:$I,Wine1!$K:$K,Location!$A83,Wine1!$AA:$AA,Location!AX$1)</f>
        <v>0</v>
      </c>
      <c r="AY83" s="37">
        <f>SUMIFS(Wine1!$I:$I,Wine1!$K:$K,Location!$A83,Wine1!$AA:$AA,Location!AY$1)</f>
        <v>0</v>
      </c>
      <c r="AZ83" s="37">
        <f>SUMIFS(Wine1!$I:$I,Wine1!$K:$K,Location!$A83,Wine1!$AA:$AA,Location!AZ$1)</f>
        <v>0</v>
      </c>
      <c r="BA83" s="37">
        <f>SUMIFS(Wine1!$I:$I,Wine1!$K:$K,Location!$A83,Wine1!$AA:$AA,Location!BA$1)</f>
        <v>0</v>
      </c>
      <c r="BB83" s="37">
        <f>SUMIFS(Wine1!$I:$I,Wine1!$K:$K,Location!$A83,Wine1!$AA:$AA,Location!BB$1)</f>
        <v>0</v>
      </c>
      <c r="BC83" s="37">
        <f>SUMIFS(Wine1!$I:$I,Wine1!$K:$K,Location!$A83,Wine1!$AA:$AA,Location!BC$1)</f>
        <v>0</v>
      </c>
      <c r="BD83" s="37">
        <f>SUMIFS(Wine1!$I:$I,Wine1!$K:$K,Location!$A83,Wine1!$AA:$AA,Location!BD$1)</f>
        <v>0</v>
      </c>
      <c r="BE83" s="37">
        <f>SUMIFS(Wine1!$I:$I,Wine1!$K:$K,Location!$A83,Wine1!$AA:$AA,Location!BE$1)</f>
        <v>0</v>
      </c>
      <c r="BF83" s="37">
        <f>SUMIFS(Wine1!$I:$I,Wine1!$K:$K,Location!$A83,Wine1!$AA:$AA,Location!BF$1)</f>
        <v>0</v>
      </c>
      <c r="BG83" s="37">
        <f>SUMIFS(Wine1!$I:$I,Wine1!$K:$K,Location!$A83,Wine1!$AA:$AA,Location!BG$1)</f>
        <v>0</v>
      </c>
      <c r="BH83" s="37">
        <f>SUMIFS(Wine1!$I:$I,Wine1!$K:$K,Location!$A83,Wine1!$AA:$AA,Location!BH$1)</f>
        <v>0</v>
      </c>
      <c r="BI83" s="37">
        <f>SUMIFS(Wine1!$I:$I,Wine1!$K:$K,Location!$A83,Wine1!$AA:$AA,Location!BI$1)</f>
        <v>0</v>
      </c>
    </row>
    <row r="84" spans="1:61" s="8" customFormat="1" x14ac:dyDescent="0.25">
      <c r="A84" s="8" t="s">
        <v>1842</v>
      </c>
      <c r="B84" s="37">
        <f>SUMIF(Wine1!K:K,Location!A84,Wine1!I:I)</f>
        <v>0</v>
      </c>
      <c r="C84" s="8">
        <v>12</v>
      </c>
      <c r="D84" s="37">
        <f t="shared" si="2"/>
        <v>12</v>
      </c>
      <c r="E84" s="37" t="s">
        <v>600</v>
      </c>
      <c r="F84" s="8" t="s">
        <v>718</v>
      </c>
      <c r="G84" s="62"/>
      <c r="H84" s="56">
        <f>COUNTIFS(Wine1!$K:$K,Location!$A84,Wine1!$AF:$AF,Location!H$1)</f>
        <v>0</v>
      </c>
      <c r="I84" s="57">
        <f>COUNTIFS(Wine1!$K:$K,Location!$A84,Wine1!$AF:$AF,Location!I$1)</f>
        <v>0</v>
      </c>
      <c r="J84" s="57">
        <f>COUNTIFS(Wine1!$K:$K,Location!$A84,Wine1!$AF:$AF,Location!J$1)</f>
        <v>0</v>
      </c>
      <c r="K84" s="58">
        <f>COUNTIFS(Wine1!$K:$K,Location!$A84,Wine1!$AF:$AF,Location!K$1)</f>
        <v>0</v>
      </c>
      <c r="L84" s="18" t="str">
        <f>IFERROR(AVERAGEIF(Wine1!K:K,Location!A84,Wine1!AA:AA),"Empty")</f>
        <v>Empty</v>
      </c>
      <c r="M84" s="37">
        <f>SUMIFS(Wine1!$I:$I,Wine1!$K:$K,Location!$A84,Wine1!$AA:$AA,Location!M$1)</f>
        <v>0</v>
      </c>
      <c r="N84" s="37">
        <f>SUMIFS(Wine1!$I:$I,Wine1!$K:$K,Location!$A84,Wine1!$AA:$AA,Location!N$1)</f>
        <v>0</v>
      </c>
      <c r="O84" s="37">
        <f>SUMIFS(Wine1!$I:$I,Wine1!$K:$K,Location!$A84,Wine1!$AA:$AA,Location!O$1)</f>
        <v>0</v>
      </c>
      <c r="P84" s="37">
        <f>SUMIFS(Wine1!$I:$I,Wine1!$K:$K,Location!$A84,Wine1!$AA:$AA,Location!P$1)</f>
        <v>0</v>
      </c>
      <c r="Q84" s="37">
        <f>SUMIFS(Wine1!$I:$I,Wine1!$K:$K,Location!$A84,Wine1!$AA:$AA,Location!Q$1)</f>
        <v>0</v>
      </c>
      <c r="R84" s="37">
        <f>SUMIFS(Wine1!$I:$I,Wine1!$K:$K,Location!$A84,Wine1!$AA:$AA,Location!R$1)</f>
        <v>0</v>
      </c>
      <c r="S84" s="37">
        <f>SUMIFS(Wine1!$I:$I,Wine1!$K:$K,Location!$A84,Wine1!$AA:$AA,Location!S$1)</f>
        <v>0</v>
      </c>
      <c r="T84" s="37">
        <f>SUMIFS(Wine1!$I:$I,Wine1!$K:$K,Location!$A84,Wine1!$AA:$AA,Location!T$1)</f>
        <v>0</v>
      </c>
      <c r="U84" s="37">
        <f>SUMIFS(Wine1!$I:$I,Wine1!$K:$K,Location!$A84,Wine1!$AA:$AA,Location!U$1)</f>
        <v>0</v>
      </c>
      <c r="V84" s="37">
        <f>SUMIFS(Wine1!$I:$I,Wine1!$K:$K,Location!$A84,Wine1!$AA:$AA,Location!V$1)</f>
        <v>0</v>
      </c>
      <c r="W84" s="37">
        <f>SUMIFS(Wine1!$I:$I,Wine1!$K:$K,Location!$A84,Wine1!$AA:$AA,Location!W$1)</f>
        <v>0</v>
      </c>
      <c r="X84" s="37">
        <f>SUMIFS(Wine1!$I:$I,Wine1!$K:$K,Location!$A84,Wine1!$AA:$AA,Location!X$1)</f>
        <v>0</v>
      </c>
      <c r="Y84" s="37">
        <f>SUMIFS(Wine1!$I:$I,Wine1!$K:$K,Location!$A84,Wine1!$AA:$AA,Location!Y$1)</f>
        <v>0</v>
      </c>
      <c r="Z84" s="37">
        <f>SUMIFS(Wine1!$I:$I,Wine1!$K:$K,Location!$A84,Wine1!$AA:$AA,Location!Z$1)</f>
        <v>0</v>
      </c>
      <c r="AA84" s="37">
        <f>SUMIFS(Wine1!$I:$I,Wine1!$K:$K,Location!$A84,Wine1!$AA:$AA,Location!AA$1)</f>
        <v>0</v>
      </c>
      <c r="AB84" s="37">
        <f>SUMIFS(Wine1!$I:$I,Wine1!$K:$K,Location!$A84,Wine1!$AA:$AA,Location!AB$1)</f>
        <v>0</v>
      </c>
      <c r="AC84" s="37">
        <f>SUMIFS(Wine1!$I:$I,Wine1!$K:$K,Location!$A84,Wine1!$AA:$AA,Location!AC$1)</f>
        <v>0</v>
      </c>
      <c r="AD84" s="37">
        <f>SUMIFS(Wine1!$I:$I,Wine1!$K:$K,Location!$A84,Wine1!$AA:$AA,Location!AD$1)</f>
        <v>0</v>
      </c>
      <c r="AE84" s="37">
        <f>SUMIFS(Wine1!$I:$I,Wine1!$K:$K,Location!$A84,Wine1!$AA:$AA,Location!AE$1)</f>
        <v>0</v>
      </c>
      <c r="AF84" s="37">
        <f>SUMIFS(Wine1!$I:$I,Wine1!$K:$K,Location!$A84,Wine1!$AA:$AA,Location!AF$1)</f>
        <v>0</v>
      </c>
      <c r="AG84" s="37">
        <f>SUMIFS(Wine1!$I:$I,Wine1!$K:$K,Location!$A84,Wine1!$AA:$AA,Location!AG$1)</f>
        <v>0</v>
      </c>
      <c r="AH84" s="37">
        <f>SUMIFS(Wine1!$I:$I,Wine1!$K:$K,Location!$A84,Wine1!$AA:$AA,Location!AH$1)</f>
        <v>0</v>
      </c>
      <c r="AI84" s="37">
        <f>SUMIFS(Wine1!$I:$I,Wine1!$K:$K,Location!$A84,Wine1!$AA:$AA,Location!AI$1)</f>
        <v>0</v>
      </c>
      <c r="AJ84" s="37">
        <f>SUMIFS(Wine1!$I:$I,Wine1!$K:$K,Location!$A84,Wine1!$AA:$AA,Location!AJ$1)</f>
        <v>0</v>
      </c>
      <c r="AK84" s="37">
        <f>SUMIFS(Wine1!$I:$I,Wine1!$K:$K,Location!$A84,Wine1!$AA:$AA,Location!AK$1)</f>
        <v>0</v>
      </c>
      <c r="AL84" s="37">
        <f>SUMIFS(Wine1!$I:$I,Wine1!$K:$K,Location!$A84,Wine1!$AA:$AA,Location!AL$1)</f>
        <v>0</v>
      </c>
      <c r="AM84" s="37">
        <f>SUMIFS(Wine1!$I:$I,Wine1!$K:$K,Location!$A84,Wine1!$AA:$AA,Location!AM$1)</f>
        <v>0</v>
      </c>
      <c r="AN84" s="37">
        <f>SUMIFS(Wine1!$I:$I,Wine1!$K:$K,Location!$A84,Wine1!$AA:$AA,Location!AN$1)</f>
        <v>0</v>
      </c>
      <c r="AO84" s="37">
        <f>SUMIFS(Wine1!$I:$I,Wine1!$K:$K,Location!$A84,Wine1!$AA:$AA,Location!AO$1)</f>
        <v>0</v>
      </c>
      <c r="AP84" s="37">
        <f>SUMIFS(Wine1!$I:$I,Wine1!$K:$K,Location!$A84,Wine1!$AA:$AA,Location!AP$1)</f>
        <v>0</v>
      </c>
      <c r="AQ84" s="37">
        <f>SUMIFS(Wine1!$I:$I,Wine1!$K:$K,Location!$A84,Wine1!$AA:$AA,Location!AQ$1)</f>
        <v>0</v>
      </c>
      <c r="AR84" s="37">
        <f>SUMIFS(Wine1!$I:$I,Wine1!$K:$K,Location!$A84,Wine1!$AA:$AA,Location!AR$1)</f>
        <v>0</v>
      </c>
      <c r="AS84" s="37">
        <f>SUMIFS(Wine1!$I:$I,Wine1!$K:$K,Location!$A84,Wine1!$AA:$AA,Location!AS$1)</f>
        <v>0</v>
      </c>
      <c r="AT84" s="37">
        <f>SUMIFS(Wine1!$I:$I,Wine1!$K:$K,Location!$A84,Wine1!$AA:$AA,Location!AT$1)</f>
        <v>0</v>
      </c>
      <c r="AU84" s="37">
        <f>SUMIFS(Wine1!$I:$I,Wine1!$K:$K,Location!$A84,Wine1!$AA:$AA,Location!AU$1)</f>
        <v>0</v>
      </c>
      <c r="AV84" s="37">
        <f>SUMIFS(Wine1!$I:$I,Wine1!$K:$K,Location!$A84,Wine1!$AA:$AA,Location!AV$1)</f>
        <v>0</v>
      </c>
      <c r="AW84" s="37">
        <f>SUMIFS(Wine1!$I:$I,Wine1!$K:$K,Location!$A84,Wine1!$AA:$AA,Location!AW$1)</f>
        <v>0</v>
      </c>
      <c r="AX84" s="37">
        <f>SUMIFS(Wine1!$I:$I,Wine1!$K:$K,Location!$A84,Wine1!$AA:$AA,Location!AX$1)</f>
        <v>0</v>
      </c>
      <c r="AY84" s="37">
        <f>SUMIFS(Wine1!$I:$I,Wine1!$K:$K,Location!$A84,Wine1!$AA:$AA,Location!AY$1)</f>
        <v>0</v>
      </c>
      <c r="AZ84" s="37">
        <f>SUMIFS(Wine1!$I:$I,Wine1!$K:$K,Location!$A84,Wine1!$AA:$AA,Location!AZ$1)</f>
        <v>0</v>
      </c>
      <c r="BA84" s="37">
        <f>SUMIFS(Wine1!$I:$I,Wine1!$K:$K,Location!$A84,Wine1!$AA:$AA,Location!BA$1)</f>
        <v>0</v>
      </c>
      <c r="BB84" s="37">
        <f>SUMIFS(Wine1!$I:$I,Wine1!$K:$K,Location!$A84,Wine1!$AA:$AA,Location!BB$1)</f>
        <v>0</v>
      </c>
      <c r="BC84" s="37">
        <f>SUMIFS(Wine1!$I:$I,Wine1!$K:$K,Location!$A84,Wine1!$AA:$AA,Location!BC$1)</f>
        <v>0</v>
      </c>
      <c r="BD84" s="37">
        <f>SUMIFS(Wine1!$I:$I,Wine1!$K:$K,Location!$A84,Wine1!$AA:$AA,Location!BD$1)</f>
        <v>0</v>
      </c>
      <c r="BE84" s="37">
        <f>SUMIFS(Wine1!$I:$I,Wine1!$K:$K,Location!$A84,Wine1!$AA:$AA,Location!BE$1)</f>
        <v>0</v>
      </c>
      <c r="BF84" s="37">
        <f>SUMIFS(Wine1!$I:$I,Wine1!$K:$K,Location!$A84,Wine1!$AA:$AA,Location!BF$1)</f>
        <v>0</v>
      </c>
      <c r="BG84" s="37">
        <f>SUMIFS(Wine1!$I:$I,Wine1!$K:$K,Location!$A84,Wine1!$AA:$AA,Location!BG$1)</f>
        <v>0</v>
      </c>
      <c r="BH84" s="37">
        <f>SUMIFS(Wine1!$I:$I,Wine1!$K:$K,Location!$A84,Wine1!$AA:$AA,Location!BH$1)</f>
        <v>0</v>
      </c>
      <c r="BI84" s="37">
        <f>SUMIFS(Wine1!$I:$I,Wine1!$K:$K,Location!$A84,Wine1!$AA:$AA,Location!BI$1)</f>
        <v>0</v>
      </c>
    </row>
    <row r="85" spans="1:61" s="37" customFormat="1" x14ac:dyDescent="0.25">
      <c r="A85" s="38" t="s">
        <v>628</v>
      </c>
      <c r="B85" s="37">
        <f>SUMIF(Wine1!K:K,Location!A85,Wine1!I:I)</f>
        <v>12</v>
      </c>
      <c r="C85" s="37">
        <v>12</v>
      </c>
      <c r="D85" s="37">
        <f t="shared" si="1"/>
        <v>0</v>
      </c>
      <c r="E85" s="8" t="s">
        <v>603</v>
      </c>
      <c r="F85" s="37" t="s">
        <v>1533</v>
      </c>
      <c r="G85" s="1">
        <v>43810</v>
      </c>
      <c r="H85" s="56">
        <f>COUNTIFS(Wine1!$K:$K,Location!$A85,Wine1!$AF:$AF,Location!H$1)</f>
        <v>0</v>
      </c>
      <c r="I85" s="57">
        <f>COUNTIFS(Wine1!$K:$K,Location!$A85,Wine1!$AF:$AF,Location!I$1)</f>
        <v>1</v>
      </c>
      <c r="J85" s="57">
        <f>COUNTIFS(Wine1!$K:$K,Location!$A85,Wine1!$AF:$AF,Location!J$1)</f>
        <v>11</v>
      </c>
      <c r="K85" s="58">
        <f>COUNTIFS(Wine1!$K:$K,Location!$A85,Wine1!$AF:$AF,Location!K$1)</f>
        <v>0</v>
      </c>
      <c r="L85" s="18">
        <f>IFERROR(AVERAGEIF(Wine1!K:K,Location!A85,Wine1!AA:AA),"Empty")</f>
        <v>2027.5833333333333</v>
      </c>
      <c r="M85" s="37">
        <f>SUMIFS(Wine1!$I:$I,Wine1!$K:$K,Location!$A85,Wine1!$AA:$AA,Location!M$1)</f>
        <v>0</v>
      </c>
      <c r="N85" s="37">
        <f>SUMIFS(Wine1!$I:$I,Wine1!$K:$K,Location!$A85,Wine1!$AA:$AA,Location!N$1)</f>
        <v>0</v>
      </c>
      <c r="O85" s="37">
        <f>SUMIFS(Wine1!$I:$I,Wine1!$K:$K,Location!$A85,Wine1!$AA:$AA,Location!O$1)</f>
        <v>2</v>
      </c>
      <c r="P85" s="37">
        <f>SUMIFS(Wine1!$I:$I,Wine1!$K:$K,Location!$A85,Wine1!$AA:$AA,Location!P$1)</f>
        <v>0</v>
      </c>
      <c r="Q85" s="37">
        <f>SUMIFS(Wine1!$I:$I,Wine1!$K:$K,Location!$A85,Wine1!$AA:$AA,Location!Q$1)</f>
        <v>2</v>
      </c>
      <c r="R85" s="37">
        <f>SUMIFS(Wine1!$I:$I,Wine1!$K:$K,Location!$A85,Wine1!$AA:$AA,Location!R$1)</f>
        <v>0</v>
      </c>
      <c r="S85" s="37">
        <f>SUMIFS(Wine1!$I:$I,Wine1!$K:$K,Location!$A85,Wine1!$AA:$AA,Location!S$1)</f>
        <v>3</v>
      </c>
      <c r="T85" s="37">
        <f>SUMIFS(Wine1!$I:$I,Wine1!$K:$K,Location!$A85,Wine1!$AA:$AA,Location!T$1)</f>
        <v>2</v>
      </c>
      <c r="U85" s="37">
        <f>SUMIFS(Wine1!$I:$I,Wine1!$K:$K,Location!$A85,Wine1!$AA:$AA,Location!U$1)</f>
        <v>0</v>
      </c>
      <c r="V85" s="37">
        <f>SUMIFS(Wine1!$I:$I,Wine1!$K:$K,Location!$A85,Wine1!$AA:$AA,Location!V$1)</f>
        <v>1</v>
      </c>
      <c r="W85" s="37">
        <f>SUMIFS(Wine1!$I:$I,Wine1!$K:$K,Location!$A85,Wine1!$AA:$AA,Location!W$1)</f>
        <v>0</v>
      </c>
      <c r="X85" s="37">
        <f>SUMIFS(Wine1!$I:$I,Wine1!$K:$K,Location!$A85,Wine1!$AA:$AA,Location!X$1)</f>
        <v>0</v>
      </c>
      <c r="Y85" s="37">
        <f>SUMIFS(Wine1!$I:$I,Wine1!$K:$K,Location!$A85,Wine1!$AA:$AA,Location!Y$1)</f>
        <v>0</v>
      </c>
      <c r="Z85" s="37">
        <f>SUMIFS(Wine1!$I:$I,Wine1!$K:$K,Location!$A85,Wine1!$AA:$AA,Location!Z$1)</f>
        <v>0</v>
      </c>
      <c r="AA85" s="37">
        <f>SUMIFS(Wine1!$I:$I,Wine1!$K:$K,Location!$A85,Wine1!$AA:$AA,Location!AA$1)</f>
        <v>0</v>
      </c>
      <c r="AB85" s="37">
        <f>SUMIFS(Wine1!$I:$I,Wine1!$K:$K,Location!$A85,Wine1!$AA:$AA,Location!AB$1)</f>
        <v>0</v>
      </c>
      <c r="AC85" s="37">
        <f>SUMIFS(Wine1!$I:$I,Wine1!$K:$K,Location!$A85,Wine1!$AA:$AA,Location!AC$1)</f>
        <v>0</v>
      </c>
      <c r="AD85" s="37">
        <f>SUMIFS(Wine1!$I:$I,Wine1!$K:$K,Location!$A85,Wine1!$AA:$AA,Location!AD$1)</f>
        <v>0</v>
      </c>
      <c r="AE85" s="37">
        <f>SUMIFS(Wine1!$I:$I,Wine1!$K:$K,Location!$A85,Wine1!$AA:$AA,Location!AE$1)</f>
        <v>1</v>
      </c>
      <c r="AF85" s="37">
        <f>SUMIFS(Wine1!$I:$I,Wine1!$K:$K,Location!$A85,Wine1!$AA:$AA,Location!AF$1)</f>
        <v>0</v>
      </c>
      <c r="AG85" s="37">
        <f>SUMIFS(Wine1!$I:$I,Wine1!$K:$K,Location!$A85,Wine1!$AA:$AA,Location!AG$1)</f>
        <v>1</v>
      </c>
      <c r="AH85" s="37">
        <f>SUMIFS(Wine1!$I:$I,Wine1!$K:$K,Location!$A85,Wine1!$AA:$AA,Location!AH$1)</f>
        <v>0</v>
      </c>
      <c r="AI85" s="37">
        <f>SUMIFS(Wine1!$I:$I,Wine1!$K:$K,Location!$A85,Wine1!$AA:$AA,Location!AI$1)</f>
        <v>0</v>
      </c>
      <c r="AJ85" s="37">
        <f>SUMIFS(Wine1!$I:$I,Wine1!$K:$K,Location!$A85,Wine1!$AA:$AA,Location!AJ$1)</f>
        <v>0</v>
      </c>
      <c r="AK85" s="37">
        <f>SUMIFS(Wine1!$I:$I,Wine1!$K:$K,Location!$A85,Wine1!$AA:$AA,Location!AK$1)</f>
        <v>0</v>
      </c>
      <c r="AL85" s="37">
        <f>SUMIFS(Wine1!$I:$I,Wine1!$K:$K,Location!$A85,Wine1!$AA:$AA,Location!AL$1)</f>
        <v>0</v>
      </c>
      <c r="AM85" s="37">
        <f>SUMIFS(Wine1!$I:$I,Wine1!$K:$K,Location!$A85,Wine1!$AA:$AA,Location!AM$1)</f>
        <v>0</v>
      </c>
      <c r="AN85" s="37">
        <f>SUMIFS(Wine1!$I:$I,Wine1!$K:$K,Location!$A85,Wine1!$AA:$AA,Location!AN$1)</f>
        <v>0</v>
      </c>
      <c r="AO85" s="37">
        <f>SUMIFS(Wine1!$I:$I,Wine1!$K:$K,Location!$A85,Wine1!$AA:$AA,Location!AO$1)</f>
        <v>0</v>
      </c>
      <c r="AP85" s="37">
        <f>SUMIFS(Wine1!$I:$I,Wine1!$K:$K,Location!$A85,Wine1!$AA:$AA,Location!AP$1)</f>
        <v>0</v>
      </c>
      <c r="AQ85" s="37">
        <f>SUMIFS(Wine1!$I:$I,Wine1!$K:$K,Location!$A85,Wine1!$AA:$AA,Location!AQ$1)</f>
        <v>0</v>
      </c>
      <c r="AR85" s="37">
        <f>SUMIFS(Wine1!$I:$I,Wine1!$K:$K,Location!$A85,Wine1!$AA:$AA,Location!AR$1)</f>
        <v>0</v>
      </c>
      <c r="AS85" s="37">
        <f>SUMIFS(Wine1!$I:$I,Wine1!$K:$K,Location!$A85,Wine1!$AA:$AA,Location!AS$1)</f>
        <v>0</v>
      </c>
      <c r="AT85" s="37">
        <f>SUMIFS(Wine1!$I:$I,Wine1!$K:$K,Location!$A85,Wine1!$AA:$AA,Location!AT$1)</f>
        <v>0</v>
      </c>
      <c r="AU85" s="37">
        <f>SUMIFS(Wine1!$I:$I,Wine1!$K:$K,Location!$A85,Wine1!$AA:$AA,Location!AU$1)</f>
        <v>0</v>
      </c>
      <c r="AV85" s="37">
        <f>SUMIFS(Wine1!$I:$I,Wine1!$K:$K,Location!$A85,Wine1!$AA:$AA,Location!AV$1)</f>
        <v>0</v>
      </c>
      <c r="AW85" s="37">
        <f>SUMIFS(Wine1!$I:$I,Wine1!$K:$K,Location!$A85,Wine1!$AA:$AA,Location!AW$1)</f>
        <v>0</v>
      </c>
      <c r="AX85" s="37">
        <f>SUMIFS(Wine1!$I:$I,Wine1!$K:$K,Location!$A85,Wine1!$AA:$AA,Location!AX$1)</f>
        <v>0</v>
      </c>
      <c r="AY85" s="37">
        <f>SUMIFS(Wine1!$I:$I,Wine1!$K:$K,Location!$A85,Wine1!$AA:$AA,Location!AY$1)</f>
        <v>0</v>
      </c>
      <c r="AZ85" s="37">
        <f>SUMIFS(Wine1!$I:$I,Wine1!$K:$K,Location!$A85,Wine1!$AA:$AA,Location!AZ$1)</f>
        <v>0</v>
      </c>
      <c r="BA85" s="37">
        <f>SUMIFS(Wine1!$I:$I,Wine1!$K:$K,Location!$A85,Wine1!$AA:$AA,Location!BA$1)</f>
        <v>0</v>
      </c>
      <c r="BB85" s="37">
        <f>SUMIFS(Wine1!$I:$I,Wine1!$K:$K,Location!$A85,Wine1!$AA:$AA,Location!BB$1)</f>
        <v>0</v>
      </c>
      <c r="BC85" s="37">
        <f>SUMIFS(Wine1!$I:$I,Wine1!$K:$K,Location!$A85,Wine1!$AA:$AA,Location!BC$1)</f>
        <v>0</v>
      </c>
      <c r="BD85" s="37">
        <f>SUMIFS(Wine1!$I:$I,Wine1!$K:$K,Location!$A85,Wine1!$AA:$AA,Location!BD$1)</f>
        <v>0</v>
      </c>
      <c r="BE85" s="37">
        <f>SUMIFS(Wine1!$I:$I,Wine1!$K:$K,Location!$A85,Wine1!$AA:$AA,Location!BE$1)</f>
        <v>0</v>
      </c>
      <c r="BF85" s="37">
        <f>SUMIFS(Wine1!$I:$I,Wine1!$K:$K,Location!$A85,Wine1!$AA:$AA,Location!BF$1)</f>
        <v>0</v>
      </c>
      <c r="BG85" s="37">
        <f>SUMIFS(Wine1!$I:$I,Wine1!$K:$K,Location!$A85,Wine1!$AA:$AA,Location!BG$1)</f>
        <v>0</v>
      </c>
      <c r="BH85" s="37">
        <f>SUMIFS(Wine1!$I:$I,Wine1!$K:$K,Location!$A85,Wine1!$AA:$AA,Location!BH$1)</f>
        <v>0</v>
      </c>
      <c r="BI85" s="37">
        <f>SUMIFS(Wine1!$I:$I,Wine1!$K:$K,Location!$A85,Wine1!$AA:$AA,Location!BI$1)</f>
        <v>0</v>
      </c>
    </row>
    <row r="86" spans="1:61" s="37" customFormat="1" x14ac:dyDescent="0.25">
      <c r="A86" s="38" t="s">
        <v>629</v>
      </c>
      <c r="B86" s="20">
        <f>SUMIF(Wine1!K:K,Location!A86,Wine1!I:I)</f>
        <v>12</v>
      </c>
      <c r="C86" s="37">
        <v>12</v>
      </c>
      <c r="D86" s="37">
        <f t="shared" si="1"/>
        <v>0</v>
      </c>
      <c r="E86" s="8" t="s">
        <v>603</v>
      </c>
      <c r="F86" s="37" t="s">
        <v>1533</v>
      </c>
      <c r="G86" s="1">
        <v>43810</v>
      </c>
      <c r="H86" s="56">
        <f>COUNTIFS(Wine1!$K:$K,Location!$A86,Wine1!$AF:$AF,Location!H$1)</f>
        <v>0</v>
      </c>
      <c r="I86" s="57">
        <f>COUNTIFS(Wine1!$K:$K,Location!$A86,Wine1!$AF:$AF,Location!I$1)</f>
        <v>0</v>
      </c>
      <c r="J86" s="57">
        <f>COUNTIFS(Wine1!$K:$K,Location!$A86,Wine1!$AF:$AF,Location!J$1)</f>
        <v>12</v>
      </c>
      <c r="K86" s="58">
        <f>COUNTIFS(Wine1!$K:$K,Location!$A86,Wine1!$AF:$AF,Location!K$1)</f>
        <v>0</v>
      </c>
      <c r="L86" s="18">
        <f>IFERROR(AVERAGEIF(Wine1!K:K,Location!A86,Wine1!AA:AA),"Empty")</f>
        <v>2039.0833333333333</v>
      </c>
      <c r="M86" s="37">
        <f>SUMIFS(Wine1!$I:$I,Wine1!$K:$K,Location!$A86,Wine1!$AA:$AA,Location!M$1)</f>
        <v>0</v>
      </c>
      <c r="N86" s="37">
        <f>SUMIFS(Wine1!$I:$I,Wine1!$K:$K,Location!$A86,Wine1!$AA:$AA,Location!N$1)</f>
        <v>0</v>
      </c>
      <c r="O86" s="37">
        <f>SUMIFS(Wine1!$I:$I,Wine1!$K:$K,Location!$A86,Wine1!$AA:$AA,Location!O$1)</f>
        <v>0</v>
      </c>
      <c r="P86" s="37">
        <f>SUMIFS(Wine1!$I:$I,Wine1!$K:$K,Location!$A86,Wine1!$AA:$AA,Location!P$1)</f>
        <v>0</v>
      </c>
      <c r="Q86" s="37">
        <f>SUMIFS(Wine1!$I:$I,Wine1!$K:$K,Location!$A86,Wine1!$AA:$AA,Location!Q$1)</f>
        <v>0</v>
      </c>
      <c r="R86" s="37">
        <f>SUMIFS(Wine1!$I:$I,Wine1!$K:$K,Location!$A86,Wine1!$AA:$AA,Location!R$1)</f>
        <v>0</v>
      </c>
      <c r="S86" s="37">
        <f>SUMIFS(Wine1!$I:$I,Wine1!$K:$K,Location!$A86,Wine1!$AA:$AA,Location!S$1)</f>
        <v>0</v>
      </c>
      <c r="T86" s="37">
        <f>SUMIFS(Wine1!$I:$I,Wine1!$K:$K,Location!$A86,Wine1!$AA:$AA,Location!T$1)</f>
        <v>1</v>
      </c>
      <c r="U86" s="37">
        <f>SUMIFS(Wine1!$I:$I,Wine1!$K:$K,Location!$A86,Wine1!$AA:$AA,Location!U$1)</f>
        <v>0</v>
      </c>
      <c r="V86" s="37">
        <f>SUMIFS(Wine1!$I:$I,Wine1!$K:$K,Location!$A86,Wine1!$AA:$AA,Location!V$1)</f>
        <v>0</v>
      </c>
      <c r="W86" s="37">
        <f>SUMIFS(Wine1!$I:$I,Wine1!$K:$K,Location!$A86,Wine1!$AA:$AA,Location!W$1)</f>
        <v>1</v>
      </c>
      <c r="X86" s="37">
        <f>SUMIFS(Wine1!$I:$I,Wine1!$K:$K,Location!$A86,Wine1!$AA:$AA,Location!X$1)</f>
        <v>1</v>
      </c>
      <c r="Y86" s="37">
        <f>SUMIFS(Wine1!$I:$I,Wine1!$K:$K,Location!$A86,Wine1!$AA:$AA,Location!Y$1)</f>
        <v>0</v>
      </c>
      <c r="Z86" s="37">
        <f>SUMIFS(Wine1!$I:$I,Wine1!$K:$K,Location!$A86,Wine1!$AA:$AA,Location!Z$1)</f>
        <v>2</v>
      </c>
      <c r="AA86" s="37">
        <f>SUMIFS(Wine1!$I:$I,Wine1!$K:$K,Location!$A86,Wine1!$AA:$AA,Location!AA$1)</f>
        <v>0</v>
      </c>
      <c r="AB86" s="37">
        <f>SUMIFS(Wine1!$I:$I,Wine1!$K:$K,Location!$A86,Wine1!$AA:$AA,Location!AB$1)</f>
        <v>0</v>
      </c>
      <c r="AC86" s="37">
        <f>SUMIFS(Wine1!$I:$I,Wine1!$K:$K,Location!$A86,Wine1!$AA:$AA,Location!AC$1)</f>
        <v>1</v>
      </c>
      <c r="AD86" s="37">
        <f>SUMIFS(Wine1!$I:$I,Wine1!$K:$K,Location!$A86,Wine1!$AA:$AA,Location!AD$1)</f>
        <v>0</v>
      </c>
      <c r="AE86" s="37">
        <f>SUMIFS(Wine1!$I:$I,Wine1!$K:$K,Location!$A86,Wine1!$AA:$AA,Location!AE$1)</f>
        <v>0</v>
      </c>
      <c r="AF86" s="37">
        <f>SUMIFS(Wine1!$I:$I,Wine1!$K:$K,Location!$A86,Wine1!$AA:$AA,Location!AF$1)</f>
        <v>1</v>
      </c>
      <c r="AG86" s="37">
        <f>SUMIFS(Wine1!$I:$I,Wine1!$K:$K,Location!$A86,Wine1!$AA:$AA,Location!AG$1)</f>
        <v>0</v>
      </c>
      <c r="AH86" s="37">
        <f>SUMIFS(Wine1!$I:$I,Wine1!$K:$K,Location!$A86,Wine1!$AA:$AA,Location!AH$1)</f>
        <v>0</v>
      </c>
      <c r="AI86" s="37">
        <f>SUMIFS(Wine1!$I:$I,Wine1!$K:$K,Location!$A86,Wine1!$AA:$AA,Location!AI$1)</f>
        <v>1</v>
      </c>
      <c r="AJ86" s="37">
        <f>SUMIFS(Wine1!$I:$I,Wine1!$K:$K,Location!$A86,Wine1!$AA:$AA,Location!AJ$1)</f>
        <v>0</v>
      </c>
      <c r="AK86" s="37">
        <f>SUMIFS(Wine1!$I:$I,Wine1!$K:$K,Location!$A86,Wine1!$AA:$AA,Location!AK$1)</f>
        <v>0</v>
      </c>
      <c r="AL86" s="37">
        <f>SUMIFS(Wine1!$I:$I,Wine1!$K:$K,Location!$A86,Wine1!$AA:$AA,Location!AL$1)</f>
        <v>1</v>
      </c>
      <c r="AM86" s="37">
        <f>SUMIFS(Wine1!$I:$I,Wine1!$K:$K,Location!$A86,Wine1!$AA:$AA,Location!AM$1)</f>
        <v>0</v>
      </c>
      <c r="AN86" s="37">
        <f>SUMIFS(Wine1!$I:$I,Wine1!$K:$K,Location!$A86,Wine1!$AA:$AA,Location!AN$1)</f>
        <v>0</v>
      </c>
      <c r="AO86" s="37">
        <f>SUMIFS(Wine1!$I:$I,Wine1!$K:$K,Location!$A86,Wine1!$AA:$AA,Location!AO$1)</f>
        <v>1</v>
      </c>
      <c r="AP86" s="37">
        <f>SUMIFS(Wine1!$I:$I,Wine1!$K:$K,Location!$A86,Wine1!$AA:$AA,Location!AP$1)</f>
        <v>0</v>
      </c>
      <c r="AQ86" s="37">
        <f>SUMIFS(Wine1!$I:$I,Wine1!$K:$K,Location!$A86,Wine1!$AA:$AA,Location!AQ$1)</f>
        <v>0</v>
      </c>
      <c r="AR86" s="37">
        <f>SUMIFS(Wine1!$I:$I,Wine1!$K:$K,Location!$A86,Wine1!$AA:$AA,Location!AR$1)</f>
        <v>1</v>
      </c>
      <c r="AS86" s="37">
        <f>SUMIFS(Wine1!$I:$I,Wine1!$K:$K,Location!$A86,Wine1!$AA:$AA,Location!AS$1)</f>
        <v>0</v>
      </c>
      <c r="AT86" s="37">
        <f>SUMIFS(Wine1!$I:$I,Wine1!$K:$K,Location!$A86,Wine1!$AA:$AA,Location!AT$1)</f>
        <v>0</v>
      </c>
      <c r="AU86" s="37">
        <f>SUMIFS(Wine1!$I:$I,Wine1!$K:$K,Location!$A86,Wine1!$AA:$AA,Location!AU$1)</f>
        <v>1</v>
      </c>
      <c r="AV86" s="37">
        <f>SUMIFS(Wine1!$I:$I,Wine1!$K:$K,Location!$A86,Wine1!$AA:$AA,Location!AV$1)</f>
        <v>0</v>
      </c>
      <c r="AW86" s="37">
        <f>SUMIFS(Wine1!$I:$I,Wine1!$K:$K,Location!$A86,Wine1!$AA:$AA,Location!AW$1)</f>
        <v>0</v>
      </c>
      <c r="AX86" s="37">
        <f>SUMIFS(Wine1!$I:$I,Wine1!$K:$K,Location!$A86,Wine1!$AA:$AA,Location!AX$1)</f>
        <v>0</v>
      </c>
      <c r="AY86" s="37">
        <f>SUMIFS(Wine1!$I:$I,Wine1!$K:$K,Location!$A86,Wine1!$AA:$AA,Location!AY$1)</f>
        <v>0</v>
      </c>
      <c r="AZ86" s="37">
        <f>SUMIFS(Wine1!$I:$I,Wine1!$K:$K,Location!$A86,Wine1!$AA:$AA,Location!AZ$1)</f>
        <v>0</v>
      </c>
      <c r="BA86" s="37">
        <f>SUMIFS(Wine1!$I:$I,Wine1!$K:$K,Location!$A86,Wine1!$AA:$AA,Location!BA$1)</f>
        <v>0</v>
      </c>
      <c r="BB86" s="37">
        <f>SUMIFS(Wine1!$I:$I,Wine1!$K:$K,Location!$A86,Wine1!$AA:$AA,Location!BB$1)</f>
        <v>0</v>
      </c>
      <c r="BC86" s="37">
        <f>SUMIFS(Wine1!$I:$I,Wine1!$K:$K,Location!$A86,Wine1!$AA:$AA,Location!BC$1)</f>
        <v>0</v>
      </c>
      <c r="BD86" s="37">
        <f>SUMIFS(Wine1!$I:$I,Wine1!$K:$K,Location!$A86,Wine1!$AA:$AA,Location!BD$1)</f>
        <v>0</v>
      </c>
      <c r="BE86" s="37">
        <f>SUMIFS(Wine1!$I:$I,Wine1!$K:$K,Location!$A86,Wine1!$AA:$AA,Location!BE$1)</f>
        <v>0</v>
      </c>
      <c r="BF86" s="37">
        <f>SUMIFS(Wine1!$I:$I,Wine1!$K:$K,Location!$A86,Wine1!$AA:$AA,Location!BF$1)</f>
        <v>0</v>
      </c>
      <c r="BG86" s="37">
        <f>SUMIFS(Wine1!$I:$I,Wine1!$K:$K,Location!$A86,Wine1!$AA:$AA,Location!BG$1)</f>
        <v>0</v>
      </c>
      <c r="BH86" s="37">
        <f>SUMIFS(Wine1!$I:$I,Wine1!$K:$K,Location!$A86,Wine1!$AA:$AA,Location!BH$1)</f>
        <v>0</v>
      </c>
      <c r="BI86" s="37">
        <f>SUMIFS(Wine1!$I:$I,Wine1!$K:$K,Location!$A86,Wine1!$AA:$AA,Location!BI$1)</f>
        <v>0</v>
      </c>
    </row>
    <row r="87" spans="1:61" s="37" customFormat="1" x14ac:dyDescent="0.25">
      <c r="A87" s="20" t="s">
        <v>658</v>
      </c>
      <c r="B87" s="37">
        <f>SUMIF(Wine1!K:K,Location!A87,Wine1!I:I)</f>
        <v>12</v>
      </c>
      <c r="C87" s="37">
        <v>12</v>
      </c>
      <c r="D87" s="37">
        <f t="shared" si="1"/>
        <v>0</v>
      </c>
      <c r="E87" s="8" t="s">
        <v>600</v>
      </c>
      <c r="F87" s="8" t="s">
        <v>718</v>
      </c>
      <c r="G87" s="1">
        <v>43810</v>
      </c>
      <c r="H87" s="56">
        <f>COUNTIFS(Wine1!$K:$K,Location!$A87,Wine1!$AF:$AF,Location!H$1)</f>
        <v>0</v>
      </c>
      <c r="I87" s="57">
        <f>COUNTIFS(Wine1!$K:$K,Location!$A87,Wine1!$AF:$AF,Location!I$1)</f>
        <v>5</v>
      </c>
      <c r="J87" s="57">
        <f>COUNTIFS(Wine1!$K:$K,Location!$A87,Wine1!$AF:$AF,Location!J$1)</f>
        <v>7</v>
      </c>
      <c r="K87" s="58">
        <f>COUNTIFS(Wine1!$K:$K,Location!$A87,Wine1!$AF:$AF,Location!K$1)</f>
        <v>0</v>
      </c>
      <c r="L87" s="18">
        <f>IFERROR(AVERAGEIF(Wine1!K:K,Location!A87,Wine1!AA:AA),"Empty")</f>
        <v>2026.25</v>
      </c>
      <c r="M87" s="37">
        <f>SUMIFS(Wine1!$I:$I,Wine1!$K:$K,Location!$A87,Wine1!$AA:$AA,Location!M$1)</f>
        <v>2</v>
      </c>
      <c r="N87" s="37">
        <f>SUMIFS(Wine1!$I:$I,Wine1!$K:$K,Location!$A87,Wine1!$AA:$AA,Location!N$1)</f>
        <v>1</v>
      </c>
      <c r="O87" s="37">
        <f>SUMIFS(Wine1!$I:$I,Wine1!$K:$K,Location!$A87,Wine1!$AA:$AA,Location!O$1)</f>
        <v>3</v>
      </c>
      <c r="P87" s="37">
        <f>SUMIFS(Wine1!$I:$I,Wine1!$K:$K,Location!$A87,Wine1!$AA:$AA,Location!P$1)</f>
        <v>0</v>
      </c>
      <c r="Q87" s="37">
        <f>SUMIFS(Wine1!$I:$I,Wine1!$K:$K,Location!$A87,Wine1!$AA:$AA,Location!Q$1)</f>
        <v>0</v>
      </c>
      <c r="R87" s="37">
        <f>SUMIFS(Wine1!$I:$I,Wine1!$K:$K,Location!$A87,Wine1!$AA:$AA,Location!R$1)</f>
        <v>0</v>
      </c>
      <c r="S87" s="37">
        <f>SUMIFS(Wine1!$I:$I,Wine1!$K:$K,Location!$A87,Wine1!$AA:$AA,Location!S$1)</f>
        <v>2</v>
      </c>
      <c r="T87" s="37">
        <f>SUMIFS(Wine1!$I:$I,Wine1!$K:$K,Location!$A87,Wine1!$AA:$AA,Location!T$1)</f>
        <v>0</v>
      </c>
      <c r="U87" s="37">
        <f>SUMIFS(Wine1!$I:$I,Wine1!$K:$K,Location!$A87,Wine1!$AA:$AA,Location!U$1)</f>
        <v>0</v>
      </c>
      <c r="V87" s="37">
        <f>SUMIFS(Wine1!$I:$I,Wine1!$K:$K,Location!$A87,Wine1!$AA:$AA,Location!V$1)</f>
        <v>0</v>
      </c>
      <c r="W87" s="37">
        <f>SUMIFS(Wine1!$I:$I,Wine1!$K:$K,Location!$A87,Wine1!$AA:$AA,Location!W$1)</f>
        <v>1</v>
      </c>
      <c r="X87" s="37">
        <f>SUMIFS(Wine1!$I:$I,Wine1!$K:$K,Location!$A87,Wine1!$AA:$AA,Location!X$1)</f>
        <v>0</v>
      </c>
      <c r="Y87" s="37">
        <f>SUMIFS(Wine1!$I:$I,Wine1!$K:$K,Location!$A87,Wine1!$AA:$AA,Location!Y$1)</f>
        <v>1</v>
      </c>
      <c r="Z87" s="37">
        <f>SUMIFS(Wine1!$I:$I,Wine1!$K:$K,Location!$A87,Wine1!$AA:$AA,Location!Z$1)</f>
        <v>0</v>
      </c>
      <c r="AA87" s="37">
        <f>SUMIFS(Wine1!$I:$I,Wine1!$K:$K,Location!$A87,Wine1!$AA:$AA,Location!AA$1)</f>
        <v>1</v>
      </c>
      <c r="AB87" s="37">
        <f>SUMIFS(Wine1!$I:$I,Wine1!$K:$K,Location!$A87,Wine1!$AA:$AA,Location!AB$1)</f>
        <v>0</v>
      </c>
      <c r="AC87" s="37">
        <f>SUMIFS(Wine1!$I:$I,Wine1!$K:$K,Location!$A87,Wine1!$AA:$AA,Location!AC$1)</f>
        <v>0</v>
      </c>
      <c r="AD87" s="37">
        <f>SUMIFS(Wine1!$I:$I,Wine1!$K:$K,Location!$A87,Wine1!$AA:$AA,Location!AD$1)</f>
        <v>0</v>
      </c>
      <c r="AE87" s="37">
        <f>SUMIFS(Wine1!$I:$I,Wine1!$K:$K,Location!$A87,Wine1!$AA:$AA,Location!AE$1)</f>
        <v>0</v>
      </c>
      <c r="AF87" s="37">
        <f>SUMIFS(Wine1!$I:$I,Wine1!$K:$K,Location!$A87,Wine1!$AA:$AA,Location!AF$1)</f>
        <v>0</v>
      </c>
      <c r="AG87" s="37">
        <f>SUMIFS(Wine1!$I:$I,Wine1!$K:$K,Location!$A87,Wine1!$AA:$AA,Location!AG$1)</f>
        <v>1</v>
      </c>
      <c r="AH87" s="37">
        <f>SUMIFS(Wine1!$I:$I,Wine1!$K:$K,Location!$A87,Wine1!$AA:$AA,Location!AH$1)</f>
        <v>0</v>
      </c>
      <c r="AI87" s="37">
        <f>SUMIFS(Wine1!$I:$I,Wine1!$K:$K,Location!$A87,Wine1!$AA:$AA,Location!AI$1)</f>
        <v>0</v>
      </c>
      <c r="AJ87" s="37">
        <f>SUMIFS(Wine1!$I:$I,Wine1!$K:$K,Location!$A87,Wine1!$AA:$AA,Location!AJ$1)</f>
        <v>0</v>
      </c>
      <c r="AK87" s="37">
        <f>SUMIFS(Wine1!$I:$I,Wine1!$K:$K,Location!$A87,Wine1!$AA:$AA,Location!AK$1)</f>
        <v>0</v>
      </c>
      <c r="AL87" s="37">
        <f>SUMIFS(Wine1!$I:$I,Wine1!$K:$K,Location!$A87,Wine1!$AA:$AA,Location!AL$1)</f>
        <v>0</v>
      </c>
      <c r="AM87" s="37">
        <f>SUMIFS(Wine1!$I:$I,Wine1!$K:$K,Location!$A87,Wine1!$AA:$AA,Location!AM$1)</f>
        <v>0</v>
      </c>
      <c r="AN87" s="37">
        <f>SUMIFS(Wine1!$I:$I,Wine1!$K:$K,Location!$A87,Wine1!$AA:$AA,Location!AN$1)</f>
        <v>0</v>
      </c>
      <c r="AO87" s="37">
        <f>SUMIFS(Wine1!$I:$I,Wine1!$K:$K,Location!$A87,Wine1!$AA:$AA,Location!AO$1)</f>
        <v>0</v>
      </c>
      <c r="AP87" s="37">
        <f>SUMIFS(Wine1!$I:$I,Wine1!$K:$K,Location!$A87,Wine1!$AA:$AA,Location!AP$1)</f>
        <v>0</v>
      </c>
      <c r="AQ87" s="37">
        <f>SUMIFS(Wine1!$I:$I,Wine1!$K:$K,Location!$A87,Wine1!$AA:$AA,Location!AQ$1)</f>
        <v>0</v>
      </c>
      <c r="AR87" s="37">
        <f>SUMIFS(Wine1!$I:$I,Wine1!$K:$K,Location!$A87,Wine1!$AA:$AA,Location!AR$1)</f>
        <v>0</v>
      </c>
      <c r="AS87" s="37">
        <f>SUMIFS(Wine1!$I:$I,Wine1!$K:$K,Location!$A87,Wine1!$AA:$AA,Location!AS$1)</f>
        <v>0</v>
      </c>
      <c r="AT87" s="37">
        <f>SUMIFS(Wine1!$I:$I,Wine1!$K:$K,Location!$A87,Wine1!$AA:$AA,Location!AT$1)</f>
        <v>0</v>
      </c>
      <c r="AU87" s="37">
        <f>SUMIFS(Wine1!$I:$I,Wine1!$K:$K,Location!$A87,Wine1!$AA:$AA,Location!AU$1)</f>
        <v>0</v>
      </c>
      <c r="AV87" s="37">
        <f>SUMIFS(Wine1!$I:$I,Wine1!$K:$K,Location!$A87,Wine1!$AA:$AA,Location!AV$1)</f>
        <v>0</v>
      </c>
      <c r="AW87" s="37">
        <f>SUMIFS(Wine1!$I:$I,Wine1!$K:$K,Location!$A87,Wine1!$AA:$AA,Location!AW$1)</f>
        <v>0</v>
      </c>
      <c r="AX87" s="37">
        <f>SUMIFS(Wine1!$I:$I,Wine1!$K:$K,Location!$A87,Wine1!$AA:$AA,Location!AX$1)</f>
        <v>0</v>
      </c>
      <c r="AY87" s="37">
        <f>SUMIFS(Wine1!$I:$I,Wine1!$K:$K,Location!$A87,Wine1!$AA:$AA,Location!AY$1)</f>
        <v>0</v>
      </c>
      <c r="AZ87" s="37">
        <f>SUMIFS(Wine1!$I:$I,Wine1!$K:$K,Location!$A87,Wine1!$AA:$AA,Location!AZ$1)</f>
        <v>0</v>
      </c>
      <c r="BA87" s="37">
        <f>SUMIFS(Wine1!$I:$I,Wine1!$K:$K,Location!$A87,Wine1!$AA:$AA,Location!BA$1)</f>
        <v>0</v>
      </c>
      <c r="BB87" s="37">
        <f>SUMIFS(Wine1!$I:$I,Wine1!$K:$K,Location!$A87,Wine1!$AA:$AA,Location!BB$1)</f>
        <v>0</v>
      </c>
      <c r="BC87" s="37">
        <f>SUMIFS(Wine1!$I:$I,Wine1!$K:$K,Location!$A87,Wine1!$AA:$AA,Location!BC$1)</f>
        <v>0</v>
      </c>
      <c r="BD87" s="37">
        <f>SUMIFS(Wine1!$I:$I,Wine1!$K:$K,Location!$A87,Wine1!$AA:$AA,Location!BD$1)</f>
        <v>0</v>
      </c>
      <c r="BE87" s="37">
        <f>SUMIFS(Wine1!$I:$I,Wine1!$K:$K,Location!$A87,Wine1!$AA:$AA,Location!BE$1)</f>
        <v>0</v>
      </c>
      <c r="BF87" s="37">
        <f>SUMIFS(Wine1!$I:$I,Wine1!$K:$K,Location!$A87,Wine1!$AA:$AA,Location!BF$1)</f>
        <v>0</v>
      </c>
      <c r="BG87" s="37">
        <f>SUMIFS(Wine1!$I:$I,Wine1!$K:$K,Location!$A87,Wine1!$AA:$AA,Location!BG$1)</f>
        <v>0</v>
      </c>
      <c r="BH87" s="37">
        <f>SUMIFS(Wine1!$I:$I,Wine1!$K:$K,Location!$A87,Wine1!$AA:$AA,Location!BH$1)</f>
        <v>0</v>
      </c>
      <c r="BI87" s="37">
        <f>SUMIFS(Wine1!$I:$I,Wine1!$K:$K,Location!$A87,Wine1!$AA:$AA,Location!BI$1)</f>
        <v>0</v>
      </c>
    </row>
    <row r="88" spans="1:61" s="37" customFormat="1" x14ac:dyDescent="0.25">
      <c r="A88" s="38" t="s">
        <v>1234</v>
      </c>
      <c r="B88" s="37">
        <f>SUMIF(Wine1!K:K,Location!A88,Wine1!I:I)</f>
        <v>12</v>
      </c>
      <c r="C88" s="37">
        <v>12</v>
      </c>
      <c r="D88" s="37">
        <f t="shared" si="1"/>
        <v>0</v>
      </c>
      <c r="E88" s="8" t="s">
        <v>603</v>
      </c>
      <c r="F88" s="37" t="s">
        <v>1533</v>
      </c>
      <c r="G88" s="1"/>
      <c r="H88" s="56">
        <f>COUNTIFS(Wine1!$K:$K,Location!$A88,Wine1!$AF:$AF,Location!H$1)</f>
        <v>0</v>
      </c>
      <c r="I88" s="57">
        <f>COUNTIFS(Wine1!$K:$K,Location!$A88,Wine1!$AF:$AF,Location!I$1)</f>
        <v>0</v>
      </c>
      <c r="J88" s="57">
        <f>COUNTIFS(Wine1!$K:$K,Location!$A88,Wine1!$AF:$AF,Location!J$1)</f>
        <v>12</v>
      </c>
      <c r="K88" s="58">
        <f>COUNTIFS(Wine1!$K:$K,Location!$A88,Wine1!$AF:$AF,Location!K$1)</f>
        <v>0</v>
      </c>
      <c r="L88" s="18">
        <f>IFERROR(AVERAGEIF(Wine1!K:K,Location!A88,Wine1!AA:AA),"Empty")</f>
        <v>2032.3333333333333</v>
      </c>
      <c r="M88" s="37">
        <f>SUMIFS(Wine1!$I:$I,Wine1!$K:$K,Location!$A88,Wine1!$AA:$AA,Location!M$1)</f>
        <v>0</v>
      </c>
      <c r="N88" s="37">
        <f>SUMIFS(Wine1!$I:$I,Wine1!$K:$K,Location!$A88,Wine1!$AA:$AA,Location!N$1)</f>
        <v>0</v>
      </c>
      <c r="O88" s="37">
        <f>SUMIFS(Wine1!$I:$I,Wine1!$K:$K,Location!$A88,Wine1!$AA:$AA,Location!O$1)</f>
        <v>1</v>
      </c>
      <c r="P88" s="37">
        <f>SUMIFS(Wine1!$I:$I,Wine1!$K:$K,Location!$A88,Wine1!$AA:$AA,Location!P$1)</f>
        <v>0</v>
      </c>
      <c r="Q88" s="37">
        <f>SUMIFS(Wine1!$I:$I,Wine1!$K:$K,Location!$A88,Wine1!$AA:$AA,Location!Q$1)</f>
        <v>1</v>
      </c>
      <c r="R88" s="37">
        <f>SUMIFS(Wine1!$I:$I,Wine1!$K:$K,Location!$A88,Wine1!$AA:$AA,Location!R$1)</f>
        <v>0</v>
      </c>
      <c r="S88" s="37">
        <f>SUMIFS(Wine1!$I:$I,Wine1!$K:$K,Location!$A88,Wine1!$AA:$AA,Location!S$1)</f>
        <v>1</v>
      </c>
      <c r="T88" s="37">
        <f>SUMIFS(Wine1!$I:$I,Wine1!$K:$K,Location!$A88,Wine1!$AA:$AA,Location!T$1)</f>
        <v>0</v>
      </c>
      <c r="U88" s="37">
        <f>SUMIFS(Wine1!$I:$I,Wine1!$K:$K,Location!$A88,Wine1!$AA:$AA,Location!U$1)</f>
        <v>1</v>
      </c>
      <c r="V88" s="37">
        <f>SUMIFS(Wine1!$I:$I,Wine1!$K:$K,Location!$A88,Wine1!$AA:$AA,Location!V$1)</f>
        <v>0</v>
      </c>
      <c r="W88" s="37">
        <f>SUMIFS(Wine1!$I:$I,Wine1!$K:$K,Location!$A88,Wine1!$AA:$AA,Location!W$1)</f>
        <v>1</v>
      </c>
      <c r="X88" s="37">
        <f>SUMIFS(Wine1!$I:$I,Wine1!$K:$K,Location!$A88,Wine1!$AA:$AA,Location!X$1)</f>
        <v>0</v>
      </c>
      <c r="Y88" s="37">
        <f>SUMIFS(Wine1!$I:$I,Wine1!$K:$K,Location!$A88,Wine1!$AA:$AA,Location!Y$1)</f>
        <v>1</v>
      </c>
      <c r="Z88" s="37">
        <f>SUMIFS(Wine1!$I:$I,Wine1!$K:$K,Location!$A88,Wine1!$AA:$AA,Location!Z$1)</f>
        <v>0</v>
      </c>
      <c r="AA88" s="37">
        <f>SUMIFS(Wine1!$I:$I,Wine1!$K:$K,Location!$A88,Wine1!$AA:$AA,Location!AA$1)</f>
        <v>1</v>
      </c>
      <c r="AB88" s="37">
        <f>SUMIFS(Wine1!$I:$I,Wine1!$K:$K,Location!$A88,Wine1!$AA:$AA,Location!AB$1)</f>
        <v>0</v>
      </c>
      <c r="AC88" s="37">
        <f>SUMIFS(Wine1!$I:$I,Wine1!$K:$K,Location!$A88,Wine1!$AA:$AA,Location!AC$1)</f>
        <v>2</v>
      </c>
      <c r="AD88" s="37">
        <f>SUMIFS(Wine1!$I:$I,Wine1!$K:$K,Location!$A88,Wine1!$AA:$AA,Location!AD$1)</f>
        <v>0</v>
      </c>
      <c r="AE88" s="37">
        <f>SUMIFS(Wine1!$I:$I,Wine1!$K:$K,Location!$A88,Wine1!$AA:$AA,Location!AE$1)</f>
        <v>1</v>
      </c>
      <c r="AF88" s="37">
        <f>SUMIFS(Wine1!$I:$I,Wine1!$K:$K,Location!$A88,Wine1!$AA:$AA,Location!AF$1)</f>
        <v>0</v>
      </c>
      <c r="AG88" s="37">
        <f>SUMIFS(Wine1!$I:$I,Wine1!$K:$K,Location!$A88,Wine1!$AA:$AA,Location!AG$1)</f>
        <v>1</v>
      </c>
      <c r="AH88" s="37">
        <f>SUMIFS(Wine1!$I:$I,Wine1!$K:$K,Location!$A88,Wine1!$AA:$AA,Location!AH$1)</f>
        <v>0</v>
      </c>
      <c r="AI88" s="37">
        <f>SUMIFS(Wine1!$I:$I,Wine1!$K:$K,Location!$A88,Wine1!$AA:$AA,Location!AI$1)</f>
        <v>1</v>
      </c>
      <c r="AJ88" s="37">
        <f>SUMIFS(Wine1!$I:$I,Wine1!$K:$K,Location!$A88,Wine1!$AA:$AA,Location!AJ$1)</f>
        <v>0</v>
      </c>
      <c r="AK88" s="37">
        <f>SUMIFS(Wine1!$I:$I,Wine1!$K:$K,Location!$A88,Wine1!$AA:$AA,Location!AK$1)</f>
        <v>0</v>
      </c>
      <c r="AL88" s="37">
        <f>SUMIFS(Wine1!$I:$I,Wine1!$K:$K,Location!$A88,Wine1!$AA:$AA,Location!AL$1)</f>
        <v>0</v>
      </c>
      <c r="AM88" s="37">
        <f>SUMIFS(Wine1!$I:$I,Wine1!$K:$K,Location!$A88,Wine1!$AA:$AA,Location!AM$1)</f>
        <v>0</v>
      </c>
      <c r="AN88" s="37">
        <f>SUMIFS(Wine1!$I:$I,Wine1!$K:$K,Location!$A88,Wine1!$AA:$AA,Location!AN$1)</f>
        <v>0</v>
      </c>
      <c r="AO88" s="37">
        <f>SUMIFS(Wine1!$I:$I,Wine1!$K:$K,Location!$A88,Wine1!$AA:$AA,Location!AO$1)</f>
        <v>0</v>
      </c>
      <c r="AP88" s="37">
        <f>SUMIFS(Wine1!$I:$I,Wine1!$K:$K,Location!$A88,Wine1!$AA:$AA,Location!AP$1)</f>
        <v>0</v>
      </c>
      <c r="AQ88" s="37">
        <f>SUMIFS(Wine1!$I:$I,Wine1!$K:$K,Location!$A88,Wine1!$AA:$AA,Location!AQ$1)</f>
        <v>0</v>
      </c>
      <c r="AR88" s="37">
        <f>SUMIFS(Wine1!$I:$I,Wine1!$K:$K,Location!$A88,Wine1!$AA:$AA,Location!AR$1)</f>
        <v>0</v>
      </c>
      <c r="AS88" s="37">
        <f>SUMIFS(Wine1!$I:$I,Wine1!$K:$K,Location!$A88,Wine1!$AA:$AA,Location!AS$1)</f>
        <v>0</v>
      </c>
      <c r="AT88" s="37">
        <f>SUMIFS(Wine1!$I:$I,Wine1!$K:$K,Location!$A88,Wine1!$AA:$AA,Location!AT$1)</f>
        <v>0</v>
      </c>
      <c r="AU88" s="37">
        <f>SUMIFS(Wine1!$I:$I,Wine1!$K:$K,Location!$A88,Wine1!$AA:$AA,Location!AU$1)</f>
        <v>0</v>
      </c>
      <c r="AV88" s="37">
        <f>SUMIFS(Wine1!$I:$I,Wine1!$K:$K,Location!$A88,Wine1!$AA:$AA,Location!AV$1)</f>
        <v>0</v>
      </c>
      <c r="AW88" s="37">
        <f>SUMIFS(Wine1!$I:$I,Wine1!$K:$K,Location!$A88,Wine1!$AA:$AA,Location!AW$1)</f>
        <v>0</v>
      </c>
      <c r="AX88" s="37">
        <f>SUMIFS(Wine1!$I:$I,Wine1!$K:$K,Location!$A88,Wine1!$AA:$AA,Location!AX$1)</f>
        <v>0</v>
      </c>
      <c r="AY88" s="37">
        <f>SUMIFS(Wine1!$I:$I,Wine1!$K:$K,Location!$A88,Wine1!$AA:$AA,Location!AY$1)</f>
        <v>0</v>
      </c>
      <c r="AZ88" s="37">
        <f>SUMIFS(Wine1!$I:$I,Wine1!$K:$K,Location!$A88,Wine1!$AA:$AA,Location!AZ$1)</f>
        <v>0</v>
      </c>
      <c r="BA88" s="37">
        <f>SUMIFS(Wine1!$I:$I,Wine1!$K:$K,Location!$A88,Wine1!$AA:$AA,Location!BA$1)</f>
        <v>0</v>
      </c>
      <c r="BB88" s="37">
        <f>SUMIFS(Wine1!$I:$I,Wine1!$K:$K,Location!$A88,Wine1!$AA:$AA,Location!BB$1)</f>
        <v>0</v>
      </c>
      <c r="BC88" s="37">
        <f>SUMIFS(Wine1!$I:$I,Wine1!$K:$K,Location!$A88,Wine1!$AA:$AA,Location!BC$1)</f>
        <v>0</v>
      </c>
      <c r="BD88" s="37">
        <f>SUMIFS(Wine1!$I:$I,Wine1!$K:$K,Location!$A88,Wine1!$AA:$AA,Location!BD$1)</f>
        <v>0</v>
      </c>
      <c r="BE88" s="37">
        <f>SUMIFS(Wine1!$I:$I,Wine1!$K:$K,Location!$A88,Wine1!$AA:$AA,Location!BE$1)</f>
        <v>0</v>
      </c>
      <c r="BF88" s="37">
        <f>SUMIFS(Wine1!$I:$I,Wine1!$K:$K,Location!$A88,Wine1!$AA:$AA,Location!BF$1)</f>
        <v>0</v>
      </c>
      <c r="BG88" s="37">
        <f>SUMIFS(Wine1!$I:$I,Wine1!$K:$K,Location!$A88,Wine1!$AA:$AA,Location!BG$1)</f>
        <v>0</v>
      </c>
      <c r="BH88" s="37">
        <f>SUMIFS(Wine1!$I:$I,Wine1!$K:$K,Location!$A88,Wine1!$AA:$AA,Location!BH$1)</f>
        <v>0</v>
      </c>
      <c r="BI88" s="37">
        <f>SUMIFS(Wine1!$I:$I,Wine1!$K:$K,Location!$A88,Wine1!$AA:$AA,Location!BI$1)</f>
        <v>0</v>
      </c>
    </row>
    <row r="89" spans="1:61" s="37" customFormat="1" x14ac:dyDescent="0.25">
      <c r="A89" s="8" t="s">
        <v>1504</v>
      </c>
      <c r="B89" s="37">
        <f>SUMIF(Wine1!K:K,Location!A89,Wine1!I:I)</f>
        <v>24</v>
      </c>
      <c r="C89" s="37">
        <v>24</v>
      </c>
      <c r="D89" s="37">
        <f t="shared" si="1"/>
        <v>0</v>
      </c>
      <c r="E89" s="8" t="s">
        <v>600</v>
      </c>
      <c r="F89" s="37" t="s">
        <v>1533</v>
      </c>
      <c r="G89" s="1"/>
      <c r="H89" s="56">
        <f>COUNTIFS(Wine1!$K:$K,Location!$A89,Wine1!$AF:$AF,Location!H$1)</f>
        <v>0</v>
      </c>
      <c r="I89" s="57">
        <f>COUNTIFS(Wine1!$K:$K,Location!$A89,Wine1!$AF:$AF,Location!I$1)</f>
        <v>20</v>
      </c>
      <c r="J89" s="57">
        <f>COUNTIFS(Wine1!$K:$K,Location!$A89,Wine1!$AF:$AF,Location!J$1)</f>
        <v>4</v>
      </c>
      <c r="K89" s="58">
        <f>COUNTIFS(Wine1!$K:$K,Location!$A89,Wine1!$AF:$AF,Location!K$1)</f>
        <v>0</v>
      </c>
      <c r="L89" s="18">
        <f>IFERROR(AVERAGEIF(Wine1!K:K,Location!A89,Wine1!AA:AA),"Empty")</f>
        <v>2026.9166666666667</v>
      </c>
      <c r="M89" s="37">
        <f>SUMIFS(Wine1!$I:$I,Wine1!$K:$K,Location!$A89,Wine1!$AA:$AA,Location!M$1)</f>
        <v>0</v>
      </c>
      <c r="N89" s="37">
        <f>SUMIFS(Wine1!$I:$I,Wine1!$K:$K,Location!$A89,Wine1!$AA:$AA,Location!N$1)</f>
        <v>0</v>
      </c>
      <c r="O89" s="37">
        <f>SUMIFS(Wine1!$I:$I,Wine1!$K:$K,Location!$A89,Wine1!$AA:$AA,Location!O$1)</f>
        <v>2</v>
      </c>
      <c r="P89" s="37">
        <f>SUMIFS(Wine1!$I:$I,Wine1!$K:$K,Location!$A89,Wine1!$AA:$AA,Location!P$1)</f>
        <v>5</v>
      </c>
      <c r="Q89" s="37">
        <f>SUMIFS(Wine1!$I:$I,Wine1!$K:$K,Location!$A89,Wine1!$AA:$AA,Location!Q$1)</f>
        <v>3</v>
      </c>
      <c r="R89" s="37">
        <f>SUMIFS(Wine1!$I:$I,Wine1!$K:$K,Location!$A89,Wine1!$AA:$AA,Location!R$1)</f>
        <v>1</v>
      </c>
      <c r="S89" s="37">
        <f>SUMIFS(Wine1!$I:$I,Wine1!$K:$K,Location!$A89,Wine1!$AA:$AA,Location!S$1)</f>
        <v>2</v>
      </c>
      <c r="T89" s="37">
        <f>SUMIFS(Wine1!$I:$I,Wine1!$K:$K,Location!$A89,Wine1!$AA:$AA,Location!T$1)</f>
        <v>1</v>
      </c>
      <c r="U89" s="37">
        <f>SUMIFS(Wine1!$I:$I,Wine1!$K:$K,Location!$A89,Wine1!$AA:$AA,Location!U$1)</f>
        <v>1</v>
      </c>
      <c r="V89" s="37">
        <f>SUMIFS(Wine1!$I:$I,Wine1!$K:$K,Location!$A89,Wine1!$AA:$AA,Location!V$1)</f>
        <v>2</v>
      </c>
      <c r="W89" s="37">
        <f>SUMIFS(Wine1!$I:$I,Wine1!$K:$K,Location!$A89,Wine1!$AA:$AA,Location!W$1)</f>
        <v>2</v>
      </c>
      <c r="X89" s="37">
        <f>SUMIFS(Wine1!$I:$I,Wine1!$K:$K,Location!$A89,Wine1!$AA:$AA,Location!X$1)</f>
        <v>1</v>
      </c>
      <c r="Y89" s="37">
        <f>SUMIFS(Wine1!$I:$I,Wine1!$K:$K,Location!$A89,Wine1!$AA:$AA,Location!Y$1)</f>
        <v>1</v>
      </c>
      <c r="Z89" s="37">
        <f>SUMIFS(Wine1!$I:$I,Wine1!$K:$K,Location!$A89,Wine1!$AA:$AA,Location!Z$1)</f>
        <v>1</v>
      </c>
      <c r="AA89" s="37">
        <f>SUMIFS(Wine1!$I:$I,Wine1!$K:$K,Location!$A89,Wine1!$AA:$AA,Location!AA$1)</f>
        <v>1</v>
      </c>
      <c r="AB89" s="37">
        <f>SUMIFS(Wine1!$I:$I,Wine1!$K:$K,Location!$A89,Wine1!$AA:$AA,Location!AB$1)</f>
        <v>1</v>
      </c>
      <c r="AC89" s="37">
        <f>SUMIFS(Wine1!$I:$I,Wine1!$K:$K,Location!$A89,Wine1!$AA:$AA,Location!AC$1)</f>
        <v>0</v>
      </c>
      <c r="AD89" s="37">
        <f>SUMIFS(Wine1!$I:$I,Wine1!$K:$K,Location!$A89,Wine1!$AA:$AA,Location!AD$1)</f>
        <v>0</v>
      </c>
      <c r="AE89" s="37">
        <f>SUMIFS(Wine1!$I:$I,Wine1!$K:$K,Location!$A89,Wine1!$AA:$AA,Location!AE$1)</f>
        <v>0</v>
      </c>
      <c r="AF89" s="37">
        <f>SUMIFS(Wine1!$I:$I,Wine1!$K:$K,Location!$A89,Wine1!$AA:$AA,Location!AF$1)</f>
        <v>0</v>
      </c>
      <c r="AG89" s="37">
        <f>SUMIFS(Wine1!$I:$I,Wine1!$K:$K,Location!$A89,Wine1!$AA:$AA,Location!AG$1)</f>
        <v>0</v>
      </c>
      <c r="AH89" s="37">
        <f>SUMIFS(Wine1!$I:$I,Wine1!$K:$K,Location!$A89,Wine1!$AA:$AA,Location!AH$1)</f>
        <v>0</v>
      </c>
      <c r="AI89" s="37">
        <f>SUMIFS(Wine1!$I:$I,Wine1!$K:$K,Location!$A89,Wine1!$AA:$AA,Location!AI$1)</f>
        <v>0</v>
      </c>
      <c r="AJ89" s="37">
        <f>SUMIFS(Wine1!$I:$I,Wine1!$K:$K,Location!$A89,Wine1!$AA:$AA,Location!AJ$1)</f>
        <v>0</v>
      </c>
      <c r="AK89" s="37">
        <f>SUMIFS(Wine1!$I:$I,Wine1!$K:$K,Location!$A89,Wine1!$AA:$AA,Location!AK$1)</f>
        <v>0</v>
      </c>
      <c r="AL89" s="37">
        <f>SUMIFS(Wine1!$I:$I,Wine1!$K:$K,Location!$A89,Wine1!$AA:$AA,Location!AL$1)</f>
        <v>0</v>
      </c>
      <c r="AM89" s="37">
        <f>SUMIFS(Wine1!$I:$I,Wine1!$K:$K,Location!$A89,Wine1!$AA:$AA,Location!AM$1)</f>
        <v>0</v>
      </c>
      <c r="AN89" s="37">
        <f>SUMIFS(Wine1!$I:$I,Wine1!$K:$K,Location!$A89,Wine1!$AA:$AA,Location!AN$1)</f>
        <v>0</v>
      </c>
      <c r="AO89" s="37">
        <f>SUMIFS(Wine1!$I:$I,Wine1!$K:$K,Location!$A89,Wine1!$AA:$AA,Location!AO$1)</f>
        <v>0</v>
      </c>
      <c r="AP89" s="37">
        <f>SUMIFS(Wine1!$I:$I,Wine1!$K:$K,Location!$A89,Wine1!$AA:$AA,Location!AP$1)</f>
        <v>0</v>
      </c>
      <c r="AQ89" s="37">
        <f>SUMIFS(Wine1!$I:$I,Wine1!$K:$K,Location!$A89,Wine1!$AA:$AA,Location!AQ$1)</f>
        <v>0</v>
      </c>
      <c r="AR89" s="37">
        <f>SUMIFS(Wine1!$I:$I,Wine1!$K:$K,Location!$A89,Wine1!$AA:$AA,Location!AR$1)</f>
        <v>0</v>
      </c>
      <c r="AS89" s="37">
        <f>SUMIFS(Wine1!$I:$I,Wine1!$K:$K,Location!$A89,Wine1!$AA:$AA,Location!AS$1)</f>
        <v>0</v>
      </c>
      <c r="AT89" s="37">
        <f>SUMIFS(Wine1!$I:$I,Wine1!$K:$K,Location!$A89,Wine1!$AA:$AA,Location!AT$1)</f>
        <v>0</v>
      </c>
      <c r="AU89" s="37">
        <f>SUMIFS(Wine1!$I:$I,Wine1!$K:$K,Location!$A89,Wine1!$AA:$AA,Location!AU$1)</f>
        <v>0</v>
      </c>
      <c r="AV89" s="37">
        <f>SUMIFS(Wine1!$I:$I,Wine1!$K:$K,Location!$A89,Wine1!$AA:$AA,Location!AV$1)</f>
        <v>0</v>
      </c>
      <c r="AW89" s="37">
        <f>SUMIFS(Wine1!$I:$I,Wine1!$K:$K,Location!$A89,Wine1!$AA:$AA,Location!AW$1)</f>
        <v>0</v>
      </c>
      <c r="AX89" s="37">
        <f>SUMIFS(Wine1!$I:$I,Wine1!$K:$K,Location!$A89,Wine1!$AA:$AA,Location!AX$1)</f>
        <v>0</v>
      </c>
      <c r="AY89" s="37">
        <f>SUMIFS(Wine1!$I:$I,Wine1!$K:$K,Location!$A89,Wine1!$AA:$AA,Location!AY$1)</f>
        <v>0</v>
      </c>
      <c r="AZ89" s="37">
        <f>SUMIFS(Wine1!$I:$I,Wine1!$K:$K,Location!$A89,Wine1!$AA:$AA,Location!AZ$1)</f>
        <v>0</v>
      </c>
      <c r="BA89" s="37">
        <f>SUMIFS(Wine1!$I:$I,Wine1!$K:$K,Location!$A89,Wine1!$AA:$AA,Location!BA$1)</f>
        <v>0</v>
      </c>
      <c r="BB89" s="37">
        <f>SUMIFS(Wine1!$I:$I,Wine1!$K:$K,Location!$A89,Wine1!$AA:$AA,Location!BB$1)</f>
        <v>0</v>
      </c>
      <c r="BC89" s="37">
        <f>SUMIFS(Wine1!$I:$I,Wine1!$K:$K,Location!$A89,Wine1!$AA:$AA,Location!BC$1)</f>
        <v>0</v>
      </c>
      <c r="BD89" s="37">
        <f>SUMIFS(Wine1!$I:$I,Wine1!$K:$K,Location!$A89,Wine1!$AA:$AA,Location!BD$1)</f>
        <v>0</v>
      </c>
      <c r="BE89" s="37">
        <f>SUMIFS(Wine1!$I:$I,Wine1!$K:$K,Location!$A89,Wine1!$AA:$AA,Location!BE$1)</f>
        <v>0</v>
      </c>
      <c r="BF89" s="37">
        <f>SUMIFS(Wine1!$I:$I,Wine1!$K:$K,Location!$A89,Wine1!$AA:$AA,Location!BF$1)</f>
        <v>0</v>
      </c>
      <c r="BG89" s="37">
        <f>SUMIFS(Wine1!$I:$I,Wine1!$K:$K,Location!$A89,Wine1!$AA:$AA,Location!BG$1)</f>
        <v>0</v>
      </c>
      <c r="BH89" s="37">
        <f>SUMIFS(Wine1!$I:$I,Wine1!$K:$K,Location!$A89,Wine1!$AA:$AA,Location!BH$1)</f>
        <v>0</v>
      </c>
      <c r="BI89" s="37">
        <f>SUMIFS(Wine1!$I:$I,Wine1!$K:$K,Location!$A89,Wine1!$AA:$AA,Location!BI$1)</f>
        <v>0</v>
      </c>
    </row>
    <row r="90" spans="1:61" x14ac:dyDescent="0.25">
      <c r="A90" s="20" t="s">
        <v>595</v>
      </c>
      <c r="B90">
        <f>SUMIF(Wine1!K:K,Location!A90,Wine1!I:I)</f>
        <v>0</v>
      </c>
      <c r="C90">
        <v>20</v>
      </c>
      <c r="D90">
        <f t="shared" ref="D90:D114" si="3">C90-B90</f>
        <v>20</v>
      </c>
      <c r="E90" s="8" t="s">
        <v>600</v>
      </c>
      <c r="F90" s="8" t="s">
        <v>717</v>
      </c>
      <c r="G90" s="1"/>
      <c r="H90" s="56">
        <f>COUNTIFS(Wine1!$K:$K,Location!$A90,Wine1!$AF:$AF,Location!H$1)</f>
        <v>0</v>
      </c>
      <c r="I90" s="57">
        <f>COUNTIFS(Wine1!$K:$K,Location!$A90,Wine1!$AF:$AF,Location!I$1)</f>
        <v>0</v>
      </c>
      <c r="J90" s="57">
        <f>COUNTIFS(Wine1!$K:$K,Location!$A90,Wine1!$AF:$AF,Location!J$1)</f>
        <v>0</v>
      </c>
      <c r="K90" s="58">
        <f>COUNTIFS(Wine1!$K:$K,Location!$A90,Wine1!$AF:$AF,Location!K$1)</f>
        <v>0</v>
      </c>
      <c r="L90" s="18" t="str">
        <f>IFERROR(AVERAGEIF(Wine1!K:K,Location!A90,Wine1!AA:AA),"Empty")</f>
        <v>Empty</v>
      </c>
      <c r="M90">
        <f>SUMIFS(Wine1!$I:$I,Wine1!$K:$K,Location!$A90,Wine1!$AA:$AA,Location!M$1)</f>
        <v>0</v>
      </c>
      <c r="N90">
        <f>SUMIFS(Wine1!$I:$I,Wine1!$K:$K,Location!$A90,Wine1!$AA:$AA,Location!N$1)</f>
        <v>0</v>
      </c>
      <c r="O90">
        <f>SUMIFS(Wine1!$I:$I,Wine1!$K:$K,Location!$A90,Wine1!$AA:$AA,Location!O$1)</f>
        <v>0</v>
      </c>
      <c r="P90">
        <f>SUMIFS(Wine1!$I:$I,Wine1!$K:$K,Location!$A90,Wine1!$AA:$AA,Location!P$1)</f>
        <v>0</v>
      </c>
      <c r="Q90">
        <f>SUMIFS(Wine1!$I:$I,Wine1!$K:$K,Location!$A90,Wine1!$AA:$AA,Location!Q$1)</f>
        <v>0</v>
      </c>
      <c r="R90">
        <f>SUMIFS(Wine1!$I:$I,Wine1!$K:$K,Location!$A90,Wine1!$AA:$AA,Location!R$1)</f>
        <v>0</v>
      </c>
      <c r="S90">
        <f>SUMIFS(Wine1!$I:$I,Wine1!$K:$K,Location!$A90,Wine1!$AA:$AA,Location!S$1)</f>
        <v>0</v>
      </c>
      <c r="T90">
        <f>SUMIFS(Wine1!$I:$I,Wine1!$K:$K,Location!$A90,Wine1!$AA:$AA,Location!T$1)</f>
        <v>0</v>
      </c>
      <c r="U90">
        <f>SUMIFS(Wine1!$I:$I,Wine1!$K:$K,Location!$A90,Wine1!$AA:$AA,Location!U$1)</f>
        <v>0</v>
      </c>
      <c r="V90">
        <f>SUMIFS(Wine1!$I:$I,Wine1!$K:$K,Location!$A90,Wine1!$AA:$AA,Location!V$1)</f>
        <v>0</v>
      </c>
      <c r="W90">
        <f>SUMIFS(Wine1!$I:$I,Wine1!$K:$K,Location!$A90,Wine1!$AA:$AA,Location!W$1)</f>
        <v>0</v>
      </c>
      <c r="X90">
        <f>SUMIFS(Wine1!$I:$I,Wine1!$K:$K,Location!$A90,Wine1!$AA:$AA,Location!X$1)</f>
        <v>0</v>
      </c>
      <c r="Y90">
        <f>SUMIFS(Wine1!$I:$I,Wine1!$K:$K,Location!$A90,Wine1!$AA:$AA,Location!Y$1)</f>
        <v>0</v>
      </c>
      <c r="Z90">
        <f>SUMIFS(Wine1!$I:$I,Wine1!$K:$K,Location!$A90,Wine1!$AA:$AA,Location!Z$1)</f>
        <v>0</v>
      </c>
      <c r="AA90">
        <f>SUMIFS(Wine1!$I:$I,Wine1!$K:$K,Location!$A90,Wine1!$AA:$AA,Location!AA$1)</f>
        <v>0</v>
      </c>
      <c r="AB90">
        <f>SUMIFS(Wine1!$I:$I,Wine1!$K:$K,Location!$A90,Wine1!$AA:$AA,Location!AB$1)</f>
        <v>0</v>
      </c>
      <c r="AC90">
        <f>SUMIFS(Wine1!$I:$I,Wine1!$K:$K,Location!$A90,Wine1!$AA:$AA,Location!AC$1)</f>
        <v>0</v>
      </c>
      <c r="AD90">
        <f>SUMIFS(Wine1!$I:$I,Wine1!$K:$K,Location!$A90,Wine1!$AA:$AA,Location!AD$1)</f>
        <v>0</v>
      </c>
      <c r="AE90">
        <f>SUMIFS(Wine1!$I:$I,Wine1!$K:$K,Location!$A90,Wine1!$AA:$AA,Location!AE$1)</f>
        <v>0</v>
      </c>
      <c r="AF90">
        <f>SUMIFS(Wine1!$I:$I,Wine1!$K:$K,Location!$A90,Wine1!$AA:$AA,Location!AF$1)</f>
        <v>0</v>
      </c>
      <c r="AG90">
        <f>SUMIFS(Wine1!$I:$I,Wine1!$K:$K,Location!$A90,Wine1!$AA:$AA,Location!AG$1)</f>
        <v>0</v>
      </c>
      <c r="AH90">
        <f>SUMIFS(Wine1!$I:$I,Wine1!$K:$K,Location!$A90,Wine1!$AA:$AA,Location!AH$1)</f>
        <v>0</v>
      </c>
      <c r="AI90">
        <f>SUMIFS(Wine1!$I:$I,Wine1!$K:$K,Location!$A90,Wine1!$AA:$AA,Location!AI$1)</f>
        <v>0</v>
      </c>
      <c r="AJ90">
        <f>SUMIFS(Wine1!$I:$I,Wine1!$K:$K,Location!$A90,Wine1!$AA:$AA,Location!AJ$1)</f>
        <v>0</v>
      </c>
      <c r="AK90">
        <f>SUMIFS(Wine1!$I:$I,Wine1!$K:$K,Location!$A90,Wine1!$AA:$AA,Location!AK$1)</f>
        <v>0</v>
      </c>
      <c r="AL90">
        <f>SUMIFS(Wine1!$I:$I,Wine1!$K:$K,Location!$A90,Wine1!$AA:$AA,Location!AL$1)</f>
        <v>0</v>
      </c>
      <c r="AM90">
        <f>SUMIFS(Wine1!$I:$I,Wine1!$K:$K,Location!$A90,Wine1!$AA:$AA,Location!AM$1)</f>
        <v>0</v>
      </c>
      <c r="AN90">
        <f>SUMIFS(Wine1!$I:$I,Wine1!$K:$K,Location!$A90,Wine1!$AA:$AA,Location!AN$1)</f>
        <v>0</v>
      </c>
      <c r="AO90">
        <f>SUMIFS(Wine1!$I:$I,Wine1!$K:$K,Location!$A90,Wine1!$AA:$AA,Location!AO$1)</f>
        <v>0</v>
      </c>
      <c r="AP90">
        <f>SUMIFS(Wine1!$I:$I,Wine1!$K:$K,Location!$A90,Wine1!$AA:$AA,Location!AP$1)</f>
        <v>0</v>
      </c>
      <c r="AQ90">
        <f>SUMIFS(Wine1!$I:$I,Wine1!$K:$K,Location!$A90,Wine1!$AA:$AA,Location!AQ$1)</f>
        <v>0</v>
      </c>
      <c r="AR90">
        <f>SUMIFS(Wine1!$I:$I,Wine1!$K:$K,Location!$A90,Wine1!$AA:$AA,Location!AR$1)</f>
        <v>0</v>
      </c>
      <c r="AS90" s="37">
        <f>SUMIFS(Wine1!$I:$I,Wine1!$K:$K,Location!$A90,Wine1!$AA:$AA,Location!AS$1)</f>
        <v>0</v>
      </c>
      <c r="AT90" s="37">
        <f>SUMIFS(Wine1!$I:$I,Wine1!$K:$K,Location!$A90,Wine1!$AA:$AA,Location!AT$1)</f>
        <v>0</v>
      </c>
      <c r="AU90" s="37">
        <f>SUMIFS(Wine1!$I:$I,Wine1!$K:$K,Location!$A90,Wine1!$AA:$AA,Location!AU$1)</f>
        <v>0</v>
      </c>
      <c r="AV90" s="37">
        <f>SUMIFS(Wine1!$I:$I,Wine1!$K:$K,Location!$A90,Wine1!$AA:$AA,Location!AV$1)</f>
        <v>0</v>
      </c>
      <c r="AW90" s="37">
        <f>SUMIFS(Wine1!$I:$I,Wine1!$K:$K,Location!$A90,Wine1!$AA:$AA,Location!AW$1)</f>
        <v>0</v>
      </c>
      <c r="AX90" s="37">
        <f>SUMIFS(Wine1!$I:$I,Wine1!$K:$K,Location!$A90,Wine1!$AA:$AA,Location!AX$1)</f>
        <v>0</v>
      </c>
      <c r="AY90" s="37">
        <f>SUMIFS(Wine1!$I:$I,Wine1!$K:$K,Location!$A90,Wine1!$AA:$AA,Location!AY$1)</f>
        <v>0</v>
      </c>
      <c r="AZ90" s="37">
        <f>SUMIFS(Wine1!$I:$I,Wine1!$K:$K,Location!$A90,Wine1!$AA:$AA,Location!AZ$1)</f>
        <v>0</v>
      </c>
      <c r="BA90" s="37">
        <f>SUMIFS(Wine1!$I:$I,Wine1!$K:$K,Location!$A90,Wine1!$AA:$AA,Location!BA$1)</f>
        <v>0</v>
      </c>
      <c r="BB90" s="37">
        <f>SUMIFS(Wine1!$I:$I,Wine1!$K:$K,Location!$A90,Wine1!$AA:$AA,Location!BB$1)</f>
        <v>0</v>
      </c>
      <c r="BC90" s="37">
        <f>SUMIFS(Wine1!$I:$I,Wine1!$K:$K,Location!$A90,Wine1!$AA:$AA,Location!BC$1)</f>
        <v>0</v>
      </c>
      <c r="BD90" s="37">
        <f>SUMIFS(Wine1!$I:$I,Wine1!$K:$K,Location!$A90,Wine1!$AA:$AA,Location!BD$1)</f>
        <v>0</v>
      </c>
      <c r="BE90" s="37">
        <f>SUMIFS(Wine1!$I:$I,Wine1!$K:$K,Location!$A90,Wine1!$AA:$AA,Location!BE$1)</f>
        <v>0</v>
      </c>
      <c r="BF90" s="37">
        <f>SUMIFS(Wine1!$I:$I,Wine1!$K:$K,Location!$A90,Wine1!$AA:$AA,Location!BF$1)</f>
        <v>0</v>
      </c>
      <c r="BG90" s="37">
        <f>SUMIFS(Wine1!$I:$I,Wine1!$K:$K,Location!$A90,Wine1!$AA:$AA,Location!BG$1)</f>
        <v>0</v>
      </c>
      <c r="BH90" s="37">
        <f>SUMIFS(Wine1!$I:$I,Wine1!$K:$K,Location!$A90,Wine1!$AA:$AA,Location!BH$1)</f>
        <v>0</v>
      </c>
      <c r="BI90" s="37">
        <f>SUMIFS(Wine1!$I:$I,Wine1!$K:$K,Location!$A90,Wine1!$AA:$AA,Location!BI$1)</f>
        <v>0</v>
      </c>
    </row>
    <row r="91" spans="1:61" s="37" customFormat="1" x14ac:dyDescent="0.25">
      <c r="A91" s="8" t="s">
        <v>1533</v>
      </c>
      <c r="B91" s="37">
        <f>SUMIF(Wine1!K:K,Location!A91,Wine1!I:I)</f>
        <v>0</v>
      </c>
      <c r="C91" s="37">
        <v>6</v>
      </c>
      <c r="E91" s="8" t="s">
        <v>600</v>
      </c>
      <c r="F91" s="8" t="s">
        <v>718</v>
      </c>
      <c r="G91" s="1"/>
      <c r="H91" s="56">
        <f>COUNTIFS(Wine1!$K:$K,Location!$A91,Wine1!$AF:$AF,Location!H$1)</f>
        <v>0</v>
      </c>
      <c r="I91" s="57">
        <f>COUNTIFS(Wine1!$K:$K,Location!$A91,Wine1!$AF:$AF,Location!I$1)</f>
        <v>0</v>
      </c>
      <c r="J91" s="57">
        <f>COUNTIFS(Wine1!$K:$K,Location!$A91,Wine1!$AF:$AF,Location!J$1)</f>
        <v>0</v>
      </c>
      <c r="K91" s="58">
        <f>COUNTIFS(Wine1!$K:$K,Location!$A91,Wine1!$AF:$AF,Location!K$1)</f>
        <v>0</v>
      </c>
      <c r="L91" s="18" t="str">
        <f>IFERROR(AVERAGEIF(Wine1!K:K,Location!A91,Wine1!AA:AA),"Empty")</f>
        <v>Empty</v>
      </c>
      <c r="M91" s="37">
        <f>SUMIFS(Wine1!$I:$I,Wine1!$K:$K,Location!$A91,Wine1!$AA:$AA,Location!M$1)</f>
        <v>0</v>
      </c>
      <c r="N91" s="37">
        <f>SUMIFS(Wine1!$I:$I,Wine1!$K:$K,Location!$A91,Wine1!$AA:$AA,Location!N$1)</f>
        <v>0</v>
      </c>
      <c r="O91" s="37">
        <f>SUMIFS(Wine1!$I:$I,Wine1!$K:$K,Location!$A91,Wine1!$AA:$AA,Location!O$1)</f>
        <v>0</v>
      </c>
      <c r="P91" s="37">
        <f>SUMIFS(Wine1!$I:$I,Wine1!$K:$K,Location!$A91,Wine1!$AA:$AA,Location!P$1)</f>
        <v>0</v>
      </c>
      <c r="Q91" s="37">
        <f>SUMIFS(Wine1!$I:$I,Wine1!$K:$K,Location!$A91,Wine1!$AA:$AA,Location!Q$1)</f>
        <v>0</v>
      </c>
      <c r="R91" s="37">
        <f>SUMIFS(Wine1!$I:$I,Wine1!$K:$K,Location!$A91,Wine1!$AA:$AA,Location!R$1)</f>
        <v>0</v>
      </c>
      <c r="S91" s="37">
        <f>SUMIFS(Wine1!$I:$I,Wine1!$K:$K,Location!$A91,Wine1!$AA:$AA,Location!S$1)</f>
        <v>0</v>
      </c>
      <c r="T91" s="37">
        <f>SUMIFS(Wine1!$I:$I,Wine1!$K:$K,Location!$A91,Wine1!$AA:$AA,Location!T$1)</f>
        <v>0</v>
      </c>
      <c r="U91" s="37">
        <f>SUMIFS(Wine1!$I:$I,Wine1!$K:$K,Location!$A91,Wine1!$AA:$AA,Location!U$1)</f>
        <v>0</v>
      </c>
      <c r="V91" s="37">
        <f>SUMIFS(Wine1!$I:$I,Wine1!$K:$K,Location!$A91,Wine1!$AA:$AA,Location!V$1)</f>
        <v>0</v>
      </c>
      <c r="W91" s="37">
        <f>SUMIFS(Wine1!$I:$I,Wine1!$K:$K,Location!$A91,Wine1!$AA:$AA,Location!W$1)</f>
        <v>0</v>
      </c>
      <c r="X91" s="37">
        <f>SUMIFS(Wine1!$I:$I,Wine1!$K:$K,Location!$A91,Wine1!$AA:$AA,Location!X$1)</f>
        <v>0</v>
      </c>
      <c r="Y91" s="37">
        <f>SUMIFS(Wine1!$I:$I,Wine1!$K:$K,Location!$A91,Wine1!$AA:$AA,Location!Y$1)</f>
        <v>0</v>
      </c>
      <c r="Z91" s="37">
        <f>SUMIFS(Wine1!$I:$I,Wine1!$K:$K,Location!$A91,Wine1!$AA:$AA,Location!Z$1)</f>
        <v>0</v>
      </c>
      <c r="AA91" s="37">
        <f>SUMIFS(Wine1!$I:$I,Wine1!$K:$K,Location!$A91,Wine1!$AA:$AA,Location!AA$1)</f>
        <v>0</v>
      </c>
      <c r="AB91" s="37">
        <f>SUMIFS(Wine1!$I:$I,Wine1!$K:$K,Location!$A91,Wine1!$AA:$AA,Location!AB$1)</f>
        <v>0</v>
      </c>
      <c r="AC91" s="37">
        <f>SUMIFS(Wine1!$I:$I,Wine1!$K:$K,Location!$A91,Wine1!$AA:$AA,Location!AC$1)</f>
        <v>0</v>
      </c>
      <c r="AD91" s="37">
        <f>SUMIFS(Wine1!$I:$I,Wine1!$K:$K,Location!$A91,Wine1!$AA:$AA,Location!AD$1)</f>
        <v>0</v>
      </c>
      <c r="AE91" s="37">
        <f>SUMIFS(Wine1!$I:$I,Wine1!$K:$K,Location!$A91,Wine1!$AA:$AA,Location!AE$1)</f>
        <v>0</v>
      </c>
      <c r="AF91" s="37">
        <f>SUMIFS(Wine1!$I:$I,Wine1!$K:$K,Location!$A91,Wine1!$AA:$AA,Location!AF$1)</f>
        <v>0</v>
      </c>
      <c r="AG91" s="37">
        <f>SUMIFS(Wine1!$I:$I,Wine1!$K:$K,Location!$A91,Wine1!$AA:$AA,Location!AG$1)</f>
        <v>0</v>
      </c>
      <c r="AH91" s="37">
        <f>SUMIFS(Wine1!$I:$I,Wine1!$K:$K,Location!$A91,Wine1!$AA:$AA,Location!AH$1)</f>
        <v>0</v>
      </c>
      <c r="AI91" s="37">
        <f>SUMIFS(Wine1!$I:$I,Wine1!$K:$K,Location!$A91,Wine1!$AA:$AA,Location!AI$1)</f>
        <v>0</v>
      </c>
      <c r="AJ91" s="37">
        <f>SUMIFS(Wine1!$I:$I,Wine1!$K:$K,Location!$A91,Wine1!$AA:$AA,Location!AJ$1)</f>
        <v>0</v>
      </c>
      <c r="AK91" s="37">
        <f>SUMIFS(Wine1!$I:$I,Wine1!$K:$K,Location!$A91,Wine1!$AA:$AA,Location!AK$1)</f>
        <v>0</v>
      </c>
      <c r="AL91" s="37">
        <f>SUMIFS(Wine1!$I:$I,Wine1!$K:$K,Location!$A91,Wine1!$AA:$AA,Location!AL$1)</f>
        <v>0</v>
      </c>
      <c r="AM91" s="37">
        <f>SUMIFS(Wine1!$I:$I,Wine1!$K:$K,Location!$A91,Wine1!$AA:$AA,Location!AM$1)</f>
        <v>0</v>
      </c>
      <c r="AN91" s="37">
        <f>SUMIFS(Wine1!$I:$I,Wine1!$K:$K,Location!$A91,Wine1!$AA:$AA,Location!AN$1)</f>
        <v>0</v>
      </c>
      <c r="AO91" s="37">
        <f>SUMIFS(Wine1!$I:$I,Wine1!$K:$K,Location!$A91,Wine1!$AA:$AA,Location!AO$1)</f>
        <v>0</v>
      </c>
      <c r="AP91" s="37">
        <f>SUMIFS(Wine1!$I:$I,Wine1!$K:$K,Location!$A91,Wine1!$AA:$AA,Location!AP$1)</f>
        <v>0</v>
      </c>
      <c r="AQ91" s="37">
        <f>SUMIFS(Wine1!$I:$I,Wine1!$K:$K,Location!$A91,Wine1!$AA:$AA,Location!AQ$1)</f>
        <v>0</v>
      </c>
      <c r="AR91" s="37">
        <f>SUMIFS(Wine1!$I:$I,Wine1!$K:$K,Location!$A91,Wine1!$AA:$AA,Location!AR$1)</f>
        <v>0</v>
      </c>
      <c r="AS91" s="37">
        <f>SUMIFS(Wine1!$I:$I,Wine1!$K:$K,Location!$A91,Wine1!$AA:$AA,Location!AS$1)</f>
        <v>0</v>
      </c>
      <c r="AT91" s="37">
        <f>SUMIFS(Wine1!$I:$I,Wine1!$K:$K,Location!$A91,Wine1!$AA:$AA,Location!AT$1)</f>
        <v>0</v>
      </c>
      <c r="AU91" s="37">
        <f>SUMIFS(Wine1!$I:$I,Wine1!$K:$K,Location!$A91,Wine1!$AA:$AA,Location!AU$1)</f>
        <v>0</v>
      </c>
      <c r="AV91" s="37">
        <f>SUMIFS(Wine1!$I:$I,Wine1!$K:$K,Location!$A91,Wine1!$AA:$AA,Location!AV$1)</f>
        <v>0</v>
      </c>
      <c r="AW91" s="37">
        <f>SUMIFS(Wine1!$I:$I,Wine1!$K:$K,Location!$A91,Wine1!$AA:$AA,Location!AW$1)</f>
        <v>0</v>
      </c>
      <c r="AX91" s="37">
        <f>SUMIFS(Wine1!$I:$I,Wine1!$K:$K,Location!$A91,Wine1!$AA:$AA,Location!AX$1)</f>
        <v>0</v>
      </c>
      <c r="AY91" s="37">
        <f>SUMIFS(Wine1!$I:$I,Wine1!$K:$K,Location!$A91,Wine1!$AA:$AA,Location!AY$1)</f>
        <v>0</v>
      </c>
      <c r="AZ91" s="37">
        <f>SUMIFS(Wine1!$I:$I,Wine1!$K:$K,Location!$A91,Wine1!$AA:$AA,Location!AZ$1)</f>
        <v>0</v>
      </c>
      <c r="BA91" s="37">
        <f>SUMIFS(Wine1!$I:$I,Wine1!$K:$K,Location!$A91,Wine1!$AA:$AA,Location!BA$1)</f>
        <v>0</v>
      </c>
      <c r="BB91" s="37">
        <f>SUMIFS(Wine1!$I:$I,Wine1!$K:$K,Location!$A91,Wine1!$AA:$AA,Location!BB$1)</f>
        <v>0</v>
      </c>
      <c r="BC91" s="37">
        <f>SUMIFS(Wine1!$I:$I,Wine1!$K:$K,Location!$A91,Wine1!$AA:$AA,Location!BC$1)</f>
        <v>0</v>
      </c>
      <c r="BD91" s="37">
        <f>SUMIFS(Wine1!$I:$I,Wine1!$K:$K,Location!$A91,Wine1!$AA:$AA,Location!BD$1)</f>
        <v>0</v>
      </c>
      <c r="BE91" s="37">
        <f>SUMIFS(Wine1!$I:$I,Wine1!$K:$K,Location!$A91,Wine1!$AA:$AA,Location!BE$1)</f>
        <v>0</v>
      </c>
      <c r="BF91" s="37">
        <f>SUMIFS(Wine1!$I:$I,Wine1!$K:$K,Location!$A91,Wine1!$AA:$AA,Location!BF$1)</f>
        <v>0</v>
      </c>
      <c r="BG91" s="37">
        <f>SUMIFS(Wine1!$I:$I,Wine1!$K:$K,Location!$A91,Wine1!$AA:$AA,Location!BG$1)</f>
        <v>0</v>
      </c>
      <c r="BH91" s="37">
        <f>SUMIFS(Wine1!$I:$I,Wine1!$K:$K,Location!$A91,Wine1!$AA:$AA,Location!BH$1)</f>
        <v>0</v>
      </c>
      <c r="BI91" s="37">
        <f>SUMIFS(Wine1!$I:$I,Wine1!$K:$K,Location!$A91,Wine1!$AA:$AA,Location!BI$1)</f>
        <v>0</v>
      </c>
    </row>
    <row r="92" spans="1:61" s="37" customFormat="1" x14ac:dyDescent="0.25">
      <c r="A92" s="8" t="s">
        <v>1534</v>
      </c>
      <c r="B92" s="37">
        <f>SUMIF(Wine1!K:K,Location!A92,Wine1!I:I)</f>
        <v>0</v>
      </c>
      <c r="C92" s="37">
        <v>8</v>
      </c>
      <c r="E92" s="8" t="s">
        <v>600</v>
      </c>
      <c r="F92" s="8" t="s">
        <v>718</v>
      </c>
      <c r="G92" s="1"/>
      <c r="H92" s="56">
        <f>COUNTIFS(Wine1!$K:$K,Location!$A92,Wine1!$AF:$AF,Location!H$1)</f>
        <v>0</v>
      </c>
      <c r="I92" s="57">
        <f>COUNTIFS(Wine1!$K:$K,Location!$A92,Wine1!$AF:$AF,Location!I$1)</f>
        <v>0</v>
      </c>
      <c r="J92" s="57">
        <f>COUNTIFS(Wine1!$K:$K,Location!$A92,Wine1!$AF:$AF,Location!J$1)</f>
        <v>0</v>
      </c>
      <c r="K92" s="58">
        <f>COUNTIFS(Wine1!$K:$K,Location!$A92,Wine1!$AF:$AF,Location!K$1)</f>
        <v>0</v>
      </c>
      <c r="L92" s="18" t="str">
        <f>IFERROR(AVERAGEIF(Wine1!K:K,Location!A92,Wine1!AA:AA),"Empty")</f>
        <v>Empty</v>
      </c>
      <c r="M92" s="37">
        <f>SUMIFS(Wine1!$I:$I,Wine1!$K:$K,Location!$A92,Wine1!$AA:$AA,Location!M$1)</f>
        <v>0</v>
      </c>
      <c r="N92" s="37">
        <f>SUMIFS(Wine1!$I:$I,Wine1!$K:$K,Location!$A92,Wine1!$AA:$AA,Location!N$1)</f>
        <v>0</v>
      </c>
      <c r="O92" s="37">
        <f>SUMIFS(Wine1!$I:$I,Wine1!$K:$K,Location!$A92,Wine1!$AA:$AA,Location!O$1)</f>
        <v>0</v>
      </c>
      <c r="P92" s="37">
        <f>SUMIFS(Wine1!$I:$I,Wine1!$K:$K,Location!$A92,Wine1!$AA:$AA,Location!P$1)</f>
        <v>0</v>
      </c>
      <c r="Q92" s="37">
        <f>SUMIFS(Wine1!$I:$I,Wine1!$K:$K,Location!$A92,Wine1!$AA:$AA,Location!Q$1)</f>
        <v>0</v>
      </c>
      <c r="R92" s="37">
        <f>SUMIFS(Wine1!$I:$I,Wine1!$K:$K,Location!$A92,Wine1!$AA:$AA,Location!R$1)</f>
        <v>0</v>
      </c>
      <c r="S92" s="37">
        <f>SUMIFS(Wine1!$I:$I,Wine1!$K:$K,Location!$A92,Wine1!$AA:$AA,Location!S$1)</f>
        <v>0</v>
      </c>
      <c r="T92" s="37">
        <f>SUMIFS(Wine1!$I:$I,Wine1!$K:$K,Location!$A92,Wine1!$AA:$AA,Location!T$1)</f>
        <v>0</v>
      </c>
      <c r="U92" s="37">
        <f>SUMIFS(Wine1!$I:$I,Wine1!$K:$K,Location!$A92,Wine1!$AA:$AA,Location!U$1)</f>
        <v>0</v>
      </c>
      <c r="V92" s="37">
        <f>SUMIFS(Wine1!$I:$I,Wine1!$K:$K,Location!$A92,Wine1!$AA:$AA,Location!V$1)</f>
        <v>0</v>
      </c>
      <c r="W92" s="37">
        <f>SUMIFS(Wine1!$I:$I,Wine1!$K:$K,Location!$A92,Wine1!$AA:$AA,Location!W$1)</f>
        <v>0</v>
      </c>
      <c r="X92" s="37">
        <f>SUMIFS(Wine1!$I:$I,Wine1!$K:$K,Location!$A92,Wine1!$AA:$AA,Location!X$1)</f>
        <v>0</v>
      </c>
      <c r="Y92" s="37">
        <f>SUMIFS(Wine1!$I:$I,Wine1!$K:$K,Location!$A92,Wine1!$AA:$AA,Location!Y$1)</f>
        <v>0</v>
      </c>
      <c r="Z92" s="37">
        <f>SUMIFS(Wine1!$I:$I,Wine1!$K:$K,Location!$A92,Wine1!$AA:$AA,Location!Z$1)</f>
        <v>0</v>
      </c>
      <c r="AA92" s="37">
        <f>SUMIFS(Wine1!$I:$I,Wine1!$K:$K,Location!$A92,Wine1!$AA:$AA,Location!AA$1)</f>
        <v>0</v>
      </c>
      <c r="AB92" s="37">
        <f>SUMIFS(Wine1!$I:$I,Wine1!$K:$K,Location!$A92,Wine1!$AA:$AA,Location!AB$1)</f>
        <v>0</v>
      </c>
      <c r="AC92" s="37">
        <f>SUMIFS(Wine1!$I:$I,Wine1!$K:$K,Location!$A92,Wine1!$AA:$AA,Location!AC$1)</f>
        <v>0</v>
      </c>
      <c r="AD92" s="37">
        <f>SUMIFS(Wine1!$I:$I,Wine1!$K:$K,Location!$A92,Wine1!$AA:$AA,Location!AD$1)</f>
        <v>0</v>
      </c>
      <c r="AE92" s="37">
        <f>SUMIFS(Wine1!$I:$I,Wine1!$K:$K,Location!$A92,Wine1!$AA:$AA,Location!AE$1)</f>
        <v>0</v>
      </c>
      <c r="AF92" s="37">
        <f>SUMIFS(Wine1!$I:$I,Wine1!$K:$K,Location!$A92,Wine1!$AA:$AA,Location!AF$1)</f>
        <v>0</v>
      </c>
      <c r="AG92" s="37">
        <f>SUMIFS(Wine1!$I:$I,Wine1!$K:$K,Location!$A92,Wine1!$AA:$AA,Location!AG$1)</f>
        <v>0</v>
      </c>
      <c r="AH92" s="37">
        <f>SUMIFS(Wine1!$I:$I,Wine1!$K:$K,Location!$A92,Wine1!$AA:$AA,Location!AH$1)</f>
        <v>0</v>
      </c>
      <c r="AI92" s="37">
        <f>SUMIFS(Wine1!$I:$I,Wine1!$K:$K,Location!$A92,Wine1!$AA:$AA,Location!AI$1)</f>
        <v>0</v>
      </c>
      <c r="AJ92" s="37">
        <f>SUMIFS(Wine1!$I:$I,Wine1!$K:$K,Location!$A92,Wine1!$AA:$AA,Location!AJ$1)</f>
        <v>0</v>
      </c>
      <c r="AK92" s="37">
        <f>SUMIFS(Wine1!$I:$I,Wine1!$K:$K,Location!$A92,Wine1!$AA:$AA,Location!AK$1)</f>
        <v>0</v>
      </c>
      <c r="AL92" s="37">
        <f>SUMIFS(Wine1!$I:$I,Wine1!$K:$K,Location!$A92,Wine1!$AA:$AA,Location!AL$1)</f>
        <v>0</v>
      </c>
      <c r="AM92" s="37">
        <f>SUMIFS(Wine1!$I:$I,Wine1!$K:$K,Location!$A92,Wine1!$AA:$AA,Location!AM$1)</f>
        <v>0</v>
      </c>
      <c r="AN92" s="37">
        <f>SUMIFS(Wine1!$I:$I,Wine1!$K:$K,Location!$A92,Wine1!$AA:$AA,Location!AN$1)</f>
        <v>0</v>
      </c>
      <c r="AO92" s="37">
        <f>SUMIFS(Wine1!$I:$I,Wine1!$K:$K,Location!$A92,Wine1!$AA:$AA,Location!AO$1)</f>
        <v>0</v>
      </c>
      <c r="AP92" s="37">
        <f>SUMIFS(Wine1!$I:$I,Wine1!$K:$K,Location!$A92,Wine1!$AA:$AA,Location!AP$1)</f>
        <v>0</v>
      </c>
      <c r="AQ92" s="37">
        <f>SUMIFS(Wine1!$I:$I,Wine1!$K:$K,Location!$A92,Wine1!$AA:$AA,Location!AQ$1)</f>
        <v>0</v>
      </c>
      <c r="AR92" s="37">
        <f>SUMIFS(Wine1!$I:$I,Wine1!$K:$K,Location!$A92,Wine1!$AA:$AA,Location!AR$1)</f>
        <v>0</v>
      </c>
      <c r="AS92" s="37">
        <f>SUMIFS(Wine1!$I:$I,Wine1!$K:$K,Location!$A92,Wine1!$AA:$AA,Location!AS$1)</f>
        <v>0</v>
      </c>
      <c r="AT92" s="37">
        <f>SUMIFS(Wine1!$I:$I,Wine1!$K:$K,Location!$A92,Wine1!$AA:$AA,Location!AT$1)</f>
        <v>0</v>
      </c>
      <c r="AU92" s="37">
        <f>SUMIFS(Wine1!$I:$I,Wine1!$K:$K,Location!$A92,Wine1!$AA:$AA,Location!AU$1)</f>
        <v>0</v>
      </c>
      <c r="AV92" s="37">
        <f>SUMIFS(Wine1!$I:$I,Wine1!$K:$K,Location!$A92,Wine1!$AA:$AA,Location!AV$1)</f>
        <v>0</v>
      </c>
      <c r="AW92" s="37">
        <f>SUMIFS(Wine1!$I:$I,Wine1!$K:$K,Location!$A92,Wine1!$AA:$AA,Location!AW$1)</f>
        <v>0</v>
      </c>
      <c r="AX92" s="37">
        <f>SUMIFS(Wine1!$I:$I,Wine1!$K:$K,Location!$A92,Wine1!$AA:$AA,Location!AX$1)</f>
        <v>0</v>
      </c>
      <c r="AY92" s="37">
        <f>SUMIFS(Wine1!$I:$I,Wine1!$K:$K,Location!$A92,Wine1!$AA:$AA,Location!AY$1)</f>
        <v>0</v>
      </c>
      <c r="AZ92" s="37">
        <f>SUMIFS(Wine1!$I:$I,Wine1!$K:$K,Location!$A92,Wine1!$AA:$AA,Location!AZ$1)</f>
        <v>0</v>
      </c>
      <c r="BA92" s="37">
        <f>SUMIFS(Wine1!$I:$I,Wine1!$K:$K,Location!$A92,Wine1!$AA:$AA,Location!BA$1)</f>
        <v>0</v>
      </c>
      <c r="BB92" s="37">
        <f>SUMIFS(Wine1!$I:$I,Wine1!$K:$K,Location!$A92,Wine1!$AA:$AA,Location!BB$1)</f>
        <v>0</v>
      </c>
      <c r="BC92" s="37">
        <f>SUMIFS(Wine1!$I:$I,Wine1!$K:$K,Location!$A92,Wine1!$AA:$AA,Location!BC$1)</f>
        <v>0</v>
      </c>
      <c r="BD92" s="37">
        <f>SUMIFS(Wine1!$I:$I,Wine1!$K:$K,Location!$A92,Wine1!$AA:$AA,Location!BD$1)</f>
        <v>0</v>
      </c>
      <c r="BE92" s="37">
        <f>SUMIFS(Wine1!$I:$I,Wine1!$K:$K,Location!$A92,Wine1!$AA:$AA,Location!BE$1)</f>
        <v>0</v>
      </c>
      <c r="BF92" s="37">
        <f>SUMIFS(Wine1!$I:$I,Wine1!$K:$K,Location!$A92,Wine1!$AA:$AA,Location!BF$1)</f>
        <v>0</v>
      </c>
      <c r="BG92" s="37">
        <f>SUMIFS(Wine1!$I:$I,Wine1!$K:$K,Location!$A92,Wine1!$AA:$AA,Location!BG$1)</f>
        <v>0</v>
      </c>
      <c r="BH92" s="37">
        <f>SUMIFS(Wine1!$I:$I,Wine1!$K:$K,Location!$A92,Wine1!$AA:$AA,Location!BH$1)</f>
        <v>0</v>
      </c>
      <c r="BI92" s="37">
        <f>SUMIFS(Wine1!$I:$I,Wine1!$K:$K,Location!$A92,Wine1!$AA:$AA,Location!BI$1)</f>
        <v>0</v>
      </c>
    </row>
    <row r="93" spans="1:61" s="37" customFormat="1" x14ac:dyDescent="0.25">
      <c r="A93" s="8" t="s">
        <v>1535</v>
      </c>
      <c r="B93" s="37">
        <f>SUMIF(Wine1!K:K,Location!A93,Wine1!I:I)</f>
        <v>0</v>
      </c>
      <c r="C93" s="37">
        <v>12</v>
      </c>
      <c r="E93" s="8" t="s">
        <v>600</v>
      </c>
      <c r="F93" s="8" t="s">
        <v>718</v>
      </c>
      <c r="G93" s="1"/>
      <c r="H93" s="56">
        <f>COUNTIFS(Wine1!$K:$K,Location!$A93,Wine1!$AF:$AF,Location!H$1)</f>
        <v>0</v>
      </c>
      <c r="I93" s="57">
        <f>COUNTIFS(Wine1!$K:$K,Location!$A93,Wine1!$AF:$AF,Location!I$1)</f>
        <v>0</v>
      </c>
      <c r="J93" s="57">
        <f>COUNTIFS(Wine1!$K:$K,Location!$A93,Wine1!$AF:$AF,Location!J$1)</f>
        <v>0</v>
      </c>
      <c r="K93" s="58">
        <f>COUNTIFS(Wine1!$K:$K,Location!$A93,Wine1!$AF:$AF,Location!K$1)</f>
        <v>0</v>
      </c>
      <c r="L93" s="18" t="str">
        <f>IFERROR(AVERAGEIF(Wine1!K:K,Location!A93,Wine1!AA:AA),"Empty")</f>
        <v>Empty</v>
      </c>
      <c r="M93" s="37">
        <f>SUMIFS(Wine1!$I:$I,Wine1!$K:$K,Location!$A93,Wine1!$AA:$AA,Location!M$1)</f>
        <v>0</v>
      </c>
      <c r="N93" s="37">
        <f>SUMIFS(Wine1!$I:$I,Wine1!$K:$K,Location!$A93,Wine1!$AA:$AA,Location!N$1)</f>
        <v>0</v>
      </c>
      <c r="O93" s="37">
        <f>SUMIFS(Wine1!$I:$I,Wine1!$K:$K,Location!$A93,Wine1!$AA:$AA,Location!O$1)</f>
        <v>0</v>
      </c>
      <c r="P93" s="37">
        <f>SUMIFS(Wine1!$I:$I,Wine1!$K:$K,Location!$A93,Wine1!$AA:$AA,Location!P$1)</f>
        <v>0</v>
      </c>
      <c r="Q93" s="37">
        <f>SUMIFS(Wine1!$I:$I,Wine1!$K:$K,Location!$A93,Wine1!$AA:$AA,Location!Q$1)</f>
        <v>0</v>
      </c>
      <c r="R93" s="37">
        <f>SUMIFS(Wine1!$I:$I,Wine1!$K:$K,Location!$A93,Wine1!$AA:$AA,Location!R$1)</f>
        <v>0</v>
      </c>
      <c r="S93" s="37">
        <f>SUMIFS(Wine1!$I:$I,Wine1!$K:$K,Location!$A93,Wine1!$AA:$AA,Location!S$1)</f>
        <v>0</v>
      </c>
      <c r="T93" s="37">
        <f>SUMIFS(Wine1!$I:$I,Wine1!$K:$K,Location!$A93,Wine1!$AA:$AA,Location!T$1)</f>
        <v>0</v>
      </c>
      <c r="U93" s="37">
        <f>SUMIFS(Wine1!$I:$I,Wine1!$K:$K,Location!$A93,Wine1!$AA:$AA,Location!U$1)</f>
        <v>0</v>
      </c>
      <c r="V93" s="37">
        <f>SUMIFS(Wine1!$I:$I,Wine1!$K:$K,Location!$A93,Wine1!$AA:$AA,Location!V$1)</f>
        <v>0</v>
      </c>
      <c r="W93" s="37">
        <f>SUMIFS(Wine1!$I:$I,Wine1!$K:$K,Location!$A93,Wine1!$AA:$AA,Location!W$1)</f>
        <v>0</v>
      </c>
      <c r="X93" s="37">
        <f>SUMIFS(Wine1!$I:$I,Wine1!$K:$K,Location!$A93,Wine1!$AA:$AA,Location!X$1)</f>
        <v>0</v>
      </c>
      <c r="Y93" s="37">
        <f>SUMIFS(Wine1!$I:$I,Wine1!$K:$K,Location!$A93,Wine1!$AA:$AA,Location!Y$1)</f>
        <v>0</v>
      </c>
      <c r="Z93" s="37">
        <f>SUMIFS(Wine1!$I:$I,Wine1!$K:$K,Location!$A93,Wine1!$AA:$AA,Location!Z$1)</f>
        <v>0</v>
      </c>
      <c r="AA93" s="37">
        <f>SUMIFS(Wine1!$I:$I,Wine1!$K:$K,Location!$A93,Wine1!$AA:$AA,Location!AA$1)</f>
        <v>0</v>
      </c>
      <c r="AB93" s="37">
        <f>SUMIFS(Wine1!$I:$I,Wine1!$K:$K,Location!$A93,Wine1!$AA:$AA,Location!AB$1)</f>
        <v>0</v>
      </c>
      <c r="AC93" s="37">
        <f>SUMIFS(Wine1!$I:$I,Wine1!$K:$K,Location!$A93,Wine1!$AA:$AA,Location!AC$1)</f>
        <v>0</v>
      </c>
      <c r="AD93" s="37">
        <f>SUMIFS(Wine1!$I:$I,Wine1!$K:$K,Location!$A93,Wine1!$AA:$AA,Location!AD$1)</f>
        <v>0</v>
      </c>
      <c r="AE93" s="37">
        <f>SUMIFS(Wine1!$I:$I,Wine1!$K:$K,Location!$A93,Wine1!$AA:$AA,Location!AE$1)</f>
        <v>0</v>
      </c>
      <c r="AF93" s="37">
        <f>SUMIFS(Wine1!$I:$I,Wine1!$K:$K,Location!$A93,Wine1!$AA:$AA,Location!AF$1)</f>
        <v>0</v>
      </c>
      <c r="AG93" s="37">
        <f>SUMIFS(Wine1!$I:$I,Wine1!$K:$K,Location!$A93,Wine1!$AA:$AA,Location!AG$1)</f>
        <v>0</v>
      </c>
      <c r="AH93" s="37">
        <f>SUMIFS(Wine1!$I:$I,Wine1!$K:$K,Location!$A93,Wine1!$AA:$AA,Location!AH$1)</f>
        <v>0</v>
      </c>
      <c r="AI93" s="37">
        <f>SUMIFS(Wine1!$I:$I,Wine1!$K:$K,Location!$A93,Wine1!$AA:$AA,Location!AI$1)</f>
        <v>0</v>
      </c>
      <c r="AJ93" s="37">
        <f>SUMIFS(Wine1!$I:$I,Wine1!$K:$K,Location!$A93,Wine1!$AA:$AA,Location!AJ$1)</f>
        <v>0</v>
      </c>
      <c r="AK93" s="37">
        <f>SUMIFS(Wine1!$I:$I,Wine1!$K:$K,Location!$A93,Wine1!$AA:$AA,Location!AK$1)</f>
        <v>0</v>
      </c>
      <c r="AL93" s="37">
        <f>SUMIFS(Wine1!$I:$I,Wine1!$K:$K,Location!$A93,Wine1!$AA:$AA,Location!AL$1)</f>
        <v>0</v>
      </c>
      <c r="AM93" s="37">
        <f>SUMIFS(Wine1!$I:$I,Wine1!$K:$K,Location!$A93,Wine1!$AA:$AA,Location!AM$1)</f>
        <v>0</v>
      </c>
      <c r="AN93" s="37">
        <f>SUMIFS(Wine1!$I:$I,Wine1!$K:$K,Location!$A93,Wine1!$AA:$AA,Location!AN$1)</f>
        <v>0</v>
      </c>
      <c r="AO93" s="37">
        <f>SUMIFS(Wine1!$I:$I,Wine1!$K:$K,Location!$A93,Wine1!$AA:$AA,Location!AO$1)</f>
        <v>0</v>
      </c>
      <c r="AP93" s="37">
        <f>SUMIFS(Wine1!$I:$I,Wine1!$K:$K,Location!$A93,Wine1!$AA:$AA,Location!AP$1)</f>
        <v>0</v>
      </c>
      <c r="AQ93" s="37">
        <f>SUMIFS(Wine1!$I:$I,Wine1!$K:$K,Location!$A93,Wine1!$AA:$AA,Location!AQ$1)</f>
        <v>0</v>
      </c>
      <c r="AR93" s="37">
        <f>SUMIFS(Wine1!$I:$I,Wine1!$K:$K,Location!$A93,Wine1!$AA:$AA,Location!AR$1)</f>
        <v>0</v>
      </c>
      <c r="AS93" s="37">
        <f>SUMIFS(Wine1!$I:$I,Wine1!$K:$K,Location!$A93,Wine1!$AA:$AA,Location!AS$1)</f>
        <v>0</v>
      </c>
      <c r="AT93" s="37">
        <f>SUMIFS(Wine1!$I:$I,Wine1!$K:$K,Location!$A93,Wine1!$AA:$AA,Location!AT$1)</f>
        <v>0</v>
      </c>
      <c r="AU93" s="37">
        <f>SUMIFS(Wine1!$I:$I,Wine1!$K:$K,Location!$A93,Wine1!$AA:$AA,Location!AU$1)</f>
        <v>0</v>
      </c>
      <c r="AV93" s="37">
        <f>SUMIFS(Wine1!$I:$I,Wine1!$K:$K,Location!$A93,Wine1!$AA:$AA,Location!AV$1)</f>
        <v>0</v>
      </c>
      <c r="AW93" s="37">
        <f>SUMIFS(Wine1!$I:$I,Wine1!$K:$K,Location!$A93,Wine1!$AA:$AA,Location!AW$1)</f>
        <v>0</v>
      </c>
      <c r="AX93" s="37">
        <f>SUMIFS(Wine1!$I:$I,Wine1!$K:$K,Location!$A93,Wine1!$AA:$AA,Location!AX$1)</f>
        <v>0</v>
      </c>
      <c r="AY93" s="37">
        <f>SUMIFS(Wine1!$I:$I,Wine1!$K:$K,Location!$A93,Wine1!$AA:$AA,Location!AY$1)</f>
        <v>0</v>
      </c>
      <c r="AZ93" s="37">
        <f>SUMIFS(Wine1!$I:$I,Wine1!$K:$K,Location!$A93,Wine1!$AA:$AA,Location!AZ$1)</f>
        <v>0</v>
      </c>
      <c r="BA93" s="37">
        <f>SUMIFS(Wine1!$I:$I,Wine1!$K:$K,Location!$A93,Wine1!$AA:$AA,Location!BA$1)</f>
        <v>0</v>
      </c>
      <c r="BB93" s="37">
        <f>SUMIFS(Wine1!$I:$I,Wine1!$K:$K,Location!$A93,Wine1!$AA:$AA,Location!BB$1)</f>
        <v>0</v>
      </c>
      <c r="BC93" s="37">
        <f>SUMIFS(Wine1!$I:$I,Wine1!$K:$K,Location!$A93,Wine1!$AA:$AA,Location!BC$1)</f>
        <v>0</v>
      </c>
      <c r="BD93" s="37">
        <f>SUMIFS(Wine1!$I:$I,Wine1!$K:$K,Location!$A93,Wine1!$AA:$AA,Location!BD$1)</f>
        <v>0</v>
      </c>
      <c r="BE93" s="37">
        <f>SUMIFS(Wine1!$I:$I,Wine1!$K:$K,Location!$A93,Wine1!$AA:$AA,Location!BE$1)</f>
        <v>0</v>
      </c>
      <c r="BF93" s="37">
        <f>SUMIFS(Wine1!$I:$I,Wine1!$K:$K,Location!$A93,Wine1!$AA:$AA,Location!BF$1)</f>
        <v>0</v>
      </c>
      <c r="BG93" s="37">
        <f>SUMIFS(Wine1!$I:$I,Wine1!$K:$K,Location!$A93,Wine1!$AA:$AA,Location!BG$1)</f>
        <v>0</v>
      </c>
      <c r="BH93" s="37">
        <f>SUMIFS(Wine1!$I:$I,Wine1!$K:$K,Location!$A93,Wine1!$AA:$AA,Location!BH$1)</f>
        <v>0</v>
      </c>
      <c r="BI93" s="37">
        <f>SUMIFS(Wine1!$I:$I,Wine1!$K:$K,Location!$A93,Wine1!$AA:$AA,Location!BI$1)</f>
        <v>0</v>
      </c>
    </row>
    <row r="94" spans="1:61" x14ac:dyDescent="0.25">
      <c r="A94" s="20" t="s">
        <v>253</v>
      </c>
      <c r="B94">
        <f>SUMIF(Wine1!K:K,Location!A94,Wine1!I:I)</f>
        <v>6</v>
      </c>
      <c r="C94">
        <v>4</v>
      </c>
      <c r="D94">
        <f t="shared" si="3"/>
        <v>-2</v>
      </c>
      <c r="E94" s="8" t="s">
        <v>600</v>
      </c>
      <c r="F94" s="8" t="s">
        <v>718</v>
      </c>
      <c r="G94" s="1"/>
      <c r="H94" s="56">
        <f>COUNTIFS(Wine1!$K:$K,Location!$A94,Wine1!$AF:$AF,Location!H$1)</f>
        <v>1</v>
      </c>
      <c r="I94" s="57">
        <f>COUNTIFS(Wine1!$K:$K,Location!$A94,Wine1!$AF:$AF,Location!I$1)</f>
        <v>4</v>
      </c>
      <c r="J94" s="57">
        <f>COUNTIFS(Wine1!$K:$K,Location!$A94,Wine1!$AF:$AF,Location!J$1)</f>
        <v>1</v>
      </c>
      <c r="K94" s="58">
        <f>COUNTIFS(Wine1!$K:$K,Location!$A94,Wine1!$AF:$AF,Location!K$1)</f>
        <v>0</v>
      </c>
      <c r="L94" s="18">
        <f>IFERROR(AVERAGEIF(Wine1!K:K,Location!A94,Wine1!AA:AA),"Empty")</f>
        <v>2020.6666666666667</v>
      </c>
      <c r="M94">
        <f>SUMIFS(Wine1!$I:$I,Wine1!$K:$K,Location!$A94,Wine1!$AA:$AA,Location!M$1)</f>
        <v>2</v>
      </c>
      <c r="N94">
        <f>SUMIFS(Wine1!$I:$I,Wine1!$K:$K,Location!$A94,Wine1!$AA:$AA,Location!N$1)</f>
        <v>4</v>
      </c>
      <c r="O94">
        <f>SUMIFS(Wine1!$I:$I,Wine1!$K:$K,Location!$A94,Wine1!$AA:$AA,Location!O$1)</f>
        <v>0</v>
      </c>
      <c r="P94">
        <f>SUMIFS(Wine1!$I:$I,Wine1!$K:$K,Location!$A94,Wine1!$AA:$AA,Location!P$1)</f>
        <v>0</v>
      </c>
      <c r="Q94">
        <f>SUMIFS(Wine1!$I:$I,Wine1!$K:$K,Location!$A94,Wine1!$AA:$AA,Location!Q$1)</f>
        <v>0</v>
      </c>
      <c r="R94">
        <f>SUMIFS(Wine1!$I:$I,Wine1!$K:$K,Location!$A94,Wine1!$AA:$AA,Location!R$1)</f>
        <v>0</v>
      </c>
      <c r="S94">
        <f>SUMIFS(Wine1!$I:$I,Wine1!$K:$K,Location!$A94,Wine1!$AA:$AA,Location!S$1)</f>
        <v>0</v>
      </c>
      <c r="T94">
        <f>SUMIFS(Wine1!$I:$I,Wine1!$K:$K,Location!$A94,Wine1!$AA:$AA,Location!T$1)</f>
        <v>0</v>
      </c>
      <c r="U94">
        <f>SUMIFS(Wine1!$I:$I,Wine1!$K:$K,Location!$A94,Wine1!$AA:$AA,Location!U$1)</f>
        <v>0</v>
      </c>
      <c r="V94">
        <f>SUMIFS(Wine1!$I:$I,Wine1!$K:$K,Location!$A94,Wine1!$AA:$AA,Location!V$1)</f>
        <v>0</v>
      </c>
      <c r="W94">
        <f>SUMIFS(Wine1!$I:$I,Wine1!$K:$K,Location!$A94,Wine1!$AA:$AA,Location!W$1)</f>
        <v>0</v>
      </c>
      <c r="X94">
        <f>SUMIFS(Wine1!$I:$I,Wine1!$K:$K,Location!$A94,Wine1!$AA:$AA,Location!X$1)</f>
        <v>0</v>
      </c>
      <c r="Y94">
        <f>SUMIFS(Wine1!$I:$I,Wine1!$K:$K,Location!$A94,Wine1!$AA:$AA,Location!Y$1)</f>
        <v>0</v>
      </c>
      <c r="Z94">
        <f>SUMIFS(Wine1!$I:$I,Wine1!$K:$K,Location!$A94,Wine1!$AA:$AA,Location!Z$1)</f>
        <v>0</v>
      </c>
      <c r="AA94">
        <f>SUMIFS(Wine1!$I:$I,Wine1!$K:$K,Location!$A94,Wine1!$AA:$AA,Location!AA$1)</f>
        <v>0</v>
      </c>
      <c r="AB94">
        <f>SUMIFS(Wine1!$I:$I,Wine1!$K:$K,Location!$A94,Wine1!$AA:$AA,Location!AB$1)</f>
        <v>0</v>
      </c>
      <c r="AC94">
        <f>SUMIFS(Wine1!$I:$I,Wine1!$K:$K,Location!$A94,Wine1!$AA:$AA,Location!AC$1)</f>
        <v>0</v>
      </c>
      <c r="AD94">
        <f>SUMIFS(Wine1!$I:$I,Wine1!$K:$K,Location!$A94,Wine1!$AA:$AA,Location!AD$1)</f>
        <v>0</v>
      </c>
      <c r="AE94">
        <f>SUMIFS(Wine1!$I:$I,Wine1!$K:$K,Location!$A94,Wine1!$AA:$AA,Location!AE$1)</f>
        <v>0</v>
      </c>
      <c r="AF94">
        <f>SUMIFS(Wine1!$I:$I,Wine1!$K:$K,Location!$A94,Wine1!$AA:$AA,Location!AF$1)</f>
        <v>0</v>
      </c>
      <c r="AG94">
        <f>SUMIFS(Wine1!$I:$I,Wine1!$K:$K,Location!$A94,Wine1!$AA:$AA,Location!AG$1)</f>
        <v>0</v>
      </c>
      <c r="AH94">
        <f>SUMIFS(Wine1!$I:$I,Wine1!$K:$K,Location!$A94,Wine1!$AA:$AA,Location!AH$1)</f>
        <v>0</v>
      </c>
      <c r="AI94">
        <f>SUMIFS(Wine1!$I:$I,Wine1!$K:$K,Location!$A94,Wine1!$AA:$AA,Location!AI$1)</f>
        <v>0</v>
      </c>
      <c r="AJ94">
        <f>SUMIFS(Wine1!$I:$I,Wine1!$K:$K,Location!$A94,Wine1!$AA:$AA,Location!AJ$1)</f>
        <v>0</v>
      </c>
      <c r="AK94">
        <f>SUMIFS(Wine1!$I:$I,Wine1!$K:$K,Location!$A94,Wine1!$AA:$AA,Location!AK$1)</f>
        <v>0</v>
      </c>
      <c r="AL94">
        <f>SUMIFS(Wine1!$I:$I,Wine1!$K:$K,Location!$A94,Wine1!$AA:$AA,Location!AL$1)</f>
        <v>0</v>
      </c>
      <c r="AM94">
        <f>SUMIFS(Wine1!$I:$I,Wine1!$K:$K,Location!$A94,Wine1!$AA:$AA,Location!AM$1)</f>
        <v>0</v>
      </c>
      <c r="AN94">
        <f>SUMIFS(Wine1!$I:$I,Wine1!$K:$K,Location!$A94,Wine1!$AA:$AA,Location!AN$1)</f>
        <v>0</v>
      </c>
      <c r="AO94">
        <f>SUMIFS(Wine1!$I:$I,Wine1!$K:$K,Location!$A94,Wine1!$AA:$AA,Location!AO$1)</f>
        <v>0</v>
      </c>
      <c r="AP94">
        <f>SUMIFS(Wine1!$I:$I,Wine1!$K:$K,Location!$A94,Wine1!$AA:$AA,Location!AP$1)</f>
        <v>0</v>
      </c>
      <c r="AQ94">
        <f>SUMIFS(Wine1!$I:$I,Wine1!$K:$K,Location!$A94,Wine1!$AA:$AA,Location!AQ$1)</f>
        <v>0</v>
      </c>
      <c r="AR94">
        <f>SUMIFS(Wine1!$I:$I,Wine1!$K:$K,Location!$A94,Wine1!$AA:$AA,Location!AR$1)</f>
        <v>0</v>
      </c>
      <c r="AS94" s="37">
        <f>SUMIFS(Wine1!$I:$I,Wine1!$K:$K,Location!$A94,Wine1!$AA:$AA,Location!AS$1)</f>
        <v>0</v>
      </c>
      <c r="AT94" s="37">
        <f>SUMIFS(Wine1!$I:$I,Wine1!$K:$K,Location!$A94,Wine1!$AA:$AA,Location!AT$1)</f>
        <v>0</v>
      </c>
      <c r="AU94" s="37">
        <f>SUMIFS(Wine1!$I:$I,Wine1!$K:$K,Location!$A94,Wine1!$AA:$AA,Location!AU$1)</f>
        <v>0</v>
      </c>
      <c r="AV94" s="37">
        <f>SUMIFS(Wine1!$I:$I,Wine1!$K:$K,Location!$A94,Wine1!$AA:$AA,Location!AV$1)</f>
        <v>0</v>
      </c>
      <c r="AW94" s="37">
        <f>SUMIFS(Wine1!$I:$I,Wine1!$K:$K,Location!$A94,Wine1!$AA:$AA,Location!AW$1)</f>
        <v>0</v>
      </c>
      <c r="AX94" s="37">
        <f>SUMIFS(Wine1!$I:$I,Wine1!$K:$K,Location!$A94,Wine1!$AA:$AA,Location!AX$1)</f>
        <v>0</v>
      </c>
      <c r="AY94" s="37">
        <f>SUMIFS(Wine1!$I:$I,Wine1!$K:$K,Location!$A94,Wine1!$AA:$AA,Location!AY$1)</f>
        <v>0</v>
      </c>
      <c r="AZ94" s="37">
        <f>SUMIFS(Wine1!$I:$I,Wine1!$K:$K,Location!$A94,Wine1!$AA:$AA,Location!AZ$1)</f>
        <v>0</v>
      </c>
      <c r="BA94" s="37">
        <f>SUMIFS(Wine1!$I:$I,Wine1!$K:$K,Location!$A94,Wine1!$AA:$AA,Location!BA$1)</f>
        <v>0</v>
      </c>
      <c r="BB94" s="37">
        <f>SUMIFS(Wine1!$I:$I,Wine1!$K:$K,Location!$A94,Wine1!$AA:$AA,Location!BB$1)</f>
        <v>0</v>
      </c>
      <c r="BC94" s="37">
        <f>SUMIFS(Wine1!$I:$I,Wine1!$K:$K,Location!$A94,Wine1!$AA:$AA,Location!BC$1)</f>
        <v>0</v>
      </c>
      <c r="BD94" s="37">
        <f>SUMIFS(Wine1!$I:$I,Wine1!$K:$K,Location!$A94,Wine1!$AA:$AA,Location!BD$1)</f>
        <v>0</v>
      </c>
      <c r="BE94" s="37">
        <f>SUMIFS(Wine1!$I:$I,Wine1!$K:$K,Location!$A94,Wine1!$AA:$AA,Location!BE$1)</f>
        <v>0</v>
      </c>
      <c r="BF94" s="37">
        <f>SUMIFS(Wine1!$I:$I,Wine1!$K:$K,Location!$A94,Wine1!$AA:$AA,Location!BF$1)</f>
        <v>0</v>
      </c>
      <c r="BG94" s="37">
        <f>SUMIFS(Wine1!$I:$I,Wine1!$K:$K,Location!$A94,Wine1!$AA:$AA,Location!BG$1)</f>
        <v>0</v>
      </c>
      <c r="BH94" s="37">
        <f>SUMIFS(Wine1!$I:$I,Wine1!$K:$K,Location!$A94,Wine1!$AA:$AA,Location!BH$1)</f>
        <v>0</v>
      </c>
      <c r="BI94" s="37">
        <f>SUMIFS(Wine1!$I:$I,Wine1!$K:$K,Location!$A94,Wine1!$AA:$AA,Location!BI$1)</f>
        <v>0</v>
      </c>
    </row>
    <row r="95" spans="1:61" x14ac:dyDescent="0.25">
      <c r="A95" s="20" t="s">
        <v>296</v>
      </c>
      <c r="B95">
        <f>SUMIF(Wine1!K:K,Location!A95,Wine1!I:I)</f>
        <v>0</v>
      </c>
      <c r="C95">
        <v>11</v>
      </c>
      <c r="D95">
        <f t="shared" si="3"/>
        <v>11</v>
      </c>
      <c r="E95" s="8" t="s">
        <v>600</v>
      </c>
      <c r="F95" s="8" t="s">
        <v>717</v>
      </c>
      <c r="G95" s="1"/>
      <c r="H95" s="56">
        <f>COUNTIFS(Wine1!$K:$K,Location!$A95,Wine1!$AF:$AF,Location!H$1)</f>
        <v>0</v>
      </c>
      <c r="I95" s="57">
        <f>COUNTIFS(Wine1!$K:$K,Location!$A95,Wine1!$AF:$AF,Location!I$1)</f>
        <v>0</v>
      </c>
      <c r="J95" s="57">
        <f>COUNTIFS(Wine1!$K:$K,Location!$A95,Wine1!$AF:$AF,Location!J$1)</f>
        <v>0</v>
      </c>
      <c r="K95" s="58">
        <f>COUNTIFS(Wine1!$K:$K,Location!$A95,Wine1!$AF:$AF,Location!K$1)</f>
        <v>0</v>
      </c>
      <c r="L95" s="18" t="str">
        <f>IFERROR(AVERAGEIF(Wine1!K:K,Location!A95,Wine1!AA:AA),"Empty")</f>
        <v>Empty</v>
      </c>
      <c r="M95">
        <f>SUMIFS(Wine1!$I:$I,Wine1!$K:$K,Location!$A95,Wine1!$AA:$AA,Location!M$1)</f>
        <v>0</v>
      </c>
      <c r="N95">
        <f>SUMIFS(Wine1!$I:$I,Wine1!$K:$K,Location!$A95,Wine1!$AA:$AA,Location!N$1)</f>
        <v>0</v>
      </c>
      <c r="O95">
        <f>SUMIFS(Wine1!$I:$I,Wine1!$K:$K,Location!$A95,Wine1!$AA:$AA,Location!O$1)</f>
        <v>0</v>
      </c>
      <c r="P95">
        <f>SUMIFS(Wine1!$I:$I,Wine1!$K:$K,Location!$A95,Wine1!$AA:$AA,Location!P$1)</f>
        <v>0</v>
      </c>
      <c r="Q95">
        <f>SUMIFS(Wine1!$I:$I,Wine1!$K:$K,Location!$A95,Wine1!$AA:$AA,Location!Q$1)</f>
        <v>0</v>
      </c>
      <c r="R95">
        <f>SUMIFS(Wine1!$I:$I,Wine1!$K:$K,Location!$A95,Wine1!$AA:$AA,Location!R$1)</f>
        <v>0</v>
      </c>
      <c r="S95">
        <f>SUMIFS(Wine1!$I:$I,Wine1!$K:$K,Location!$A95,Wine1!$AA:$AA,Location!S$1)</f>
        <v>0</v>
      </c>
      <c r="T95">
        <f>SUMIFS(Wine1!$I:$I,Wine1!$K:$K,Location!$A95,Wine1!$AA:$AA,Location!T$1)</f>
        <v>0</v>
      </c>
      <c r="U95">
        <f>SUMIFS(Wine1!$I:$I,Wine1!$K:$K,Location!$A95,Wine1!$AA:$AA,Location!U$1)</f>
        <v>0</v>
      </c>
      <c r="V95">
        <f>SUMIFS(Wine1!$I:$I,Wine1!$K:$K,Location!$A95,Wine1!$AA:$AA,Location!V$1)</f>
        <v>0</v>
      </c>
      <c r="W95">
        <f>SUMIFS(Wine1!$I:$I,Wine1!$K:$K,Location!$A95,Wine1!$AA:$AA,Location!W$1)</f>
        <v>0</v>
      </c>
      <c r="X95">
        <f>SUMIFS(Wine1!$I:$I,Wine1!$K:$K,Location!$A95,Wine1!$AA:$AA,Location!X$1)</f>
        <v>0</v>
      </c>
      <c r="Y95">
        <f>SUMIFS(Wine1!$I:$I,Wine1!$K:$K,Location!$A95,Wine1!$AA:$AA,Location!Y$1)</f>
        <v>0</v>
      </c>
      <c r="Z95">
        <f>SUMIFS(Wine1!$I:$I,Wine1!$K:$K,Location!$A95,Wine1!$AA:$AA,Location!Z$1)</f>
        <v>0</v>
      </c>
      <c r="AA95">
        <f>SUMIFS(Wine1!$I:$I,Wine1!$K:$K,Location!$A95,Wine1!$AA:$AA,Location!AA$1)</f>
        <v>0</v>
      </c>
      <c r="AB95">
        <f>SUMIFS(Wine1!$I:$I,Wine1!$K:$K,Location!$A95,Wine1!$AA:$AA,Location!AB$1)</f>
        <v>0</v>
      </c>
      <c r="AC95">
        <f>SUMIFS(Wine1!$I:$I,Wine1!$K:$K,Location!$A95,Wine1!$AA:$AA,Location!AC$1)</f>
        <v>0</v>
      </c>
      <c r="AD95">
        <f>SUMIFS(Wine1!$I:$I,Wine1!$K:$K,Location!$A95,Wine1!$AA:$AA,Location!AD$1)</f>
        <v>0</v>
      </c>
      <c r="AE95">
        <f>SUMIFS(Wine1!$I:$I,Wine1!$K:$K,Location!$A95,Wine1!$AA:$AA,Location!AE$1)</f>
        <v>0</v>
      </c>
      <c r="AF95">
        <f>SUMIFS(Wine1!$I:$I,Wine1!$K:$K,Location!$A95,Wine1!$AA:$AA,Location!AF$1)</f>
        <v>0</v>
      </c>
      <c r="AG95">
        <f>SUMIFS(Wine1!$I:$I,Wine1!$K:$K,Location!$A95,Wine1!$AA:$AA,Location!AG$1)</f>
        <v>0</v>
      </c>
      <c r="AH95">
        <f>SUMIFS(Wine1!$I:$I,Wine1!$K:$K,Location!$A95,Wine1!$AA:$AA,Location!AH$1)</f>
        <v>0</v>
      </c>
      <c r="AI95">
        <f>SUMIFS(Wine1!$I:$I,Wine1!$K:$K,Location!$A95,Wine1!$AA:$AA,Location!AI$1)</f>
        <v>0</v>
      </c>
      <c r="AJ95">
        <f>SUMIFS(Wine1!$I:$I,Wine1!$K:$K,Location!$A95,Wine1!$AA:$AA,Location!AJ$1)</f>
        <v>0</v>
      </c>
      <c r="AK95">
        <f>SUMIFS(Wine1!$I:$I,Wine1!$K:$K,Location!$A95,Wine1!$AA:$AA,Location!AK$1)</f>
        <v>0</v>
      </c>
      <c r="AL95">
        <f>SUMIFS(Wine1!$I:$I,Wine1!$K:$K,Location!$A95,Wine1!$AA:$AA,Location!AL$1)</f>
        <v>0</v>
      </c>
      <c r="AM95">
        <f>SUMIFS(Wine1!$I:$I,Wine1!$K:$K,Location!$A95,Wine1!$AA:$AA,Location!AM$1)</f>
        <v>0</v>
      </c>
      <c r="AN95">
        <f>SUMIFS(Wine1!$I:$I,Wine1!$K:$K,Location!$A95,Wine1!$AA:$AA,Location!AN$1)</f>
        <v>0</v>
      </c>
      <c r="AO95">
        <f>SUMIFS(Wine1!$I:$I,Wine1!$K:$K,Location!$A95,Wine1!$AA:$AA,Location!AO$1)</f>
        <v>0</v>
      </c>
      <c r="AP95">
        <f>SUMIFS(Wine1!$I:$I,Wine1!$K:$K,Location!$A95,Wine1!$AA:$AA,Location!AP$1)</f>
        <v>0</v>
      </c>
      <c r="AQ95">
        <f>SUMIFS(Wine1!$I:$I,Wine1!$K:$K,Location!$A95,Wine1!$AA:$AA,Location!AQ$1)</f>
        <v>0</v>
      </c>
      <c r="AR95">
        <f>SUMIFS(Wine1!$I:$I,Wine1!$K:$K,Location!$A95,Wine1!$AA:$AA,Location!AR$1)</f>
        <v>0</v>
      </c>
      <c r="AS95" s="37">
        <f>SUMIFS(Wine1!$I:$I,Wine1!$K:$K,Location!$A95,Wine1!$AA:$AA,Location!AS$1)</f>
        <v>0</v>
      </c>
      <c r="AT95" s="37">
        <f>SUMIFS(Wine1!$I:$I,Wine1!$K:$K,Location!$A95,Wine1!$AA:$AA,Location!AT$1)</f>
        <v>0</v>
      </c>
      <c r="AU95" s="37">
        <f>SUMIFS(Wine1!$I:$I,Wine1!$K:$K,Location!$A95,Wine1!$AA:$AA,Location!AU$1)</f>
        <v>0</v>
      </c>
      <c r="AV95" s="37">
        <f>SUMIFS(Wine1!$I:$I,Wine1!$K:$K,Location!$A95,Wine1!$AA:$AA,Location!AV$1)</f>
        <v>0</v>
      </c>
      <c r="AW95" s="37">
        <f>SUMIFS(Wine1!$I:$I,Wine1!$K:$K,Location!$A95,Wine1!$AA:$AA,Location!AW$1)</f>
        <v>0</v>
      </c>
      <c r="AX95" s="37">
        <f>SUMIFS(Wine1!$I:$I,Wine1!$K:$K,Location!$A95,Wine1!$AA:$AA,Location!AX$1)</f>
        <v>0</v>
      </c>
      <c r="AY95" s="37">
        <f>SUMIFS(Wine1!$I:$I,Wine1!$K:$K,Location!$A95,Wine1!$AA:$AA,Location!AY$1)</f>
        <v>0</v>
      </c>
      <c r="AZ95" s="37">
        <f>SUMIFS(Wine1!$I:$I,Wine1!$K:$K,Location!$A95,Wine1!$AA:$AA,Location!AZ$1)</f>
        <v>0</v>
      </c>
      <c r="BA95" s="37">
        <f>SUMIFS(Wine1!$I:$I,Wine1!$K:$K,Location!$A95,Wine1!$AA:$AA,Location!BA$1)</f>
        <v>0</v>
      </c>
      <c r="BB95" s="37">
        <f>SUMIFS(Wine1!$I:$I,Wine1!$K:$K,Location!$A95,Wine1!$AA:$AA,Location!BB$1)</f>
        <v>0</v>
      </c>
      <c r="BC95" s="37">
        <f>SUMIFS(Wine1!$I:$I,Wine1!$K:$K,Location!$A95,Wine1!$AA:$AA,Location!BC$1)</f>
        <v>0</v>
      </c>
      <c r="BD95" s="37">
        <f>SUMIFS(Wine1!$I:$I,Wine1!$K:$K,Location!$A95,Wine1!$AA:$AA,Location!BD$1)</f>
        <v>0</v>
      </c>
      <c r="BE95" s="37">
        <f>SUMIFS(Wine1!$I:$I,Wine1!$K:$K,Location!$A95,Wine1!$AA:$AA,Location!BE$1)</f>
        <v>0</v>
      </c>
      <c r="BF95" s="37">
        <f>SUMIFS(Wine1!$I:$I,Wine1!$K:$K,Location!$A95,Wine1!$AA:$AA,Location!BF$1)</f>
        <v>0</v>
      </c>
      <c r="BG95" s="37">
        <f>SUMIFS(Wine1!$I:$I,Wine1!$K:$K,Location!$A95,Wine1!$AA:$AA,Location!BG$1)</f>
        <v>0</v>
      </c>
      <c r="BH95" s="37">
        <f>SUMIFS(Wine1!$I:$I,Wine1!$K:$K,Location!$A95,Wine1!$AA:$AA,Location!BH$1)</f>
        <v>0</v>
      </c>
      <c r="BI95" s="37">
        <f>SUMIFS(Wine1!$I:$I,Wine1!$K:$K,Location!$A95,Wine1!$AA:$AA,Location!BI$1)</f>
        <v>0</v>
      </c>
    </row>
    <row r="96" spans="1:61" x14ac:dyDescent="0.25">
      <c r="A96" s="20" t="s">
        <v>8</v>
      </c>
      <c r="B96">
        <f>SUMIF(Wine1!K:K,Location!A96,Wine1!I:I)</f>
        <v>29</v>
      </c>
      <c r="C96">
        <v>28</v>
      </c>
      <c r="D96">
        <f t="shared" si="3"/>
        <v>-1</v>
      </c>
      <c r="E96" s="8" t="s">
        <v>600</v>
      </c>
      <c r="F96" s="8" t="s">
        <v>931</v>
      </c>
      <c r="H96" s="56">
        <f>COUNTIFS(Wine1!$K:$K,Location!$A96,Wine1!$AF:$AF,Location!H$1)</f>
        <v>0</v>
      </c>
      <c r="I96" s="57">
        <f>COUNTIFS(Wine1!$K:$K,Location!$A96,Wine1!$AF:$AF,Location!I$1)</f>
        <v>1</v>
      </c>
      <c r="J96" s="57">
        <f>COUNTIFS(Wine1!$K:$K,Location!$A96,Wine1!$AF:$AF,Location!J$1)</f>
        <v>14</v>
      </c>
      <c r="K96" s="58">
        <f>COUNTIFS(Wine1!$K:$K,Location!$A96,Wine1!$AF:$AF,Location!K$1)</f>
        <v>14</v>
      </c>
      <c r="L96" s="18">
        <f>IFERROR(AVERAGEIF(Wine1!K:K,Location!A96,Wine1!AA:AA),"Empty")</f>
        <v>2029.7586206896551</v>
      </c>
      <c r="M96">
        <f>SUMIFS(Wine1!$I:$I,Wine1!$K:$K,Location!$A96,Wine1!$AA:$AA,Location!M$1)</f>
        <v>0</v>
      </c>
      <c r="N96">
        <f>SUMIFS(Wine1!$I:$I,Wine1!$K:$K,Location!$A96,Wine1!$AA:$AA,Location!N$1)</f>
        <v>1</v>
      </c>
      <c r="O96">
        <f>SUMIFS(Wine1!$I:$I,Wine1!$K:$K,Location!$A96,Wine1!$AA:$AA,Location!O$1)</f>
        <v>1</v>
      </c>
      <c r="P96">
        <f>SUMIFS(Wine1!$I:$I,Wine1!$K:$K,Location!$A96,Wine1!$AA:$AA,Location!P$1)</f>
        <v>1</v>
      </c>
      <c r="Q96">
        <f>SUMIFS(Wine1!$I:$I,Wine1!$K:$K,Location!$A96,Wine1!$AA:$AA,Location!Q$1)</f>
        <v>2</v>
      </c>
      <c r="R96">
        <f>SUMIFS(Wine1!$I:$I,Wine1!$K:$K,Location!$A96,Wine1!$AA:$AA,Location!R$1)</f>
        <v>1</v>
      </c>
      <c r="S96">
        <f>SUMIFS(Wine1!$I:$I,Wine1!$K:$K,Location!$A96,Wine1!$AA:$AA,Location!S$1)</f>
        <v>1</v>
      </c>
      <c r="T96">
        <f>SUMIFS(Wine1!$I:$I,Wine1!$K:$K,Location!$A96,Wine1!$AA:$AA,Location!T$1)</f>
        <v>1</v>
      </c>
      <c r="U96">
        <f>SUMIFS(Wine1!$I:$I,Wine1!$K:$K,Location!$A96,Wine1!$AA:$AA,Location!U$1)</f>
        <v>5</v>
      </c>
      <c r="V96">
        <f>SUMIFS(Wine1!$I:$I,Wine1!$K:$K,Location!$A96,Wine1!$AA:$AA,Location!V$1)</f>
        <v>2</v>
      </c>
      <c r="W96">
        <f>SUMIFS(Wine1!$I:$I,Wine1!$K:$K,Location!$A96,Wine1!$AA:$AA,Location!W$1)</f>
        <v>4</v>
      </c>
      <c r="X96">
        <f>SUMIFS(Wine1!$I:$I,Wine1!$K:$K,Location!$A96,Wine1!$AA:$AA,Location!X$1)</f>
        <v>0</v>
      </c>
      <c r="Y96">
        <f>SUMIFS(Wine1!$I:$I,Wine1!$K:$K,Location!$A96,Wine1!$AA:$AA,Location!Y$1)</f>
        <v>1</v>
      </c>
      <c r="Z96">
        <f>SUMIFS(Wine1!$I:$I,Wine1!$K:$K,Location!$A96,Wine1!$AA:$AA,Location!Z$1)</f>
        <v>1</v>
      </c>
      <c r="AA96">
        <f>SUMIFS(Wine1!$I:$I,Wine1!$K:$K,Location!$A96,Wine1!$AA:$AA,Location!AA$1)</f>
        <v>2</v>
      </c>
      <c r="AB96">
        <f>SUMIFS(Wine1!$I:$I,Wine1!$K:$K,Location!$A96,Wine1!$AA:$AA,Location!AB$1)</f>
        <v>4</v>
      </c>
      <c r="AC96">
        <f>SUMIFS(Wine1!$I:$I,Wine1!$K:$K,Location!$A96,Wine1!$AA:$AA,Location!AC$1)</f>
        <v>1</v>
      </c>
      <c r="AD96">
        <f>SUMIFS(Wine1!$I:$I,Wine1!$K:$K,Location!$A96,Wine1!$AA:$AA,Location!AD$1)</f>
        <v>0</v>
      </c>
      <c r="AE96">
        <f>SUMIFS(Wine1!$I:$I,Wine1!$K:$K,Location!$A96,Wine1!$AA:$AA,Location!AE$1)</f>
        <v>0</v>
      </c>
      <c r="AF96">
        <f>SUMIFS(Wine1!$I:$I,Wine1!$K:$K,Location!$A96,Wine1!$AA:$AA,Location!AF$1)</f>
        <v>0</v>
      </c>
      <c r="AG96">
        <f>SUMIFS(Wine1!$I:$I,Wine1!$K:$K,Location!$A96,Wine1!$AA:$AA,Location!AG$1)</f>
        <v>0</v>
      </c>
      <c r="AH96">
        <f>SUMIFS(Wine1!$I:$I,Wine1!$K:$K,Location!$A96,Wine1!$AA:$AA,Location!AH$1)</f>
        <v>0</v>
      </c>
      <c r="AI96">
        <f>SUMIFS(Wine1!$I:$I,Wine1!$K:$K,Location!$A96,Wine1!$AA:$AA,Location!AI$1)</f>
        <v>0</v>
      </c>
      <c r="AJ96">
        <f>SUMIFS(Wine1!$I:$I,Wine1!$K:$K,Location!$A96,Wine1!$AA:$AA,Location!AJ$1)</f>
        <v>0</v>
      </c>
      <c r="AK96">
        <f>SUMIFS(Wine1!$I:$I,Wine1!$K:$K,Location!$A96,Wine1!$AA:$AA,Location!AK$1)</f>
        <v>1</v>
      </c>
      <c r="AL96">
        <f>SUMIFS(Wine1!$I:$I,Wine1!$K:$K,Location!$A96,Wine1!$AA:$AA,Location!AL$1)</f>
        <v>0</v>
      </c>
      <c r="AM96">
        <f>SUMIFS(Wine1!$I:$I,Wine1!$K:$K,Location!$A96,Wine1!$AA:$AA,Location!AM$1)</f>
        <v>0</v>
      </c>
      <c r="AN96">
        <f>SUMIFS(Wine1!$I:$I,Wine1!$K:$K,Location!$A96,Wine1!$AA:$AA,Location!AN$1)</f>
        <v>0</v>
      </c>
      <c r="AO96">
        <f>SUMIFS(Wine1!$I:$I,Wine1!$K:$K,Location!$A96,Wine1!$AA:$AA,Location!AO$1)</f>
        <v>0</v>
      </c>
      <c r="AP96">
        <f>SUMIFS(Wine1!$I:$I,Wine1!$K:$K,Location!$A96,Wine1!$AA:$AA,Location!AP$1)</f>
        <v>0</v>
      </c>
      <c r="AQ96">
        <f>SUMIFS(Wine1!$I:$I,Wine1!$K:$K,Location!$A96,Wine1!$AA:$AA,Location!AQ$1)</f>
        <v>0</v>
      </c>
      <c r="AR96">
        <f>SUMIFS(Wine1!$I:$I,Wine1!$K:$K,Location!$A96,Wine1!$AA:$AA,Location!AR$1)</f>
        <v>0</v>
      </c>
      <c r="AS96" s="37">
        <f>SUMIFS(Wine1!$I:$I,Wine1!$K:$K,Location!$A96,Wine1!$AA:$AA,Location!AS$1)</f>
        <v>0</v>
      </c>
      <c r="AT96" s="37">
        <f>SUMIFS(Wine1!$I:$I,Wine1!$K:$K,Location!$A96,Wine1!$AA:$AA,Location!AT$1)</f>
        <v>0</v>
      </c>
      <c r="AU96" s="37">
        <f>SUMIFS(Wine1!$I:$I,Wine1!$K:$K,Location!$A96,Wine1!$AA:$AA,Location!AU$1)</f>
        <v>0</v>
      </c>
      <c r="AV96" s="37">
        <f>SUMIFS(Wine1!$I:$I,Wine1!$K:$K,Location!$A96,Wine1!$AA:$AA,Location!AV$1)</f>
        <v>0</v>
      </c>
      <c r="AW96" s="37">
        <f>SUMIFS(Wine1!$I:$I,Wine1!$K:$K,Location!$A96,Wine1!$AA:$AA,Location!AW$1)</f>
        <v>0</v>
      </c>
      <c r="AX96" s="37">
        <f>SUMIFS(Wine1!$I:$I,Wine1!$K:$K,Location!$A96,Wine1!$AA:$AA,Location!AX$1)</f>
        <v>0</v>
      </c>
      <c r="AY96" s="37">
        <f>SUMIFS(Wine1!$I:$I,Wine1!$K:$K,Location!$A96,Wine1!$AA:$AA,Location!AY$1)</f>
        <v>0</v>
      </c>
      <c r="AZ96" s="37">
        <f>SUMIFS(Wine1!$I:$I,Wine1!$K:$K,Location!$A96,Wine1!$AA:$AA,Location!AZ$1)</f>
        <v>0</v>
      </c>
      <c r="BA96" s="37">
        <f>SUMIFS(Wine1!$I:$I,Wine1!$K:$K,Location!$A96,Wine1!$AA:$AA,Location!BA$1)</f>
        <v>0</v>
      </c>
      <c r="BB96" s="37">
        <f>SUMIFS(Wine1!$I:$I,Wine1!$K:$K,Location!$A96,Wine1!$AA:$AA,Location!BB$1)</f>
        <v>0</v>
      </c>
      <c r="BC96" s="37">
        <f>SUMIFS(Wine1!$I:$I,Wine1!$K:$K,Location!$A96,Wine1!$AA:$AA,Location!BC$1)</f>
        <v>0</v>
      </c>
      <c r="BD96" s="37">
        <f>SUMIFS(Wine1!$I:$I,Wine1!$K:$K,Location!$A96,Wine1!$AA:$AA,Location!BD$1)</f>
        <v>0</v>
      </c>
      <c r="BE96" s="37">
        <f>SUMIFS(Wine1!$I:$I,Wine1!$K:$K,Location!$A96,Wine1!$AA:$AA,Location!BE$1)</f>
        <v>0</v>
      </c>
      <c r="BF96" s="37">
        <f>SUMIFS(Wine1!$I:$I,Wine1!$K:$K,Location!$A96,Wine1!$AA:$AA,Location!BF$1)</f>
        <v>0</v>
      </c>
      <c r="BG96" s="37">
        <f>SUMIFS(Wine1!$I:$I,Wine1!$K:$K,Location!$A96,Wine1!$AA:$AA,Location!BG$1)</f>
        <v>0</v>
      </c>
      <c r="BH96" s="37">
        <f>SUMIFS(Wine1!$I:$I,Wine1!$K:$K,Location!$A96,Wine1!$AA:$AA,Location!BH$1)</f>
        <v>0</v>
      </c>
      <c r="BI96" s="37">
        <f>SUMIFS(Wine1!$I:$I,Wine1!$K:$K,Location!$A96,Wine1!$AA:$AA,Location!BI$1)</f>
        <v>0</v>
      </c>
    </row>
    <row r="97" spans="1:61" x14ac:dyDescent="0.25">
      <c r="A97" t="s">
        <v>97</v>
      </c>
      <c r="B97">
        <f>SUMIF(Wine1!K:K,Location!A97,Wine1!I:I)</f>
        <v>0</v>
      </c>
      <c r="C97">
        <v>0</v>
      </c>
      <c r="D97">
        <f t="shared" si="3"/>
        <v>0</v>
      </c>
      <c r="E97" t="s">
        <v>600</v>
      </c>
      <c r="F97" s="37" t="s">
        <v>717</v>
      </c>
      <c r="G97" s="1"/>
      <c r="H97" s="56">
        <f>COUNTIFS(Wine1!$K:$K,Location!$A97,Wine1!$AF:$AF,Location!H$1)</f>
        <v>0</v>
      </c>
      <c r="I97" s="57">
        <f>COUNTIFS(Wine1!$K:$K,Location!$A97,Wine1!$AF:$AF,Location!I$1)</f>
        <v>0</v>
      </c>
      <c r="J97" s="57">
        <f>COUNTIFS(Wine1!$K:$K,Location!$A97,Wine1!$AF:$AF,Location!J$1)</f>
        <v>0</v>
      </c>
      <c r="K97" s="58">
        <f>COUNTIFS(Wine1!$K:$K,Location!$A97,Wine1!$AF:$AF,Location!K$1)</f>
        <v>0</v>
      </c>
      <c r="L97" s="18" t="str">
        <f>IFERROR(AVERAGEIF(Wine1!K:K,Location!A97,Wine1!AA:AA),"Empty")</f>
        <v>Empty</v>
      </c>
      <c r="M97">
        <f>SUMIFS(Wine1!$I:$I,Wine1!$K:$K,Location!$A97,Wine1!$AA:$AA,Location!M$1)</f>
        <v>0</v>
      </c>
      <c r="N97">
        <f>SUMIFS(Wine1!$I:$I,Wine1!$K:$K,Location!$A97,Wine1!$AA:$AA,Location!N$1)</f>
        <v>0</v>
      </c>
      <c r="O97">
        <f>SUMIFS(Wine1!$I:$I,Wine1!$K:$K,Location!$A97,Wine1!$AA:$AA,Location!O$1)</f>
        <v>0</v>
      </c>
      <c r="P97">
        <f>SUMIFS(Wine1!$I:$I,Wine1!$K:$K,Location!$A97,Wine1!$AA:$AA,Location!P$1)</f>
        <v>0</v>
      </c>
      <c r="Q97">
        <f>SUMIFS(Wine1!$I:$I,Wine1!$K:$K,Location!$A97,Wine1!$AA:$AA,Location!Q$1)</f>
        <v>0</v>
      </c>
      <c r="R97">
        <f>SUMIFS(Wine1!$I:$I,Wine1!$K:$K,Location!$A97,Wine1!$AA:$AA,Location!R$1)</f>
        <v>0</v>
      </c>
      <c r="S97">
        <f>SUMIFS(Wine1!$I:$I,Wine1!$K:$K,Location!$A97,Wine1!$AA:$AA,Location!S$1)</f>
        <v>0</v>
      </c>
      <c r="T97">
        <f>SUMIFS(Wine1!$I:$I,Wine1!$K:$K,Location!$A97,Wine1!$AA:$AA,Location!T$1)</f>
        <v>0</v>
      </c>
      <c r="U97">
        <f>SUMIFS(Wine1!$I:$I,Wine1!$K:$K,Location!$A97,Wine1!$AA:$AA,Location!U$1)</f>
        <v>0</v>
      </c>
      <c r="V97">
        <f>SUMIFS(Wine1!$I:$I,Wine1!$K:$K,Location!$A97,Wine1!$AA:$AA,Location!V$1)</f>
        <v>0</v>
      </c>
      <c r="W97">
        <f>SUMIFS(Wine1!$I:$I,Wine1!$K:$K,Location!$A97,Wine1!$AA:$AA,Location!W$1)</f>
        <v>0</v>
      </c>
      <c r="X97">
        <f>SUMIFS(Wine1!$I:$I,Wine1!$K:$K,Location!$A97,Wine1!$AA:$AA,Location!X$1)</f>
        <v>0</v>
      </c>
      <c r="Y97">
        <f>SUMIFS(Wine1!$I:$I,Wine1!$K:$K,Location!$A97,Wine1!$AA:$AA,Location!Y$1)</f>
        <v>0</v>
      </c>
      <c r="Z97">
        <f>SUMIFS(Wine1!$I:$I,Wine1!$K:$K,Location!$A97,Wine1!$AA:$AA,Location!Z$1)</f>
        <v>0</v>
      </c>
      <c r="AA97">
        <f>SUMIFS(Wine1!$I:$I,Wine1!$K:$K,Location!$A97,Wine1!$AA:$AA,Location!AA$1)</f>
        <v>0</v>
      </c>
      <c r="AB97">
        <f>SUMIFS(Wine1!$I:$I,Wine1!$K:$K,Location!$A97,Wine1!$AA:$AA,Location!AB$1)</f>
        <v>0</v>
      </c>
      <c r="AC97">
        <f>SUMIFS(Wine1!$I:$I,Wine1!$K:$K,Location!$A97,Wine1!$AA:$AA,Location!AC$1)</f>
        <v>0</v>
      </c>
      <c r="AD97">
        <f>SUMIFS(Wine1!$I:$I,Wine1!$K:$K,Location!$A97,Wine1!$AA:$AA,Location!AD$1)</f>
        <v>0</v>
      </c>
      <c r="AE97">
        <f>SUMIFS(Wine1!$I:$I,Wine1!$K:$K,Location!$A97,Wine1!$AA:$AA,Location!AE$1)</f>
        <v>0</v>
      </c>
      <c r="AF97">
        <f>SUMIFS(Wine1!$I:$I,Wine1!$K:$K,Location!$A97,Wine1!$AA:$AA,Location!AF$1)</f>
        <v>0</v>
      </c>
      <c r="AG97">
        <f>SUMIFS(Wine1!$I:$I,Wine1!$K:$K,Location!$A97,Wine1!$AA:$AA,Location!AG$1)</f>
        <v>0</v>
      </c>
      <c r="AH97">
        <f>SUMIFS(Wine1!$I:$I,Wine1!$K:$K,Location!$A97,Wine1!$AA:$AA,Location!AH$1)</f>
        <v>0</v>
      </c>
      <c r="AI97">
        <f>SUMIFS(Wine1!$I:$I,Wine1!$K:$K,Location!$A97,Wine1!$AA:$AA,Location!AI$1)</f>
        <v>0</v>
      </c>
      <c r="AJ97">
        <f>SUMIFS(Wine1!$I:$I,Wine1!$K:$K,Location!$A97,Wine1!$AA:$AA,Location!AJ$1)</f>
        <v>0</v>
      </c>
      <c r="AK97">
        <f>SUMIFS(Wine1!$I:$I,Wine1!$K:$K,Location!$A97,Wine1!$AA:$AA,Location!AK$1)</f>
        <v>0</v>
      </c>
      <c r="AL97">
        <f>SUMIFS(Wine1!$I:$I,Wine1!$K:$K,Location!$A97,Wine1!$AA:$AA,Location!AL$1)</f>
        <v>0</v>
      </c>
      <c r="AM97">
        <f>SUMIFS(Wine1!$I:$I,Wine1!$K:$K,Location!$A97,Wine1!$AA:$AA,Location!AM$1)</f>
        <v>0</v>
      </c>
      <c r="AN97">
        <f>SUMIFS(Wine1!$I:$I,Wine1!$K:$K,Location!$A97,Wine1!$AA:$AA,Location!AN$1)</f>
        <v>0</v>
      </c>
      <c r="AO97">
        <f>SUMIFS(Wine1!$I:$I,Wine1!$K:$K,Location!$A97,Wine1!$AA:$AA,Location!AO$1)</f>
        <v>0</v>
      </c>
      <c r="AP97">
        <f>SUMIFS(Wine1!$I:$I,Wine1!$K:$K,Location!$A97,Wine1!$AA:$AA,Location!AP$1)</f>
        <v>0</v>
      </c>
      <c r="AQ97">
        <f>SUMIFS(Wine1!$I:$I,Wine1!$K:$K,Location!$A97,Wine1!$AA:$AA,Location!AQ$1)</f>
        <v>0</v>
      </c>
      <c r="AR97">
        <f>SUMIFS(Wine1!$I:$I,Wine1!$K:$K,Location!$A97,Wine1!$AA:$AA,Location!AR$1)</f>
        <v>0</v>
      </c>
      <c r="AS97" s="37">
        <f>SUMIFS(Wine1!$I:$I,Wine1!$K:$K,Location!$A97,Wine1!$AA:$AA,Location!AS$1)</f>
        <v>0</v>
      </c>
      <c r="AT97" s="37">
        <f>SUMIFS(Wine1!$I:$I,Wine1!$K:$K,Location!$A97,Wine1!$AA:$AA,Location!AT$1)</f>
        <v>0</v>
      </c>
      <c r="AU97" s="37">
        <f>SUMIFS(Wine1!$I:$I,Wine1!$K:$K,Location!$A97,Wine1!$AA:$AA,Location!AU$1)</f>
        <v>0</v>
      </c>
      <c r="AV97" s="37">
        <f>SUMIFS(Wine1!$I:$I,Wine1!$K:$K,Location!$A97,Wine1!$AA:$AA,Location!AV$1)</f>
        <v>0</v>
      </c>
      <c r="AW97" s="37">
        <f>SUMIFS(Wine1!$I:$I,Wine1!$K:$K,Location!$A97,Wine1!$AA:$AA,Location!AW$1)</f>
        <v>0</v>
      </c>
      <c r="AX97" s="37">
        <f>SUMIFS(Wine1!$I:$I,Wine1!$K:$K,Location!$A97,Wine1!$AA:$AA,Location!AX$1)</f>
        <v>0</v>
      </c>
      <c r="AY97" s="37">
        <f>SUMIFS(Wine1!$I:$I,Wine1!$K:$K,Location!$A97,Wine1!$AA:$AA,Location!AY$1)</f>
        <v>0</v>
      </c>
      <c r="AZ97" s="37">
        <f>SUMIFS(Wine1!$I:$I,Wine1!$K:$K,Location!$A97,Wine1!$AA:$AA,Location!AZ$1)</f>
        <v>0</v>
      </c>
      <c r="BA97" s="37">
        <f>SUMIFS(Wine1!$I:$I,Wine1!$K:$K,Location!$A97,Wine1!$AA:$AA,Location!BA$1)</f>
        <v>0</v>
      </c>
      <c r="BB97" s="37">
        <f>SUMIFS(Wine1!$I:$I,Wine1!$K:$K,Location!$A97,Wine1!$AA:$AA,Location!BB$1)</f>
        <v>0</v>
      </c>
      <c r="BC97" s="37">
        <f>SUMIFS(Wine1!$I:$I,Wine1!$K:$K,Location!$A97,Wine1!$AA:$AA,Location!BC$1)</f>
        <v>0</v>
      </c>
      <c r="BD97" s="37">
        <f>SUMIFS(Wine1!$I:$I,Wine1!$K:$K,Location!$A97,Wine1!$AA:$AA,Location!BD$1)</f>
        <v>0</v>
      </c>
      <c r="BE97" s="37">
        <f>SUMIFS(Wine1!$I:$I,Wine1!$K:$K,Location!$A97,Wine1!$AA:$AA,Location!BE$1)</f>
        <v>0</v>
      </c>
      <c r="BF97" s="37">
        <f>SUMIFS(Wine1!$I:$I,Wine1!$K:$K,Location!$A97,Wine1!$AA:$AA,Location!BF$1)</f>
        <v>0</v>
      </c>
      <c r="BG97" s="37">
        <f>SUMIFS(Wine1!$I:$I,Wine1!$K:$K,Location!$A97,Wine1!$AA:$AA,Location!BG$1)</f>
        <v>0</v>
      </c>
      <c r="BH97" s="37">
        <f>SUMIFS(Wine1!$I:$I,Wine1!$K:$K,Location!$A97,Wine1!$AA:$AA,Location!BH$1)</f>
        <v>0</v>
      </c>
      <c r="BI97" s="37">
        <f>SUMIFS(Wine1!$I:$I,Wine1!$K:$K,Location!$A97,Wine1!$AA:$AA,Location!BI$1)</f>
        <v>0</v>
      </c>
    </row>
    <row r="98" spans="1:61" x14ac:dyDescent="0.25">
      <c r="A98" s="20" t="s">
        <v>11</v>
      </c>
      <c r="B98">
        <f>SUMIF(Wine1!K:K,Location!A98,Wine1!I:I)</f>
        <v>29</v>
      </c>
      <c r="C98">
        <v>29</v>
      </c>
      <c r="D98">
        <f t="shared" si="3"/>
        <v>0</v>
      </c>
      <c r="E98" s="8" t="s">
        <v>600</v>
      </c>
      <c r="F98" s="8" t="s">
        <v>931</v>
      </c>
      <c r="H98" s="56">
        <f>COUNTIFS(Wine1!$K:$K,Location!$A98,Wine1!$AF:$AF,Location!H$1)</f>
        <v>0</v>
      </c>
      <c r="I98" s="57">
        <f>COUNTIFS(Wine1!$K:$K,Location!$A98,Wine1!$AF:$AF,Location!I$1)</f>
        <v>0</v>
      </c>
      <c r="J98" s="57">
        <f>COUNTIFS(Wine1!$K:$K,Location!$A98,Wine1!$AF:$AF,Location!J$1)</f>
        <v>15</v>
      </c>
      <c r="K98" s="58">
        <f>COUNTIFS(Wine1!$K:$K,Location!$A98,Wine1!$AF:$AF,Location!K$1)</f>
        <v>14</v>
      </c>
      <c r="L98" s="18">
        <f>IFERROR(AVERAGEIF(Wine1!K:K,Location!A98,Wine1!AA:AA),"Empty")</f>
        <v>2029.3103448275863</v>
      </c>
      <c r="M98">
        <f>SUMIFS(Wine1!$I:$I,Wine1!$K:$K,Location!$A98,Wine1!$AA:$AA,Location!M$1)</f>
        <v>0</v>
      </c>
      <c r="N98">
        <f>SUMIFS(Wine1!$I:$I,Wine1!$K:$K,Location!$A98,Wine1!$AA:$AA,Location!N$1)</f>
        <v>1</v>
      </c>
      <c r="O98">
        <f>SUMIFS(Wine1!$I:$I,Wine1!$K:$K,Location!$A98,Wine1!$AA:$AA,Location!O$1)</f>
        <v>1</v>
      </c>
      <c r="P98">
        <f>SUMIFS(Wine1!$I:$I,Wine1!$K:$K,Location!$A98,Wine1!$AA:$AA,Location!P$1)</f>
        <v>1</v>
      </c>
      <c r="Q98">
        <f>SUMIFS(Wine1!$I:$I,Wine1!$K:$K,Location!$A98,Wine1!$AA:$AA,Location!Q$1)</f>
        <v>3</v>
      </c>
      <c r="R98">
        <f>SUMIFS(Wine1!$I:$I,Wine1!$K:$K,Location!$A98,Wine1!$AA:$AA,Location!R$1)</f>
        <v>3</v>
      </c>
      <c r="S98">
        <f>SUMIFS(Wine1!$I:$I,Wine1!$K:$K,Location!$A98,Wine1!$AA:$AA,Location!S$1)</f>
        <v>3</v>
      </c>
      <c r="T98">
        <f>SUMIFS(Wine1!$I:$I,Wine1!$K:$K,Location!$A98,Wine1!$AA:$AA,Location!T$1)</f>
        <v>2</v>
      </c>
      <c r="U98">
        <f>SUMIFS(Wine1!$I:$I,Wine1!$K:$K,Location!$A98,Wine1!$AA:$AA,Location!U$1)</f>
        <v>5</v>
      </c>
      <c r="V98">
        <f>SUMIFS(Wine1!$I:$I,Wine1!$K:$K,Location!$A98,Wine1!$AA:$AA,Location!V$1)</f>
        <v>1</v>
      </c>
      <c r="W98">
        <f>SUMIFS(Wine1!$I:$I,Wine1!$K:$K,Location!$A98,Wine1!$AA:$AA,Location!W$1)</f>
        <v>1</v>
      </c>
      <c r="X98">
        <f>SUMIFS(Wine1!$I:$I,Wine1!$K:$K,Location!$A98,Wine1!$AA:$AA,Location!X$1)</f>
        <v>0</v>
      </c>
      <c r="Y98">
        <f>SUMIFS(Wine1!$I:$I,Wine1!$K:$K,Location!$A98,Wine1!$AA:$AA,Location!Y$1)</f>
        <v>1</v>
      </c>
      <c r="Z98">
        <f>SUMIFS(Wine1!$I:$I,Wine1!$K:$K,Location!$A98,Wine1!$AA:$AA,Location!Z$1)</f>
        <v>0</v>
      </c>
      <c r="AA98">
        <f>SUMIFS(Wine1!$I:$I,Wine1!$K:$K,Location!$A98,Wine1!$AA:$AA,Location!AA$1)</f>
        <v>1</v>
      </c>
      <c r="AB98">
        <f>SUMIFS(Wine1!$I:$I,Wine1!$K:$K,Location!$A98,Wine1!$AA:$AA,Location!AB$1)</f>
        <v>2</v>
      </c>
      <c r="AC98">
        <f>SUMIFS(Wine1!$I:$I,Wine1!$K:$K,Location!$A98,Wine1!$AA:$AA,Location!AC$1)</f>
        <v>1</v>
      </c>
      <c r="AD98">
        <f>SUMIFS(Wine1!$I:$I,Wine1!$K:$K,Location!$A98,Wine1!$AA:$AA,Location!AD$1)</f>
        <v>0</v>
      </c>
      <c r="AE98">
        <f>SUMIFS(Wine1!$I:$I,Wine1!$K:$K,Location!$A98,Wine1!$AA:$AA,Location!AE$1)</f>
        <v>0</v>
      </c>
      <c r="AF98">
        <f>SUMIFS(Wine1!$I:$I,Wine1!$K:$K,Location!$A98,Wine1!$AA:$AA,Location!AF$1)</f>
        <v>0</v>
      </c>
      <c r="AG98">
        <f>SUMIFS(Wine1!$I:$I,Wine1!$K:$K,Location!$A98,Wine1!$AA:$AA,Location!AG$1)</f>
        <v>1</v>
      </c>
      <c r="AH98">
        <f>SUMIFS(Wine1!$I:$I,Wine1!$K:$K,Location!$A98,Wine1!$AA:$AA,Location!AH$1)</f>
        <v>0</v>
      </c>
      <c r="AI98">
        <f>SUMIFS(Wine1!$I:$I,Wine1!$K:$K,Location!$A98,Wine1!$AA:$AA,Location!AI$1)</f>
        <v>0</v>
      </c>
      <c r="AJ98">
        <f>SUMIFS(Wine1!$I:$I,Wine1!$K:$K,Location!$A98,Wine1!$AA:$AA,Location!AJ$1)</f>
        <v>0</v>
      </c>
      <c r="AK98">
        <f>SUMIFS(Wine1!$I:$I,Wine1!$K:$K,Location!$A98,Wine1!$AA:$AA,Location!AK$1)</f>
        <v>0</v>
      </c>
      <c r="AL98">
        <f>SUMIFS(Wine1!$I:$I,Wine1!$K:$K,Location!$A98,Wine1!$AA:$AA,Location!AL$1)</f>
        <v>1</v>
      </c>
      <c r="AM98">
        <f>SUMIFS(Wine1!$I:$I,Wine1!$K:$K,Location!$A98,Wine1!$AA:$AA,Location!AM$1)</f>
        <v>0</v>
      </c>
      <c r="AN98">
        <f>SUMIFS(Wine1!$I:$I,Wine1!$K:$K,Location!$A98,Wine1!$AA:$AA,Location!AN$1)</f>
        <v>0</v>
      </c>
      <c r="AO98">
        <f>SUMIFS(Wine1!$I:$I,Wine1!$K:$K,Location!$A98,Wine1!$AA:$AA,Location!AO$1)</f>
        <v>0</v>
      </c>
      <c r="AP98">
        <f>SUMIFS(Wine1!$I:$I,Wine1!$K:$K,Location!$A98,Wine1!$AA:$AA,Location!AP$1)</f>
        <v>1</v>
      </c>
      <c r="AQ98">
        <f>SUMIFS(Wine1!$I:$I,Wine1!$K:$K,Location!$A98,Wine1!$AA:$AA,Location!AQ$1)</f>
        <v>0</v>
      </c>
      <c r="AR98">
        <f>SUMIFS(Wine1!$I:$I,Wine1!$K:$K,Location!$A98,Wine1!$AA:$AA,Location!AR$1)</f>
        <v>0</v>
      </c>
      <c r="AS98" s="37">
        <f>SUMIFS(Wine1!$I:$I,Wine1!$K:$K,Location!$A98,Wine1!$AA:$AA,Location!AS$1)</f>
        <v>0</v>
      </c>
      <c r="AT98" s="37">
        <f>SUMIFS(Wine1!$I:$I,Wine1!$K:$K,Location!$A98,Wine1!$AA:$AA,Location!AT$1)</f>
        <v>0</v>
      </c>
      <c r="AU98" s="37">
        <f>SUMIFS(Wine1!$I:$I,Wine1!$K:$K,Location!$A98,Wine1!$AA:$AA,Location!AU$1)</f>
        <v>0</v>
      </c>
      <c r="AV98" s="37">
        <f>SUMIFS(Wine1!$I:$I,Wine1!$K:$K,Location!$A98,Wine1!$AA:$AA,Location!AV$1)</f>
        <v>0</v>
      </c>
      <c r="AW98" s="37">
        <f>SUMIFS(Wine1!$I:$I,Wine1!$K:$K,Location!$A98,Wine1!$AA:$AA,Location!AW$1)</f>
        <v>0</v>
      </c>
      <c r="AX98" s="37">
        <f>SUMIFS(Wine1!$I:$I,Wine1!$K:$K,Location!$A98,Wine1!$AA:$AA,Location!AX$1)</f>
        <v>0</v>
      </c>
      <c r="AY98" s="37">
        <f>SUMIFS(Wine1!$I:$I,Wine1!$K:$K,Location!$A98,Wine1!$AA:$AA,Location!AY$1)</f>
        <v>0</v>
      </c>
      <c r="AZ98" s="37">
        <f>SUMIFS(Wine1!$I:$I,Wine1!$K:$K,Location!$A98,Wine1!$AA:$AA,Location!AZ$1)</f>
        <v>0</v>
      </c>
      <c r="BA98" s="37">
        <f>SUMIFS(Wine1!$I:$I,Wine1!$K:$K,Location!$A98,Wine1!$AA:$AA,Location!BA$1)</f>
        <v>0</v>
      </c>
      <c r="BB98" s="37">
        <f>SUMIFS(Wine1!$I:$I,Wine1!$K:$K,Location!$A98,Wine1!$AA:$AA,Location!BB$1)</f>
        <v>0</v>
      </c>
      <c r="BC98" s="37">
        <f>SUMIFS(Wine1!$I:$I,Wine1!$K:$K,Location!$A98,Wine1!$AA:$AA,Location!BC$1)</f>
        <v>0</v>
      </c>
      <c r="BD98" s="37">
        <f>SUMIFS(Wine1!$I:$I,Wine1!$K:$K,Location!$A98,Wine1!$AA:$AA,Location!BD$1)</f>
        <v>0</v>
      </c>
      <c r="BE98" s="37">
        <f>SUMIFS(Wine1!$I:$I,Wine1!$K:$K,Location!$A98,Wine1!$AA:$AA,Location!BE$1)</f>
        <v>0</v>
      </c>
      <c r="BF98" s="37">
        <f>SUMIFS(Wine1!$I:$I,Wine1!$K:$K,Location!$A98,Wine1!$AA:$AA,Location!BF$1)</f>
        <v>0</v>
      </c>
      <c r="BG98" s="37">
        <f>SUMIFS(Wine1!$I:$I,Wine1!$K:$K,Location!$A98,Wine1!$AA:$AA,Location!BG$1)</f>
        <v>0</v>
      </c>
      <c r="BH98" s="37">
        <f>SUMIFS(Wine1!$I:$I,Wine1!$K:$K,Location!$A98,Wine1!$AA:$AA,Location!BH$1)</f>
        <v>0</v>
      </c>
      <c r="BI98" s="37">
        <f>SUMIFS(Wine1!$I:$I,Wine1!$K:$K,Location!$A98,Wine1!$AA:$AA,Location!BI$1)</f>
        <v>0</v>
      </c>
    </row>
    <row r="99" spans="1:61" x14ac:dyDescent="0.25">
      <c r="A99" s="20" t="s">
        <v>14</v>
      </c>
      <c r="B99">
        <f>SUMIF(Wine1!K:K,Location!A99,Wine1!I:I)</f>
        <v>0</v>
      </c>
      <c r="C99">
        <v>0</v>
      </c>
      <c r="D99">
        <f t="shared" si="3"/>
        <v>0</v>
      </c>
      <c r="E99" t="s">
        <v>14</v>
      </c>
      <c r="F99" s="37" t="s">
        <v>717</v>
      </c>
      <c r="H99" s="56">
        <f>COUNTIFS(Wine1!$K:$K,Location!$A99,Wine1!$AF:$AF,Location!H$1)</f>
        <v>0</v>
      </c>
      <c r="I99" s="57">
        <f>COUNTIFS(Wine1!$K:$K,Location!$A99,Wine1!$AF:$AF,Location!I$1)</f>
        <v>0</v>
      </c>
      <c r="J99" s="57">
        <f>COUNTIFS(Wine1!$K:$K,Location!$A99,Wine1!$AF:$AF,Location!J$1)</f>
        <v>0</v>
      </c>
      <c r="K99" s="58">
        <f>COUNTIFS(Wine1!$K:$K,Location!$A99,Wine1!$AF:$AF,Location!K$1)</f>
        <v>0</v>
      </c>
      <c r="L99" s="18" t="str">
        <f>IFERROR(AVERAGEIF(Wine1!K:K,Location!A99,Wine1!AA:AA),"Empty")</f>
        <v>Empty</v>
      </c>
      <c r="M99">
        <f>SUMIFS(Wine1!$I:$I,Wine1!$K:$K,Location!$A99,Wine1!$AA:$AA,Location!M$1)</f>
        <v>0</v>
      </c>
      <c r="N99">
        <f>SUMIFS(Wine1!$I:$I,Wine1!$K:$K,Location!$A99,Wine1!$AA:$AA,Location!N$1)</f>
        <v>0</v>
      </c>
      <c r="O99">
        <f>SUMIFS(Wine1!$I:$I,Wine1!$K:$K,Location!$A99,Wine1!$AA:$AA,Location!O$1)</f>
        <v>0</v>
      </c>
      <c r="P99">
        <f>SUMIFS(Wine1!$I:$I,Wine1!$K:$K,Location!$A99,Wine1!$AA:$AA,Location!P$1)</f>
        <v>0</v>
      </c>
      <c r="Q99">
        <f>SUMIFS(Wine1!$I:$I,Wine1!$K:$K,Location!$A99,Wine1!$AA:$AA,Location!Q$1)</f>
        <v>0</v>
      </c>
      <c r="R99">
        <f>SUMIFS(Wine1!$I:$I,Wine1!$K:$K,Location!$A99,Wine1!$AA:$AA,Location!R$1)</f>
        <v>0</v>
      </c>
      <c r="S99">
        <f>SUMIFS(Wine1!$I:$I,Wine1!$K:$K,Location!$A99,Wine1!$AA:$AA,Location!S$1)</f>
        <v>0</v>
      </c>
      <c r="T99">
        <f>SUMIFS(Wine1!$I:$I,Wine1!$K:$K,Location!$A99,Wine1!$AA:$AA,Location!T$1)</f>
        <v>0</v>
      </c>
      <c r="U99">
        <f>SUMIFS(Wine1!$I:$I,Wine1!$K:$K,Location!$A99,Wine1!$AA:$AA,Location!U$1)</f>
        <v>0</v>
      </c>
      <c r="V99">
        <f>SUMIFS(Wine1!$I:$I,Wine1!$K:$K,Location!$A99,Wine1!$AA:$AA,Location!V$1)</f>
        <v>0</v>
      </c>
      <c r="W99">
        <f>SUMIFS(Wine1!$I:$I,Wine1!$K:$K,Location!$A99,Wine1!$AA:$AA,Location!W$1)</f>
        <v>0</v>
      </c>
      <c r="X99">
        <f>SUMIFS(Wine1!$I:$I,Wine1!$K:$K,Location!$A99,Wine1!$AA:$AA,Location!X$1)</f>
        <v>0</v>
      </c>
      <c r="Y99">
        <f>SUMIFS(Wine1!$I:$I,Wine1!$K:$K,Location!$A99,Wine1!$AA:$AA,Location!Y$1)</f>
        <v>0</v>
      </c>
      <c r="Z99">
        <f>SUMIFS(Wine1!$I:$I,Wine1!$K:$K,Location!$A99,Wine1!$AA:$AA,Location!Z$1)</f>
        <v>0</v>
      </c>
      <c r="AA99">
        <f>SUMIFS(Wine1!$I:$I,Wine1!$K:$K,Location!$A99,Wine1!$AA:$AA,Location!AA$1)</f>
        <v>0</v>
      </c>
      <c r="AB99">
        <f>SUMIFS(Wine1!$I:$I,Wine1!$K:$K,Location!$A99,Wine1!$AA:$AA,Location!AB$1)</f>
        <v>0</v>
      </c>
      <c r="AC99">
        <f>SUMIFS(Wine1!$I:$I,Wine1!$K:$K,Location!$A99,Wine1!$AA:$AA,Location!AC$1)</f>
        <v>0</v>
      </c>
      <c r="AD99">
        <f>SUMIFS(Wine1!$I:$I,Wine1!$K:$K,Location!$A99,Wine1!$AA:$AA,Location!AD$1)</f>
        <v>0</v>
      </c>
      <c r="AE99">
        <f>SUMIFS(Wine1!$I:$I,Wine1!$K:$K,Location!$A99,Wine1!$AA:$AA,Location!AE$1)</f>
        <v>0</v>
      </c>
      <c r="AF99">
        <f>SUMIFS(Wine1!$I:$I,Wine1!$K:$K,Location!$A99,Wine1!$AA:$AA,Location!AF$1)</f>
        <v>0</v>
      </c>
      <c r="AG99">
        <f>SUMIFS(Wine1!$I:$I,Wine1!$K:$K,Location!$A99,Wine1!$AA:$AA,Location!AG$1)</f>
        <v>0</v>
      </c>
      <c r="AH99">
        <f>SUMIFS(Wine1!$I:$I,Wine1!$K:$K,Location!$A99,Wine1!$AA:$AA,Location!AH$1)</f>
        <v>0</v>
      </c>
      <c r="AI99">
        <f>SUMIFS(Wine1!$I:$I,Wine1!$K:$K,Location!$A99,Wine1!$AA:$AA,Location!AI$1)</f>
        <v>0</v>
      </c>
      <c r="AJ99">
        <f>SUMIFS(Wine1!$I:$I,Wine1!$K:$K,Location!$A99,Wine1!$AA:$AA,Location!AJ$1)</f>
        <v>0</v>
      </c>
      <c r="AK99">
        <f>SUMIFS(Wine1!$I:$I,Wine1!$K:$K,Location!$A99,Wine1!$AA:$AA,Location!AK$1)</f>
        <v>0</v>
      </c>
      <c r="AL99">
        <f>SUMIFS(Wine1!$I:$I,Wine1!$K:$K,Location!$A99,Wine1!$AA:$AA,Location!AL$1)</f>
        <v>0</v>
      </c>
      <c r="AM99">
        <f>SUMIFS(Wine1!$I:$I,Wine1!$K:$K,Location!$A99,Wine1!$AA:$AA,Location!AM$1)</f>
        <v>0</v>
      </c>
      <c r="AN99">
        <f>SUMIFS(Wine1!$I:$I,Wine1!$K:$K,Location!$A99,Wine1!$AA:$AA,Location!AN$1)</f>
        <v>0</v>
      </c>
      <c r="AO99">
        <f>SUMIFS(Wine1!$I:$I,Wine1!$K:$K,Location!$A99,Wine1!$AA:$AA,Location!AO$1)</f>
        <v>0</v>
      </c>
      <c r="AP99">
        <f>SUMIFS(Wine1!$I:$I,Wine1!$K:$K,Location!$A99,Wine1!$AA:$AA,Location!AP$1)</f>
        <v>0</v>
      </c>
      <c r="AQ99">
        <f>SUMIFS(Wine1!$I:$I,Wine1!$K:$K,Location!$A99,Wine1!$AA:$AA,Location!AQ$1)</f>
        <v>0</v>
      </c>
      <c r="AR99">
        <f>SUMIFS(Wine1!$I:$I,Wine1!$K:$K,Location!$A99,Wine1!$AA:$AA,Location!AR$1)</f>
        <v>0</v>
      </c>
      <c r="AS99" s="37">
        <f>SUMIFS(Wine1!$I:$I,Wine1!$K:$K,Location!$A99,Wine1!$AA:$AA,Location!AS$1)</f>
        <v>0</v>
      </c>
      <c r="AT99" s="37">
        <f>SUMIFS(Wine1!$I:$I,Wine1!$K:$K,Location!$A99,Wine1!$AA:$AA,Location!AT$1)</f>
        <v>0</v>
      </c>
      <c r="AU99" s="37">
        <f>SUMIFS(Wine1!$I:$I,Wine1!$K:$K,Location!$A99,Wine1!$AA:$AA,Location!AU$1)</f>
        <v>0</v>
      </c>
      <c r="AV99" s="37">
        <f>SUMIFS(Wine1!$I:$I,Wine1!$K:$K,Location!$A99,Wine1!$AA:$AA,Location!AV$1)</f>
        <v>0</v>
      </c>
      <c r="AW99" s="37">
        <f>SUMIFS(Wine1!$I:$I,Wine1!$K:$K,Location!$A99,Wine1!$AA:$AA,Location!AW$1)</f>
        <v>0</v>
      </c>
      <c r="AX99" s="37">
        <f>SUMIFS(Wine1!$I:$I,Wine1!$K:$K,Location!$A99,Wine1!$AA:$AA,Location!AX$1)</f>
        <v>0</v>
      </c>
      <c r="AY99" s="37">
        <f>SUMIFS(Wine1!$I:$I,Wine1!$K:$K,Location!$A99,Wine1!$AA:$AA,Location!AY$1)</f>
        <v>0</v>
      </c>
      <c r="AZ99" s="37">
        <f>SUMIFS(Wine1!$I:$I,Wine1!$K:$K,Location!$A99,Wine1!$AA:$AA,Location!AZ$1)</f>
        <v>0</v>
      </c>
      <c r="BA99" s="37">
        <f>SUMIFS(Wine1!$I:$I,Wine1!$K:$K,Location!$A99,Wine1!$AA:$AA,Location!BA$1)</f>
        <v>0</v>
      </c>
      <c r="BB99" s="37">
        <f>SUMIFS(Wine1!$I:$I,Wine1!$K:$K,Location!$A99,Wine1!$AA:$AA,Location!BB$1)</f>
        <v>0</v>
      </c>
      <c r="BC99" s="37">
        <f>SUMIFS(Wine1!$I:$I,Wine1!$K:$K,Location!$A99,Wine1!$AA:$AA,Location!BC$1)</f>
        <v>0</v>
      </c>
      <c r="BD99" s="37">
        <f>SUMIFS(Wine1!$I:$I,Wine1!$K:$K,Location!$A99,Wine1!$AA:$AA,Location!BD$1)</f>
        <v>0</v>
      </c>
      <c r="BE99" s="37">
        <f>SUMIFS(Wine1!$I:$I,Wine1!$K:$K,Location!$A99,Wine1!$AA:$AA,Location!BE$1)</f>
        <v>0</v>
      </c>
      <c r="BF99" s="37">
        <f>SUMIFS(Wine1!$I:$I,Wine1!$K:$K,Location!$A99,Wine1!$AA:$AA,Location!BF$1)</f>
        <v>0</v>
      </c>
      <c r="BG99" s="37">
        <f>SUMIFS(Wine1!$I:$I,Wine1!$K:$K,Location!$A99,Wine1!$AA:$AA,Location!BG$1)</f>
        <v>0</v>
      </c>
      <c r="BH99" s="37">
        <f>SUMIFS(Wine1!$I:$I,Wine1!$K:$K,Location!$A99,Wine1!$AA:$AA,Location!BH$1)</f>
        <v>0</v>
      </c>
      <c r="BI99" s="37">
        <f>SUMIFS(Wine1!$I:$I,Wine1!$K:$K,Location!$A99,Wine1!$AA:$AA,Location!BI$1)</f>
        <v>0</v>
      </c>
    </row>
    <row r="100" spans="1:61" x14ac:dyDescent="0.25">
      <c r="A100" s="20" t="s">
        <v>212</v>
      </c>
      <c r="B100">
        <f>SUMIF(Wine1!K:K,Location!A100,Wine1!I:I)</f>
        <v>2</v>
      </c>
      <c r="C100">
        <v>12</v>
      </c>
      <c r="D100">
        <f t="shared" si="3"/>
        <v>10</v>
      </c>
      <c r="E100" t="s">
        <v>600</v>
      </c>
      <c r="F100" s="37" t="s">
        <v>717</v>
      </c>
      <c r="G100" s="1">
        <v>43806</v>
      </c>
      <c r="H100" s="56">
        <f>COUNTIFS(Wine1!$K:$K,Location!$A100,Wine1!$AF:$AF,Location!H$1)</f>
        <v>2</v>
      </c>
      <c r="I100" s="57">
        <f>COUNTIFS(Wine1!$K:$K,Location!$A100,Wine1!$AF:$AF,Location!I$1)</f>
        <v>0</v>
      </c>
      <c r="J100" s="57">
        <f>COUNTIFS(Wine1!$K:$K,Location!$A100,Wine1!$AF:$AF,Location!J$1)</f>
        <v>0</v>
      </c>
      <c r="K100" s="58">
        <f>COUNTIFS(Wine1!$K:$K,Location!$A100,Wine1!$AF:$AF,Location!K$1)</f>
        <v>0</v>
      </c>
      <c r="L100" s="18">
        <f>IFERROR(AVERAGEIF(Wine1!K:K,Location!A100,Wine1!AA:AA),"Empty")</f>
        <v>2020</v>
      </c>
      <c r="M100">
        <f>SUMIFS(Wine1!$I:$I,Wine1!$K:$K,Location!$A100,Wine1!$AA:$AA,Location!M$1)</f>
        <v>2</v>
      </c>
      <c r="N100">
        <f>SUMIFS(Wine1!$I:$I,Wine1!$K:$K,Location!$A100,Wine1!$AA:$AA,Location!N$1)</f>
        <v>0</v>
      </c>
      <c r="O100">
        <f>SUMIFS(Wine1!$I:$I,Wine1!$K:$K,Location!$A100,Wine1!$AA:$AA,Location!O$1)</f>
        <v>0</v>
      </c>
      <c r="P100">
        <f>SUMIFS(Wine1!$I:$I,Wine1!$K:$K,Location!$A100,Wine1!$AA:$AA,Location!P$1)</f>
        <v>0</v>
      </c>
      <c r="Q100">
        <f>SUMIFS(Wine1!$I:$I,Wine1!$K:$K,Location!$A100,Wine1!$AA:$AA,Location!Q$1)</f>
        <v>0</v>
      </c>
      <c r="R100">
        <f>SUMIFS(Wine1!$I:$I,Wine1!$K:$K,Location!$A100,Wine1!$AA:$AA,Location!R$1)</f>
        <v>0</v>
      </c>
      <c r="S100">
        <f>SUMIFS(Wine1!$I:$I,Wine1!$K:$K,Location!$A100,Wine1!$AA:$AA,Location!S$1)</f>
        <v>0</v>
      </c>
      <c r="T100">
        <f>SUMIFS(Wine1!$I:$I,Wine1!$K:$K,Location!$A100,Wine1!$AA:$AA,Location!T$1)</f>
        <v>0</v>
      </c>
      <c r="U100">
        <f>SUMIFS(Wine1!$I:$I,Wine1!$K:$K,Location!$A100,Wine1!$AA:$AA,Location!U$1)</f>
        <v>0</v>
      </c>
      <c r="V100">
        <f>SUMIFS(Wine1!$I:$I,Wine1!$K:$K,Location!$A100,Wine1!$AA:$AA,Location!V$1)</f>
        <v>0</v>
      </c>
      <c r="W100">
        <f>SUMIFS(Wine1!$I:$I,Wine1!$K:$K,Location!$A100,Wine1!$AA:$AA,Location!W$1)</f>
        <v>0</v>
      </c>
      <c r="X100">
        <f>SUMIFS(Wine1!$I:$I,Wine1!$K:$K,Location!$A100,Wine1!$AA:$AA,Location!X$1)</f>
        <v>0</v>
      </c>
      <c r="Y100">
        <f>SUMIFS(Wine1!$I:$I,Wine1!$K:$K,Location!$A100,Wine1!$AA:$AA,Location!Y$1)</f>
        <v>0</v>
      </c>
      <c r="Z100">
        <f>SUMIFS(Wine1!$I:$I,Wine1!$K:$K,Location!$A100,Wine1!$AA:$AA,Location!Z$1)</f>
        <v>0</v>
      </c>
      <c r="AA100">
        <f>SUMIFS(Wine1!$I:$I,Wine1!$K:$K,Location!$A100,Wine1!$AA:$AA,Location!AA$1)</f>
        <v>0</v>
      </c>
      <c r="AB100">
        <f>SUMIFS(Wine1!$I:$I,Wine1!$K:$K,Location!$A100,Wine1!$AA:$AA,Location!AB$1)</f>
        <v>0</v>
      </c>
      <c r="AC100">
        <f>SUMIFS(Wine1!$I:$I,Wine1!$K:$K,Location!$A100,Wine1!$AA:$AA,Location!AC$1)</f>
        <v>0</v>
      </c>
      <c r="AD100">
        <f>SUMIFS(Wine1!$I:$I,Wine1!$K:$K,Location!$A100,Wine1!$AA:$AA,Location!AD$1)</f>
        <v>0</v>
      </c>
      <c r="AE100">
        <f>SUMIFS(Wine1!$I:$I,Wine1!$K:$K,Location!$A100,Wine1!$AA:$AA,Location!AE$1)</f>
        <v>0</v>
      </c>
      <c r="AF100">
        <f>SUMIFS(Wine1!$I:$I,Wine1!$K:$K,Location!$A100,Wine1!$AA:$AA,Location!AF$1)</f>
        <v>0</v>
      </c>
      <c r="AG100">
        <f>SUMIFS(Wine1!$I:$I,Wine1!$K:$K,Location!$A100,Wine1!$AA:$AA,Location!AG$1)</f>
        <v>0</v>
      </c>
      <c r="AH100">
        <f>SUMIFS(Wine1!$I:$I,Wine1!$K:$K,Location!$A100,Wine1!$AA:$AA,Location!AH$1)</f>
        <v>0</v>
      </c>
      <c r="AI100">
        <f>SUMIFS(Wine1!$I:$I,Wine1!$K:$K,Location!$A100,Wine1!$AA:$AA,Location!AI$1)</f>
        <v>0</v>
      </c>
      <c r="AJ100">
        <f>SUMIFS(Wine1!$I:$I,Wine1!$K:$K,Location!$A100,Wine1!$AA:$AA,Location!AJ$1)</f>
        <v>0</v>
      </c>
      <c r="AK100">
        <f>SUMIFS(Wine1!$I:$I,Wine1!$K:$K,Location!$A100,Wine1!$AA:$AA,Location!AK$1)</f>
        <v>0</v>
      </c>
      <c r="AL100">
        <f>SUMIFS(Wine1!$I:$I,Wine1!$K:$K,Location!$A100,Wine1!$AA:$AA,Location!AL$1)</f>
        <v>0</v>
      </c>
      <c r="AM100">
        <f>SUMIFS(Wine1!$I:$I,Wine1!$K:$K,Location!$A100,Wine1!$AA:$AA,Location!AM$1)</f>
        <v>0</v>
      </c>
      <c r="AN100">
        <f>SUMIFS(Wine1!$I:$I,Wine1!$K:$K,Location!$A100,Wine1!$AA:$AA,Location!AN$1)</f>
        <v>0</v>
      </c>
      <c r="AO100">
        <f>SUMIFS(Wine1!$I:$I,Wine1!$K:$K,Location!$A100,Wine1!$AA:$AA,Location!AO$1)</f>
        <v>0</v>
      </c>
      <c r="AP100">
        <f>SUMIFS(Wine1!$I:$I,Wine1!$K:$K,Location!$A100,Wine1!$AA:$AA,Location!AP$1)</f>
        <v>0</v>
      </c>
      <c r="AQ100">
        <f>SUMIFS(Wine1!$I:$I,Wine1!$K:$K,Location!$A100,Wine1!$AA:$AA,Location!AQ$1)</f>
        <v>0</v>
      </c>
      <c r="AR100">
        <f>SUMIFS(Wine1!$I:$I,Wine1!$K:$K,Location!$A100,Wine1!$AA:$AA,Location!AR$1)</f>
        <v>0</v>
      </c>
      <c r="AS100" s="37">
        <f>SUMIFS(Wine1!$I:$I,Wine1!$K:$K,Location!$A100,Wine1!$AA:$AA,Location!AS$1)</f>
        <v>0</v>
      </c>
      <c r="AT100" s="37">
        <f>SUMIFS(Wine1!$I:$I,Wine1!$K:$K,Location!$A100,Wine1!$AA:$AA,Location!AT$1)</f>
        <v>0</v>
      </c>
      <c r="AU100" s="37">
        <f>SUMIFS(Wine1!$I:$I,Wine1!$K:$K,Location!$A100,Wine1!$AA:$AA,Location!AU$1)</f>
        <v>0</v>
      </c>
      <c r="AV100" s="37">
        <f>SUMIFS(Wine1!$I:$I,Wine1!$K:$K,Location!$A100,Wine1!$AA:$AA,Location!AV$1)</f>
        <v>0</v>
      </c>
      <c r="AW100" s="37">
        <f>SUMIFS(Wine1!$I:$I,Wine1!$K:$K,Location!$A100,Wine1!$AA:$AA,Location!AW$1)</f>
        <v>0</v>
      </c>
      <c r="AX100" s="37">
        <f>SUMIFS(Wine1!$I:$I,Wine1!$K:$K,Location!$A100,Wine1!$AA:$AA,Location!AX$1)</f>
        <v>0</v>
      </c>
      <c r="AY100" s="37">
        <f>SUMIFS(Wine1!$I:$I,Wine1!$K:$K,Location!$A100,Wine1!$AA:$AA,Location!AY$1)</f>
        <v>0</v>
      </c>
      <c r="AZ100" s="37">
        <f>SUMIFS(Wine1!$I:$I,Wine1!$K:$K,Location!$A100,Wine1!$AA:$AA,Location!AZ$1)</f>
        <v>0</v>
      </c>
      <c r="BA100" s="37">
        <f>SUMIFS(Wine1!$I:$I,Wine1!$K:$K,Location!$A100,Wine1!$AA:$AA,Location!BA$1)</f>
        <v>0</v>
      </c>
      <c r="BB100" s="37">
        <f>SUMIFS(Wine1!$I:$I,Wine1!$K:$K,Location!$A100,Wine1!$AA:$AA,Location!BB$1)</f>
        <v>0</v>
      </c>
      <c r="BC100" s="37">
        <f>SUMIFS(Wine1!$I:$I,Wine1!$K:$K,Location!$A100,Wine1!$AA:$AA,Location!BC$1)</f>
        <v>0</v>
      </c>
      <c r="BD100" s="37">
        <f>SUMIFS(Wine1!$I:$I,Wine1!$K:$K,Location!$A100,Wine1!$AA:$AA,Location!BD$1)</f>
        <v>0</v>
      </c>
      <c r="BE100" s="37">
        <f>SUMIFS(Wine1!$I:$I,Wine1!$K:$K,Location!$A100,Wine1!$AA:$AA,Location!BE$1)</f>
        <v>0</v>
      </c>
      <c r="BF100" s="37">
        <f>SUMIFS(Wine1!$I:$I,Wine1!$K:$K,Location!$A100,Wine1!$AA:$AA,Location!BF$1)</f>
        <v>0</v>
      </c>
      <c r="BG100" s="37">
        <f>SUMIFS(Wine1!$I:$I,Wine1!$K:$K,Location!$A100,Wine1!$AA:$AA,Location!BG$1)</f>
        <v>0</v>
      </c>
      <c r="BH100" s="37">
        <f>SUMIFS(Wine1!$I:$I,Wine1!$K:$K,Location!$A100,Wine1!$AA:$AA,Location!BH$1)</f>
        <v>0</v>
      </c>
      <c r="BI100" s="37">
        <f>SUMIFS(Wine1!$I:$I,Wine1!$K:$K,Location!$A100,Wine1!$AA:$AA,Location!BI$1)</f>
        <v>0</v>
      </c>
    </row>
    <row r="101" spans="1:61" x14ac:dyDescent="0.25">
      <c r="A101" s="20" t="s">
        <v>254</v>
      </c>
      <c r="B101">
        <f>SUMIF(Wine1!K:K,Location!A101,Wine1!I:I)</f>
        <v>0</v>
      </c>
      <c r="C101">
        <v>12</v>
      </c>
      <c r="D101">
        <f t="shared" si="3"/>
        <v>12</v>
      </c>
      <c r="E101" t="s">
        <v>600</v>
      </c>
      <c r="F101" s="37" t="s">
        <v>717</v>
      </c>
      <c r="G101" s="31">
        <v>43806</v>
      </c>
      <c r="H101" s="56">
        <f>COUNTIFS(Wine1!$K:$K,Location!$A101,Wine1!$AF:$AF,Location!H$1)</f>
        <v>0</v>
      </c>
      <c r="I101" s="57">
        <f>COUNTIFS(Wine1!$K:$K,Location!$A101,Wine1!$AF:$AF,Location!I$1)</f>
        <v>0</v>
      </c>
      <c r="J101" s="57">
        <f>COUNTIFS(Wine1!$K:$K,Location!$A101,Wine1!$AF:$AF,Location!J$1)</f>
        <v>0</v>
      </c>
      <c r="K101" s="58">
        <f>COUNTIFS(Wine1!$K:$K,Location!$A101,Wine1!$AF:$AF,Location!K$1)</f>
        <v>0</v>
      </c>
      <c r="L101" s="18" t="str">
        <f>IFERROR(AVERAGEIF(Wine1!K:K,Location!A101,Wine1!AA:AA),"Empty")</f>
        <v>Empty</v>
      </c>
      <c r="M101">
        <f>SUMIFS(Wine1!$I:$I,Wine1!$K:$K,Location!$A101,Wine1!$AA:$AA,Location!M$1)</f>
        <v>0</v>
      </c>
      <c r="N101">
        <f>SUMIFS(Wine1!$I:$I,Wine1!$K:$K,Location!$A101,Wine1!$AA:$AA,Location!N$1)</f>
        <v>0</v>
      </c>
      <c r="O101">
        <f>SUMIFS(Wine1!$I:$I,Wine1!$K:$K,Location!$A101,Wine1!$AA:$AA,Location!O$1)</f>
        <v>0</v>
      </c>
      <c r="P101">
        <f>SUMIFS(Wine1!$I:$I,Wine1!$K:$K,Location!$A101,Wine1!$AA:$AA,Location!P$1)</f>
        <v>0</v>
      </c>
      <c r="Q101">
        <f>SUMIFS(Wine1!$I:$I,Wine1!$K:$K,Location!$A101,Wine1!$AA:$AA,Location!Q$1)</f>
        <v>0</v>
      </c>
      <c r="R101">
        <f>SUMIFS(Wine1!$I:$I,Wine1!$K:$K,Location!$A101,Wine1!$AA:$AA,Location!R$1)</f>
        <v>0</v>
      </c>
      <c r="S101">
        <f>SUMIFS(Wine1!$I:$I,Wine1!$K:$K,Location!$A101,Wine1!$AA:$AA,Location!S$1)</f>
        <v>0</v>
      </c>
      <c r="T101">
        <f>SUMIFS(Wine1!$I:$I,Wine1!$K:$K,Location!$A101,Wine1!$AA:$AA,Location!T$1)</f>
        <v>0</v>
      </c>
      <c r="U101">
        <f>SUMIFS(Wine1!$I:$I,Wine1!$K:$K,Location!$A101,Wine1!$AA:$AA,Location!U$1)</f>
        <v>0</v>
      </c>
      <c r="V101">
        <f>SUMIFS(Wine1!$I:$I,Wine1!$K:$K,Location!$A101,Wine1!$AA:$AA,Location!V$1)</f>
        <v>0</v>
      </c>
      <c r="W101">
        <f>SUMIFS(Wine1!$I:$I,Wine1!$K:$K,Location!$A101,Wine1!$AA:$AA,Location!W$1)</f>
        <v>0</v>
      </c>
      <c r="X101">
        <f>SUMIFS(Wine1!$I:$I,Wine1!$K:$K,Location!$A101,Wine1!$AA:$AA,Location!X$1)</f>
        <v>0</v>
      </c>
      <c r="Y101">
        <f>SUMIFS(Wine1!$I:$I,Wine1!$K:$K,Location!$A101,Wine1!$AA:$AA,Location!Y$1)</f>
        <v>0</v>
      </c>
      <c r="Z101">
        <f>SUMIFS(Wine1!$I:$I,Wine1!$K:$K,Location!$A101,Wine1!$AA:$AA,Location!Z$1)</f>
        <v>0</v>
      </c>
      <c r="AA101">
        <f>SUMIFS(Wine1!$I:$I,Wine1!$K:$K,Location!$A101,Wine1!$AA:$AA,Location!AA$1)</f>
        <v>0</v>
      </c>
      <c r="AB101">
        <f>SUMIFS(Wine1!$I:$I,Wine1!$K:$K,Location!$A101,Wine1!$AA:$AA,Location!AB$1)</f>
        <v>0</v>
      </c>
      <c r="AC101">
        <f>SUMIFS(Wine1!$I:$I,Wine1!$K:$K,Location!$A101,Wine1!$AA:$AA,Location!AC$1)</f>
        <v>0</v>
      </c>
      <c r="AD101">
        <f>SUMIFS(Wine1!$I:$I,Wine1!$K:$K,Location!$A101,Wine1!$AA:$AA,Location!AD$1)</f>
        <v>0</v>
      </c>
      <c r="AE101">
        <f>SUMIFS(Wine1!$I:$I,Wine1!$K:$K,Location!$A101,Wine1!$AA:$AA,Location!AE$1)</f>
        <v>0</v>
      </c>
      <c r="AF101">
        <f>SUMIFS(Wine1!$I:$I,Wine1!$K:$K,Location!$A101,Wine1!$AA:$AA,Location!AF$1)</f>
        <v>0</v>
      </c>
      <c r="AG101">
        <f>SUMIFS(Wine1!$I:$I,Wine1!$K:$K,Location!$A101,Wine1!$AA:$AA,Location!AG$1)</f>
        <v>0</v>
      </c>
      <c r="AH101">
        <f>SUMIFS(Wine1!$I:$I,Wine1!$K:$K,Location!$A101,Wine1!$AA:$AA,Location!AH$1)</f>
        <v>0</v>
      </c>
      <c r="AI101">
        <f>SUMIFS(Wine1!$I:$I,Wine1!$K:$K,Location!$A101,Wine1!$AA:$AA,Location!AI$1)</f>
        <v>0</v>
      </c>
      <c r="AJ101">
        <f>SUMIFS(Wine1!$I:$I,Wine1!$K:$K,Location!$A101,Wine1!$AA:$AA,Location!AJ$1)</f>
        <v>0</v>
      </c>
      <c r="AK101">
        <f>SUMIFS(Wine1!$I:$I,Wine1!$K:$K,Location!$A101,Wine1!$AA:$AA,Location!AK$1)</f>
        <v>0</v>
      </c>
      <c r="AL101">
        <f>SUMIFS(Wine1!$I:$I,Wine1!$K:$K,Location!$A101,Wine1!$AA:$AA,Location!AL$1)</f>
        <v>0</v>
      </c>
      <c r="AM101">
        <f>SUMIFS(Wine1!$I:$I,Wine1!$K:$K,Location!$A101,Wine1!$AA:$AA,Location!AM$1)</f>
        <v>0</v>
      </c>
      <c r="AN101">
        <f>SUMIFS(Wine1!$I:$I,Wine1!$K:$K,Location!$A101,Wine1!$AA:$AA,Location!AN$1)</f>
        <v>0</v>
      </c>
      <c r="AO101">
        <f>SUMIFS(Wine1!$I:$I,Wine1!$K:$K,Location!$A101,Wine1!$AA:$AA,Location!AO$1)</f>
        <v>0</v>
      </c>
      <c r="AP101">
        <f>SUMIFS(Wine1!$I:$I,Wine1!$K:$K,Location!$A101,Wine1!$AA:$AA,Location!AP$1)</f>
        <v>0</v>
      </c>
      <c r="AQ101">
        <f>SUMIFS(Wine1!$I:$I,Wine1!$K:$K,Location!$A101,Wine1!$AA:$AA,Location!AQ$1)</f>
        <v>0</v>
      </c>
      <c r="AR101">
        <f>SUMIFS(Wine1!$I:$I,Wine1!$K:$K,Location!$A101,Wine1!$AA:$AA,Location!AR$1)</f>
        <v>0</v>
      </c>
      <c r="AS101" s="37">
        <f>SUMIFS(Wine1!$I:$I,Wine1!$K:$K,Location!$A101,Wine1!$AA:$AA,Location!AS$1)</f>
        <v>0</v>
      </c>
      <c r="AT101" s="37">
        <f>SUMIFS(Wine1!$I:$I,Wine1!$K:$K,Location!$A101,Wine1!$AA:$AA,Location!AT$1)</f>
        <v>0</v>
      </c>
      <c r="AU101" s="37">
        <f>SUMIFS(Wine1!$I:$I,Wine1!$K:$K,Location!$A101,Wine1!$AA:$AA,Location!AU$1)</f>
        <v>0</v>
      </c>
      <c r="AV101" s="37">
        <f>SUMIFS(Wine1!$I:$I,Wine1!$K:$K,Location!$A101,Wine1!$AA:$AA,Location!AV$1)</f>
        <v>0</v>
      </c>
      <c r="AW101" s="37">
        <f>SUMIFS(Wine1!$I:$I,Wine1!$K:$K,Location!$A101,Wine1!$AA:$AA,Location!AW$1)</f>
        <v>0</v>
      </c>
      <c r="AX101" s="37">
        <f>SUMIFS(Wine1!$I:$I,Wine1!$K:$K,Location!$A101,Wine1!$AA:$AA,Location!AX$1)</f>
        <v>0</v>
      </c>
      <c r="AY101" s="37">
        <f>SUMIFS(Wine1!$I:$I,Wine1!$K:$K,Location!$A101,Wine1!$AA:$AA,Location!AY$1)</f>
        <v>0</v>
      </c>
      <c r="AZ101" s="37">
        <f>SUMIFS(Wine1!$I:$I,Wine1!$K:$K,Location!$A101,Wine1!$AA:$AA,Location!AZ$1)</f>
        <v>0</v>
      </c>
      <c r="BA101" s="37">
        <f>SUMIFS(Wine1!$I:$I,Wine1!$K:$K,Location!$A101,Wine1!$AA:$AA,Location!BA$1)</f>
        <v>0</v>
      </c>
      <c r="BB101" s="37">
        <f>SUMIFS(Wine1!$I:$I,Wine1!$K:$K,Location!$A101,Wine1!$AA:$AA,Location!BB$1)</f>
        <v>0</v>
      </c>
      <c r="BC101" s="37">
        <f>SUMIFS(Wine1!$I:$I,Wine1!$K:$K,Location!$A101,Wine1!$AA:$AA,Location!BC$1)</f>
        <v>0</v>
      </c>
      <c r="BD101" s="37">
        <f>SUMIFS(Wine1!$I:$I,Wine1!$K:$K,Location!$A101,Wine1!$AA:$AA,Location!BD$1)</f>
        <v>0</v>
      </c>
      <c r="BE101" s="37">
        <f>SUMIFS(Wine1!$I:$I,Wine1!$K:$K,Location!$A101,Wine1!$AA:$AA,Location!BE$1)</f>
        <v>0</v>
      </c>
      <c r="BF101" s="37">
        <f>SUMIFS(Wine1!$I:$I,Wine1!$K:$K,Location!$A101,Wine1!$AA:$AA,Location!BF$1)</f>
        <v>0</v>
      </c>
      <c r="BG101" s="37">
        <f>SUMIFS(Wine1!$I:$I,Wine1!$K:$K,Location!$A101,Wine1!$AA:$AA,Location!BG$1)</f>
        <v>0</v>
      </c>
      <c r="BH101" s="37">
        <f>SUMIFS(Wine1!$I:$I,Wine1!$K:$K,Location!$A101,Wine1!$AA:$AA,Location!BH$1)</f>
        <v>0</v>
      </c>
      <c r="BI101" s="37">
        <f>SUMIFS(Wine1!$I:$I,Wine1!$K:$K,Location!$A101,Wine1!$AA:$AA,Location!BI$1)</f>
        <v>0</v>
      </c>
    </row>
    <row r="102" spans="1:61" x14ac:dyDescent="0.25">
      <c r="A102" s="20" t="s">
        <v>337</v>
      </c>
      <c r="B102">
        <f>SUMIF(Wine1!K:K,Location!A102,Wine1!I:I)</f>
        <v>0</v>
      </c>
      <c r="C102">
        <v>12</v>
      </c>
      <c r="D102">
        <f t="shared" si="3"/>
        <v>12</v>
      </c>
      <c r="E102" t="s">
        <v>601</v>
      </c>
      <c r="F102" s="37" t="s">
        <v>601</v>
      </c>
      <c r="H102" s="56">
        <f>COUNTIFS(Wine1!$K:$K,Location!$A102,Wine1!$AF:$AF,Location!H$1)</f>
        <v>0</v>
      </c>
      <c r="I102" s="57">
        <f>COUNTIFS(Wine1!$K:$K,Location!$A102,Wine1!$AF:$AF,Location!I$1)</f>
        <v>0</v>
      </c>
      <c r="J102" s="57">
        <f>COUNTIFS(Wine1!$K:$K,Location!$A102,Wine1!$AF:$AF,Location!J$1)</f>
        <v>0</v>
      </c>
      <c r="K102" s="58">
        <f>COUNTIFS(Wine1!$K:$K,Location!$A102,Wine1!$AF:$AF,Location!K$1)</f>
        <v>0</v>
      </c>
      <c r="L102" s="18" t="str">
        <f>IFERROR(AVERAGEIF(Wine1!K:K,Location!A102,Wine1!AA:AA),"Empty")</f>
        <v>Empty</v>
      </c>
      <c r="M102">
        <f>SUMIFS(Wine1!$I:$I,Wine1!$K:$K,Location!$A102,Wine1!$AA:$AA,Location!M$1)</f>
        <v>0</v>
      </c>
      <c r="N102">
        <f>SUMIFS(Wine1!$I:$I,Wine1!$K:$K,Location!$A102,Wine1!$AA:$AA,Location!N$1)</f>
        <v>0</v>
      </c>
      <c r="O102">
        <f>SUMIFS(Wine1!$I:$I,Wine1!$K:$K,Location!$A102,Wine1!$AA:$AA,Location!O$1)</f>
        <v>0</v>
      </c>
      <c r="P102">
        <f>SUMIFS(Wine1!$I:$I,Wine1!$K:$K,Location!$A102,Wine1!$AA:$AA,Location!P$1)</f>
        <v>0</v>
      </c>
      <c r="Q102">
        <f>SUMIFS(Wine1!$I:$I,Wine1!$K:$K,Location!$A102,Wine1!$AA:$AA,Location!Q$1)</f>
        <v>0</v>
      </c>
      <c r="R102">
        <f>SUMIFS(Wine1!$I:$I,Wine1!$K:$K,Location!$A102,Wine1!$AA:$AA,Location!R$1)</f>
        <v>0</v>
      </c>
      <c r="S102">
        <f>SUMIFS(Wine1!$I:$I,Wine1!$K:$K,Location!$A102,Wine1!$AA:$AA,Location!S$1)</f>
        <v>0</v>
      </c>
      <c r="T102">
        <f>SUMIFS(Wine1!$I:$I,Wine1!$K:$K,Location!$A102,Wine1!$AA:$AA,Location!T$1)</f>
        <v>0</v>
      </c>
      <c r="U102">
        <f>SUMIFS(Wine1!$I:$I,Wine1!$K:$K,Location!$A102,Wine1!$AA:$AA,Location!U$1)</f>
        <v>0</v>
      </c>
      <c r="V102">
        <f>SUMIFS(Wine1!$I:$I,Wine1!$K:$K,Location!$A102,Wine1!$AA:$AA,Location!V$1)</f>
        <v>0</v>
      </c>
      <c r="W102">
        <f>SUMIFS(Wine1!$I:$I,Wine1!$K:$K,Location!$A102,Wine1!$AA:$AA,Location!W$1)</f>
        <v>0</v>
      </c>
      <c r="X102">
        <f>SUMIFS(Wine1!$I:$I,Wine1!$K:$K,Location!$A102,Wine1!$AA:$AA,Location!X$1)</f>
        <v>0</v>
      </c>
      <c r="Y102">
        <f>SUMIFS(Wine1!$I:$I,Wine1!$K:$K,Location!$A102,Wine1!$AA:$AA,Location!Y$1)</f>
        <v>0</v>
      </c>
      <c r="Z102">
        <f>SUMIFS(Wine1!$I:$I,Wine1!$K:$K,Location!$A102,Wine1!$AA:$AA,Location!Z$1)</f>
        <v>0</v>
      </c>
      <c r="AA102">
        <f>SUMIFS(Wine1!$I:$I,Wine1!$K:$K,Location!$A102,Wine1!$AA:$AA,Location!AA$1)</f>
        <v>0</v>
      </c>
      <c r="AB102">
        <f>SUMIFS(Wine1!$I:$I,Wine1!$K:$K,Location!$A102,Wine1!$AA:$AA,Location!AB$1)</f>
        <v>0</v>
      </c>
      <c r="AC102">
        <f>SUMIFS(Wine1!$I:$I,Wine1!$K:$K,Location!$A102,Wine1!$AA:$AA,Location!AC$1)</f>
        <v>0</v>
      </c>
      <c r="AD102">
        <f>SUMIFS(Wine1!$I:$I,Wine1!$K:$K,Location!$A102,Wine1!$AA:$AA,Location!AD$1)</f>
        <v>0</v>
      </c>
      <c r="AE102">
        <f>SUMIFS(Wine1!$I:$I,Wine1!$K:$K,Location!$A102,Wine1!$AA:$AA,Location!AE$1)</f>
        <v>0</v>
      </c>
      <c r="AF102">
        <f>SUMIFS(Wine1!$I:$I,Wine1!$K:$K,Location!$A102,Wine1!$AA:$AA,Location!AF$1)</f>
        <v>0</v>
      </c>
      <c r="AG102">
        <f>SUMIFS(Wine1!$I:$I,Wine1!$K:$K,Location!$A102,Wine1!$AA:$AA,Location!AG$1)</f>
        <v>0</v>
      </c>
      <c r="AH102">
        <f>SUMIFS(Wine1!$I:$I,Wine1!$K:$K,Location!$A102,Wine1!$AA:$AA,Location!AH$1)</f>
        <v>0</v>
      </c>
      <c r="AI102">
        <f>SUMIFS(Wine1!$I:$I,Wine1!$K:$K,Location!$A102,Wine1!$AA:$AA,Location!AI$1)</f>
        <v>0</v>
      </c>
      <c r="AJ102">
        <f>SUMIFS(Wine1!$I:$I,Wine1!$K:$K,Location!$A102,Wine1!$AA:$AA,Location!AJ$1)</f>
        <v>0</v>
      </c>
      <c r="AK102">
        <f>SUMIFS(Wine1!$I:$I,Wine1!$K:$K,Location!$A102,Wine1!$AA:$AA,Location!AK$1)</f>
        <v>0</v>
      </c>
      <c r="AL102">
        <f>SUMIFS(Wine1!$I:$I,Wine1!$K:$K,Location!$A102,Wine1!$AA:$AA,Location!AL$1)</f>
        <v>0</v>
      </c>
      <c r="AM102">
        <f>SUMIFS(Wine1!$I:$I,Wine1!$K:$K,Location!$A102,Wine1!$AA:$AA,Location!AM$1)</f>
        <v>0</v>
      </c>
      <c r="AN102">
        <f>SUMIFS(Wine1!$I:$I,Wine1!$K:$K,Location!$A102,Wine1!$AA:$AA,Location!AN$1)</f>
        <v>0</v>
      </c>
      <c r="AO102">
        <f>SUMIFS(Wine1!$I:$I,Wine1!$K:$K,Location!$A102,Wine1!$AA:$AA,Location!AO$1)</f>
        <v>0</v>
      </c>
      <c r="AP102">
        <f>SUMIFS(Wine1!$I:$I,Wine1!$K:$K,Location!$A102,Wine1!$AA:$AA,Location!AP$1)</f>
        <v>0</v>
      </c>
      <c r="AQ102">
        <f>SUMIFS(Wine1!$I:$I,Wine1!$K:$K,Location!$A102,Wine1!$AA:$AA,Location!AQ$1)</f>
        <v>0</v>
      </c>
      <c r="AR102">
        <f>SUMIFS(Wine1!$I:$I,Wine1!$K:$K,Location!$A102,Wine1!$AA:$AA,Location!AR$1)</f>
        <v>0</v>
      </c>
      <c r="AS102" s="37">
        <f>SUMIFS(Wine1!$I:$I,Wine1!$K:$K,Location!$A102,Wine1!$AA:$AA,Location!AS$1)</f>
        <v>0</v>
      </c>
      <c r="AT102" s="37">
        <f>SUMIFS(Wine1!$I:$I,Wine1!$K:$K,Location!$A102,Wine1!$AA:$AA,Location!AT$1)</f>
        <v>0</v>
      </c>
      <c r="AU102" s="37">
        <f>SUMIFS(Wine1!$I:$I,Wine1!$K:$K,Location!$A102,Wine1!$AA:$AA,Location!AU$1)</f>
        <v>0</v>
      </c>
      <c r="AV102" s="37">
        <f>SUMIFS(Wine1!$I:$I,Wine1!$K:$K,Location!$A102,Wine1!$AA:$AA,Location!AV$1)</f>
        <v>0</v>
      </c>
      <c r="AW102" s="37">
        <f>SUMIFS(Wine1!$I:$I,Wine1!$K:$K,Location!$A102,Wine1!$AA:$AA,Location!AW$1)</f>
        <v>0</v>
      </c>
      <c r="AX102" s="37">
        <f>SUMIFS(Wine1!$I:$I,Wine1!$K:$K,Location!$A102,Wine1!$AA:$AA,Location!AX$1)</f>
        <v>0</v>
      </c>
      <c r="AY102" s="37">
        <f>SUMIFS(Wine1!$I:$I,Wine1!$K:$K,Location!$A102,Wine1!$AA:$AA,Location!AY$1)</f>
        <v>0</v>
      </c>
      <c r="AZ102" s="37">
        <f>SUMIFS(Wine1!$I:$I,Wine1!$K:$K,Location!$A102,Wine1!$AA:$AA,Location!AZ$1)</f>
        <v>0</v>
      </c>
      <c r="BA102" s="37">
        <f>SUMIFS(Wine1!$I:$I,Wine1!$K:$K,Location!$A102,Wine1!$AA:$AA,Location!BA$1)</f>
        <v>0</v>
      </c>
      <c r="BB102" s="37">
        <f>SUMIFS(Wine1!$I:$I,Wine1!$K:$K,Location!$A102,Wine1!$AA:$AA,Location!BB$1)</f>
        <v>0</v>
      </c>
      <c r="BC102" s="37">
        <f>SUMIFS(Wine1!$I:$I,Wine1!$K:$K,Location!$A102,Wine1!$AA:$AA,Location!BC$1)</f>
        <v>0</v>
      </c>
      <c r="BD102" s="37">
        <f>SUMIFS(Wine1!$I:$I,Wine1!$K:$K,Location!$A102,Wine1!$AA:$AA,Location!BD$1)</f>
        <v>0</v>
      </c>
      <c r="BE102" s="37">
        <f>SUMIFS(Wine1!$I:$I,Wine1!$K:$K,Location!$A102,Wine1!$AA:$AA,Location!BE$1)</f>
        <v>0</v>
      </c>
      <c r="BF102" s="37">
        <f>SUMIFS(Wine1!$I:$I,Wine1!$K:$K,Location!$A102,Wine1!$AA:$AA,Location!BF$1)</f>
        <v>0</v>
      </c>
      <c r="BG102" s="37">
        <f>SUMIFS(Wine1!$I:$I,Wine1!$K:$K,Location!$A102,Wine1!$AA:$AA,Location!BG$1)</f>
        <v>0</v>
      </c>
      <c r="BH102" s="37">
        <f>SUMIFS(Wine1!$I:$I,Wine1!$K:$K,Location!$A102,Wine1!$AA:$AA,Location!BH$1)</f>
        <v>0</v>
      </c>
      <c r="BI102" s="37">
        <f>SUMIFS(Wine1!$I:$I,Wine1!$K:$K,Location!$A102,Wine1!$AA:$AA,Location!BI$1)</f>
        <v>0</v>
      </c>
    </row>
    <row r="103" spans="1:61" x14ac:dyDescent="0.25">
      <c r="A103" s="20" t="s">
        <v>236</v>
      </c>
      <c r="B103">
        <f>SUMIF(Wine1!K:K,Location!A103,Wine1!I:I)</f>
        <v>14</v>
      </c>
      <c r="C103">
        <v>0</v>
      </c>
      <c r="D103">
        <f t="shared" si="3"/>
        <v>-14</v>
      </c>
      <c r="E103" t="s">
        <v>600</v>
      </c>
      <c r="F103" s="37" t="s">
        <v>718</v>
      </c>
      <c r="H103" s="56">
        <f>COUNTIFS(Wine1!$K:$K,Location!$A103,Wine1!$AF:$AF,Location!H$1)</f>
        <v>2</v>
      </c>
      <c r="I103" s="57">
        <f>COUNTIFS(Wine1!$K:$K,Location!$A103,Wine1!$AF:$AF,Location!I$1)</f>
        <v>2</v>
      </c>
      <c r="J103" s="57">
        <f>COUNTIFS(Wine1!$K:$K,Location!$A103,Wine1!$AF:$AF,Location!J$1)</f>
        <v>5</v>
      </c>
      <c r="K103" s="58">
        <f>COUNTIFS(Wine1!$K:$K,Location!$A103,Wine1!$AF:$AF,Location!K$1)</f>
        <v>5</v>
      </c>
      <c r="L103" s="18">
        <f>IFERROR(AVERAGEIF(Wine1!K:K,Location!A103,Wine1!AA:AA),"Empty")</f>
        <v>2022.5</v>
      </c>
      <c r="M103">
        <f>SUMIFS(Wine1!$I:$I,Wine1!$K:$K,Location!$A103,Wine1!$AA:$AA,Location!M$1)</f>
        <v>5</v>
      </c>
      <c r="N103">
        <f>SUMIFS(Wine1!$I:$I,Wine1!$K:$K,Location!$A103,Wine1!$AA:$AA,Location!N$1)</f>
        <v>5</v>
      </c>
      <c r="O103">
        <f>SUMIFS(Wine1!$I:$I,Wine1!$K:$K,Location!$A103,Wine1!$AA:$AA,Location!O$1)</f>
        <v>0</v>
      </c>
      <c r="P103">
        <f>SUMIFS(Wine1!$I:$I,Wine1!$K:$K,Location!$A103,Wine1!$AA:$AA,Location!P$1)</f>
        <v>2</v>
      </c>
      <c r="Q103">
        <f>SUMIFS(Wine1!$I:$I,Wine1!$K:$K,Location!$A103,Wine1!$AA:$AA,Location!Q$1)</f>
        <v>1</v>
      </c>
      <c r="R103">
        <f>SUMIFS(Wine1!$I:$I,Wine1!$K:$K,Location!$A103,Wine1!$AA:$AA,Location!R$1)</f>
        <v>0</v>
      </c>
      <c r="S103">
        <f>SUMIFS(Wine1!$I:$I,Wine1!$K:$K,Location!$A103,Wine1!$AA:$AA,Location!S$1)</f>
        <v>0</v>
      </c>
      <c r="T103">
        <f>SUMIFS(Wine1!$I:$I,Wine1!$K:$K,Location!$A103,Wine1!$AA:$AA,Location!T$1)</f>
        <v>0</v>
      </c>
      <c r="U103">
        <f>SUMIFS(Wine1!$I:$I,Wine1!$K:$K,Location!$A103,Wine1!$AA:$AA,Location!U$1)</f>
        <v>0</v>
      </c>
      <c r="V103">
        <f>SUMIFS(Wine1!$I:$I,Wine1!$K:$K,Location!$A103,Wine1!$AA:$AA,Location!V$1)</f>
        <v>0</v>
      </c>
      <c r="W103">
        <f>SUMIFS(Wine1!$I:$I,Wine1!$K:$K,Location!$A103,Wine1!$AA:$AA,Location!W$1)</f>
        <v>0</v>
      </c>
      <c r="X103">
        <f>SUMIFS(Wine1!$I:$I,Wine1!$K:$K,Location!$A103,Wine1!$AA:$AA,Location!X$1)</f>
        <v>0</v>
      </c>
      <c r="Y103">
        <f>SUMIFS(Wine1!$I:$I,Wine1!$K:$K,Location!$A103,Wine1!$AA:$AA,Location!Y$1)</f>
        <v>0</v>
      </c>
      <c r="Z103">
        <f>SUMIFS(Wine1!$I:$I,Wine1!$K:$K,Location!$A103,Wine1!$AA:$AA,Location!Z$1)</f>
        <v>0</v>
      </c>
      <c r="AA103">
        <f>SUMIFS(Wine1!$I:$I,Wine1!$K:$K,Location!$A103,Wine1!$AA:$AA,Location!AA$1)</f>
        <v>0</v>
      </c>
      <c r="AB103">
        <f>SUMIFS(Wine1!$I:$I,Wine1!$K:$K,Location!$A103,Wine1!$AA:$AA,Location!AB$1)</f>
        <v>0</v>
      </c>
      <c r="AC103">
        <f>SUMIFS(Wine1!$I:$I,Wine1!$K:$K,Location!$A103,Wine1!$AA:$AA,Location!AC$1)</f>
        <v>0</v>
      </c>
      <c r="AD103">
        <f>SUMIFS(Wine1!$I:$I,Wine1!$K:$K,Location!$A103,Wine1!$AA:$AA,Location!AD$1)</f>
        <v>0</v>
      </c>
      <c r="AE103">
        <f>SUMIFS(Wine1!$I:$I,Wine1!$K:$K,Location!$A103,Wine1!$AA:$AA,Location!AE$1)</f>
        <v>0</v>
      </c>
      <c r="AF103">
        <f>SUMIFS(Wine1!$I:$I,Wine1!$K:$K,Location!$A103,Wine1!$AA:$AA,Location!AF$1)</f>
        <v>0</v>
      </c>
      <c r="AG103">
        <f>SUMIFS(Wine1!$I:$I,Wine1!$K:$K,Location!$A103,Wine1!$AA:$AA,Location!AG$1)</f>
        <v>1</v>
      </c>
      <c r="AH103">
        <f>SUMIFS(Wine1!$I:$I,Wine1!$K:$K,Location!$A103,Wine1!$AA:$AA,Location!AH$1)</f>
        <v>0</v>
      </c>
      <c r="AI103">
        <f>SUMIFS(Wine1!$I:$I,Wine1!$K:$K,Location!$A103,Wine1!$AA:$AA,Location!AI$1)</f>
        <v>0</v>
      </c>
      <c r="AJ103">
        <f>SUMIFS(Wine1!$I:$I,Wine1!$K:$K,Location!$A103,Wine1!$AA:$AA,Location!AJ$1)</f>
        <v>0</v>
      </c>
      <c r="AK103">
        <f>SUMIFS(Wine1!$I:$I,Wine1!$K:$K,Location!$A103,Wine1!$AA:$AA,Location!AK$1)</f>
        <v>0</v>
      </c>
      <c r="AL103">
        <f>SUMIFS(Wine1!$I:$I,Wine1!$K:$K,Location!$A103,Wine1!$AA:$AA,Location!AL$1)</f>
        <v>0</v>
      </c>
      <c r="AM103">
        <f>SUMIFS(Wine1!$I:$I,Wine1!$K:$K,Location!$A103,Wine1!$AA:$AA,Location!AM$1)</f>
        <v>0</v>
      </c>
      <c r="AN103">
        <f>SUMIFS(Wine1!$I:$I,Wine1!$K:$K,Location!$A103,Wine1!$AA:$AA,Location!AN$1)</f>
        <v>0</v>
      </c>
      <c r="AO103">
        <f>SUMIFS(Wine1!$I:$I,Wine1!$K:$K,Location!$A103,Wine1!$AA:$AA,Location!AO$1)</f>
        <v>0</v>
      </c>
      <c r="AP103">
        <f>SUMIFS(Wine1!$I:$I,Wine1!$K:$K,Location!$A103,Wine1!$AA:$AA,Location!AP$1)</f>
        <v>0</v>
      </c>
      <c r="AQ103">
        <f>SUMIFS(Wine1!$I:$I,Wine1!$K:$K,Location!$A103,Wine1!$AA:$AA,Location!AQ$1)</f>
        <v>0</v>
      </c>
      <c r="AR103">
        <f>SUMIFS(Wine1!$I:$I,Wine1!$K:$K,Location!$A103,Wine1!$AA:$AA,Location!AR$1)</f>
        <v>0</v>
      </c>
      <c r="AS103" s="37">
        <f>SUMIFS(Wine1!$I:$I,Wine1!$K:$K,Location!$A103,Wine1!$AA:$AA,Location!AS$1)</f>
        <v>0</v>
      </c>
      <c r="AT103" s="37">
        <f>SUMIFS(Wine1!$I:$I,Wine1!$K:$K,Location!$A103,Wine1!$AA:$AA,Location!AT$1)</f>
        <v>0</v>
      </c>
      <c r="AU103" s="37">
        <f>SUMIFS(Wine1!$I:$I,Wine1!$K:$K,Location!$A103,Wine1!$AA:$AA,Location!AU$1)</f>
        <v>0</v>
      </c>
      <c r="AV103" s="37">
        <f>SUMIFS(Wine1!$I:$I,Wine1!$K:$K,Location!$A103,Wine1!$AA:$AA,Location!AV$1)</f>
        <v>0</v>
      </c>
      <c r="AW103" s="37">
        <f>SUMIFS(Wine1!$I:$I,Wine1!$K:$K,Location!$A103,Wine1!$AA:$AA,Location!AW$1)</f>
        <v>0</v>
      </c>
      <c r="AX103" s="37">
        <f>SUMIFS(Wine1!$I:$I,Wine1!$K:$K,Location!$A103,Wine1!$AA:$AA,Location!AX$1)</f>
        <v>0</v>
      </c>
      <c r="AY103" s="37">
        <f>SUMIFS(Wine1!$I:$I,Wine1!$K:$K,Location!$A103,Wine1!$AA:$AA,Location!AY$1)</f>
        <v>0</v>
      </c>
      <c r="AZ103" s="37">
        <f>SUMIFS(Wine1!$I:$I,Wine1!$K:$K,Location!$A103,Wine1!$AA:$AA,Location!AZ$1)</f>
        <v>0</v>
      </c>
      <c r="BA103" s="37">
        <f>SUMIFS(Wine1!$I:$I,Wine1!$K:$K,Location!$A103,Wine1!$AA:$AA,Location!BA$1)</f>
        <v>0</v>
      </c>
      <c r="BB103" s="37">
        <f>SUMIFS(Wine1!$I:$I,Wine1!$K:$K,Location!$A103,Wine1!$AA:$AA,Location!BB$1)</f>
        <v>0</v>
      </c>
      <c r="BC103" s="37">
        <f>SUMIFS(Wine1!$I:$I,Wine1!$K:$K,Location!$A103,Wine1!$AA:$AA,Location!BC$1)</f>
        <v>0</v>
      </c>
      <c r="BD103" s="37">
        <f>SUMIFS(Wine1!$I:$I,Wine1!$K:$K,Location!$A103,Wine1!$AA:$AA,Location!BD$1)</f>
        <v>0</v>
      </c>
      <c r="BE103" s="37">
        <f>SUMIFS(Wine1!$I:$I,Wine1!$K:$K,Location!$A103,Wine1!$AA:$AA,Location!BE$1)</f>
        <v>0</v>
      </c>
      <c r="BF103" s="37">
        <f>SUMIFS(Wine1!$I:$I,Wine1!$K:$K,Location!$A103,Wine1!$AA:$AA,Location!BF$1)</f>
        <v>0</v>
      </c>
      <c r="BG103" s="37">
        <f>SUMIFS(Wine1!$I:$I,Wine1!$K:$K,Location!$A103,Wine1!$AA:$AA,Location!BG$1)</f>
        <v>0</v>
      </c>
      <c r="BH103" s="37">
        <f>SUMIFS(Wine1!$I:$I,Wine1!$K:$K,Location!$A103,Wine1!$AA:$AA,Location!BH$1)</f>
        <v>0</v>
      </c>
      <c r="BI103" s="37">
        <f>SUMIFS(Wine1!$I:$I,Wine1!$K:$K,Location!$A103,Wine1!$AA:$AA,Location!BI$1)</f>
        <v>0</v>
      </c>
    </row>
    <row r="104" spans="1:61" s="37" customFormat="1" x14ac:dyDescent="0.25">
      <c r="A104" s="20" t="s">
        <v>1128</v>
      </c>
      <c r="B104" s="37">
        <f>SUMIF(Wine1!K:K,Location!A104,Wine1!I:I)</f>
        <v>0</v>
      </c>
      <c r="D104" s="37">
        <f t="shared" si="3"/>
        <v>0</v>
      </c>
      <c r="E104" s="37" t="s">
        <v>602</v>
      </c>
      <c r="F104" s="37" t="s">
        <v>719</v>
      </c>
      <c r="H104" s="56">
        <f>COUNTIFS(Wine1!$K:$K,Location!$A104,Wine1!$AF:$AF,Location!H$1)</f>
        <v>0</v>
      </c>
      <c r="I104" s="57">
        <f>COUNTIFS(Wine1!$K:$K,Location!$A104,Wine1!$AF:$AF,Location!I$1)</f>
        <v>0</v>
      </c>
      <c r="J104" s="57">
        <f>COUNTIFS(Wine1!$K:$K,Location!$A104,Wine1!$AF:$AF,Location!J$1)</f>
        <v>0</v>
      </c>
      <c r="K104" s="58">
        <f>COUNTIFS(Wine1!$K:$K,Location!$A104,Wine1!$AF:$AF,Location!K$1)</f>
        <v>0</v>
      </c>
      <c r="L104" s="18" t="str">
        <f>IFERROR(AVERAGEIF(Wine1!K:K,Location!A104,Wine1!AA:AA),"Empty")</f>
        <v>Empty</v>
      </c>
      <c r="M104" s="37">
        <f>SUMIFS(Wine1!$I:$I,Wine1!$K:$K,Location!$A104,Wine1!$AA:$AA,Location!M$1)</f>
        <v>0</v>
      </c>
      <c r="N104" s="37">
        <f>SUMIFS(Wine1!$I:$I,Wine1!$K:$K,Location!$A104,Wine1!$AA:$AA,Location!N$1)</f>
        <v>0</v>
      </c>
      <c r="O104" s="37">
        <f>SUMIFS(Wine1!$I:$I,Wine1!$K:$K,Location!$A104,Wine1!$AA:$AA,Location!O$1)</f>
        <v>0</v>
      </c>
      <c r="P104" s="37">
        <f>SUMIFS(Wine1!$I:$I,Wine1!$K:$K,Location!$A104,Wine1!$AA:$AA,Location!P$1)</f>
        <v>0</v>
      </c>
      <c r="Q104" s="37">
        <f>SUMIFS(Wine1!$I:$I,Wine1!$K:$K,Location!$A104,Wine1!$AA:$AA,Location!Q$1)</f>
        <v>0</v>
      </c>
      <c r="R104" s="37">
        <f>SUMIFS(Wine1!$I:$I,Wine1!$K:$K,Location!$A104,Wine1!$AA:$AA,Location!R$1)</f>
        <v>0</v>
      </c>
      <c r="S104" s="37">
        <f>SUMIFS(Wine1!$I:$I,Wine1!$K:$K,Location!$A104,Wine1!$AA:$AA,Location!S$1)</f>
        <v>0</v>
      </c>
      <c r="T104" s="37">
        <f>SUMIFS(Wine1!$I:$I,Wine1!$K:$K,Location!$A104,Wine1!$AA:$AA,Location!T$1)</f>
        <v>0</v>
      </c>
      <c r="U104" s="37">
        <f>SUMIFS(Wine1!$I:$I,Wine1!$K:$K,Location!$A104,Wine1!$AA:$AA,Location!U$1)</f>
        <v>0</v>
      </c>
      <c r="V104" s="37">
        <f>SUMIFS(Wine1!$I:$I,Wine1!$K:$K,Location!$A104,Wine1!$AA:$AA,Location!V$1)</f>
        <v>0</v>
      </c>
      <c r="W104" s="37">
        <f>SUMIFS(Wine1!$I:$I,Wine1!$K:$K,Location!$A104,Wine1!$AA:$AA,Location!W$1)</f>
        <v>0</v>
      </c>
      <c r="X104" s="37">
        <f>SUMIFS(Wine1!$I:$I,Wine1!$K:$K,Location!$A104,Wine1!$AA:$AA,Location!X$1)</f>
        <v>0</v>
      </c>
      <c r="Y104" s="37">
        <f>SUMIFS(Wine1!$I:$I,Wine1!$K:$K,Location!$A104,Wine1!$AA:$AA,Location!Y$1)</f>
        <v>0</v>
      </c>
      <c r="Z104" s="37">
        <f>SUMIFS(Wine1!$I:$I,Wine1!$K:$K,Location!$A104,Wine1!$AA:$AA,Location!Z$1)</f>
        <v>0</v>
      </c>
      <c r="AA104" s="37">
        <f>SUMIFS(Wine1!$I:$I,Wine1!$K:$K,Location!$A104,Wine1!$AA:$AA,Location!AA$1)</f>
        <v>0</v>
      </c>
      <c r="AB104" s="37">
        <f>SUMIFS(Wine1!$I:$I,Wine1!$K:$K,Location!$A104,Wine1!$AA:$AA,Location!AB$1)</f>
        <v>0</v>
      </c>
      <c r="AC104" s="37">
        <f>SUMIFS(Wine1!$I:$I,Wine1!$K:$K,Location!$A104,Wine1!$AA:$AA,Location!AC$1)</f>
        <v>0</v>
      </c>
      <c r="AD104" s="37">
        <f>SUMIFS(Wine1!$I:$I,Wine1!$K:$K,Location!$A104,Wine1!$AA:$AA,Location!AD$1)</f>
        <v>0</v>
      </c>
      <c r="AE104" s="37">
        <f>SUMIFS(Wine1!$I:$I,Wine1!$K:$K,Location!$A104,Wine1!$AA:$AA,Location!AE$1)</f>
        <v>0</v>
      </c>
      <c r="AF104" s="37">
        <f>SUMIFS(Wine1!$I:$I,Wine1!$K:$K,Location!$A104,Wine1!$AA:$AA,Location!AF$1)</f>
        <v>0</v>
      </c>
      <c r="AG104" s="37">
        <f>SUMIFS(Wine1!$I:$I,Wine1!$K:$K,Location!$A104,Wine1!$AA:$AA,Location!AG$1)</f>
        <v>0</v>
      </c>
      <c r="AH104" s="37">
        <f>SUMIFS(Wine1!$I:$I,Wine1!$K:$K,Location!$A104,Wine1!$AA:$AA,Location!AH$1)</f>
        <v>0</v>
      </c>
      <c r="AI104" s="37">
        <f>SUMIFS(Wine1!$I:$I,Wine1!$K:$K,Location!$A104,Wine1!$AA:$AA,Location!AI$1)</f>
        <v>0</v>
      </c>
      <c r="AJ104" s="37">
        <f>SUMIFS(Wine1!$I:$I,Wine1!$K:$K,Location!$A104,Wine1!$AA:$AA,Location!AJ$1)</f>
        <v>0</v>
      </c>
      <c r="AK104" s="37">
        <f>SUMIFS(Wine1!$I:$I,Wine1!$K:$K,Location!$A104,Wine1!$AA:$AA,Location!AK$1)</f>
        <v>0</v>
      </c>
      <c r="AL104" s="37">
        <f>SUMIFS(Wine1!$I:$I,Wine1!$K:$K,Location!$A104,Wine1!$AA:$AA,Location!AL$1)</f>
        <v>0</v>
      </c>
      <c r="AM104" s="37">
        <f>SUMIFS(Wine1!$I:$I,Wine1!$K:$K,Location!$A104,Wine1!$AA:$AA,Location!AM$1)</f>
        <v>0</v>
      </c>
      <c r="AN104" s="37">
        <f>SUMIFS(Wine1!$I:$I,Wine1!$K:$K,Location!$A104,Wine1!$AA:$AA,Location!AN$1)</f>
        <v>0</v>
      </c>
      <c r="AO104" s="37">
        <f>SUMIFS(Wine1!$I:$I,Wine1!$K:$K,Location!$A104,Wine1!$AA:$AA,Location!AO$1)</f>
        <v>0</v>
      </c>
      <c r="AP104" s="37">
        <f>SUMIFS(Wine1!$I:$I,Wine1!$K:$K,Location!$A104,Wine1!$AA:$AA,Location!AP$1)</f>
        <v>0</v>
      </c>
      <c r="AQ104" s="37">
        <f>SUMIFS(Wine1!$I:$I,Wine1!$K:$K,Location!$A104,Wine1!$AA:$AA,Location!AQ$1)</f>
        <v>0</v>
      </c>
      <c r="AR104" s="37">
        <f>SUMIFS(Wine1!$I:$I,Wine1!$K:$K,Location!$A104,Wine1!$AA:$AA,Location!AR$1)</f>
        <v>0</v>
      </c>
      <c r="AS104" s="37">
        <f>SUMIFS(Wine1!$I:$I,Wine1!$K:$K,Location!$A104,Wine1!$AA:$AA,Location!AS$1)</f>
        <v>0</v>
      </c>
      <c r="AT104" s="37">
        <f>SUMIFS(Wine1!$I:$I,Wine1!$K:$K,Location!$A104,Wine1!$AA:$AA,Location!AT$1)</f>
        <v>0</v>
      </c>
      <c r="AU104" s="37">
        <f>SUMIFS(Wine1!$I:$I,Wine1!$K:$K,Location!$A104,Wine1!$AA:$AA,Location!AU$1)</f>
        <v>0</v>
      </c>
      <c r="AV104" s="37">
        <f>SUMIFS(Wine1!$I:$I,Wine1!$K:$K,Location!$A104,Wine1!$AA:$AA,Location!AV$1)</f>
        <v>0</v>
      </c>
      <c r="AW104" s="37">
        <f>SUMIFS(Wine1!$I:$I,Wine1!$K:$K,Location!$A104,Wine1!$AA:$AA,Location!AW$1)</f>
        <v>0</v>
      </c>
      <c r="AX104" s="37">
        <f>SUMIFS(Wine1!$I:$I,Wine1!$K:$K,Location!$A104,Wine1!$AA:$AA,Location!AX$1)</f>
        <v>0</v>
      </c>
      <c r="AY104" s="37">
        <f>SUMIFS(Wine1!$I:$I,Wine1!$K:$K,Location!$A104,Wine1!$AA:$AA,Location!AY$1)</f>
        <v>0</v>
      </c>
      <c r="AZ104" s="37">
        <f>SUMIFS(Wine1!$I:$I,Wine1!$K:$K,Location!$A104,Wine1!$AA:$AA,Location!AZ$1)</f>
        <v>0</v>
      </c>
      <c r="BA104" s="37">
        <f>SUMIFS(Wine1!$I:$I,Wine1!$K:$K,Location!$A104,Wine1!$AA:$AA,Location!BA$1)</f>
        <v>0</v>
      </c>
      <c r="BB104" s="37">
        <f>SUMIFS(Wine1!$I:$I,Wine1!$K:$K,Location!$A104,Wine1!$AA:$AA,Location!BB$1)</f>
        <v>0</v>
      </c>
      <c r="BC104" s="37">
        <f>SUMIFS(Wine1!$I:$I,Wine1!$K:$K,Location!$A104,Wine1!$AA:$AA,Location!BC$1)</f>
        <v>0</v>
      </c>
      <c r="BD104" s="37">
        <f>SUMIFS(Wine1!$I:$I,Wine1!$K:$K,Location!$A104,Wine1!$AA:$AA,Location!BD$1)</f>
        <v>0</v>
      </c>
      <c r="BE104" s="37">
        <f>SUMIFS(Wine1!$I:$I,Wine1!$K:$K,Location!$A104,Wine1!$AA:$AA,Location!BE$1)</f>
        <v>0</v>
      </c>
      <c r="BF104" s="37">
        <f>SUMIFS(Wine1!$I:$I,Wine1!$K:$K,Location!$A104,Wine1!$AA:$AA,Location!BF$1)</f>
        <v>0</v>
      </c>
      <c r="BG104" s="37">
        <f>SUMIFS(Wine1!$I:$I,Wine1!$K:$K,Location!$A104,Wine1!$AA:$AA,Location!BG$1)</f>
        <v>0</v>
      </c>
      <c r="BH104" s="37">
        <f>SUMIFS(Wine1!$I:$I,Wine1!$K:$K,Location!$A104,Wine1!$AA:$AA,Location!BH$1)</f>
        <v>0</v>
      </c>
      <c r="BI104" s="37">
        <f>SUMIFS(Wine1!$I:$I,Wine1!$K:$K,Location!$A104,Wine1!$AA:$AA,Location!BI$1)</f>
        <v>0</v>
      </c>
    </row>
    <row r="105" spans="1:61" x14ac:dyDescent="0.25">
      <c r="A105" s="20" t="s">
        <v>384</v>
      </c>
      <c r="B105">
        <f>SUMIF(Wine1!K:K,Location!A105,Wine1!I:I)</f>
        <v>114</v>
      </c>
      <c r="D105">
        <f t="shared" si="3"/>
        <v>-114</v>
      </c>
      <c r="E105" t="s">
        <v>602</v>
      </c>
      <c r="F105" s="37" t="s">
        <v>719</v>
      </c>
      <c r="H105" s="56">
        <f>COUNTIFS(Wine1!$K:$K,Location!$A105,Wine1!$AF:$AF,Location!H$1)</f>
        <v>24</v>
      </c>
      <c r="I105" s="57">
        <f>COUNTIFS(Wine1!$K:$K,Location!$A105,Wine1!$AF:$AF,Location!I$1)</f>
        <v>36</v>
      </c>
      <c r="J105" s="57">
        <f>COUNTIFS(Wine1!$K:$K,Location!$A105,Wine1!$AF:$AF,Location!J$1)</f>
        <v>54</v>
      </c>
      <c r="K105" s="58">
        <f>COUNTIFS(Wine1!$K:$K,Location!$A105,Wine1!$AF:$AF,Location!K$1)</f>
        <v>0</v>
      </c>
      <c r="L105" s="18">
        <f>IFERROR(AVERAGEIF(Wine1!K:K,Location!A105,Wine1!AA:AA),"Empty")</f>
        <v>2025.1315789473683</v>
      </c>
      <c r="M105">
        <f>SUMIFS(Wine1!$I:$I,Wine1!$K:$K,Location!$A105,Wine1!$AA:$AA,Location!M$1)</f>
        <v>8</v>
      </c>
      <c r="N105">
        <f>SUMIFS(Wine1!$I:$I,Wine1!$K:$K,Location!$A105,Wine1!$AA:$AA,Location!N$1)</f>
        <v>16</v>
      </c>
      <c r="O105">
        <f>SUMIFS(Wine1!$I:$I,Wine1!$K:$K,Location!$A105,Wine1!$AA:$AA,Location!O$1)</f>
        <v>13</v>
      </c>
      <c r="P105">
        <f>SUMIFS(Wine1!$I:$I,Wine1!$K:$K,Location!$A105,Wine1!$AA:$AA,Location!P$1)</f>
        <v>13</v>
      </c>
      <c r="Q105">
        <f>SUMIFS(Wine1!$I:$I,Wine1!$K:$K,Location!$A105,Wine1!$AA:$AA,Location!Q$1)</f>
        <v>8</v>
      </c>
      <c r="R105">
        <f>SUMIFS(Wine1!$I:$I,Wine1!$K:$K,Location!$A105,Wine1!$AA:$AA,Location!R$1)</f>
        <v>6</v>
      </c>
      <c r="S105">
        <f>SUMIFS(Wine1!$I:$I,Wine1!$K:$K,Location!$A105,Wine1!$AA:$AA,Location!S$1)</f>
        <v>6</v>
      </c>
      <c r="T105">
        <f>SUMIFS(Wine1!$I:$I,Wine1!$K:$K,Location!$A105,Wine1!$AA:$AA,Location!T$1)</f>
        <v>11</v>
      </c>
      <c r="U105">
        <f>SUMIFS(Wine1!$I:$I,Wine1!$K:$K,Location!$A105,Wine1!$AA:$AA,Location!U$1)</f>
        <v>12</v>
      </c>
      <c r="V105">
        <f>SUMIFS(Wine1!$I:$I,Wine1!$K:$K,Location!$A105,Wine1!$AA:$AA,Location!V$1)</f>
        <v>7</v>
      </c>
      <c r="W105">
        <f>SUMIFS(Wine1!$I:$I,Wine1!$K:$K,Location!$A105,Wine1!$AA:$AA,Location!W$1)</f>
        <v>3</v>
      </c>
      <c r="X105">
        <f>SUMIFS(Wine1!$I:$I,Wine1!$K:$K,Location!$A105,Wine1!$AA:$AA,Location!X$1)</f>
        <v>6</v>
      </c>
      <c r="Y105">
        <f>SUMIFS(Wine1!$I:$I,Wine1!$K:$K,Location!$A105,Wine1!$AA:$AA,Location!Y$1)</f>
        <v>0</v>
      </c>
      <c r="Z105">
        <f>SUMIFS(Wine1!$I:$I,Wine1!$K:$K,Location!$A105,Wine1!$AA:$AA,Location!Z$1)</f>
        <v>2</v>
      </c>
      <c r="AA105">
        <f>SUMIFS(Wine1!$I:$I,Wine1!$K:$K,Location!$A105,Wine1!$AA:$AA,Location!AA$1)</f>
        <v>1</v>
      </c>
      <c r="AB105">
        <f>SUMIFS(Wine1!$I:$I,Wine1!$K:$K,Location!$A105,Wine1!$AA:$AA,Location!AB$1)</f>
        <v>0</v>
      </c>
      <c r="AC105">
        <f>SUMIFS(Wine1!$I:$I,Wine1!$K:$K,Location!$A105,Wine1!$AA:$AA,Location!AC$1)</f>
        <v>0</v>
      </c>
      <c r="AD105">
        <f>SUMIFS(Wine1!$I:$I,Wine1!$K:$K,Location!$A105,Wine1!$AA:$AA,Location!AD$1)</f>
        <v>2</v>
      </c>
      <c r="AE105">
        <f>SUMIFS(Wine1!$I:$I,Wine1!$K:$K,Location!$A105,Wine1!$AA:$AA,Location!AE$1)</f>
        <v>0</v>
      </c>
      <c r="AF105">
        <f>SUMIFS(Wine1!$I:$I,Wine1!$K:$K,Location!$A105,Wine1!$AA:$AA,Location!AF$1)</f>
        <v>0</v>
      </c>
      <c r="AG105">
        <f>SUMIFS(Wine1!$I:$I,Wine1!$K:$K,Location!$A105,Wine1!$AA:$AA,Location!AG$1)</f>
        <v>0</v>
      </c>
      <c r="AH105">
        <f>SUMIFS(Wine1!$I:$I,Wine1!$K:$K,Location!$A105,Wine1!$AA:$AA,Location!AH$1)</f>
        <v>0</v>
      </c>
      <c r="AI105">
        <f>SUMIFS(Wine1!$I:$I,Wine1!$K:$K,Location!$A105,Wine1!$AA:$AA,Location!AI$1)</f>
        <v>0</v>
      </c>
      <c r="AJ105">
        <f>SUMIFS(Wine1!$I:$I,Wine1!$K:$K,Location!$A105,Wine1!$AA:$AA,Location!AJ$1)</f>
        <v>0</v>
      </c>
      <c r="AK105">
        <f>SUMIFS(Wine1!$I:$I,Wine1!$K:$K,Location!$A105,Wine1!$AA:$AA,Location!AK$1)</f>
        <v>0</v>
      </c>
      <c r="AL105">
        <f>SUMIFS(Wine1!$I:$I,Wine1!$K:$K,Location!$A105,Wine1!$AA:$AA,Location!AL$1)</f>
        <v>0</v>
      </c>
      <c r="AM105">
        <f>SUMIFS(Wine1!$I:$I,Wine1!$K:$K,Location!$A105,Wine1!$AA:$AA,Location!AM$1)</f>
        <v>0</v>
      </c>
      <c r="AN105">
        <f>SUMIFS(Wine1!$I:$I,Wine1!$K:$K,Location!$A105,Wine1!$AA:$AA,Location!AN$1)</f>
        <v>0</v>
      </c>
      <c r="AO105">
        <f>SUMIFS(Wine1!$I:$I,Wine1!$K:$K,Location!$A105,Wine1!$AA:$AA,Location!AO$1)</f>
        <v>0</v>
      </c>
      <c r="AP105">
        <f>SUMIFS(Wine1!$I:$I,Wine1!$K:$K,Location!$A105,Wine1!$AA:$AA,Location!AP$1)</f>
        <v>0</v>
      </c>
      <c r="AQ105">
        <f>SUMIFS(Wine1!$I:$I,Wine1!$K:$K,Location!$A105,Wine1!$AA:$AA,Location!AQ$1)</f>
        <v>0</v>
      </c>
      <c r="AR105">
        <f>SUMIFS(Wine1!$I:$I,Wine1!$K:$K,Location!$A105,Wine1!$AA:$AA,Location!AR$1)</f>
        <v>0</v>
      </c>
      <c r="AS105" s="37">
        <f>SUMIFS(Wine1!$I:$I,Wine1!$K:$K,Location!$A105,Wine1!$AA:$AA,Location!AS$1)</f>
        <v>0</v>
      </c>
      <c r="AT105" s="37">
        <f>SUMIFS(Wine1!$I:$I,Wine1!$K:$K,Location!$A105,Wine1!$AA:$AA,Location!AT$1)</f>
        <v>0</v>
      </c>
      <c r="AU105" s="37">
        <f>SUMIFS(Wine1!$I:$I,Wine1!$K:$K,Location!$A105,Wine1!$AA:$AA,Location!AU$1)</f>
        <v>0</v>
      </c>
      <c r="AV105" s="37">
        <f>SUMIFS(Wine1!$I:$I,Wine1!$K:$K,Location!$A105,Wine1!$AA:$AA,Location!AV$1)</f>
        <v>0</v>
      </c>
      <c r="AW105" s="37">
        <f>SUMIFS(Wine1!$I:$I,Wine1!$K:$K,Location!$A105,Wine1!$AA:$AA,Location!AW$1)</f>
        <v>0</v>
      </c>
      <c r="AX105" s="37">
        <f>SUMIFS(Wine1!$I:$I,Wine1!$K:$K,Location!$A105,Wine1!$AA:$AA,Location!AX$1)</f>
        <v>0</v>
      </c>
      <c r="AY105" s="37">
        <f>SUMIFS(Wine1!$I:$I,Wine1!$K:$K,Location!$A105,Wine1!$AA:$AA,Location!AY$1)</f>
        <v>0</v>
      </c>
      <c r="AZ105" s="37">
        <f>SUMIFS(Wine1!$I:$I,Wine1!$K:$K,Location!$A105,Wine1!$AA:$AA,Location!AZ$1)</f>
        <v>0</v>
      </c>
      <c r="BA105" s="37">
        <f>SUMIFS(Wine1!$I:$I,Wine1!$K:$K,Location!$A105,Wine1!$AA:$AA,Location!BA$1)</f>
        <v>0</v>
      </c>
      <c r="BB105" s="37">
        <f>SUMIFS(Wine1!$I:$I,Wine1!$K:$K,Location!$A105,Wine1!$AA:$AA,Location!BB$1)</f>
        <v>0</v>
      </c>
      <c r="BC105" s="37">
        <f>SUMIFS(Wine1!$I:$I,Wine1!$K:$K,Location!$A105,Wine1!$AA:$AA,Location!BC$1)</f>
        <v>0</v>
      </c>
      <c r="BD105" s="37">
        <f>SUMIFS(Wine1!$I:$I,Wine1!$K:$K,Location!$A105,Wine1!$AA:$AA,Location!BD$1)</f>
        <v>0</v>
      </c>
      <c r="BE105" s="37">
        <f>SUMIFS(Wine1!$I:$I,Wine1!$K:$K,Location!$A105,Wine1!$AA:$AA,Location!BE$1)</f>
        <v>0</v>
      </c>
      <c r="BF105" s="37">
        <f>SUMIFS(Wine1!$I:$I,Wine1!$K:$K,Location!$A105,Wine1!$AA:$AA,Location!BF$1)</f>
        <v>0</v>
      </c>
      <c r="BG105" s="37">
        <f>SUMIFS(Wine1!$I:$I,Wine1!$K:$K,Location!$A105,Wine1!$AA:$AA,Location!BG$1)</f>
        <v>0</v>
      </c>
      <c r="BH105" s="37">
        <f>SUMIFS(Wine1!$I:$I,Wine1!$K:$K,Location!$A105,Wine1!$AA:$AA,Location!BH$1)</f>
        <v>0</v>
      </c>
      <c r="BI105" s="37">
        <f>SUMIFS(Wine1!$I:$I,Wine1!$K:$K,Location!$A105,Wine1!$AA:$AA,Location!BI$1)</f>
        <v>0</v>
      </c>
    </row>
    <row r="106" spans="1:61" x14ac:dyDescent="0.25">
      <c r="A106" s="20" t="s">
        <v>385</v>
      </c>
      <c r="B106">
        <f>SUMIF(Wine1!K:K,Location!A106,Wine1!I:I)</f>
        <v>18</v>
      </c>
      <c r="D106">
        <f t="shared" si="3"/>
        <v>-18</v>
      </c>
      <c r="E106" t="s">
        <v>602</v>
      </c>
      <c r="F106" s="37" t="s">
        <v>719</v>
      </c>
      <c r="H106" s="56">
        <f>COUNTIFS(Wine1!$K:$K,Location!$A106,Wine1!$AF:$AF,Location!H$1)</f>
        <v>0</v>
      </c>
      <c r="I106" s="57">
        <f>COUNTIFS(Wine1!$K:$K,Location!$A106,Wine1!$AF:$AF,Location!I$1)</f>
        <v>4</v>
      </c>
      <c r="J106" s="57">
        <f>COUNTIFS(Wine1!$K:$K,Location!$A106,Wine1!$AF:$AF,Location!J$1)</f>
        <v>8</v>
      </c>
      <c r="K106" s="58">
        <f>COUNTIFS(Wine1!$K:$K,Location!$A106,Wine1!$AF:$AF,Location!K$1)</f>
        <v>6</v>
      </c>
      <c r="L106" s="18">
        <f>IFERROR(AVERAGEIF(Wine1!K:K,Location!A106,Wine1!AA:AA),"Empty")</f>
        <v>2027.8888888888889</v>
      </c>
      <c r="M106">
        <f>SUMIFS(Wine1!$I:$I,Wine1!$K:$K,Location!$A106,Wine1!$AA:$AA,Location!M$1)</f>
        <v>2</v>
      </c>
      <c r="N106">
        <f>SUMIFS(Wine1!$I:$I,Wine1!$K:$K,Location!$A106,Wine1!$AA:$AA,Location!N$1)</f>
        <v>3</v>
      </c>
      <c r="O106">
        <f>SUMIFS(Wine1!$I:$I,Wine1!$K:$K,Location!$A106,Wine1!$AA:$AA,Location!O$1)</f>
        <v>1</v>
      </c>
      <c r="P106">
        <f>SUMIFS(Wine1!$I:$I,Wine1!$K:$K,Location!$A106,Wine1!$AA:$AA,Location!P$1)</f>
        <v>2</v>
      </c>
      <c r="Q106">
        <f>SUMIFS(Wine1!$I:$I,Wine1!$K:$K,Location!$A106,Wine1!$AA:$AA,Location!Q$1)</f>
        <v>1</v>
      </c>
      <c r="R106">
        <f>SUMIFS(Wine1!$I:$I,Wine1!$K:$K,Location!$A106,Wine1!$AA:$AA,Location!R$1)</f>
        <v>2</v>
      </c>
      <c r="S106">
        <f>SUMIFS(Wine1!$I:$I,Wine1!$K:$K,Location!$A106,Wine1!$AA:$AA,Location!S$1)</f>
        <v>2</v>
      </c>
      <c r="T106">
        <f>SUMIFS(Wine1!$I:$I,Wine1!$K:$K,Location!$A106,Wine1!$AA:$AA,Location!T$1)</f>
        <v>0</v>
      </c>
      <c r="U106">
        <f>SUMIFS(Wine1!$I:$I,Wine1!$K:$K,Location!$A106,Wine1!$AA:$AA,Location!U$1)</f>
        <v>0</v>
      </c>
      <c r="V106">
        <f>SUMIFS(Wine1!$I:$I,Wine1!$K:$K,Location!$A106,Wine1!$AA:$AA,Location!V$1)</f>
        <v>0</v>
      </c>
      <c r="W106">
        <f>SUMIFS(Wine1!$I:$I,Wine1!$K:$K,Location!$A106,Wine1!$AA:$AA,Location!W$1)</f>
        <v>0</v>
      </c>
      <c r="X106">
        <f>SUMIFS(Wine1!$I:$I,Wine1!$K:$K,Location!$A106,Wine1!$AA:$AA,Location!X$1)</f>
        <v>1</v>
      </c>
      <c r="Y106">
        <f>SUMIFS(Wine1!$I:$I,Wine1!$K:$K,Location!$A106,Wine1!$AA:$AA,Location!Y$1)</f>
        <v>0</v>
      </c>
      <c r="Z106">
        <f>SUMIFS(Wine1!$I:$I,Wine1!$K:$K,Location!$A106,Wine1!$AA:$AA,Location!Z$1)</f>
        <v>0</v>
      </c>
      <c r="AA106">
        <f>SUMIFS(Wine1!$I:$I,Wine1!$K:$K,Location!$A106,Wine1!$AA:$AA,Location!AA$1)</f>
        <v>0</v>
      </c>
      <c r="AB106">
        <f>SUMIFS(Wine1!$I:$I,Wine1!$K:$K,Location!$A106,Wine1!$AA:$AA,Location!AB$1)</f>
        <v>0</v>
      </c>
      <c r="AC106">
        <f>SUMIFS(Wine1!$I:$I,Wine1!$K:$K,Location!$A106,Wine1!$AA:$AA,Location!AC$1)</f>
        <v>1</v>
      </c>
      <c r="AD106">
        <f>SUMIFS(Wine1!$I:$I,Wine1!$K:$K,Location!$A106,Wine1!$AA:$AA,Location!AD$1)</f>
        <v>0</v>
      </c>
      <c r="AE106">
        <f>SUMIFS(Wine1!$I:$I,Wine1!$K:$K,Location!$A106,Wine1!$AA:$AA,Location!AE$1)</f>
        <v>0</v>
      </c>
      <c r="AF106">
        <f>SUMIFS(Wine1!$I:$I,Wine1!$K:$K,Location!$A106,Wine1!$AA:$AA,Location!AF$1)</f>
        <v>0</v>
      </c>
      <c r="AG106">
        <f>SUMIFS(Wine1!$I:$I,Wine1!$K:$K,Location!$A106,Wine1!$AA:$AA,Location!AG$1)</f>
        <v>0</v>
      </c>
      <c r="AH106">
        <f>SUMIFS(Wine1!$I:$I,Wine1!$K:$K,Location!$A106,Wine1!$AA:$AA,Location!AH$1)</f>
        <v>1</v>
      </c>
      <c r="AI106">
        <f>SUMIFS(Wine1!$I:$I,Wine1!$K:$K,Location!$A106,Wine1!$AA:$AA,Location!AI$1)</f>
        <v>0</v>
      </c>
      <c r="AJ106">
        <f>SUMIFS(Wine1!$I:$I,Wine1!$K:$K,Location!$A106,Wine1!$AA:$AA,Location!AJ$1)</f>
        <v>0</v>
      </c>
      <c r="AK106">
        <f>SUMIFS(Wine1!$I:$I,Wine1!$K:$K,Location!$A106,Wine1!$AA:$AA,Location!AK$1)</f>
        <v>0</v>
      </c>
      <c r="AL106">
        <f>SUMIFS(Wine1!$I:$I,Wine1!$K:$K,Location!$A106,Wine1!$AA:$AA,Location!AL$1)</f>
        <v>0</v>
      </c>
      <c r="AM106">
        <f>SUMIFS(Wine1!$I:$I,Wine1!$K:$K,Location!$A106,Wine1!$AA:$AA,Location!AM$1)</f>
        <v>1</v>
      </c>
      <c r="AN106">
        <f>SUMIFS(Wine1!$I:$I,Wine1!$K:$K,Location!$A106,Wine1!$AA:$AA,Location!AN$1)</f>
        <v>0</v>
      </c>
      <c r="AO106">
        <f>SUMIFS(Wine1!$I:$I,Wine1!$K:$K,Location!$A106,Wine1!$AA:$AA,Location!AO$1)</f>
        <v>0</v>
      </c>
      <c r="AP106">
        <f>SUMIFS(Wine1!$I:$I,Wine1!$K:$K,Location!$A106,Wine1!$AA:$AA,Location!AP$1)</f>
        <v>0</v>
      </c>
      <c r="AQ106">
        <f>SUMIFS(Wine1!$I:$I,Wine1!$K:$K,Location!$A106,Wine1!$AA:$AA,Location!AQ$1)</f>
        <v>0</v>
      </c>
      <c r="AR106">
        <f>SUMIFS(Wine1!$I:$I,Wine1!$K:$K,Location!$A106,Wine1!$AA:$AA,Location!AR$1)</f>
        <v>1</v>
      </c>
      <c r="AS106" s="37">
        <f>SUMIFS(Wine1!$I:$I,Wine1!$K:$K,Location!$A106,Wine1!$AA:$AA,Location!AS$1)</f>
        <v>0</v>
      </c>
      <c r="AT106" s="37">
        <f>SUMIFS(Wine1!$I:$I,Wine1!$K:$K,Location!$A106,Wine1!$AA:$AA,Location!AT$1)</f>
        <v>0</v>
      </c>
      <c r="AU106" s="37">
        <f>SUMIFS(Wine1!$I:$I,Wine1!$K:$K,Location!$A106,Wine1!$AA:$AA,Location!AU$1)</f>
        <v>0</v>
      </c>
      <c r="AV106" s="37">
        <f>SUMIFS(Wine1!$I:$I,Wine1!$K:$K,Location!$A106,Wine1!$AA:$AA,Location!AV$1)</f>
        <v>0</v>
      </c>
      <c r="AW106" s="37">
        <f>SUMIFS(Wine1!$I:$I,Wine1!$K:$K,Location!$A106,Wine1!$AA:$AA,Location!AW$1)</f>
        <v>0</v>
      </c>
      <c r="AX106" s="37">
        <f>SUMIFS(Wine1!$I:$I,Wine1!$K:$K,Location!$A106,Wine1!$AA:$AA,Location!AX$1)</f>
        <v>0</v>
      </c>
      <c r="AY106" s="37">
        <f>SUMIFS(Wine1!$I:$I,Wine1!$K:$K,Location!$A106,Wine1!$AA:$AA,Location!AY$1)</f>
        <v>0</v>
      </c>
      <c r="AZ106" s="37">
        <f>SUMIFS(Wine1!$I:$I,Wine1!$K:$K,Location!$A106,Wine1!$AA:$AA,Location!AZ$1)</f>
        <v>0</v>
      </c>
      <c r="BA106" s="37">
        <f>SUMIFS(Wine1!$I:$I,Wine1!$K:$K,Location!$A106,Wine1!$AA:$AA,Location!BA$1)</f>
        <v>0</v>
      </c>
      <c r="BB106" s="37">
        <f>SUMIFS(Wine1!$I:$I,Wine1!$K:$K,Location!$A106,Wine1!$AA:$AA,Location!BB$1)</f>
        <v>0</v>
      </c>
      <c r="BC106" s="37">
        <f>SUMIFS(Wine1!$I:$I,Wine1!$K:$K,Location!$A106,Wine1!$AA:$AA,Location!BC$1)</f>
        <v>0</v>
      </c>
      <c r="BD106" s="37">
        <f>SUMIFS(Wine1!$I:$I,Wine1!$K:$K,Location!$A106,Wine1!$AA:$AA,Location!BD$1)</f>
        <v>0</v>
      </c>
      <c r="BE106" s="37">
        <f>SUMIFS(Wine1!$I:$I,Wine1!$K:$K,Location!$A106,Wine1!$AA:$AA,Location!BE$1)</f>
        <v>0</v>
      </c>
      <c r="BF106" s="37">
        <f>SUMIFS(Wine1!$I:$I,Wine1!$K:$K,Location!$A106,Wine1!$AA:$AA,Location!BF$1)</f>
        <v>0</v>
      </c>
      <c r="BG106" s="37">
        <f>SUMIFS(Wine1!$I:$I,Wine1!$K:$K,Location!$A106,Wine1!$AA:$AA,Location!BG$1)</f>
        <v>0</v>
      </c>
      <c r="BH106" s="37">
        <f>SUMIFS(Wine1!$I:$I,Wine1!$K:$K,Location!$A106,Wine1!$AA:$AA,Location!BH$1)</f>
        <v>0</v>
      </c>
      <c r="BI106" s="37">
        <f>SUMIFS(Wine1!$I:$I,Wine1!$K:$K,Location!$A106,Wine1!$AA:$AA,Location!BI$1)</f>
        <v>0</v>
      </c>
    </row>
    <row r="107" spans="1:61" s="37" customFormat="1" x14ac:dyDescent="0.25">
      <c r="A107" s="20" t="s">
        <v>1572</v>
      </c>
      <c r="B107" s="37">
        <f>SUMIF(Wine1!K:K,Location!A107,Wine1!I:I)</f>
        <v>18</v>
      </c>
      <c r="E107" s="37" t="s">
        <v>602</v>
      </c>
      <c r="F107" s="37" t="s">
        <v>719</v>
      </c>
      <c r="H107" s="56">
        <f>COUNTIFS(Wine1!$K:$K,Location!$A107,Wine1!$AF:$AF,Location!H$1)</f>
        <v>0</v>
      </c>
      <c r="I107" s="57">
        <f>COUNTIFS(Wine1!$K:$K,Location!$A107,Wine1!$AF:$AF,Location!I$1)</f>
        <v>7</v>
      </c>
      <c r="J107" s="57">
        <f>COUNTIFS(Wine1!$K:$K,Location!$A107,Wine1!$AF:$AF,Location!J$1)</f>
        <v>9</v>
      </c>
      <c r="K107" s="58">
        <f>COUNTIFS(Wine1!$K:$K,Location!$A107,Wine1!$AF:$AF,Location!K$1)</f>
        <v>2</v>
      </c>
      <c r="L107" s="18">
        <f>IFERROR(AVERAGEIF(Wine1!K:K,Location!A107,Wine1!AA:AA),"Empty")</f>
        <v>2026.2777777777778</v>
      </c>
      <c r="M107" s="37">
        <f>SUMIFS(Wine1!$I:$I,Wine1!$K:$K,Location!$A107,Wine1!$AA:$AA,Location!M$1)</f>
        <v>4</v>
      </c>
      <c r="N107" s="37">
        <f>SUMIFS(Wine1!$I:$I,Wine1!$K:$K,Location!$A107,Wine1!$AA:$AA,Location!N$1)</f>
        <v>0</v>
      </c>
      <c r="O107" s="37">
        <f>SUMIFS(Wine1!$I:$I,Wine1!$K:$K,Location!$A107,Wine1!$AA:$AA,Location!O$1)</f>
        <v>1</v>
      </c>
      <c r="P107" s="37">
        <f>SUMIFS(Wine1!$I:$I,Wine1!$K:$K,Location!$A107,Wine1!$AA:$AA,Location!P$1)</f>
        <v>0</v>
      </c>
      <c r="Q107" s="37">
        <f>SUMIFS(Wine1!$I:$I,Wine1!$K:$K,Location!$A107,Wine1!$AA:$AA,Location!Q$1)</f>
        <v>1</v>
      </c>
      <c r="R107" s="37">
        <f>SUMIFS(Wine1!$I:$I,Wine1!$K:$K,Location!$A107,Wine1!$AA:$AA,Location!R$1)</f>
        <v>0</v>
      </c>
      <c r="S107" s="37">
        <f>SUMIFS(Wine1!$I:$I,Wine1!$K:$K,Location!$A107,Wine1!$AA:$AA,Location!S$1)</f>
        <v>3</v>
      </c>
      <c r="T107" s="37">
        <f>SUMIFS(Wine1!$I:$I,Wine1!$K:$K,Location!$A107,Wine1!$AA:$AA,Location!T$1)</f>
        <v>2</v>
      </c>
      <c r="U107" s="37">
        <f>SUMIFS(Wine1!$I:$I,Wine1!$K:$K,Location!$A107,Wine1!$AA:$AA,Location!U$1)</f>
        <v>2</v>
      </c>
      <c r="V107" s="37">
        <f>SUMIFS(Wine1!$I:$I,Wine1!$K:$K,Location!$A107,Wine1!$AA:$AA,Location!V$1)</f>
        <v>1</v>
      </c>
      <c r="W107" s="37">
        <f>SUMIFS(Wine1!$I:$I,Wine1!$K:$K,Location!$A107,Wine1!$AA:$AA,Location!W$1)</f>
        <v>0</v>
      </c>
      <c r="X107" s="37">
        <f>SUMIFS(Wine1!$I:$I,Wine1!$K:$K,Location!$A107,Wine1!$AA:$AA,Location!X$1)</f>
        <v>1</v>
      </c>
      <c r="Y107" s="37">
        <f>SUMIFS(Wine1!$I:$I,Wine1!$K:$K,Location!$A107,Wine1!$AA:$AA,Location!Y$1)</f>
        <v>1</v>
      </c>
      <c r="Z107" s="37">
        <f>SUMIFS(Wine1!$I:$I,Wine1!$K:$K,Location!$A107,Wine1!$AA:$AA,Location!Z$1)</f>
        <v>1</v>
      </c>
      <c r="AA107" s="37">
        <f>SUMIFS(Wine1!$I:$I,Wine1!$K:$K,Location!$A107,Wine1!$AA:$AA,Location!AA$1)</f>
        <v>1</v>
      </c>
      <c r="AB107" s="37">
        <f>SUMIFS(Wine1!$I:$I,Wine1!$K:$K,Location!$A107,Wine1!$AA:$AA,Location!AB$1)</f>
        <v>0</v>
      </c>
      <c r="AC107" s="37">
        <f>SUMIFS(Wine1!$I:$I,Wine1!$K:$K,Location!$A107,Wine1!$AA:$AA,Location!AC$1)</f>
        <v>0</v>
      </c>
      <c r="AD107" s="37">
        <f>SUMIFS(Wine1!$I:$I,Wine1!$K:$K,Location!$A107,Wine1!$AA:$AA,Location!AD$1)</f>
        <v>0</v>
      </c>
      <c r="AE107" s="37">
        <f>SUMIFS(Wine1!$I:$I,Wine1!$K:$K,Location!$A107,Wine1!$AA:$AA,Location!AE$1)</f>
        <v>0</v>
      </c>
      <c r="AF107" s="37">
        <f>SUMIFS(Wine1!$I:$I,Wine1!$K:$K,Location!$A107,Wine1!$AA:$AA,Location!AF$1)</f>
        <v>0</v>
      </c>
      <c r="AG107" s="37">
        <f>SUMIFS(Wine1!$I:$I,Wine1!$K:$K,Location!$A107,Wine1!$AA:$AA,Location!AG$1)</f>
        <v>0</v>
      </c>
      <c r="AH107" s="37">
        <f>SUMIFS(Wine1!$I:$I,Wine1!$K:$K,Location!$A107,Wine1!$AA:$AA,Location!AH$1)</f>
        <v>0</v>
      </c>
      <c r="AI107" s="37">
        <f>SUMIFS(Wine1!$I:$I,Wine1!$K:$K,Location!$A107,Wine1!$AA:$AA,Location!AI$1)</f>
        <v>0</v>
      </c>
      <c r="AJ107" s="37">
        <f>SUMIFS(Wine1!$I:$I,Wine1!$K:$K,Location!$A107,Wine1!$AA:$AA,Location!AJ$1)</f>
        <v>0</v>
      </c>
      <c r="AK107" s="37">
        <f>SUMIFS(Wine1!$I:$I,Wine1!$K:$K,Location!$A107,Wine1!$AA:$AA,Location!AK$1)</f>
        <v>0</v>
      </c>
      <c r="AL107" s="37">
        <f>SUMIFS(Wine1!$I:$I,Wine1!$K:$K,Location!$A107,Wine1!$AA:$AA,Location!AL$1)</f>
        <v>0</v>
      </c>
      <c r="AM107" s="37">
        <f>SUMIFS(Wine1!$I:$I,Wine1!$K:$K,Location!$A107,Wine1!$AA:$AA,Location!AM$1)</f>
        <v>0</v>
      </c>
      <c r="AN107" s="37">
        <f>SUMIFS(Wine1!$I:$I,Wine1!$K:$K,Location!$A107,Wine1!$AA:$AA,Location!AN$1)</f>
        <v>0</v>
      </c>
      <c r="AO107" s="37">
        <f>SUMIFS(Wine1!$I:$I,Wine1!$K:$K,Location!$A107,Wine1!$AA:$AA,Location!AO$1)</f>
        <v>0</v>
      </c>
      <c r="AP107" s="37">
        <f>SUMIFS(Wine1!$I:$I,Wine1!$K:$K,Location!$A107,Wine1!$AA:$AA,Location!AP$1)</f>
        <v>0</v>
      </c>
      <c r="AQ107" s="37">
        <f>SUMIFS(Wine1!$I:$I,Wine1!$K:$K,Location!$A107,Wine1!$AA:$AA,Location!AQ$1)</f>
        <v>0</v>
      </c>
      <c r="AR107" s="37">
        <f>SUMIFS(Wine1!$I:$I,Wine1!$K:$K,Location!$A107,Wine1!$AA:$AA,Location!AR$1)</f>
        <v>0</v>
      </c>
      <c r="AS107" s="37">
        <f>SUMIFS(Wine1!$I:$I,Wine1!$K:$K,Location!$A107,Wine1!$AA:$AA,Location!AS$1)</f>
        <v>0</v>
      </c>
      <c r="AT107" s="37">
        <f>SUMIFS(Wine1!$I:$I,Wine1!$K:$K,Location!$A107,Wine1!$AA:$AA,Location!AT$1)</f>
        <v>0</v>
      </c>
      <c r="AU107" s="37">
        <f>SUMIFS(Wine1!$I:$I,Wine1!$K:$K,Location!$A107,Wine1!$AA:$AA,Location!AU$1)</f>
        <v>0</v>
      </c>
      <c r="AV107" s="37">
        <f>SUMIFS(Wine1!$I:$I,Wine1!$K:$K,Location!$A107,Wine1!$AA:$AA,Location!AV$1)</f>
        <v>0</v>
      </c>
      <c r="AW107" s="37">
        <f>SUMIFS(Wine1!$I:$I,Wine1!$K:$K,Location!$A107,Wine1!$AA:$AA,Location!AW$1)</f>
        <v>0</v>
      </c>
      <c r="AX107" s="37">
        <f>SUMIFS(Wine1!$I:$I,Wine1!$K:$K,Location!$A107,Wine1!$AA:$AA,Location!AX$1)</f>
        <v>0</v>
      </c>
      <c r="AY107" s="37">
        <f>SUMIFS(Wine1!$I:$I,Wine1!$K:$K,Location!$A107,Wine1!$AA:$AA,Location!AY$1)</f>
        <v>0</v>
      </c>
      <c r="AZ107" s="37">
        <f>SUMIFS(Wine1!$I:$I,Wine1!$K:$K,Location!$A107,Wine1!$AA:$AA,Location!AZ$1)</f>
        <v>0</v>
      </c>
      <c r="BA107" s="37">
        <f>SUMIFS(Wine1!$I:$I,Wine1!$K:$K,Location!$A107,Wine1!$AA:$AA,Location!BA$1)</f>
        <v>0</v>
      </c>
      <c r="BB107" s="37">
        <f>SUMIFS(Wine1!$I:$I,Wine1!$K:$K,Location!$A107,Wine1!$AA:$AA,Location!BB$1)</f>
        <v>0</v>
      </c>
      <c r="BC107" s="37">
        <f>SUMIFS(Wine1!$I:$I,Wine1!$K:$K,Location!$A107,Wine1!$AA:$AA,Location!BC$1)</f>
        <v>0</v>
      </c>
      <c r="BD107" s="37">
        <f>SUMIFS(Wine1!$I:$I,Wine1!$K:$K,Location!$A107,Wine1!$AA:$AA,Location!BD$1)</f>
        <v>0</v>
      </c>
      <c r="BE107" s="37">
        <f>SUMIFS(Wine1!$I:$I,Wine1!$K:$K,Location!$A107,Wine1!$AA:$AA,Location!BE$1)</f>
        <v>0</v>
      </c>
      <c r="BF107" s="37">
        <f>SUMIFS(Wine1!$I:$I,Wine1!$K:$K,Location!$A107,Wine1!$AA:$AA,Location!BF$1)</f>
        <v>0</v>
      </c>
      <c r="BG107" s="37">
        <f>SUMIFS(Wine1!$I:$I,Wine1!$K:$K,Location!$A107,Wine1!$AA:$AA,Location!BG$1)</f>
        <v>0</v>
      </c>
      <c r="BH107" s="37">
        <f>SUMIFS(Wine1!$I:$I,Wine1!$K:$K,Location!$A107,Wine1!$AA:$AA,Location!BH$1)</f>
        <v>0</v>
      </c>
      <c r="BI107" s="37">
        <f>SUMIFS(Wine1!$I:$I,Wine1!$K:$K,Location!$A107,Wine1!$AA:$AA,Location!BI$1)</f>
        <v>0</v>
      </c>
    </row>
    <row r="108" spans="1:61" s="37" customFormat="1" x14ac:dyDescent="0.25">
      <c r="A108" s="20" t="s">
        <v>1687</v>
      </c>
      <c r="B108" s="37">
        <f>SUMIF(Wine1!K:K,Location!A108,Wine1!I:I)</f>
        <v>59</v>
      </c>
      <c r="E108" s="37" t="s">
        <v>602</v>
      </c>
      <c r="F108" s="37" t="s">
        <v>719</v>
      </c>
      <c r="H108" s="56">
        <f>COUNTIFS(Wine1!$K:$K,Location!$A108,Wine1!$AF:$AF,Location!H$1)</f>
        <v>8</v>
      </c>
      <c r="I108" s="57">
        <f>COUNTIFS(Wine1!$K:$K,Location!$A108,Wine1!$AF:$AF,Location!I$1)</f>
        <v>8</v>
      </c>
      <c r="J108" s="57">
        <f>COUNTIFS(Wine1!$K:$K,Location!$A108,Wine1!$AF:$AF,Location!J$1)</f>
        <v>33</v>
      </c>
      <c r="K108" s="58">
        <f>COUNTIFS(Wine1!$K:$K,Location!$A108,Wine1!$AF:$AF,Location!K$1)</f>
        <v>10</v>
      </c>
      <c r="L108" s="18">
        <f>IFERROR(AVERAGEIF(Wine1!K:K,Location!A108,Wine1!AA:AA),"Empty")</f>
        <v>2027.4237288135594</v>
      </c>
      <c r="M108" s="37">
        <f>SUMIFS(Wine1!$I:$I,Wine1!$K:$K,Location!$A108,Wine1!$AA:$AA,Location!M$1)</f>
        <v>7</v>
      </c>
      <c r="N108" s="37">
        <f>SUMIFS(Wine1!$I:$I,Wine1!$K:$K,Location!$A108,Wine1!$AA:$AA,Location!N$1)</f>
        <v>8</v>
      </c>
      <c r="O108" s="37">
        <f>SUMIFS(Wine1!$I:$I,Wine1!$K:$K,Location!$A108,Wine1!$AA:$AA,Location!O$1)</f>
        <v>7</v>
      </c>
      <c r="P108" s="37">
        <f>SUMIFS(Wine1!$I:$I,Wine1!$K:$K,Location!$A108,Wine1!$AA:$AA,Location!P$1)</f>
        <v>4</v>
      </c>
      <c r="Q108" s="37">
        <f>SUMIFS(Wine1!$I:$I,Wine1!$K:$K,Location!$A108,Wine1!$AA:$AA,Location!Q$1)</f>
        <v>3</v>
      </c>
      <c r="R108" s="37">
        <f>SUMIFS(Wine1!$I:$I,Wine1!$K:$K,Location!$A108,Wine1!$AA:$AA,Location!R$1)</f>
        <v>3</v>
      </c>
      <c r="S108" s="37">
        <f>SUMIFS(Wine1!$I:$I,Wine1!$K:$K,Location!$A108,Wine1!$AA:$AA,Location!S$1)</f>
        <v>1</v>
      </c>
      <c r="T108" s="37">
        <f>SUMIFS(Wine1!$I:$I,Wine1!$K:$K,Location!$A108,Wine1!$AA:$AA,Location!T$1)</f>
        <v>2</v>
      </c>
      <c r="U108" s="37">
        <f>SUMIFS(Wine1!$I:$I,Wine1!$K:$K,Location!$A108,Wine1!$AA:$AA,Location!U$1)</f>
        <v>2</v>
      </c>
      <c r="V108" s="37">
        <f>SUMIFS(Wine1!$I:$I,Wine1!$K:$K,Location!$A108,Wine1!$AA:$AA,Location!V$1)</f>
        <v>2</v>
      </c>
      <c r="W108" s="37">
        <f>SUMIFS(Wine1!$I:$I,Wine1!$K:$K,Location!$A108,Wine1!$AA:$AA,Location!W$1)</f>
        <v>1</v>
      </c>
      <c r="X108" s="37">
        <f>SUMIFS(Wine1!$I:$I,Wine1!$K:$K,Location!$A108,Wine1!$AA:$AA,Location!X$1)</f>
        <v>3</v>
      </c>
      <c r="Y108" s="37">
        <f>SUMIFS(Wine1!$I:$I,Wine1!$K:$K,Location!$A108,Wine1!$AA:$AA,Location!Y$1)</f>
        <v>1</v>
      </c>
      <c r="Z108" s="37">
        <f>SUMIFS(Wine1!$I:$I,Wine1!$K:$K,Location!$A108,Wine1!$AA:$AA,Location!Z$1)</f>
        <v>2</v>
      </c>
      <c r="AA108" s="37">
        <f>SUMIFS(Wine1!$I:$I,Wine1!$K:$K,Location!$A108,Wine1!$AA:$AA,Location!AA$1)</f>
        <v>1</v>
      </c>
      <c r="AB108" s="37">
        <f>SUMIFS(Wine1!$I:$I,Wine1!$K:$K,Location!$A108,Wine1!$AA:$AA,Location!AB$1)</f>
        <v>3</v>
      </c>
      <c r="AC108" s="37">
        <f>SUMIFS(Wine1!$I:$I,Wine1!$K:$K,Location!$A108,Wine1!$AA:$AA,Location!AC$1)</f>
        <v>1</v>
      </c>
      <c r="AD108" s="37">
        <f>SUMIFS(Wine1!$I:$I,Wine1!$K:$K,Location!$A108,Wine1!$AA:$AA,Location!AD$1)</f>
        <v>2</v>
      </c>
      <c r="AE108" s="37">
        <f>SUMIFS(Wine1!$I:$I,Wine1!$K:$K,Location!$A108,Wine1!$AA:$AA,Location!AE$1)</f>
        <v>0</v>
      </c>
      <c r="AF108" s="37">
        <f>SUMIFS(Wine1!$I:$I,Wine1!$K:$K,Location!$A108,Wine1!$AA:$AA,Location!AF$1)</f>
        <v>1</v>
      </c>
      <c r="AG108" s="37">
        <f>SUMIFS(Wine1!$I:$I,Wine1!$K:$K,Location!$A108,Wine1!$AA:$AA,Location!AG$1)</f>
        <v>1</v>
      </c>
      <c r="AH108" s="37">
        <f>SUMIFS(Wine1!$I:$I,Wine1!$K:$K,Location!$A108,Wine1!$AA:$AA,Location!AH$1)</f>
        <v>1</v>
      </c>
      <c r="AI108" s="37">
        <f>SUMIFS(Wine1!$I:$I,Wine1!$K:$K,Location!$A108,Wine1!$AA:$AA,Location!AI$1)</f>
        <v>0</v>
      </c>
      <c r="AJ108" s="37">
        <f>SUMIFS(Wine1!$I:$I,Wine1!$K:$K,Location!$A108,Wine1!$AA:$AA,Location!AJ$1)</f>
        <v>1</v>
      </c>
      <c r="AK108" s="37">
        <f>SUMIFS(Wine1!$I:$I,Wine1!$K:$K,Location!$A108,Wine1!$AA:$AA,Location!AK$1)</f>
        <v>0</v>
      </c>
      <c r="AL108" s="37">
        <f>SUMIFS(Wine1!$I:$I,Wine1!$K:$K,Location!$A108,Wine1!$AA:$AA,Location!AL$1)</f>
        <v>2</v>
      </c>
      <c r="AM108" s="37">
        <f>SUMIFS(Wine1!$I:$I,Wine1!$K:$K,Location!$A108,Wine1!$AA:$AA,Location!AM$1)</f>
        <v>0</v>
      </c>
      <c r="AN108" s="37">
        <f>SUMIFS(Wine1!$I:$I,Wine1!$K:$K,Location!$A108,Wine1!$AA:$AA,Location!AN$1)</f>
        <v>0</v>
      </c>
      <c r="AO108" s="37">
        <f>SUMIFS(Wine1!$I:$I,Wine1!$K:$K,Location!$A108,Wine1!$AA:$AA,Location!AO$1)</f>
        <v>0</v>
      </c>
      <c r="AP108" s="37">
        <f>SUMIFS(Wine1!$I:$I,Wine1!$K:$K,Location!$A108,Wine1!$AA:$AA,Location!AP$1)</f>
        <v>0</v>
      </c>
      <c r="AQ108" s="37">
        <f>SUMIFS(Wine1!$I:$I,Wine1!$K:$K,Location!$A108,Wine1!$AA:$AA,Location!AQ$1)</f>
        <v>0</v>
      </c>
      <c r="AR108" s="37">
        <f>SUMIFS(Wine1!$I:$I,Wine1!$K:$K,Location!$A108,Wine1!$AA:$AA,Location!AR$1)</f>
        <v>0</v>
      </c>
      <c r="AS108" s="37">
        <f>SUMIFS(Wine1!$I:$I,Wine1!$K:$K,Location!$A108,Wine1!$AA:$AA,Location!AS$1)</f>
        <v>0</v>
      </c>
      <c r="AT108" s="37">
        <f>SUMIFS(Wine1!$I:$I,Wine1!$K:$K,Location!$A108,Wine1!$AA:$AA,Location!AT$1)</f>
        <v>0</v>
      </c>
      <c r="AU108" s="37">
        <f>SUMIFS(Wine1!$I:$I,Wine1!$K:$K,Location!$A108,Wine1!$AA:$AA,Location!AU$1)</f>
        <v>0</v>
      </c>
      <c r="AV108" s="37">
        <f>SUMIFS(Wine1!$I:$I,Wine1!$K:$K,Location!$A108,Wine1!$AA:$AA,Location!AV$1)</f>
        <v>0</v>
      </c>
      <c r="AW108" s="37">
        <f>SUMIFS(Wine1!$I:$I,Wine1!$K:$K,Location!$A108,Wine1!$AA:$AA,Location!AW$1)</f>
        <v>0</v>
      </c>
      <c r="AX108" s="37">
        <f>SUMIFS(Wine1!$I:$I,Wine1!$K:$K,Location!$A108,Wine1!$AA:$AA,Location!AX$1)</f>
        <v>0</v>
      </c>
      <c r="AY108" s="37">
        <f>SUMIFS(Wine1!$I:$I,Wine1!$K:$K,Location!$A108,Wine1!$AA:$AA,Location!AY$1)</f>
        <v>0</v>
      </c>
      <c r="AZ108" s="37">
        <f>SUMIFS(Wine1!$I:$I,Wine1!$K:$K,Location!$A108,Wine1!$AA:$AA,Location!AZ$1)</f>
        <v>0</v>
      </c>
      <c r="BA108" s="37">
        <f>SUMIFS(Wine1!$I:$I,Wine1!$K:$K,Location!$A108,Wine1!$AA:$AA,Location!BA$1)</f>
        <v>0</v>
      </c>
      <c r="BB108" s="37">
        <f>SUMIFS(Wine1!$I:$I,Wine1!$K:$K,Location!$A108,Wine1!$AA:$AA,Location!BB$1)</f>
        <v>0</v>
      </c>
      <c r="BC108" s="37">
        <f>SUMIFS(Wine1!$I:$I,Wine1!$K:$K,Location!$A108,Wine1!$AA:$AA,Location!BC$1)</f>
        <v>0</v>
      </c>
      <c r="BD108" s="37">
        <f>SUMIFS(Wine1!$I:$I,Wine1!$K:$K,Location!$A108,Wine1!$AA:$AA,Location!BD$1)</f>
        <v>0</v>
      </c>
      <c r="BE108" s="37">
        <f>SUMIFS(Wine1!$I:$I,Wine1!$K:$K,Location!$A108,Wine1!$AA:$AA,Location!BE$1)</f>
        <v>0</v>
      </c>
      <c r="BF108" s="37">
        <f>SUMIFS(Wine1!$I:$I,Wine1!$K:$K,Location!$A108,Wine1!$AA:$AA,Location!BF$1)</f>
        <v>0</v>
      </c>
      <c r="BG108" s="37">
        <f>SUMIFS(Wine1!$I:$I,Wine1!$K:$K,Location!$A108,Wine1!$AA:$AA,Location!BG$1)</f>
        <v>0</v>
      </c>
      <c r="BH108" s="37">
        <f>SUMIFS(Wine1!$I:$I,Wine1!$K:$K,Location!$A108,Wine1!$AA:$AA,Location!BH$1)</f>
        <v>0</v>
      </c>
      <c r="BI108" s="37">
        <f>SUMIFS(Wine1!$I:$I,Wine1!$K:$K,Location!$A108,Wine1!$AA:$AA,Location!BI$1)</f>
        <v>0</v>
      </c>
    </row>
    <row r="109" spans="1:61" s="37" customFormat="1" x14ac:dyDescent="0.25">
      <c r="A109" s="20" t="s">
        <v>1545</v>
      </c>
      <c r="E109" s="37" t="s">
        <v>602</v>
      </c>
      <c r="F109" s="37" t="s">
        <v>719</v>
      </c>
      <c r="H109" s="56"/>
      <c r="I109" s="57"/>
      <c r="J109" s="57"/>
      <c r="K109" s="58"/>
      <c r="L109" s="18"/>
    </row>
    <row r="110" spans="1:61" s="37" customFormat="1" x14ac:dyDescent="0.25">
      <c r="A110" s="20" t="s">
        <v>1564</v>
      </c>
      <c r="B110" s="37">
        <f>SUMIF(Wine1!K:K,Location!A110,Wine1!I:I)</f>
        <v>20</v>
      </c>
      <c r="E110" s="37" t="s">
        <v>602</v>
      </c>
      <c r="F110" s="37" t="s">
        <v>719</v>
      </c>
      <c r="H110" s="56">
        <f>COUNTIFS(Wine1!$K:$K,Location!$A110,Wine1!$AF:$AF,Location!H$1)</f>
        <v>0</v>
      </c>
      <c r="I110" s="57">
        <f>COUNTIFS(Wine1!$K:$K,Location!$A110,Wine1!$AF:$AF,Location!I$1)</f>
        <v>0</v>
      </c>
      <c r="J110" s="57">
        <f>COUNTIFS(Wine1!$K:$K,Location!$A110,Wine1!$AF:$AF,Location!J$1)</f>
        <v>18</v>
      </c>
      <c r="K110" s="58">
        <f>COUNTIFS(Wine1!$K:$K,Location!$A110,Wine1!$AF:$AF,Location!K$1)</f>
        <v>2</v>
      </c>
      <c r="L110" s="18">
        <f>IFERROR(AVERAGEIF(Wine1!K:K,Location!A110,Wine1!AA:AA),"Empty")</f>
        <v>2028.2</v>
      </c>
      <c r="M110" s="37">
        <f>SUMIFS(Wine1!$I:$I,Wine1!$K:$K,Location!$A110,Wine1!$AA:$AA,Location!M$1)</f>
        <v>1</v>
      </c>
      <c r="N110" s="37">
        <f>SUMIFS(Wine1!$I:$I,Wine1!$K:$K,Location!$A110,Wine1!$AA:$AA,Location!N$1)</f>
        <v>2</v>
      </c>
      <c r="O110" s="37">
        <f>SUMIFS(Wine1!$I:$I,Wine1!$K:$K,Location!$A110,Wine1!$AA:$AA,Location!O$1)</f>
        <v>1</v>
      </c>
      <c r="P110" s="37">
        <f>SUMIFS(Wine1!$I:$I,Wine1!$K:$K,Location!$A110,Wine1!$AA:$AA,Location!P$1)</f>
        <v>1</v>
      </c>
      <c r="Q110" s="37">
        <f>SUMIFS(Wine1!$I:$I,Wine1!$K:$K,Location!$A110,Wine1!$AA:$AA,Location!Q$1)</f>
        <v>1</v>
      </c>
      <c r="R110" s="37">
        <f>SUMIFS(Wine1!$I:$I,Wine1!$K:$K,Location!$A110,Wine1!$AA:$AA,Location!R$1)</f>
        <v>1</v>
      </c>
      <c r="S110" s="37">
        <f>SUMIFS(Wine1!$I:$I,Wine1!$K:$K,Location!$A110,Wine1!$AA:$AA,Location!S$1)</f>
        <v>1</v>
      </c>
      <c r="T110" s="37">
        <f>SUMIFS(Wine1!$I:$I,Wine1!$K:$K,Location!$A110,Wine1!$AA:$AA,Location!T$1)</f>
        <v>1</v>
      </c>
      <c r="U110" s="37">
        <f>SUMIFS(Wine1!$I:$I,Wine1!$K:$K,Location!$A110,Wine1!$AA:$AA,Location!U$1)</f>
        <v>1</v>
      </c>
      <c r="V110" s="37">
        <f>SUMIFS(Wine1!$I:$I,Wine1!$K:$K,Location!$A110,Wine1!$AA:$AA,Location!V$1)</f>
        <v>2</v>
      </c>
      <c r="W110" s="37">
        <f>SUMIFS(Wine1!$I:$I,Wine1!$K:$K,Location!$A110,Wine1!$AA:$AA,Location!W$1)</f>
        <v>1</v>
      </c>
      <c r="X110" s="37">
        <f>SUMIFS(Wine1!$I:$I,Wine1!$K:$K,Location!$A110,Wine1!$AA:$AA,Location!X$1)</f>
        <v>2</v>
      </c>
      <c r="Y110" s="37">
        <f>SUMIFS(Wine1!$I:$I,Wine1!$K:$K,Location!$A110,Wine1!$AA:$AA,Location!Y$1)</f>
        <v>0</v>
      </c>
      <c r="Z110" s="37">
        <f>SUMIFS(Wine1!$I:$I,Wine1!$K:$K,Location!$A110,Wine1!$AA:$AA,Location!Z$1)</f>
        <v>1</v>
      </c>
      <c r="AA110" s="37">
        <f>SUMIFS(Wine1!$I:$I,Wine1!$K:$K,Location!$A110,Wine1!$AA:$AA,Location!AA$1)</f>
        <v>0</v>
      </c>
      <c r="AB110" s="37">
        <f>SUMIFS(Wine1!$I:$I,Wine1!$K:$K,Location!$A110,Wine1!$AA:$AA,Location!AB$1)</f>
        <v>2</v>
      </c>
      <c r="AC110" s="37">
        <f>SUMIFS(Wine1!$I:$I,Wine1!$K:$K,Location!$A110,Wine1!$AA:$AA,Location!AC$1)</f>
        <v>0</v>
      </c>
      <c r="AD110" s="37">
        <f>SUMIFS(Wine1!$I:$I,Wine1!$K:$K,Location!$A110,Wine1!$AA:$AA,Location!AD$1)</f>
        <v>2</v>
      </c>
      <c r="AE110" s="37">
        <f>SUMIFS(Wine1!$I:$I,Wine1!$K:$K,Location!$A110,Wine1!$AA:$AA,Location!AE$1)</f>
        <v>0</v>
      </c>
      <c r="AF110" s="37">
        <f>SUMIFS(Wine1!$I:$I,Wine1!$K:$K,Location!$A110,Wine1!$AA:$AA,Location!AF$1)</f>
        <v>0</v>
      </c>
      <c r="AG110" s="37">
        <f>SUMIFS(Wine1!$I:$I,Wine1!$K:$K,Location!$A110,Wine1!$AA:$AA,Location!AG$1)</f>
        <v>0</v>
      </c>
      <c r="AH110" s="37">
        <f>SUMIFS(Wine1!$I:$I,Wine1!$K:$K,Location!$A110,Wine1!$AA:$AA,Location!AH$1)</f>
        <v>0</v>
      </c>
      <c r="AI110" s="37">
        <f>SUMIFS(Wine1!$I:$I,Wine1!$K:$K,Location!$A110,Wine1!$AA:$AA,Location!AI$1)</f>
        <v>0</v>
      </c>
      <c r="AJ110" s="37">
        <f>SUMIFS(Wine1!$I:$I,Wine1!$K:$K,Location!$A110,Wine1!$AA:$AA,Location!AJ$1)</f>
        <v>0</v>
      </c>
      <c r="AK110" s="37">
        <f>SUMIFS(Wine1!$I:$I,Wine1!$K:$K,Location!$A110,Wine1!$AA:$AA,Location!AK$1)</f>
        <v>0</v>
      </c>
      <c r="AL110" s="37">
        <f>SUMIFS(Wine1!$I:$I,Wine1!$K:$K,Location!$A110,Wine1!$AA:$AA,Location!AL$1)</f>
        <v>0</v>
      </c>
      <c r="AM110" s="37">
        <f>SUMIFS(Wine1!$I:$I,Wine1!$K:$K,Location!$A110,Wine1!$AA:$AA,Location!AM$1)</f>
        <v>0</v>
      </c>
      <c r="AN110" s="37">
        <f>SUMIFS(Wine1!$I:$I,Wine1!$K:$K,Location!$A110,Wine1!$AA:$AA,Location!AN$1)</f>
        <v>0</v>
      </c>
      <c r="AO110" s="37">
        <f>SUMIFS(Wine1!$I:$I,Wine1!$K:$K,Location!$A110,Wine1!$AA:$AA,Location!AO$1)</f>
        <v>0</v>
      </c>
      <c r="AP110" s="37">
        <f>SUMIFS(Wine1!$I:$I,Wine1!$K:$K,Location!$A110,Wine1!$AA:$AA,Location!AP$1)</f>
        <v>0</v>
      </c>
      <c r="AQ110" s="37">
        <f>SUMIFS(Wine1!$I:$I,Wine1!$K:$K,Location!$A110,Wine1!$AA:$AA,Location!AQ$1)</f>
        <v>0</v>
      </c>
      <c r="AR110" s="37">
        <f>SUMIFS(Wine1!$I:$I,Wine1!$K:$K,Location!$A110,Wine1!$AA:$AA,Location!AR$1)</f>
        <v>0</v>
      </c>
      <c r="AS110" s="37">
        <f>SUMIFS(Wine1!$I:$I,Wine1!$K:$K,Location!$A110,Wine1!$AA:$AA,Location!AS$1)</f>
        <v>0</v>
      </c>
      <c r="AT110" s="37">
        <f>SUMIFS(Wine1!$I:$I,Wine1!$K:$K,Location!$A110,Wine1!$AA:$AA,Location!AT$1)</f>
        <v>0</v>
      </c>
      <c r="AU110" s="37">
        <f>SUMIFS(Wine1!$I:$I,Wine1!$K:$K,Location!$A110,Wine1!$AA:$AA,Location!AU$1)</f>
        <v>0</v>
      </c>
      <c r="AV110" s="37">
        <f>SUMIFS(Wine1!$I:$I,Wine1!$K:$K,Location!$A110,Wine1!$AA:$AA,Location!AV$1)</f>
        <v>0</v>
      </c>
      <c r="AW110" s="37">
        <f>SUMIFS(Wine1!$I:$I,Wine1!$K:$K,Location!$A110,Wine1!$AA:$AA,Location!AW$1)</f>
        <v>0</v>
      </c>
      <c r="AX110" s="37">
        <f>SUMIFS(Wine1!$I:$I,Wine1!$K:$K,Location!$A110,Wine1!$AA:$AA,Location!AX$1)</f>
        <v>0</v>
      </c>
      <c r="AY110" s="37">
        <f>SUMIFS(Wine1!$I:$I,Wine1!$K:$K,Location!$A110,Wine1!$AA:$AA,Location!AY$1)</f>
        <v>0</v>
      </c>
      <c r="AZ110" s="37">
        <f>SUMIFS(Wine1!$I:$I,Wine1!$K:$K,Location!$A110,Wine1!$AA:$AA,Location!AZ$1)</f>
        <v>0</v>
      </c>
      <c r="BA110" s="37">
        <f>SUMIFS(Wine1!$I:$I,Wine1!$K:$K,Location!$A110,Wine1!$AA:$AA,Location!BA$1)</f>
        <v>0</v>
      </c>
      <c r="BB110" s="37">
        <f>SUMIFS(Wine1!$I:$I,Wine1!$K:$K,Location!$A110,Wine1!$AA:$AA,Location!BB$1)</f>
        <v>0</v>
      </c>
      <c r="BC110" s="37">
        <f>SUMIFS(Wine1!$I:$I,Wine1!$K:$K,Location!$A110,Wine1!$AA:$AA,Location!BC$1)</f>
        <v>0</v>
      </c>
      <c r="BD110" s="37">
        <f>SUMIFS(Wine1!$I:$I,Wine1!$K:$K,Location!$A110,Wine1!$AA:$AA,Location!BD$1)</f>
        <v>0</v>
      </c>
      <c r="BE110" s="37">
        <f>SUMIFS(Wine1!$I:$I,Wine1!$K:$K,Location!$A110,Wine1!$AA:$AA,Location!BE$1)</f>
        <v>0</v>
      </c>
      <c r="BF110" s="37">
        <f>SUMIFS(Wine1!$I:$I,Wine1!$K:$K,Location!$A110,Wine1!$AA:$AA,Location!BF$1)</f>
        <v>0</v>
      </c>
      <c r="BG110" s="37">
        <f>SUMIFS(Wine1!$I:$I,Wine1!$K:$K,Location!$A110,Wine1!$AA:$AA,Location!BG$1)</f>
        <v>0</v>
      </c>
      <c r="BH110" s="37">
        <f>SUMIFS(Wine1!$I:$I,Wine1!$K:$K,Location!$A110,Wine1!$AA:$AA,Location!BH$1)</f>
        <v>0</v>
      </c>
      <c r="BI110" s="37">
        <f>SUMIFS(Wine1!$I:$I,Wine1!$K:$K,Location!$A110,Wine1!$AA:$AA,Location!BI$1)</f>
        <v>0</v>
      </c>
    </row>
    <row r="111" spans="1:61" x14ac:dyDescent="0.25">
      <c r="A111" s="20" t="s">
        <v>415</v>
      </c>
      <c r="B111">
        <f>SUMIF(Wine1!K:K,Location!A111,Wine1!I:I)</f>
        <v>17</v>
      </c>
      <c r="D111">
        <f t="shared" si="3"/>
        <v>-17</v>
      </c>
      <c r="E111" t="s">
        <v>602</v>
      </c>
      <c r="F111" s="37" t="s">
        <v>719</v>
      </c>
      <c r="H111" s="56">
        <f>COUNTIFS(Wine1!$K:$K,Location!$A111,Wine1!$AF:$AF,Location!H$1)</f>
        <v>0</v>
      </c>
      <c r="I111" s="57">
        <f>COUNTIFS(Wine1!$K:$K,Location!$A111,Wine1!$AF:$AF,Location!I$1)</f>
        <v>0</v>
      </c>
      <c r="J111" s="57">
        <f>COUNTIFS(Wine1!$K:$K,Location!$A111,Wine1!$AF:$AF,Location!J$1)</f>
        <v>11</v>
      </c>
      <c r="K111" s="58">
        <f>COUNTIFS(Wine1!$K:$K,Location!$A111,Wine1!$AF:$AF,Location!K$1)</f>
        <v>6</v>
      </c>
      <c r="L111" s="18">
        <f>IFERROR(AVERAGEIF(Wine1!K:K,Location!A111,Wine1!AA:AA),"Empty")</f>
        <v>2028.2941176470588</v>
      </c>
      <c r="M111">
        <f>SUMIFS(Wine1!$I:$I,Wine1!$K:$K,Location!$A111,Wine1!$AA:$AA,Location!M$1)</f>
        <v>0</v>
      </c>
      <c r="N111">
        <f>SUMIFS(Wine1!$I:$I,Wine1!$K:$K,Location!$A111,Wine1!$AA:$AA,Location!N$1)</f>
        <v>5</v>
      </c>
      <c r="O111">
        <f>SUMIFS(Wine1!$I:$I,Wine1!$K:$K,Location!$A111,Wine1!$AA:$AA,Location!O$1)</f>
        <v>1</v>
      </c>
      <c r="P111">
        <f>SUMIFS(Wine1!$I:$I,Wine1!$K:$K,Location!$A111,Wine1!$AA:$AA,Location!P$1)</f>
        <v>1</v>
      </c>
      <c r="Q111">
        <f>SUMIFS(Wine1!$I:$I,Wine1!$K:$K,Location!$A111,Wine1!$AA:$AA,Location!Q$1)</f>
        <v>2</v>
      </c>
      <c r="R111">
        <f>SUMIFS(Wine1!$I:$I,Wine1!$K:$K,Location!$A111,Wine1!$AA:$AA,Location!R$1)</f>
        <v>0</v>
      </c>
      <c r="S111">
        <f>SUMIFS(Wine1!$I:$I,Wine1!$K:$K,Location!$A111,Wine1!$AA:$AA,Location!S$1)</f>
        <v>0</v>
      </c>
      <c r="T111">
        <f>SUMIFS(Wine1!$I:$I,Wine1!$K:$K,Location!$A111,Wine1!$AA:$AA,Location!T$1)</f>
        <v>0</v>
      </c>
      <c r="U111">
        <f>SUMIFS(Wine1!$I:$I,Wine1!$K:$K,Location!$A111,Wine1!$AA:$AA,Location!U$1)</f>
        <v>0</v>
      </c>
      <c r="V111">
        <f>SUMIFS(Wine1!$I:$I,Wine1!$K:$K,Location!$A111,Wine1!$AA:$AA,Location!V$1)</f>
        <v>0</v>
      </c>
      <c r="W111">
        <f>SUMIFS(Wine1!$I:$I,Wine1!$K:$K,Location!$A111,Wine1!$AA:$AA,Location!W$1)</f>
        <v>2</v>
      </c>
      <c r="X111">
        <f>SUMIFS(Wine1!$I:$I,Wine1!$K:$K,Location!$A111,Wine1!$AA:$AA,Location!X$1)</f>
        <v>0</v>
      </c>
      <c r="Y111">
        <f>SUMIFS(Wine1!$I:$I,Wine1!$K:$K,Location!$A111,Wine1!$AA:$AA,Location!Y$1)</f>
        <v>1</v>
      </c>
      <c r="Z111">
        <f>SUMIFS(Wine1!$I:$I,Wine1!$K:$K,Location!$A111,Wine1!$AA:$AA,Location!Z$1)</f>
        <v>0</v>
      </c>
      <c r="AA111">
        <f>SUMIFS(Wine1!$I:$I,Wine1!$K:$K,Location!$A111,Wine1!$AA:$AA,Location!AA$1)</f>
        <v>0</v>
      </c>
      <c r="AB111">
        <f>SUMIFS(Wine1!$I:$I,Wine1!$K:$K,Location!$A111,Wine1!$AA:$AA,Location!AB$1)</f>
        <v>2</v>
      </c>
      <c r="AC111">
        <f>SUMIFS(Wine1!$I:$I,Wine1!$K:$K,Location!$A111,Wine1!$AA:$AA,Location!AC$1)</f>
        <v>1</v>
      </c>
      <c r="AD111">
        <f>SUMIFS(Wine1!$I:$I,Wine1!$K:$K,Location!$A111,Wine1!$AA:$AA,Location!AD$1)</f>
        <v>0</v>
      </c>
      <c r="AE111">
        <f>SUMIFS(Wine1!$I:$I,Wine1!$K:$K,Location!$A111,Wine1!$AA:$AA,Location!AE$1)</f>
        <v>0</v>
      </c>
      <c r="AF111">
        <f>SUMIFS(Wine1!$I:$I,Wine1!$K:$K,Location!$A111,Wine1!$AA:$AA,Location!AF$1)</f>
        <v>0</v>
      </c>
      <c r="AG111">
        <f>SUMIFS(Wine1!$I:$I,Wine1!$K:$K,Location!$A111,Wine1!$AA:$AA,Location!AG$1)</f>
        <v>1</v>
      </c>
      <c r="AH111">
        <f>SUMIFS(Wine1!$I:$I,Wine1!$K:$K,Location!$A111,Wine1!$AA:$AA,Location!AH$1)</f>
        <v>0</v>
      </c>
      <c r="AI111">
        <f>SUMIFS(Wine1!$I:$I,Wine1!$K:$K,Location!$A111,Wine1!$AA:$AA,Location!AI$1)</f>
        <v>0</v>
      </c>
      <c r="AJ111">
        <f>SUMIFS(Wine1!$I:$I,Wine1!$K:$K,Location!$A111,Wine1!$AA:$AA,Location!AJ$1)</f>
        <v>0</v>
      </c>
      <c r="AK111">
        <f>SUMIFS(Wine1!$I:$I,Wine1!$K:$K,Location!$A111,Wine1!$AA:$AA,Location!AK$1)</f>
        <v>0</v>
      </c>
      <c r="AL111">
        <f>SUMIFS(Wine1!$I:$I,Wine1!$K:$K,Location!$A111,Wine1!$AA:$AA,Location!AL$1)</f>
        <v>1</v>
      </c>
      <c r="AM111">
        <f>SUMIFS(Wine1!$I:$I,Wine1!$K:$K,Location!$A111,Wine1!$AA:$AA,Location!AM$1)</f>
        <v>0</v>
      </c>
      <c r="AN111">
        <f>SUMIFS(Wine1!$I:$I,Wine1!$K:$K,Location!$A111,Wine1!$AA:$AA,Location!AN$1)</f>
        <v>0</v>
      </c>
      <c r="AO111">
        <f>SUMIFS(Wine1!$I:$I,Wine1!$K:$K,Location!$A111,Wine1!$AA:$AA,Location!AO$1)</f>
        <v>0</v>
      </c>
      <c r="AP111">
        <f>SUMIFS(Wine1!$I:$I,Wine1!$K:$K,Location!$A111,Wine1!$AA:$AA,Location!AP$1)</f>
        <v>0</v>
      </c>
      <c r="AQ111">
        <f>SUMIFS(Wine1!$I:$I,Wine1!$K:$K,Location!$A111,Wine1!$AA:$AA,Location!AQ$1)</f>
        <v>0</v>
      </c>
      <c r="AR111">
        <f>SUMIFS(Wine1!$I:$I,Wine1!$K:$K,Location!$A111,Wine1!$AA:$AA,Location!AR$1)</f>
        <v>0</v>
      </c>
      <c r="AS111" s="37">
        <f>SUMIFS(Wine1!$I:$I,Wine1!$K:$K,Location!$A111,Wine1!$AA:$AA,Location!AS$1)</f>
        <v>0</v>
      </c>
      <c r="AT111" s="37">
        <f>SUMIFS(Wine1!$I:$I,Wine1!$K:$K,Location!$A111,Wine1!$AA:$AA,Location!AT$1)</f>
        <v>0</v>
      </c>
      <c r="AU111" s="37">
        <f>SUMIFS(Wine1!$I:$I,Wine1!$K:$K,Location!$A111,Wine1!$AA:$AA,Location!AU$1)</f>
        <v>0</v>
      </c>
      <c r="AV111" s="37">
        <f>SUMIFS(Wine1!$I:$I,Wine1!$K:$K,Location!$A111,Wine1!$AA:$AA,Location!AV$1)</f>
        <v>0</v>
      </c>
      <c r="AW111" s="37">
        <f>SUMIFS(Wine1!$I:$I,Wine1!$K:$K,Location!$A111,Wine1!$AA:$AA,Location!AW$1)</f>
        <v>0</v>
      </c>
      <c r="AX111" s="37">
        <f>SUMIFS(Wine1!$I:$I,Wine1!$K:$K,Location!$A111,Wine1!$AA:$AA,Location!AX$1)</f>
        <v>0</v>
      </c>
      <c r="AY111" s="37">
        <f>SUMIFS(Wine1!$I:$I,Wine1!$K:$K,Location!$A111,Wine1!$AA:$AA,Location!AY$1)</f>
        <v>0</v>
      </c>
      <c r="AZ111" s="37">
        <f>SUMIFS(Wine1!$I:$I,Wine1!$K:$K,Location!$A111,Wine1!$AA:$AA,Location!AZ$1)</f>
        <v>0</v>
      </c>
      <c r="BA111" s="37">
        <f>SUMIFS(Wine1!$I:$I,Wine1!$K:$K,Location!$A111,Wine1!$AA:$AA,Location!BA$1)</f>
        <v>0</v>
      </c>
      <c r="BB111" s="37">
        <f>SUMIFS(Wine1!$I:$I,Wine1!$K:$K,Location!$A111,Wine1!$AA:$AA,Location!BB$1)</f>
        <v>0</v>
      </c>
      <c r="BC111" s="37">
        <f>SUMIFS(Wine1!$I:$I,Wine1!$K:$K,Location!$A111,Wine1!$AA:$AA,Location!BC$1)</f>
        <v>0</v>
      </c>
      <c r="BD111" s="37">
        <f>SUMIFS(Wine1!$I:$I,Wine1!$K:$K,Location!$A111,Wine1!$AA:$AA,Location!BD$1)</f>
        <v>0</v>
      </c>
      <c r="BE111" s="37">
        <f>SUMIFS(Wine1!$I:$I,Wine1!$K:$K,Location!$A111,Wine1!$AA:$AA,Location!BE$1)</f>
        <v>0</v>
      </c>
      <c r="BF111" s="37">
        <f>SUMIFS(Wine1!$I:$I,Wine1!$K:$K,Location!$A111,Wine1!$AA:$AA,Location!BF$1)</f>
        <v>0</v>
      </c>
      <c r="BG111" s="37">
        <f>SUMIFS(Wine1!$I:$I,Wine1!$K:$K,Location!$A111,Wine1!$AA:$AA,Location!BG$1)</f>
        <v>0</v>
      </c>
      <c r="BH111" s="37">
        <f>SUMIFS(Wine1!$I:$I,Wine1!$K:$K,Location!$A111,Wine1!$AA:$AA,Location!BH$1)</f>
        <v>0</v>
      </c>
      <c r="BI111" s="37">
        <f>SUMIFS(Wine1!$I:$I,Wine1!$K:$K,Location!$A111,Wine1!$AA:$AA,Location!BI$1)</f>
        <v>0</v>
      </c>
    </row>
    <row r="112" spans="1:61" x14ac:dyDescent="0.25">
      <c r="A112" s="20" t="s">
        <v>371</v>
      </c>
      <c r="B112">
        <f>SUMIF(Wine1!K:K,Location!A112,Wine1!I:I)</f>
        <v>54</v>
      </c>
      <c r="D112">
        <f t="shared" si="3"/>
        <v>-54</v>
      </c>
      <c r="E112" t="s">
        <v>602</v>
      </c>
      <c r="F112" s="37" t="s">
        <v>719</v>
      </c>
      <c r="H112" s="56">
        <f>COUNTIFS(Wine1!$K:$K,Location!$A112,Wine1!$AF:$AF,Location!H$1)</f>
        <v>0</v>
      </c>
      <c r="I112" s="57">
        <f>COUNTIFS(Wine1!$K:$K,Location!$A112,Wine1!$AF:$AF,Location!I$1)</f>
        <v>6</v>
      </c>
      <c r="J112" s="57">
        <f>COUNTIFS(Wine1!$K:$K,Location!$A112,Wine1!$AF:$AF,Location!J$1)</f>
        <v>40</v>
      </c>
      <c r="K112" s="58">
        <f>COUNTIFS(Wine1!$K:$K,Location!$A112,Wine1!$AF:$AF,Location!K$1)</f>
        <v>8</v>
      </c>
      <c r="L112" s="18">
        <f>IFERROR(AVERAGEIF(Wine1!K:K,Location!A112,Wine1!AA:AA),"Empty")</f>
        <v>2029.8333333333333</v>
      </c>
      <c r="M112">
        <f>SUMIFS(Wine1!$I:$I,Wine1!$K:$K,Location!$A112,Wine1!$AA:$AA,Location!M$1)</f>
        <v>16</v>
      </c>
      <c r="N112">
        <f>SUMIFS(Wine1!$I:$I,Wine1!$K:$K,Location!$A112,Wine1!$AA:$AA,Location!N$1)</f>
        <v>2</v>
      </c>
      <c r="O112">
        <f>SUMIFS(Wine1!$I:$I,Wine1!$K:$K,Location!$A112,Wine1!$AA:$AA,Location!O$1)</f>
        <v>1</v>
      </c>
      <c r="P112">
        <f>SUMIFS(Wine1!$I:$I,Wine1!$K:$K,Location!$A112,Wine1!$AA:$AA,Location!P$1)</f>
        <v>0</v>
      </c>
      <c r="Q112">
        <f>SUMIFS(Wine1!$I:$I,Wine1!$K:$K,Location!$A112,Wine1!$AA:$AA,Location!Q$1)</f>
        <v>1</v>
      </c>
      <c r="R112">
        <f>SUMIFS(Wine1!$I:$I,Wine1!$K:$K,Location!$A112,Wine1!$AA:$AA,Location!R$1)</f>
        <v>1</v>
      </c>
      <c r="S112">
        <f>SUMIFS(Wine1!$I:$I,Wine1!$K:$K,Location!$A112,Wine1!$AA:$AA,Location!S$1)</f>
        <v>0</v>
      </c>
      <c r="T112">
        <f>SUMIFS(Wine1!$I:$I,Wine1!$K:$K,Location!$A112,Wine1!$AA:$AA,Location!T$1)</f>
        <v>0</v>
      </c>
      <c r="U112">
        <f>SUMIFS(Wine1!$I:$I,Wine1!$K:$K,Location!$A112,Wine1!$AA:$AA,Location!U$1)</f>
        <v>1</v>
      </c>
      <c r="V112">
        <f>SUMIFS(Wine1!$I:$I,Wine1!$K:$K,Location!$A112,Wine1!$AA:$AA,Location!V$1)</f>
        <v>1</v>
      </c>
      <c r="W112">
        <f>SUMIFS(Wine1!$I:$I,Wine1!$K:$K,Location!$A112,Wine1!$AA:$AA,Location!W$1)</f>
        <v>1</v>
      </c>
      <c r="X112">
        <f>SUMIFS(Wine1!$I:$I,Wine1!$K:$K,Location!$A112,Wine1!$AA:$AA,Location!X$1)</f>
        <v>4</v>
      </c>
      <c r="Y112">
        <f>SUMIFS(Wine1!$I:$I,Wine1!$K:$K,Location!$A112,Wine1!$AA:$AA,Location!Y$1)</f>
        <v>1</v>
      </c>
      <c r="Z112">
        <f>SUMIFS(Wine1!$I:$I,Wine1!$K:$K,Location!$A112,Wine1!$AA:$AA,Location!Z$1)</f>
        <v>5</v>
      </c>
      <c r="AA112">
        <f>SUMIFS(Wine1!$I:$I,Wine1!$K:$K,Location!$A112,Wine1!$AA:$AA,Location!AA$1)</f>
        <v>1</v>
      </c>
      <c r="AB112">
        <f>SUMIFS(Wine1!$I:$I,Wine1!$K:$K,Location!$A112,Wine1!$AA:$AA,Location!AB$1)</f>
        <v>4</v>
      </c>
      <c r="AC112">
        <f>SUMIFS(Wine1!$I:$I,Wine1!$K:$K,Location!$A112,Wine1!$AA:$AA,Location!AC$1)</f>
        <v>3</v>
      </c>
      <c r="AD112">
        <f>SUMIFS(Wine1!$I:$I,Wine1!$K:$K,Location!$A112,Wine1!$AA:$AA,Location!AD$1)</f>
        <v>0</v>
      </c>
      <c r="AE112">
        <f>SUMIFS(Wine1!$I:$I,Wine1!$K:$K,Location!$A112,Wine1!$AA:$AA,Location!AE$1)</f>
        <v>4</v>
      </c>
      <c r="AF112">
        <f>SUMIFS(Wine1!$I:$I,Wine1!$K:$K,Location!$A112,Wine1!$AA:$AA,Location!AF$1)</f>
        <v>1</v>
      </c>
      <c r="AG112">
        <f>SUMIFS(Wine1!$I:$I,Wine1!$K:$K,Location!$A112,Wine1!$AA:$AA,Location!AG$1)</f>
        <v>4</v>
      </c>
      <c r="AH112">
        <f>SUMIFS(Wine1!$I:$I,Wine1!$K:$K,Location!$A112,Wine1!$AA:$AA,Location!AH$1)</f>
        <v>0</v>
      </c>
      <c r="AI112">
        <f>SUMIFS(Wine1!$I:$I,Wine1!$K:$K,Location!$A112,Wine1!$AA:$AA,Location!AI$1)</f>
        <v>1</v>
      </c>
      <c r="AJ112">
        <f>SUMIFS(Wine1!$I:$I,Wine1!$K:$K,Location!$A112,Wine1!$AA:$AA,Location!AJ$1)</f>
        <v>0</v>
      </c>
      <c r="AK112">
        <f>SUMIFS(Wine1!$I:$I,Wine1!$K:$K,Location!$A112,Wine1!$AA:$AA,Location!AK$1)</f>
        <v>0</v>
      </c>
      <c r="AL112">
        <f>SUMIFS(Wine1!$I:$I,Wine1!$K:$K,Location!$A112,Wine1!$AA:$AA,Location!AL$1)</f>
        <v>1</v>
      </c>
      <c r="AM112">
        <f>SUMIFS(Wine1!$I:$I,Wine1!$K:$K,Location!$A112,Wine1!$AA:$AA,Location!AM$1)</f>
        <v>0</v>
      </c>
      <c r="AN112">
        <f>SUMIFS(Wine1!$I:$I,Wine1!$K:$K,Location!$A112,Wine1!$AA:$AA,Location!AN$1)</f>
        <v>0</v>
      </c>
      <c r="AO112">
        <f>SUMIFS(Wine1!$I:$I,Wine1!$K:$K,Location!$A112,Wine1!$AA:$AA,Location!AO$1)</f>
        <v>0</v>
      </c>
      <c r="AP112">
        <f>SUMIFS(Wine1!$I:$I,Wine1!$K:$K,Location!$A112,Wine1!$AA:$AA,Location!AP$1)</f>
        <v>0</v>
      </c>
      <c r="AQ112">
        <f>SUMIFS(Wine1!$I:$I,Wine1!$K:$K,Location!$A112,Wine1!$AA:$AA,Location!AQ$1)</f>
        <v>1</v>
      </c>
      <c r="AR112">
        <f>SUMIFS(Wine1!$I:$I,Wine1!$K:$K,Location!$A112,Wine1!$AA:$AA,Location!AR$1)</f>
        <v>0</v>
      </c>
      <c r="AS112" s="37">
        <f>SUMIFS(Wine1!$I:$I,Wine1!$K:$K,Location!$A112,Wine1!$AA:$AA,Location!AS$1)</f>
        <v>0</v>
      </c>
      <c r="AT112" s="37">
        <f>SUMIFS(Wine1!$I:$I,Wine1!$K:$K,Location!$A112,Wine1!$AA:$AA,Location!AT$1)</f>
        <v>0</v>
      </c>
      <c r="AU112" s="37">
        <f>SUMIFS(Wine1!$I:$I,Wine1!$K:$K,Location!$A112,Wine1!$AA:$AA,Location!AU$1)</f>
        <v>0</v>
      </c>
      <c r="AV112" s="37">
        <f>SUMIFS(Wine1!$I:$I,Wine1!$K:$K,Location!$A112,Wine1!$AA:$AA,Location!AV$1)</f>
        <v>0</v>
      </c>
      <c r="AW112" s="37">
        <f>SUMIFS(Wine1!$I:$I,Wine1!$K:$K,Location!$A112,Wine1!$AA:$AA,Location!AW$1)</f>
        <v>0</v>
      </c>
      <c r="AX112" s="37">
        <f>SUMIFS(Wine1!$I:$I,Wine1!$K:$K,Location!$A112,Wine1!$AA:$AA,Location!AX$1)</f>
        <v>0</v>
      </c>
      <c r="AY112" s="37">
        <f>SUMIFS(Wine1!$I:$I,Wine1!$K:$K,Location!$A112,Wine1!$AA:$AA,Location!AY$1)</f>
        <v>0</v>
      </c>
      <c r="AZ112" s="37">
        <f>SUMIFS(Wine1!$I:$I,Wine1!$K:$K,Location!$A112,Wine1!$AA:$AA,Location!AZ$1)</f>
        <v>0</v>
      </c>
      <c r="BA112" s="37">
        <f>SUMIFS(Wine1!$I:$I,Wine1!$K:$K,Location!$A112,Wine1!$AA:$AA,Location!BA$1)</f>
        <v>0</v>
      </c>
      <c r="BB112" s="37">
        <f>SUMIFS(Wine1!$I:$I,Wine1!$K:$K,Location!$A112,Wine1!$AA:$AA,Location!BB$1)</f>
        <v>0</v>
      </c>
      <c r="BC112" s="37">
        <f>SUMIFS(Wine1!$I:$I,Wine1!$K:$K,Location!$A112,Wine1!$AA:$AA,Location!BC$1)</f>
        <v>0</v>
      </c>
      <c r="BD112" s="37">
        <f>SUMIFS(Wine1!$I:$I,Wine1!$K:$K,Location!$A112,Wine1!$AA:$AA,Location!BD$1)</f>
        <v>0</v>
      </c>
      <c r="BE112" s="37">
        <f>SUMIFS(Wine1!$I:$I,Wine1!$K:$K,Location!$A112,Wine1!$AA:$AA,Location!BE$1)</f>
        <v>0</v>
      </c>
      <c r="BF112" s="37">
        <f>SUMIFS(Wine1!$I:$I,Wine1!$K:$K,Location!$A112,Wine1!$AA:$AA,Location!BF$1)</f>
        <v>0</v>
      </c>
      <c r="BG112" s="37">
        <f>SUMIFS(Wine1!$I:$I,Wine1!$K:$K,Location!$A112,Wine1!$AA:$AA,Location!BG$1)</f>
        <v>0</v>
      </c>
      <c r="BH112" s="37">
        <f>SUMIFS(Wine1!$I:$I,Wine1!$K:$K,Location!$A112,Wine1!$AA:$AA,Location!BH$1)</f>
        <v>0</v>
      </c>
      <c r="BI112" s="37">
        <f>SUMIFS(Wine1!$I:$I,Wine1!$K:$K,Location!$A112,Wine1!$AA:$AA,Location!BI$1)</f>
        <v>0</v>
      </c>
    </row>
    <row r="113" spans="1:61" x14ac:dyDescent="0.25">
      <c r="A113" s="20" t="s">
        <v>674</v>
      </c>
      <c r="B113" s="37">
        <f>SUMIF(Wine1!K:K,Location!A113,Wine1!I:I)</f>
        <v>0</v>
      </c>
      <c r="D113" s="37">
        <f t="shared" si="3"/>
        <v>0</v>
      </c>
      <c r="E113" s="37" t="s">
        <v>602</v>
      </c>
      <c r="F113" s="37" t="s">
        <v>719</v>
      </c>
      <c r="H113" s="56">
        <f>COUNTIFS(Wine1!$K:$K,Location!$A113,Wine1!$AF:$AF,Location!H$1)</f>
        <v>0</v>
      </c>
      <c r="I113" s="57">
        <f>COUNTIFS(Wine1!$K:$K,Location!$A113,Wine1!$AF:$AF,Location!I$1)</f>
        <v>0</v>
      </c>
      <c r="J113" s="57">
        <f>COUNTIFS(Wine1!$K:$K,Location!$A113,Wine1!$AF:$AF,Location!J$1)</f>
        <v>0</v>
      </c>
      <c r="K113" s="58">
        <f>COUNTIFS(Wine1!$K:$K,Location!$A113,Wine1!$AF:$AF,Location!K$1)</f>
        <v>0</v>
      </c>
      <c r="L113" s="18" t="str">
        <f>IFERROR(AVERAGEIF(Wine1!K:K,Location!A113,Wine1!AA:AA),"Empty")</f>
        <v>Empty</v>
      </c>
      <c r="M113" s="37">
        <f>SUMIFS(Wine1!$I:$I,Wine1!$K:$K,Location!$A113,Wine1!$AA:$AA,Location!M$1)</f>
        <v>0</v>
      </c>
      <c r="N113" s="37">
        <f>SUMIFS(Wine1!$I:$I,Wine1!$K:$K,Location!$A113,Wine1!$AA:$AA,Location!N$1)</f>
        <v>0</v>
      </c>
      <c r="O113" s="37">
        <f>SUMIFS(Wine1!$I:$I,Wine1!$K:$K,Location!$A113,Wine1!$AA:$AA,Location!O$1)</f>
        <v>0</v>
      </c>
      <c r="P113" s="37">
        <f>SUMIFS(Wine1!$I:$I,Wine1!$K:$K,Location!$A113,Wine1!$AA:$AA,Location!P$1)</f>
        <v>0</v>
      </c>
      <c r="Q113" s="37">
        <f>SUMIFS(Wine1!$I:$I,Wine1!$K:$K,Location!$A113,Wine1!$AA:$AA,Location!Q$1)</f>
        <v>0</v>
      </c>
      <c r="R113" s="37">
        <f>SUMIFS(Wine1!$I:$I,Wine1!$K:$K,Location!$A113,Wine1!$AA:$AA,Location!R$1)</f>
        <v>0</v>
      </c>
      <c r="S113" s="37">
        <f>SUMIFS(Wine1!$I:$I,Wine1!$K:$K,Location!$A113,Wine1!$AA:$AA,Location!S$1)</f>
        <v>0</v>
      </c>
      <c r="T113" s="37">
        <f>SUMIFS(Wine1!$I:$I,Wine1!$K:$K,Location!$A113,Wine1!$AA:$AA,Location!T$1)</f>
        <v>0</v>
      </c>
      <c r="U113" s="37">
        <f>SUMIFS(Wine1!$I:$I,Wine1!$K:$K,Location!$A113,Wine1!$AA:$AA,Location!U$1)</f>
        <v>0</v>
      </c>
      <c r="V113" s="37">
        <f>SUMIFS(Wine1!$I:$I,Wine1!$K:$K,Location!$A113,Wine1!$AA:$AA,Location!V$1)</f>
        <v>0</v>
      </c>
      <c r="W113" s="37">
        <f>SUMIFS(Wine1!$I:$I,Wine1!$K:$K,Location!$A113,Wine1!$AA:$AA,Location!W$1)</f>
        <v>0</v>
      </c>
      <c r="X113" s="37">
        <f>SUMIFS(Wine1!$I:$I,Wine1!$K:$K,Location!$A113,Wine1!$AA:$AA,Location!X$1)</f>
        <v>0</v>
      </c>
      <c r="Y113" s="37">
        <f>SUMIFS(Wine1!$I:$I,Wine1!$K:$K,Location!$A113,Wine1!$AA:$AA,Location!Y$1)</f>
        <v>0</v>
      </c>
      <c r="Z113" s="37">
        <f>SUMIFS(Wine1!$I:$I,Wine1!$K:$K,Location!$A113,Wine1!$AA:$AA,Location!Z$1)</f>
        <v>0</v>
      </c>
      <c r="AA113" s="37">
        <f>SUMIFS(Wine1!$I:$I,Wine1!$K:$K,Location!$A113,Wine1!$AA:$AA,Location!AA$1)</f>
        <v>0</v>
      </c>
      <c r="AB113" s="37">
        <f>SUMIFS(Wine1!$I:$I,Wine1!$K:$K,Location!$A113,Wine1!$AA:$AA,Location!AB$1)</f>
        <v>0</v>
      </c>
      <c r="AC113" s="37">
        <f>SUMIFS(Wine1!$I:$I,Wine1!$K:$K,Location!$A113,Wine1!$AA:$AA,Location!AC$1)</f>
        <v>0</v>
      </c>
      <c r="AD113" s="37">
        <f>SUMIFS(Wine1!$I:$I,Wine1!$K:$K,Location!$A113,Wine1!$AA:$AA,Location!AD$1)</f>
        <v>0</v>
      </c>
      <c r="AE113" s="37">
        <f>SUMIFS(Wine1!$I:$I,Wine1!$K:$K,Location!$A113,Wine1!$AA:$AA,Location!AE$1)</f>
        <v>0</v>
      </c>
      <c r="AF113" s="37">
        <f>SUMIFS(Wine1!$I:$I,Wine1!$K:$K,Location!$A113,Wine1!$AA:$AA,Location!AF$1)</f>
        <v>0</v>
      </c>
      <c r="AG113" s="37">
        <f>SUMIFS(Wine1!$I:$I,Wine1!$K:$K,Location!$A113,Wine1!$AA:$AA,Location!AG$1)</f>
        <v>0</v>
      </c>
      <c r="AH113" s="37">
        <f>SUMIFS(Wine1!$I:$I,Wine1!$K:$K,Location!$A113,Wine1!$AA:$AA,Location!AH$1)</f>
        <v>0</v>
      </c>
      <c r="AI113" s="37">
        <f>SUMIFS(Wine1!$I:$I,Wine1!$K:$K,Location!$A113,Wine1!$AA:$AA,Location!AI$1)</f>
        <v>0</v>
      </c>
      <c r="AJ113" s="37">
        <f>SUMIFS(Wine1!$I:$I,Wine1!$K:$K,Location!$A113,Wine1!$AA:$AA,Location!AJ$1)</f>
        <v>0</v>
      </c>
      <c r="AK113" s="37">
        <f>SUMIFS(Wine1!$I:$I,Wine1!$K:$K,Location!$A113,Wine1!$AA:$AA,Location!AK$1)</f>
        <v>0</v>
      </c>
      <c r="AL113" s="37">
        <f>SUMIFS(Wine1!$I:$I,Wine1!$K:$K,Location!$A113,Wine1!$AA:$AA,Location!AL$1)</f>
        <v>0</v>
      </c>
      <c r="AM113" s="37">
        <f>SUMIFS(Wine1!$I:$I,Wine1!$K:$K,Location!$A113,Wine1!$AA:$AA,Location!AM$1)</f>
        <v>0</v>
      </c>
      <c r="AN113" s="37">
        <f>SUMIFS(Wine1!$I:$I,Wine1!$K:$K,Location!$A113,Wine1!$AA:$AA,Location!AN$1)</f>
        <v>0</v>
      </c>
      <c r="AO113" s="37">
        <f>SUMIFS(Wine1!$I:$I,Wine1!$K:$K,Location!$A113,Wine1!$AA:$AA,Location!AO$1)</f>
        <v>0</v>
      </c>
      <c r="AP113" s="37">
        <f>SUMIFS(Wine1!$I:$I,Wine1!$K:$K,Location!$A113,Wine1!$AA:$AA,Location!AP$1)</f>
        <v>0</v>
      </c>
      <c r="AQ113" s="37">
        <f>SUMIFS(Wine1!$I:$I,Wine1!$K:$K,Location!$A113,Wine1!$AA:$AA,Location!AQ$1)</f>
        <v>0</v>
      </c>
      <c r="AR113" s="37">
        <f>SUMIFS(Wine1!$I:$I,Wine1!$K:$K,Location!$A113,Wine1!$AA:$AA,Location!AR$1)</f>
        <v>0</v>
      </c>
      <c r="AS113" s="37">
        <f>SUMIFS(Wine1!$I:$I,Wine1!$K:$K,Location!$A113,Wine1!$AA:$AA,Location!AS$1)</f>
        <v>0</v>
      </c>
      <c r="AT113" s="37">
        <f>SUMIFS(Wine1!$I:$I,Wine1!$K:$K,Location!$A113,Wine1!$AA:$AA,Location!AT$1)</f>
        <v>0</v>
      </c>
      <c r="AU113" s="37">
        <f>SUMIFS(Wine1!$I:$I,Wine1!$K:$K,Location!$A113,Wine1!$AA:$AA,Location!AU$1)</f>
        <v>0</v>
      </c>
      <c r="AV113" s="37">
        <f>SUMIFS(Wine1!$I:$I,Wine1!$K:$K,Location!$A113,Wine1!$AA:$AA,Location!AV$1)</f>
        <v>0</v>
      </c>
      <c r="AW113" s="37">
        <f>SUMIFS(Wine1!$I:$I,Wine1!$K:$K,Location!$A113,Wine1!$AA:$AA,Location!AW$1)</f>
        <v>0</v>
      </c>
      <c r="AX113" s="37">
        <f>SUMIFS(Wine1!$I:$I,Wine1!$K:$K,Location!$A113,Wine1!$AA:$AA,Location!AX$1)</f>
        <v>0</v>
      </c>
      <c r="AY113" s="37">
        <f>SUMIFS(Wine1!$I:$I,Wine1!$K:$K,Location!$A113,Wine1!$AA:$AA,Location!AY$1)</f>
        <v>0</v>
      </c>
      <c r="AZ113" s="37">
        <f>SUMIFS(Wine1!$I:$I,Wine1!$K:$K,Location!$A113,Wine1!$AA:$AA,Location!AZ$1)</f>
        <v>0</v>
      </c>
      <c r="BA113" s="37">
        <f>SUMIFS(Wine1!$I:$I,Wine1!$K:$K,Location!$A113,Wine1!$AA:$AA,Location!BA$1)</f>
        <v>0</v>
      </c>
      <c r="BB113" s="37">
        <f>SUMIFS(Wine1!$I:$I,Wine1!$K:$K,Location!$A113,Wine1!$AA:$AA,Location!BB$1)</f>
        <v>0</v>
      </c>
      <c r="BC113" s="37">
        <f>SUMIFS(Wine1!$I:$I,Wine1!$K:$K,Location!$A113,Wine1!$AA:$AA,Location!BC$1)</f>
        <v>0</v>
      </c>
      <c r="BD113" s="37">
        <f>SUMIFS(Wine1!$I:$I,Wine1!$K:$K,Location!$A113,Wine1!$AA:$AA,Location!BD$1)</f>
        <v>0</v>
      </c>
      <c r="BE113" s="37">
        <f>SUMIFS(Wine1!$I:$I,Wine1!$K:$K,Location!$A113,Wine1!$AA:$AA,Location!BE$1)</f>
        <v>0</v>
      </c>
      <c r="BF113" s="37">
        <f>SUMIFS(Wine1!$I:$I,Wine1!$K:$K,Location!$A113,Wine1!$AA:$AA,Location!BF$1)</f>
        <v>0</v>
      </c>
      <c r="BG113" s="37">
        <f>SUMIFS(Wine1!$I:$I,Wine1!$K:$K,Location!$A113,Wine1!$AA:$AA,Location!BG$1)</f>
        <v>0</v>
      </c>
      <c r="BH113" s="37">
        <f>SUMIFS(Wine1!$I:$I,Wine1!$K:$K,Location!$A113,Wine1!$AA:$AA,Location!BH$1)</f>
        <v>0</v>
      </c>
      <c r="BI113" s="37">
        <f>SUMIFS(Wine1!$I:$I,Wine1!$K:$K,Location!$A113,Wine1!$AA:$AA,Location!BI$1)</f>
        <v>0</v>
      </c>
    </row>
    <row r="114" spans="1:61" s="37" customFormat="1" x14ac:dyDescent="0.25">
      <c r="A114" s="20" t="s">
        <v>435</v>
      </c>
      <c r="B114" s="37">
        <f>SUMIF(Wine1!K:K,Location!A114,Wine1!I:I)</f>
        <v>43</v>
      </c>
      <c r="C114" s="37">
        <v>100</v>
      </c>
      <c r="D114" s="37">
        <f t="shared" si="3"/>
        <v>57</v>
      </c>
      <c r="E114" s="37" t="s">
        <v>602</v>
      </c>
      <c r="F114" s="37" t="s">
        <v>719</v>
      </c>
      <c r="H114" s="56">
        <f>COUNTIFS(Wine1!$K:$K,Location!$A114,Wine1!$AF:$AF,Location!H$1)</f>
        <v>14</v>
      </c>
      <c r="I114" s="57">
        <f>COUNTIFS(Wine1!$K:$K,Location!$A114,Wine1!$AF:$AF,Location!I$1)</f>
        <v>1</v>
      </c>
      <c r="J114" s="57">
        <f>COUNTIFS(Wine1!$K:$K,Location!$A114,Wine1!$AF:$AF,Location!J$1)</f>
        <v>21</v>
      </c>
      <c r="K114" s="58">
        <f>COUNTIFS(Wine1!$K:$K,Location!$A114,Wine1!$AF:$AF,Location!K$1)</f>
        <v>7</v>
      </c>
      <c r="L114" s="18">
        <f>IFERROR(AVERAGEIF(Wine1!K:K,Location!A114,Wine1!AA:AA),"Empty")</f>
        <v>2025.6976744186047</v>
      </c>
      <c r="M114" s="37">
        <f>SUMIFS(Wine1!$I:$I,Wine1!$K:$K,Location!$A114,Wine1!$AA:$AA,Location!M$1)</f>
        <v>15</v>
      </c>
      <c r="N114" s="37">
        <f>SUMIFS(Wine1!$I:$I,Wine1!$K:$K,Location!$A114,Wine1!$AA:$AA,Location!N$1)</f>
        <v>5</v>
      </c>
      <c r="O114" s="37">
        <f>SUMIFS(Wine1!$I:$I,Wine1!$K:$K,Location!$A114,Wine1!$AA:$AA,Location!O$1)</f>
        <v>1</v>
      </c>
      <c r="P114" s="37">
        <f>SUMIFS(Wine1!$I:$I,Wine1!$K:$K,Location!$A114,Wine1!$AA:$AA,Location!P$1)</f>
        <v>2</v>
      </c>
      <c r="Q114" s="37">
        <f>SUMIFS(Wine1!$I:$I,Wine1!$K:$K,Location!$A114,Wine1!$AA:$AA,Location!Q$1)</f>
        <v>0</v>
      </c>
      <c r="R114" s="37">
        <f>SUMIFS(Wine1!$I:$I,Wine1!$K:$K,Location!$A114,Wine1!$AA:$AA,Location!R$1)</f>
        <v>2</v>
      </c>
      <c r="S114" s="37">
        <f>SUMIFS(Wine1!$I:$I,Wine1!$K:$K,Location!$A114,Wine1!$AA:$AA,Location!S$1)</f>
        <v>1</v>
      </c>
      <c r="T114" s="37">
        <f>SUMIFS(Wine1!$I:$I,Wine1!$K:$K,Location!$A114,Wine1!$AA:$AA,Location!T$1)</f>
        <v>2</v>
      </c>
      <c r="U114" s="37">
        <f>SUMIFS(Wine1!$I:$I,Wine1!$K:$K,Location!$A114,Wine1!$AA:$AA,Location!U$1)</f>
        <v>2</v>
      </c>
      <c r="V114" s="37">
        <f>SUMIFS(Wine1!$I:$I,Wine1!$K:$K,Location!$A114,Wine1!$AA:$AA,Location!V$1)</f>
        <v>1</v>
      </c>
      <c r="W114" s="37">
        <f>SUMIFS(Wine1!$I:$I,Wine1!$K:$K,Location!$A114,Wine1!$AA:$AA,Location!W$1)</f>
        <v>0</v>
      </c>
      <c r="X114" s="37">
        <f>SUMIFS(Wine1!$I:$I,Wine1!$K:$K,Location!$A114,Wine1!$AA:$AA,Location!X$1)</f>
        <v>5</v>
      </c>
      <c r="Y114" s="37">
        <f>SUMIFS(Wine1!$I:$I,Wine1!$K:$K,Location!$A114,Wine1!$AA:$AA,Location!Y$1)</f>
        <v>1</v>
      </c>
      <c r="Z114" s="37">
        <f>SUMIFS(Wine1!$I:$I,Wine1!$K:$K,Location!$A114,Wine1!$AA:$AA,Location!Z$1)</f>
        <v>0</v>
      </c>
      <c r="AA114" s="37">
        <f>SUMIFS(Wine1!$I:$I,Wine1!$K:$K,Location!$A114,Wine1!$AA:$AA,Location!AA$1)</f>
        <v>0</v>
      </c>
      <c r="AB114" s="37">
        <f>SUMIFS(Wine1!$I:$I,Wine1!$K:$K,Location!$A114,Wine1!$AA:$AA,Location!AB$1)</f>
        <v>3</v>
      </c>
      <c r="AC114" s="37">
        <f>SUMIFS(Wine1!$I:$I,Wine1!$K:$K,Location!$A114,Wine1!$AA:$AA,Location!AC$1)</f>
        <v>0</v>
      </c>
      <c r="AD114" s="37">
        <f>SUMIFS(Wine1!$I:$I,Wine1!$K:$K,Location!$A114,Wine1!$AA:$AA,Location!AD$1)</f>
        <v>0</v>
      </c>
      <c r="AE114" s="37">
        <f>SUMIFS(Wine1!$I:$I,Wine1!$K:$K,Location!$A114,Wine1!$AA:$AA,Location!AE$1)</f>
        <v>0</v>
      </c>
      <c r="AF114" s="37">
        <f>SUMIFS(Wine1!$I:$I,Wine1!$K:$K,Location!$A114,Wine1!$AA:$AA,Location!AF$1)</f>
        <v>0</v>
      </c>
      <c r="AG114" s="37">
        <f>SUMIFS(Wine1!$I:$I,Wine1!$K:$K,Location!$A114,Wine1!$AA:$AA,Location!AG$1)</f>
        <v>2</v>
      </c>
      <c r="AH114" s="37">
        <f>SUMIFS(Wine1!$I:$I,Wine1!$K:$K,Location!$A114,Wine1!$AA:$AA,Location!AH$1)</f>
        <v>0</v>
      </c>
      <c r="AI114" s="37">
        <f>SUMIFS(Wine1!$I:$I,Wine1!$K:$K,Location!$A114,Wine1!$AA:$AA,Location!AI$1)</f>
        <v>0</v>
      </c>
      <c r="AJ114" s="37">
        <f>SUMIFS(Wine1!$I:$I,Wine1!$K:$K,Location!$A114,Wine1!$AA:$AA,Location!AJ$1)</f>
        <v>0</v>
      </c>
      <c r="AK114" s="37">
        <f>SUMIFS(Wine1!$I:$I,Wine1!$K:$K,Location!$A114,Wine1!$AA:$AA,Location!AK$1)</f>
        <v>0</v>
      </c>
      <c r="AL114" s="37">
        <f>SUMIFS(Wine1!$I:$I,Wine1!$K:$K,Location!$A114,Wine1!$AA:$AA,Location!AL$1)</f>
        <v>1</v>
      </c>
      <c r="AM114" s="37">
        <f>SUMIFS(Wine1!$I:$I,Wine1!$K:$K,Location!$A114,Wine1!$AA:$AA,Location!AM$1)</f>
        <v>0</v>
      </c>
      <c r="AN114" s="37">
        <f>SUMIFS(Wine1!$I:$I,Wine1!$K:$K,Location!$A114,Wine1!$AA:$AA,Location!AN$1)</f>
        <v>0</v>
      </c>
      <c r="AO114" s="37">
        <f>SUMIFS(Wine1!$I:$I,Wine1!$K:$K,Location!$A114,Wine1!$AA:$AA,Location!AO$1)</f>
        <v>0</v>
      </c>
      <c r="AP114" s="37">
        <f>SUMIFS(Wine1!$I:$I,Wine1!$K:$K,Location!$A114,Wine1!$AA:$AA,Location!AP$1)</f>
        <v>0</v>
      </c>
      <c r="AQ114" s="37">
        <f>SUMIFS(Wine1!$I:$I,Wine1!$K:$K,Location!$A114,Wine1!$AA:$AA,Location!AQ$1)</f>
        <v>0</v>
      </c>
      <c r="AR114" s="37">
        <f>SUMIFS(Wine1!$I:$I,Wine1!$K:$K,Location!$A114,Wine1!$AA:$AA,Location!AR$1)</f>
        <v>0</v>
      </c>
      <c r="AS114" s="37">
        <f>SUMIFS(Wine1!$I:$I,Wine1!$K:$K,Location!$A114,Wine1!$AA:$AA,Location!AS$1)</f>
        <v>0</v>
      </c>
      <c r="AT114" s="37">
        <f>SUMIFS(Wine1!$I:$I,Wine1!$K:$K,Location!$A114,Wine1!$AA:$AA,Location!AT$1)</f>
        <v>0</v>
      </c>
      <c r="AU114" s="37">
        <f>SUMIFS(Wine1!$I:$I,Wine1!$K:$K,Location!$A114,Wine1!$AA:$AA,Location!AU$1)</f>
        <v>0</v>
      </c>
      <c r="AV114" s="37">
        <f>SUMIFS(Wine1!$I:$I,Wine1!$K:$K,Location!$A114,Wine1!$AA:$AA,Location!AV$1)</f>
        <v>0</v>
      </c>
      <c r="AW114" s="37">
        <f>SUMIFS(Wine1!$I:$I,Wine1!$K:$K,Location!$A114,Wine1!$AA:$AA,Location!AW$1)</f>
        <v>0</v>
      </c>
      <c r="AX114" s="37">
        <f>SUMIFS(Wine1!$I:$I,Wine1!$K:$K,Location!$A114,Wine1!$AA:$AA,Location!AX$1)</f>
        <v>0</v>
      </c>
      <c r="AY114" s="37">
        <f>SUMIFS(Wine1!$I:$I,Wine1!$K:$K,Location!$A114,Wine1!$AA:$AA,Location!AY$1)</f>
        <v>0</v>
      </c>
      <c r="AZ114" s="37">
        <f>SUMIFS(Wine1!$I:$I,Wine1!$K:$K,Location!$A114,Wine1!$AA:$AA,Location!AZ$1)</f>
        <v>0</v>
      </c>
      <c r="BA114" s="37">
        <f>SUMIFS(Wine1!$I:$I,Wine1!$K:$K,Location!$A114,Wine1!$AA:$AA,Location!BA$1)</f>
        <v>0</v>
      </c>
      <c r="BB114" s="37">
        <f>SUMIFS(Wine1!$I:$I,Wine1!$K:$K,Location!$A114,Wine1!$AA:$AA,Location!BB$1)</f>
        <v>0</v>
      </c>
      <c r="BC114" s="37">
        <f>SUMIFS(Wine1!$I:$I,Wine1!$K:$K,Location!$A114,Wine1!$AA:$AA,Location!BC$1)</f>
        <v>0</v>
      </c>
      <c r="BD114" s="37">
        <f>SUMIFS(Wine1!$I:$I,Wine1!$K:$K,Location!$A114,Wine1!$AA:$AA,Location!BD$1)</f>
        <v>0</v>
      </c>
      <c r="BE114" s="37">
        <f>SUMIFS(Wine1!$I:$I,Wine1!$K:$K,Location!$A114,Wine1!$AA:$AA,Location!BE$1)</f>
        <v>0</v>
      </c>
      <c r="BF114" s="37">
        <f>SUMIFS(Wine1!$I:$I,Wine1!$K:$K,Location!$A114,Wine1!$AA:$AA,Location!BF$1)</f>
        <v>0</v>
      </c>
      <c r="BG114" s="37">
        <f>SUMIFS(Wine1!$I:$I,Wine1!$K:$K,Location!$A114,Wine1!$AA:$AA,Location!BG$1)</f>
        <v>0</v>
      </c>
      <c r="BH114" s="37">
        <f>SUMIFS(Wine1!$I:$I,Wine1!$K:$K,Location!$A114,Wine1!$AA:$AA,Location!BH$1)</f>
        <v>0</v>
      </c>
      <c r="BI114" s="37">
        <f>SUMIFS(Wine1!$I:$I,Wine1!$K:$K,Location!$A114,Wine1!$AA:$AA,Location!BI$1)</f>
        <v>0</v>
      </c>
    </row>
    <row r="115" spans="1:61" x14ac:dyDescent="0.25">
      <c r="H115" s="37">
        <f>SUM(H1:H114)</f>
        <v>224</v>
      </c>
      <c r="I115" s="37">
        <f>SUM(I1:I114)</f>
        <v>300</v>
      </c>
      <c r="J115" s="37">
        <f>SUM(J1:J114)</f>
        <v>617</v>
      </c>
      <c r="K115" s="37">
        <f>SUM(K1:K114)</f>
        <v>143</v>
      </c>
      <c r="M115" s="37">
        <f t="shared" ref="M115:AQ115" si="4">SUM(M2:M113)</f>
        <v>116</v>
      </c>
      <c r="N115" s="37">
        <f t="shared" si="4"/>
        <v>147</v>
      </c>
      <c r="O115" s="37">
        <f t="shared" si="4"/>
        <v>107</v>
      </c>
      <c r="P115" s="37">
        <f t="shared" si="4"/>
        <v>94</v>
      </c>
      <c r="Q115" s="37">
        <f t="shared" si="4"/>
        <v>88</v>
      </c>
      <c r="R115" s="37">
        <f t="shared" si="4"/>
        <v>69</v>
      </c>
      <c r="S115" s="37">
        <f t="shared" si="4"/>
        <v>74</v>
      </c>
      <c r="T115" s="37">
        <f t="shared" si="4"/>
        <v>65</v>
      </c>
      <c r="U115" s="37">
        <f t="shared" si="4"/>
        <v>81</v>
      </c>
      <c r="V115" s="37">
        <f t="shared" si="4"/>
        <v>60</v>
      </c>
      <c r="W115" s="37">
        <f t="shared" si="4"/>
        <v>60</v>
      </c>
      <c r="X115" s="37">
        <f t="shared" si="4"/>
        <v>34</v>
      </c>
      <c r="Y115" s="37">
        <f t="shared" si="4"/>
        <v>31</v>
      </c>
      <c r="Z115" s="37">
        <f t="shared" si="4"/>
        <v>34</v>
      </c>
      <c r="AA115" s="37">
        <f t="shared" si="4"/>
        <v>27</v>
      </c>
      <c r="AB115" s="37">
        <f t="shared" si="4"/>
        <v>29</v>
      </c>
      <c r="AC115" s="37">
        <f t="shared" si="4"/>
        <v>17</v>
      </c>
      <c r="AD115" s="37">
        <f t="shared" si="4"/>
        <v>15</v>
      </c>
      <c r="AE115" s="37">
        <f t="shared" si="4"/>
        <v>15</v>
      </c>
      <c r="AF115" s="37">
        <f t="shared" si="4"/>
        <v>9</v>
      </c>
      <c r="AG115" s="37">
        <f t="shared" si="4"/>
        <v>19</v>
      </c>
      <c r="AH115" s="37">
        <f t="shared" si="4"/>
        <v>5</v>
      </c>
      <c r="AI115" s="37">
        <f t="shared" si="4"/>
        <v>10</v>
      </c>
      <c r="AJ115" s="37">
        <f t="shared" si="4"/>
        <v>2</v>
      </c>
      <c r="AK115" s="37">
        <f t="shared" si="4"/>
        <v>2</v>
      </c>
      <c r="AL115" s="37">
        <f t="shared" si="4"/>
        <v>9</v>
      </c>
      <c r="AM115" s="37">
        <f t="shared" si="4"/>
        <v>3</v>
      </c>
      <c r="AN115" s="37">
        <f t="shared" si="4"/>
        <v>0</v>
      </c>
      <c r="AO115" s="37">
        <f t="shared" si="4"/>
        <v>1</v>
      </c>
      <c r="AP115" s="37">
        <f t="shared" si="4"/>
        <v>1</v>
      </c>
      <c r="AQ115" s="37">
        <f t="shared" si="4"/>
        <v>4</v>
      </c>
      <c r="AR115">
        <f>SUM(AR2:AR113)</f>
        <v>2</v>
      </c>
      <c r="AS115" s="37">
        <f t="shared" ref="AS115:BI115" si="5">SUM(AS2:AS113)</f>
        <v>0</v>
      </c>
      <c r="AT115" s="37">
        <f t="shared" si="5"/>
        <v>0</v>
      </c>
      <c r="AU115" s="37">
        <f t="shared" si="5"/>
        <v>1</v>
      </c>
      <c r="AV115" s="37">
        <f t="shared" si="5"/>
        <v>0</v>
      </c>
      <c r="AW115" s="37">
        <f t="shared" si="5"/>
        <v>0</v>
      </c>
      <c r="AX115" s="37">
        <f t="shared" si="5"/>
        <v>0</v>
      </c>
      <c r="AY115" s="37">
        <f t="shared" si="5"/>
        <v>0</v>
      </c>
      <c r="AZ115" s="37">
        <f t="shared" si="5"/>
        <v>0</v>
      </c>
      <c r="BA115" s="37">
        <f t="shared" si="5"/>
        <v>0</v>
      </c>
      <c r="BB115" s="37">
        <f t="shared" si="5"/>
        <v>0</v>
      </c>
      <c r="BC115" s="37">
        <f t="shared" si="5"/>
        <v>0</v>
      </c>
      <c r="BD115" s="37">
        <f t="shared" si="5"/>
        <v>0</v>
      </c>
      <c r="BE115" s="37">
        <f t="shared" si="5"/>
        <v>0</v>
      </c>
      <c r="BF115" s="37">
        <f t="shared" si="5"/>
        <v>0</v>
      </c>
      <c r="BG115" s="37">
        <f t="shared" si="5"/>
        <v>0</v>
      </c>
      <c r="BH115" s="37">
        <f t="shared" si="5"/>
        <v>0</v>
      </c>
      <c r="BI115" s="37">
        <f t="shared" si="5"/>
        <v>0</v>
      </c>
    </row>
    <row r="118" spans="1:61" x14ac:dyDescent="0.25">
      <c r="L118" s="1"/>
    </row>
  </sheetData>
  <autoFilter ref="A1:AR115" xr:uid="{2A30CDE8-6A1B-46C4-A369-00399F8F4580}"/>
  <sortState xmlns:xlrd2="http://schemas.microsoft.com/office/spreadsheetml/2017/richdata2" ref="D118:D619">
    <sortCondition ref="D118:D619"/>
  </sortState>
  <phoneticPr fontId="19" type="noConversion"/>
  <conditionalFormatting sqref="M2:BI114">
    <cfRule type="dataBar" priority="2">
      <dataBar>
        <cfvo type="num" val="0"/>
        <cfvo type="num" val="12"/>
        <color rgb="FFFF0000"/>
      </dataBar>
      <extLst>
        <ext xmlns:x14="http://schemas.microsoft.com/office/spreadsheetml/2009/9/main" uri="{B025F937-C7B1-47D3-B67F-A62EFF666E3E}">
          <x14:id>{CD868539-0F9A-485C-ACCE-F2F3D0B60205}</x14:id>
        </ext>
      </extLst>
    </cfRule>
  </conditionalFormatting>
  <conditionalFormatting sqref="H2:K114">
    <cfRule type="dataBar" priority="1">
      <dataBar>
        <cfvo type="num" val="0"/>
        <cfvo type="num" val="12"/>
        <color rgb="FF0070C0"/>
      </dataBar>
      <extLst>
        <ext xmlns:x14="http://schemas.microsoft.com/office/spreadsheetml/2009/9/main" uri="{B025F937-C7B1-47D3-B67F-A62EFF666E3E}">
          <x14:id>{B9ED627F-28B3-420C-8277-13073283669D}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868539-0F9A-485C-ACCE-F2F3D0B60205}">
            <x14:dataBar minLength="0" maxLength="100">
              <x14:cfvo type="num">
                <xm:f>0</xm:f>
              </x14:cfvo>
              <x14:cfvo type="num">
                <xm:f>12</xm:f>
              </x14:cfvo>
              <x14:negativeFillColor rgb="FFFF0000"/>
              <x14:axisColor rgb="FF000000"/>
            </x14:dataBar>
          </x14:cfRule>
          <xm:sqref>M2:BI114</xm:sqref>
        </x14:conditionalFormatting>
        <x14:conditionalFormatting xmlns:xm="http://schemas.microsoft.com/office/excel/2006/main">
          <x14:cfRule type="dataBar" id="{B9ED627F-28B3-420C-8277-13073283669D}">
            <x14:dataBar minLength="0" maxLength="100">
              <x14:cfvo type="num">
                <xm:f>0</xm:f>
              </x14:cfvo>
              <x14:cfvo type="num">
                <xm:f>12</xm:f>
              </x14:cfvo>
              <x14:negativeFillColor rgb="FFFF0000"/>
              <x14:axisColor rgb="FF000000"/>
            </x14:dataBar>
          </x14:cfRule>
          <xm:sqref>H2:K114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32"/>
  <sheetViews>
    <sheetView topLeftCell="A49" workbookViewId="0">
      <selection activeCell="A79" sqref="A79"/>
    </sheetView>
  </sheetViews>
  <sheetFormatPr defaultRowHeight="15" x14ac:dyDescent="0.25"/>
  <cols>
    <col min="1" max="1" width="81.140625" bestFit="1" customWidth="1"/>
    <col min="10" max="10" width="81.140625" bestFit="1" customWidth="1"/>
    <col min="11" max="11" width="11.140625" style="37" customWidth="1"/>
    <col min="13" max="13" width="10.5703125" customWidth="1"/>
    <col min="15" max="15" width="10.5703125" bestFit="1" customWidth="1"/>
    <col min="18" max="18" width="10.85546875" bestFit="1" customWidth="1"/>
    <col min="21" max="21" width="9.28515625" bestFit="1" customWidth="1"/>
    <col min="22" max="22" width="10.5703125" bestFit="1" customWidth="1"/>
    <col min="24" max="24" width="9.28515625" bestFit="1" customWidth="1"/>
  </cols>
  <sheetData>
    <row r="1" spans="1:25" x14ac:dyDescent="0.25">
      <c r="A1" t="s">
        <v>25</v>
      </c>
      <c r="F1">
        <v>0</v>
      </c>
      <c r="G1" t="s">
        <v>309</v>
      </c>
    </row>
    <row r="2" spans="1:25" x14ac:dyDescent="0.25">
      <c r="A2" t="s">
        <v>102</v>
      </c>
      <c r="F2">
        <v>1</v>
      </c>
      <c r="G2" t="s">
        <v>306</v>
      </c>
    </row>
    <row r="3" spans="1:25" x14ac:dyDescent="0.25">
      <c r="A3" t="s">
        <v>58</v>
      </c>
      <c r="F3">
        <v>2</v>
      </c>
      <c r="G3" t="s">
        <v>307</v>
      </c>
    </row>
    <row r="4" spans="1:25" x14ac:dyDescent="0.25">
      <c r="A4" t="s">
        <v>656</v>
      </c>
      <c r="F4">
        <v>3</v>
      </c>
      <c r="G4" t="s">
        <v>308</v>
      </c>
    </row>
    <row r="5" spans="1:25" x14ac:dyDescent="0.25">
      <c r="A5" t="s">
        <v>655</v>
      </c>
    </row>
    <row r="6" spans="1:25" x14ac:dyDescent="0.25">
      <c r="A6" t="s">
        <v>654</v>
      </c>
    </row>
    <row r="7" spans="1:25" x14ac:dyDescent="0.25">
      <c r="A7" t="s">
        <v>653</v>
      </c>
      <c r="N7" s="2"/>
      <c r="U7" s="2"/>
      <c r="V7" s="2"/>
    </row>
    <row r="8" spans="1:25" x14ac:dyDescent="0.25">
      <c r="A8" t="s">
        <v>652</v>
      </c>
      <c r="U8" s="2"/>
      <c r="V8" s="2"/>
    </row>
    <row r="9" spans="1:25" x14ac:dyDescent="0.25">
      <c r="A9" t="s">
        <v>651</v>
      </c>
      <c r="G9" t="s">
        <v>679</v>
      </c>
      <c r="Q9" s="8"/>
      <c r="R9" s="8"/>
      <c r="S9" s="8"/>
      <c r="T9" s="8"/>
      <c r="U9" s="8"/>
      <c r="V9" s="16"/>
      <c r="W9" s="8"/>
      <c r="X9" s="8"/>
      <c r="Y9" s="8"/>
    </row>
    <row r="10" spans="1:25" x14ac:dyDescent="0.25">
      <c r="A10" t="s">
        <v>650</v>
      </c>
      <c r="G10">
        <v>1</v>
      </c>
      <c r="Q10" s="8"/>
      <c r="R10" s="8"/>
      <c r="S10" s="8"/>
      <c r="T10" s="8"/>
      <c r="U10" s="8"/>
      <c r="V10" s="8"/>
      <c r="W10" s="8"/>
      <c r="X10" s="8"/>
      <c r="Y10" s="8"/>
    </row>
    <row r="11" spans="1:25" x14ac:dyDescent="0.25">
      <c r="A11" t="s">
        <v>649</v>
      </c>
      <c r="G11">
        <v>2</v>
      </c>
      <c r="Q11" s="8"/>
      <c r="R11" s="8"/>
      <c r="S11" s="8"/>
      <c r="T11" s="8"/>
      <c r="U11" s="8"/>
      <c r="V11" s="8"/>
      <c r="W11" s="8"/>
      <c r="X11" s="8"/>
      <c r="Y11" s="8"/>
    </row>
    <row r="12" spans="1:25" x14ac:dyDescent="0.25">
      <c r="A12" t="s">
        <v>648</v>
      </c>
      <c r="G12">
        <v>3</v>
      </c>
      <c r="Q12" s="8"/>
      <c r="R12" s="8"/>
      <c r="S12" s="8"/>
      <c r="T12" s="8"/>
      <c r="U12" s="8"/>
      <c r="V12" s="8"/>
      <c r="W12" s="8"/>
      <c r="X12" s="8"/>
      <c r="Y12" s="8"/>
    </row>
    <row r="13" spans="1:25" x14ac:dyDescent="0.25">
      <c r="A13" t="s">
        <v>647</v>
      </c>
      <c r="G13">
        <v>4</v>
      </c>
      <c r="Q13" s="8"/>
      <c r="R13" s="8"/>
      <c r="S13" s="8"/>
      <c r="T13" s="8"/>
      <c r="U13" s="14"/>
      <c r="V13" s="14"/>
      <c r="W13" s="14"/>
      <c r="X13" s="14"/>
      <c r="Y13" s="8"/>
    </row>
    <row r="14" spans="1:25" x14ac:dyDescent="0.25">
      <c r="A14" t="s">
        <v>646</v>
      </c>
      <c r="Q14" s="8"/>
      <c r="R14" s="8"/>
      <c r="S14" s="8"/>
      <c r="T14" s="8"/>
      <c r="U14" s="14"/>
      <c r="V14" s="14"/>
      <c r="W14" s="14"/>
      <c r="X14" s="14"/>
      <c r="Y14" s="8"/>
    </row>
    <row r="15" spans="1:25" x14ac:dyDescent="0.25">
      <c r="A15" t="s">
        <v>645</v>
      </c>
      <c r="Q15" s="8"/>
      <c r="R15" s="8"/>
      <c r="S15" s="8"/>
      <c r="T15" s="8"/>
      <c r="U15" s="14"/>
      <c r="V15" s="14"/>
      <c r="W15" s="14"/>
      <c r="X15" s="14"/>
      <c r="Y15" s="8"/>
    </row>
    <row r="16" spans="1:25" x14ac:dyDescent="0.25">
      <c r="A16" t="s">
        <v>644</v>
      </c>
      <c r="Q16" s="8"/>
      <c r="R16" s="8"/>
      <c r="S16" s="8"/>
      <c r="T16" s="8"/>
      <c r="U16" s="14"/>
      <c r="V16" s="14"/>
      <c r="W16" s="14"/>
      <c r="X16" s="14"/>
      <c r="Y16" s="8"/>
    </row>
    <row r="17" spans="1:25" x14ac:dyDescent="0.25">
      <c r="A17" t="s">
        <v>643</v>
      </c>
      <c r="Q17" s="8"/>
      <c r="R17" s="8"/>
      <c r="S17" s="8"/>
      <c r="T17" s="8"/>
      <c r="U17" s="14"/>
      <c r="V17" s="14"/>
      <c r="W17" s="14"/>
      <c r="X17" s="14"/>
      <c r="Y17" s="8"/>
    </row>
    <row r="18" spans="1:25" x14ac:dyDescent="0.25">
      <c r="A18" t="s">
        <v>642</v>
      </c>
      <c r="Q18" s="8"/>
      <c r="R18" s="8"/>
      <c r="S18" s="8"/>
      <c r="T18" s="8"/>
      <c r="U18" s="14"/>
      <c r="V18" s="14"/>
      <c r="W18" s="14"/>
      <c r="X18" s="14"/>
      <c r="Y18" s="8"/>
    </row>
    <row r="19" spans="1:25" x14ac:dyDescent="0.25">
      <c r="A19" t="s">
        <v>641</v>
      </c>
      <c r="Q19" s="8"/>
      <c r="R19" s="8"/>
      <c r="S19" s="8"/>
      <c r="T19" s="8"/>
      <c r="U19" s="14"/>
      <c r="V19" s="14"/>
      <c r="W19" s="14"/>
      <c r="X19" s="14"/>
      <c r="Y19" s="8"/>
    </row>
    <row r="20" spans="1:25" x14ac:dyDescent="0.25">
      <c r="A20" t="s">
        <v>589</v>
      </c>
      <c r="Q20" s="8"/>
      <c r="R20" s="8"/>
      <c r="S20" s="8"/>
      <c r="T20" s="8"/>
      <c r="U20" s="14"/>
      <c r="V20" s="14"/>
      <c r="W20" s="14"/>
      <c r="X20" s="14"/>
      <c r="Y20" s="8"/>
    </row>
    <row r="21" spans="1:25" x14ac:dyDescent="0.25">
      <c r="A21" t="s">
        <v>590</v>
      </c>
      <c r="Q21" s="8"/>
      <c r="R21" s="8"/>
      <c r="S21" s="8"/>
      <c r="T21" s="8"/>
      <c r="U21" s="14"/>
      <c r="V21" s="14"/>
      <c r="W21" s="14"/>
      <c r="X21" s="14"/>
      <c r="Y21" s="8"/>
    </row>
    <row r="22" spans="1:25" x14ac:dyDescent="0.25">
      <c r="A22" t="s">
        <v>591</v>
      </c>
      <c r="Q22" s="8"/>
      <c r="R22" s="8"/>
      <c r="S22" s="8"/>
      <c r="T22" s="8"/>
      <c r="U22" s="14"/>
      <c r="V22" s="14"/>
      <c r="W22" s="14"/>
      <c r="X22" s="14"/>
      <c r="Y22" s="8"/>
    </row>
    <row r="23" spans="1:25" x14ac:dyDescent="0.25">
      <c r="A23" t="s">
        <v>594</v>
      </c>
      <c r="Q23" s="8"/>
      <c r="R23" s="8"/>
      <c r="S23" s="8"/>
      <c r="T23" s="8"/>
      <c r="U23" s="14"/>
      <c r="V23" s="14"/>
      <c r="W23" s="14"/>
      <c r="X23" s="14"/>
      <c r="Y23" s="8"/>
    </row>
    <row r="24" spans="1:25" s="37" customFormat="1" x14ac:dyDescent="0.25">
      <c r="A24" s="37" t="s">
        <v>619</v>
      </c>
      <c r="Q24" s="8"/>
      <c r="R24" s="8"/>
      <c r="S24" s="8"/>
      <c r="T24" s="8"/>
      <c r="U24" s="14"/>
      <c r="V24" s="14"/>
      <c r="W24" s="14"/>
      <c r="X24" s="14"/>
      <c r="Y24" s="8"/>
    </row>
    <row r="25" spans="1:25" s="37" customFormat="1" x14ac:dyDescent="0.25">
      <c r="A25" s="37" t="s">
        <v>625</v>
      </c>
      <c r="Q25" s="8"/>
      <c r="R25" s="8"/>
      <c r="S25" s="8"/>
      <c r="T25" s="8"/>
      <c r="U25" s="14"/>
      <c r="V25" s="14"/>
      <c r="W25" s="14"/>
      <c r="X25" s="14"/>
      <c r="Y25" s="8"/>
    </row>
    <row r="26" spans="1:25" s="37" customFormat="1" x14ac:dyDescent="0.25">
      <c r="A26" s="37" t="s">
        <v>626</v>
      </c>
      <c r="Q26" s="8"/>
      <c r="R26" s="8"/>
      <c r="S26" s="8"/>
      <c r="T26" s="8"/>
      <c r="U26" s="14"/>
      <c r="V26" s="14"/>
      <c r="W26" s="14"/>
      <c r="X26" s="14"/>
      <c r="Y26" s="8"/>
    </row>
    <row r="27" spans="1:25" s="37" customFormat="1" x14ac:dyDescent="0.25">
      <c r="A27" s="37" t="s">
        <v>627</v>
      </c>
      <c r="Q27" s="8"/>
      <c r="R27" s="8"/>
      <c r="S27" s="8"/>
      <c r="T27" s="8"/>
      <c r="U27" s="14"/>
      <c r="V27" s="14"/>
      <c r="W27" s="14"/>
      <c r="X27" s="14"/>
      <c r="Y27" s="8"/>
    </row>
    <row r="28" spans="1:25" s="37" customFormat="1" x14ac:dyDescent="0.25">
      <c r="A28" s="37" t="s">
        <v>640</v>
      </c>
      <c r="Q28" s="8"/>
      <c r="R28" s="8"/>
      <c r="S28" s="8"/>
      <c r="T28" s="8"/>
      <c r="U28" s="14"/>
      <c r="V28" s="14"/>
      <c r="W28" s="14"/>
      <c r="X28" s="14"/>
      <c r="Y28" s="8"/>
    </row>
    <row r="29" spans="1:25" s="37" customFormat="1" x14ac:dyDescent="0.25">
      <c r="A29" s="37" t="s">
        <v>657</v>
      </c>
      <c r="Q29" s="8"/>
      <c r="R29" s="8"/>
      <c r="S29" s="8"/>
      <c r="T29" s="8"/>
      <c r="U29" s="14"/>
      <c r="V29" s="14"/>
      <c r="W29" s="14"/>
      <c r="X29" s="14"/>
      <c r="Y29" s="8"/>
    </row>
    <row r="30" spans="1:25" s="37" customFormat="1" x14ac:dyDescent="0.25">
      <c r="A30" s="37" t="s">
        <v>661</v>
      </c>
      <c r="Q30" s="8"/>
      <c r="R30" s="8"/>
      <c r="S30" s="8"/>
      <c r="T30" s="8"/>
      <c r="U30" s="14"/>
      <c r="V30" s="14"/>
      <c r="W30" s="14"/>
      <c r="X30" s="14"/>
      <c r="Y30" s="8"/>
    </row>
    <row r="31" spans="1:25" s="37" customFormat="1" x14ac:dyDescent="0.25">
      <c r="A31" s="37" t="s">
        <v>716</v>
      </c>
      <c r="Q31" s="8"/>
      <c r="R31" s="8"/>
      <c r="S31" s="8"/>
      <c r="T31" s="8"/>
      <c r="U31" s="14"/>
      <c r="V31" s="14"/>
      <c r="W31" s="14"/>
      <c r="X31" s="14"/>
      <c r="Y31" s="8"/>
    </row>
    <row r="32" spans="1:25" s="37" customFormat="1" x14ac:dyDescent="0.25">
      <c r="A32" s="37" t="s">
        <v>839</v>
      </c>
      <c r="Q32" s="8"/>
      <c r="R32" s="8"/>
      <c r="S32" s="8"/>
      <c r="T32" s="8"/>
      <c r="U32" s="14"/>
      <c r="V32" s="14"/>
      <c r="W32" s="14"/>
      <c r="X32" s="14"/>
      <c r="Y32" s="8"/>
    </row>
    <row r="33" spans="1:25" s="37" customFormat="1" x14ac:dyDescent="0.25">
      <c r="A33" s="37" t="s">
        <v>926</v>
      </c>
      <c r="Q33" s="8"/>
      <c r="R33" s="8"/>
      <c r="S33" s="8"/>
      <c r="T33" s="8"/>
      <c r="U33" s="14"/>
      <c r="V33" s="14"/>
      <c r="W33" s="14"/>
      <c r="X33" s="14"/>
      <c r="Y33" s="8"/>
    </row>
    <row r="34" spans="1:25" s="37" customFormat="1" x14ac:dyDescent="0.25">
      <c r="A34" s="37" t="s">
        <v>927</v>
      </c>
      <c r="Q34" s="8"/>
      <c r="R34" s="8"/>
      <c r="S34" s="8"/>
      <c r="T34" s="8"/>
      <c r="U34" s="14"/>
      <c r="V34" s="14"/>
      <c r="W34" s="14"/>
      <c r="X34" s="14"/>
      <c r="Y34" s="8"/>
    </row>
    <row r="35" spans="1:25" s="37" customFormat="1" x14ac:dyDescent="0.25">
      <c r="A35" s="37" t="s">
        <v>928</v>
      </c>
      <c r="Q35" s="8"/>
      <c r="R35" s="8"/>
      <c r="S35" s="8"/>
      <c r="T35" s="8"/>
      <c r="U35" s="14"/>
      <c r="V35" s="14"/>
      <c r="W35" s="14"/>
      <c r="X35" s="14"/>
      <c r="Y35" s="8"/>
    </row>
    <row r="36" spans="1:25" s="37" customFormat="1" x14ac:dyDescent="0.25">
      <c r="A36" s="37" t="s">
        <v>929</v>
      </c>
      <c r="Q36" s="8"/>
      <c r="R36" s="8"/>
      <c r="S36" s="8"/>
      <c r="T36" s="8"/>
      <c r="U36" s="14"/>
      <c r="V36" s="14"/>
      <c r="W36" s="14"/>
      <c r="X36" s="14"/>
      <c r="Y36" s="8"/>
    </row>
    <row r="37" spans="1:25" s="37" customFormat="1" x14ac:dyDescent="0.25">
      <c r="A37" s="37" t="s">
        <v>1145</v>
      </c>
      <c r="Q37" s="8"/>
      <c r="R37" s="8"/>
      <c r="S37" s="8"/>
      <c r="T37" s="8"/>
      <c r="U37" s="14"/>
      <c r="V37" s="14"/>
      <c r="W37" s="14"/>
      <c r="X37" s="14"/>
      <c r="Y37" s="8"/>
    </row>
    <row r="38" spans="1:25" s="37" customFormat="1" x14ac:dyDescent="0.25">
      <c r="A38" s="37" t="s">
        <v>1150</v>
      </c>
      <c r="Q38" s="8"/>
      <c r="R38" s="8"/>
      <c r="S38" s="8"/>
      <c r="T38" s="8"/>
      <c r="U38" s="14"/>
      <c r="V38" s="14"/>
      <c r="W38" s="14"/>
      <c r="X38" s="14"/>
      <c r="Y38" s="8"/>
    </row>
    <row r="39" spans="1:25" s="37" customFormat="1" x14ac:dyDescent="0.25">
      <c r="A39" s="37" t="s">
        <v>1195</v>
      </c>
      <c r="Q39" s="8"/>
      <c r="R39" s="8"/>
      <c r="S39" s="8"/>
      <c r="T39" s="8"/>
      <c r="U39" s="14"/>
      <c r="V39" s="14"/>
      <c r="W39" s="14"/>
      <c r="X39" s="14"/>
      <c r="Y39" s="8"/>
    </row>
    <row r="40" spans="1:25" s="37" customFormat="1" x14ac:dyDescent="0.25">
      <c r="A40" s="37" t="s">
        <v>1196</v>
      </c>
      <c r="Q40" s="8"/>
      <c r="R40" s="8"/>
      <c r="S40" s="8"/>
      <c r="T40" s="8"/>
      <c r="U40" s="14"/>
      <c r="V40" s="14"/>
      <c r="W40" s="14"/>
      <c r="X40" s="14"/>
      <c r="Y40" s="8"/>
    </row>
    <row r="41" spans="1:25" s="37" customFormat="1" x14ac:dyDescent="0.25">
      <c r="A41" s="37" t="s">
        <v>1133</v>
      </c>
      <c r="Q41" s="8"/>
      <c r="R41" s="8"/>
      <c r="S41" s="8"/>
      <c r="T41" s="8"/>
      <c r="U41" s="14"/>
      <c r="V41" s="14"/>
      <c r="W41" s="14"/>
      <c r="X41" s="14"/>
      <c r="Y41" s="8"/>
    </row>
    <row r="42" spans="1:25" s="37" customFormat="1" x14ac:dyDescent="0.25">
      <c r="A42" s="37" t="s">
        <v>1235</v>
      </c>
      <c r="Q42" s="8"/>
      <c r="R42" s="8"/>
      <c r="S42" s="8"/>
      <c r="T42" s="8"/>
      <c r="U42" s="14"/>
      <c r="V42" s="14"/>
      <c r="W42" s="14"/>
      <c r="X42" s="14"/>
      <c r="Y42" s="8"/>
    </row>
    <row r="43" spans="1:25" s="37" customFormat="1" x14ac:dyDescent="0.25">
      <c r="A43" s="37" t="s">
        <v>1313</v>
      </c>
      <c r="Q43" s="8"/>
      <c r="R43" s="8"/>
      <c r="S43" s="8"/>
      <c r="T43" s="8"/>
      <c r="U43" s="14"/>
      <c r="V43" s="14"/>
      <c r="W43" s="14"/>
      <c r="X43" s="14"/>
      <c r="Y43" s="8"/>
    </row>
    <row r="44" spans="1:25" s="37" customFormat="1" x14ac:dyDescent="0.25">
      <c r="A44" s="37" t="s">
        <v>1314</v>
      </c>
      <c r="Q44" s="8"/>
      <c r="R44" s="8"/>
      <c r="S44" s="8"/>
      <c r="T44" s="8"/>
      <c r="U44" s="14"/>
      <c r="V44" s="14"/>
      <c r="W44" s="14"/>
      <c r="X44" s="14"/>
      <c r="Y44" s="8"/>
    </row>
    <row r="45" spans="1:25" s="37" customFormat="1" x14ac:dyDescent="0.25">
      <c r="A45" s="37" t="s">
        <v>1315</v>
      </c>
      <c r="Q45" s="8"/>
      <c r="R45" s="8"/>
      <c r="S45" s="8"/>
      <c r="T45" s="8"/>
      <c r="U45" s="14"/>
      <c r="V45" s="14"/>
      <c r="W45" s="14"/>
      <c r="X45" s="14"/>
      <c r="Y45" s="8"/>
    </row>
    <row r="46" spans="1:25" s="37" customFormat="1" x14ac:dyDescent="0.25">
      <c r="A46" s="37" t="s">
        <v>1316</v>
      </c>
      <c r="Q46" s="8"/>
      <c r="R46" s="8"/>
      <c r="S46" s="8"/>
      <c r="T46" s="8"/>
      <c r="U46" s="14"/>
      <c r="V46" s="14"/>
      <c r="W46" s="14"/>
      <c r="X46" s="14"/>
      <c r="Y46" s="8"/>
    </row>
    <row r="47" spans="1:25" s="37" customFormat="1" x14ac:dyDescent="0.25">
      <c r="A47" s="37" t="s">
        <v>1403</v>
      </c>
      <c r="Q47" s="8"/>
      <c r="R47" s="8"/>
      <c r="S47" s="8"/>
      <c r="T47" s="8"/>
      <c r="U47" s="14"/>
      <c r="V47" s="14"/>
      <c r="W47" s="14"/>
      <c r="X47" s="14"/>
      <c r="Y47" s="8"/>
    </row>
    <row r="48" spans="1:25" s="37" customFormat="1" x14ac:dyDescent="0.25">
      <c r="A48" s="37" t="s">
        <v>1405</v>
      </c>
      <c r="Q48" s="8"/>
      <c r="R48" s="8"/>
      <c r="S48" s="8"/>
      <c r="T48" s="8"/>
      <c r="U48" s="14"/>
      <c r="V48" s="14"/>
      <c r="W48" s="14"/>
      <c r="X48" s="14"/>
      <c r="Y48" s="8"/>
    </row>
    <row r="49" spans="1:25" s="37" customFormat="1" x14ac:dyDescent="0.25">
      <c r="A49" s="37" t="s">
        <v>1406</v>
      </c>
      <c r="Q49" s="8"/>
      <c r="R49" s="8"/>
      <c r="S49" s="8"/>
      <c r="T49" s="8"/>
      <c r="U49" s="14"/>
      <c r="V49" s="14"/>
      <c r="W49" s="14"/>
      <c r="X49" s="14"/>
      <c r="Y49" s="8"/>
    </row>
    <row r="50" spans="1:25" s="37" customFormat="1" x14ac:dyDescent="0.25">
      <c r="A50" s="37" t="s">
        <v>1407</v>
      </c>
      <c r="Q50" s="8"/>
      <c r="R50" s="8"/>
      <c r="S50" s="8"/>
      <c r="T50" s="8"/>
      <c r="U50" s="14"/>
      <c r="V50" s="14"/>
      <c r="W50" s="14"/>
      <c r="X50" s="14"/>
      <c r="Y50" s="8"/>
    </row>
    <row r="51" spans="1:25" s="37" customFormat="1" x14ac:dyDescent="0.25">
      <c r="A51" s="37" t="s">
        <v>1408</v>
      </c>
      <c r="Q51" s="8"/>
      <c r="R51" s="8"/>
      <c r="S51" s="8"/>
      <c r="T51" s="8"/>
      <c r="U51" s="14"/>
      <c r="V51" s="14"/>
      <c r="W51" s="14"/>
      <c r="X51" s="14"/>
      <c r="Y51" s="8"/>
    </row>
    <row r="52" spans="1:25" s="37" customFormat="1" x14ac:dyDescent="0.25">
      <c r="A52" s="37" t="s">
        <v>1427</v>
      </c>
      <c r="Q52" s="8"/>
      <c r="R52" s="8"/>
      <c r="S52" s="8"/>
      <c r="T52" s="8"/>
      <c r="U52" s="14"/>
      <c r="V52" s="14"/>
      <c r="W52" s="14"/>
      <c r="X52" s="14"/>
      <c r="Y52" s="8"/>
    </row>
    <row r="53" spans="1:25" s="37" customFormat="1" x14ac:dyDescent="0.25">
      <c r="A53" s="37" t="s">
        <v>1505</v>
      </c>
      <c r="Q53" s="8"/>
      <c r="R53" s="8"/>
      <c r="S53" s="8"/>
      <c r="T53" s="8"/>
      <c r="U53" s="14"/>
      <c r="V53" s="14"/>
      <c r="W53" s="14"/>
      <c r="X53" s="14"/>
      <c r="Y53" s="8"/>
    </row>
    <row r="54" spans="1:25" s="37" customFormat="1" x14ac:dyDescent="0.25">
      <c r="A54" s="37" t="s">
        <v>1541</v>
      </c>
      <c r="Q54" s="8"/>
      <c r="R54" s="8"/>
      <c r="S54" s="8"/>
      <c r="T54" s="8"/>
      <c r="U54" s="14"/>
      <c r="V54" s="14"/>
      <c r="W54" s="14"/>
      <c r="X54" s="14"/>
      <c r="Y54" s="8"/>
    </row>
    <row r="55" spans="1:25" s="37" customFormat="1" x14ac:dyDescent="0.25">
      <c r="A55" s="37" t="s">
        <v>1542</v>
      </c>
      <c r="Q55" s="8"/>
      <c r="R55" s="8"/>
      <c r="S55" s="8"/>
      <c r="T55" s="8"/>
      <c r="U55" s="14"/>
      <c r="V55" s="14"/>
      <c r="W55" s="14"/>
      <c r="X55" s="14"/>
      <c r="Y55" s="8"/>
    </row>
    <row r="56" spans="1:25" s="37" customFormat="1" x14ac:dyDescent="0.25">
      <c r="A56" s="37" t="s">
        <v>1795</v>
      </c>
      <c r="Q56" s="8"/>
      <c r="R56" s="8"/>
      <c r="S56" s="8"/>
      <c r="T56" s="8"/>
      <c r="U56" s="14"/>
      <c r="V56" s="14"/>
      <c r="W56" s="14"/>
      <c r="X56" s="14"/>
      <c r="Y56" s="8"/>
    </row>
    <row r="57" spans="1:25" s="37" customFormat="1" x14ac:dyDescent="0.25">
      <c r="A57" s="8" t="s">
        <v>1812</v>
      </c>
      <c r="Q57" s="8"/>
      <c r="R57" s="8"/>
      <c r="S57" s="8"/>
      <c r="T57" s="8"/>
      <c r="U57" s="14"/>
      <c r="V57" s="14"/>
      <c r="W57" s="14"/>
      <c r="X57" s="14"/>
      <c r="Y57" s="8"/>
    </row>
    <row r="58" spans="1:25" s="37" customFormat="1" x14ac:dyDescent="0.25">
      <c r="A58" s="8" t="s">
        <v>1813</v>
      </c>
      <c r="Q58" s="8"/>
      <c r="R58" s="8"/>
      <c r="S58" s="8"/>
      <c r="T58" s="8"/>
      <c r="U58" s="14"/>
      <c r="V58" s="14"/>
      <c r="W58" s="14"/>
      <c r="X58" s="14"/>
      <c r="Y58" s="8"/>
    </row>
    <row r="59" spans="1:25" s="37" customFormat="1" x14ac:dyDescent="0.25">
      <c r="A59" s="8" t="s">
        <v>1814</v>
      </c>
      <c r="Q59" s="8"/>
      <c r="R59" s="8"/>
      <c r="S59" s="8"/>
      <c r="T59" s="8"/>
      <c r="U59" s="14"/>
      <c r="V59" s="14"/>
      <c r="W59" s="14"/>
      <c r="X59" s="14"/>
      <c r="Y59" s="8"/>
    </row>
    <row r="60" spans="1:25" s="37" customFormat="1" x14ac:dyDescent="0.25">
      <c r="A60" s="8" t="s">
        <v>1829</v>
      </c>
      <c r="Q60" s="8"/>
      <c r="R60" s="8"/>
      <c r="S60" s="8"/>
      <c r="T60" s="8"/>
      <c r="U60" s="14"/>
      <c r="V60" s="14"/>
      <c r="W60" s="14"/>
      <c r="X60" s="14"/>
      <c r="Y60" s="8"/>
    </row>
    <row r="61" spans="1:25" s="37" customFormat="1" x14ac:dyDescent="0.25">
      <c r="A61" s="8" t="s">
        <v>1828</v>
      </c>
      <c r="Q61" s="8"/>
      <c r="R61" s="8"/>
      <c r="S61" s="8"/>
      <c r="T61" s="8"/>
      <c r="U61" s="14"/>
      <c r="V61" s="14"/>
      <c r="W61" s="14"/>
      <c r="X61" s="14"/>
      <c r="Y61" s="8"/>
    </row>
    <row r="62" spans="1:25" s="37" customFormat="1" x14ac:dyDescent="0.25">
      <c r="A62" s="8" t="s">
        <v>1830</v>
      </c>
      <c r="Q62" s="8"/>
      <c r="R62" s="8"/>
      <c r="S62" s="8"/>
      <c r="T62" s="8"/>
      <c r="U62" s="14"/>
      <c r="V62" s="14"/>
      <c r="W62" s="14"/>
      <c r="X62" s="14"/>
      <c r="Y62" s="8"/>
    </row>
    <row r="63" spans="1:25" s="37" customFormat="1" x14ac:dyDescent="0.25">
      <c r="A63" s="8" t="s">
        <v>1831</v>
      </c>
      <c r="Q63" s="8"/>
      <c r="R63" s="8"/>
      <c r="S63" s="8"/>
      <c r="T63" s="8"/>
      <c r="U63" s="14"/>
      <c r="V63" s="14"/>
      <c r="W63" s="14"/>
      <c r="X63" s="14"/>
      <c r="Y63" s="8"/>
    </row>
    <row r="64" spans="1:25" s="37" customFormat="1" x14ac:dyDescent="0.25">
      <c r="A64" s="8" t="s">
        <v>1845</v>
      </c>
      <c r="Q64" s="8"/>
      <c r="R64" s="8"/>
      <c r="S64" s="8"/>
      <c r="T64" s="8"/>
      <c r="U64" s="14"/>
      <c r="V64" s="14"/>
      <c r="W64" s="14"/>
      <c r="X64" s="14"/>
      <c r="Y64" s="8"/>
    </row>
    <row r="65" spans="1:25" s="37" customFormat="1" x14ac:dyDescent="0.25">
      <c r="A65" s="8" t="s">
        <v>1846</v>
      </c>
      <c r="Q65" s="8"/>
      <c r="R65" s="8"/>
      <c r="S65" s="8"/>
      <c r="T65" s="8"/>
      <c r="U65" s="14"/>
      <c r="V65" s="14"/>
      <c r="W65" s="14"/>
      <c r="X65" s="14"/>
      <c r="Y65" s="8"/>
    </row>
    <row r="66" spans="1:25" s="37" customFormat="1" x14ac:dyDescent="0.25">
      <c r="A66" s="8" t="s">
        <v>1847</v>
      </c>
      <c r="Q66" s="8"/>
      <c r="R66" s="8"/>
      <c r="S66" s="8"/>
      <c r="T66" s="8"/>
      <c r="U66" s="14"/>
      <c r="V66" s="14"/>
      <c r="W66" s="14"/>
      <c r="X66" s="14"/>
      <c r="Y66" s="8"/>
    </row>
    <row r="67" spans="1:25" s="37" customFormat="1" x14ac:dyDescent="0.25">
      <c r="A67" s="8" t="s">
        <v>1848</v>
      </c>
      <c r="Q67" s="8"/>
      <c r="R67" s="8"/>
      <c r="S67" s="8"/>
      <c r="T67" s="8"/>
      <c r="U67" s="14"/>
      <c r="V67" s="14"/>
      <c r="W67" s="14"/>
      <c r="X67" s="14"/>
      <c r="Y67" s="8"/>
    </row>
    <row r="68" spans="1:25" s="37" customFormat="1" x14ac:dyDescent="0.25">
      <c r="A68" s="8" t="s">
        <v>1849</v>
      </c>
      <c r="Q68" s="8"/>
      <c r="R68" s="8"/>
      <c r="S68" s="8"/>
      <c r="T68" s="8"/>
      <c r="U68" s="14"/>
      <c r="V68" s="14"/>
      <c r="W68" s="14"/>
      <c r="X68" s="14"/>
      <c r="Y68" s="8"/>
    </row>
    <row r="69" spans="1:25" s="37" customFormat="1" x14ac:dyDescent="0.25">
      <c r="A69" s="8" t="s">
        <v>1850</v>
      </c>
      <c r="Q69" s="8"/>
      <c r="R69" s="8"/>
      <c r="S69" s="8"/>
      <c r="T69" s="8"/>
      <c r="U69" s="14"/>
      <c r="V69" s="14"/>
      <c r="W69" s="14"/>
      <c r="X69" s="14"/>
      <c r="Y69" s="8"/>
    </row>
    <row r="70" spans="1:25" s="37" customFormat="1" x14ac:dyDescent="0.25">
      <c r="A70" s="8" t="s">
        <v>1851</v>
      </c>
      <c r="Q70" s="8"/>
      <c r="R70" s="8"/>
      <c r="S70" s="8"/>
      <c r="T70" s="8"/>
      <c r="U70" s="14"/>
      <c r="V70" s="14"/>
      <c r="W70" s="14"/>
      <c r="X70" s="14"/>
      <c r="Y70" s="8"/>
    </row>
    <row r="71" spans="1:25" s="37" customFormat="1" x14ac:dyDescent="0.25">
      <c r="A71" s="8" t="s">
        <v>1852</v>
      </c>
      <c r="Q71" s="8"/>
      <c r="R71" s="8"/>
      <c r="S71" s="8"/>
      <c r="T71" s="8"/>
      <c r="U71" s="14"/>
      <c r="V71" s="14"/>
      <c r="W71" s="14"/>
      <c r="X71" s="14"/>
      <c r="Y71" s="8"/>
    </row>
    <row r="72" spans="1:25" s="37" customFormat="1" x14ac:dyDescent="0.25">
      <c r="A72" s="8" t="s">
        <v>1853</v>
      </c>
      <c r="Q72" s="8"/>
      <c r="R72" s="8"/>
      <c r="S72" s="8"/>
      <c r="T72" s="8"/>
      <c r="U72" s="14"/>
      <c r="V72" s="14"/>
      <c r="W72" s="14"/>
      <c r="X72" s="14"/>
      <c r="Y72" s="8"/>
    </row>
    <row r="73" spans="1:25" s="37" customFormat="1" x14ac:dyDescent="0.25">
      <c r="A73" s="8" t="s">
        <v>1832</v>
      </c>
      <c r="Q73" s="8"/>
      <c r="R73" s="8"/>
      <c r="S73" s="8"/>
      <c r="T73" s="8"/>
      <c r="U73" s="14"/>
      <c r="V73" s="14"/>
      <c r="W73" s="14"/>
      <c r="X73" s="14"/>
      <c r="Y73" s="8"/>
    </row>
    <row r="74" spans="1:25" s="37" customFormat="1" x14ac:dyDescent="0.25">
      <c r="A74" s="8" t="s">
        <v>1833</v>
      </c>
      <c r="Q74" s="8"/>
      <c r="R74" s="8"/>
      <c r="S74" s="8"/>
      <c r="T74" s="8"/>
      <c r="U74" s="14"/>
      <c r="V74" s="14"/>
      <c r="W74" s="14"/>
      <c r="X74" s="14"/>
      <c r="Y74" s="8"/>
    </row>
    <row r="75" spans="1:25" s="37" customFormat="1" x14ac:dyDescent="0.25">
      <c r="A75" s="8" t="s">
        <v>1834</v>
      </c>
      <c r="Q75" s="8"/>
      <c r="R75" s="8"/>
      <c r="S75" s="8"/>
      <c r="T75" s="8"/>
      <c r="U75" s="14"/>
      <c r="V75" s="14"/>
      <c r="W75" s="14"/>
      <c r="X75" s="14"/>
      <c r="Y75" s="8"/>
    </row>
    <row r="76" spans="1:25" s="37" customFormat="1" x14ac:dyDescent="0.25">
      <c r="A76" s="8" t="s">
        <v>1835</v>
      </c>
      <c r="Q76" s="8"/>
      <c r="R76" s="8"/>
      <c r="S76" s="8"/>
      <c r="T76" s="8"/>
      <c r="U76" s="14"/>
      <c r="V76" s="14"/>
      <c r="W76" s="14"/>
      <c r="X76" s="14"/>
      <c r="Y76" s="8"/>
    </row>
    <row r="77" spans="1:25" s="37" customFormat="1" x14ac:dyDescent="0.25">
      <c r="A77" s="8" t="s">
        <v>1836</v>
      </c>
      <c r="Q77" s="8"/>
      <c r="R77" s="8"/>
      <c r="S77" s="8"/>
      <c r="T77" s="8"/>
      <c r="U77" s="14"/>
      <c r="V77" s="14"/>
      <c r="W77" s="14"/>
      <c r="X77" s="14"/>
      <c r="Y77" s="8"/>
    </row>
    <row r="78" spans="1:25" s="37" customFormat="1" x14ac:dyDescent="0.25">
      <c r="A78" s="8" t="s">
        <v>1837</v>
      </c>
      <c r="Q78" s="8"/>
      <c r="R78" s="8"/>
      <c r="S78" s="8"/>
      <c r="T78" s="8"/>
      <c r="U78" s="14"/>
      <c r="V78" s="14"/>
      <c r="W78" s="14"/>
      <c r="X78" s="14"/>
      <c r="Y78" s="8"/>
    </row>
    <row r="79" spans="1:25" s="37" customFormat="1" x14ac:dyDescent="0.25">
      <c r="A79" s="8" t="s">
        <v>1838</v>
      </c>
      <c r="Q79" s="8"/>
      <c r="R79" s="8"/>
      <c r="S79" s="8"/>
      <c r="T79" s="8"/>
      <c r="U79" s="14"/>
      <c r="V79" s="14"/>
      <c r="W79" s="14"/>
      <c r="X79" s="14"/>
      <c r="Y79" s="8"/>
    </row>
    <row r="80" spans="1:25" s="37" customFormat="1" x14ac:dyDescent="0.25">
      <c r="A80" s="8" t="s">
        <v>1839</v>
      </c>
      <c r="Q80" s="8"/>
      <c r="R80" s="8"/>
      <c r="S80" s="8"/>
      <c r="T80" s="8"/>
      <c r="U80" s="14"/>
      <c r="V80" s="14"/>
      <c r="W80" s="14"/>
      <c r="X80" s="14"/>
      <c r="Y80" s="8"/>
    </row>
    <row r="81" spans="1:25" s="37" customFormat="1" x14ac:dyDescent="0.25">
      <c r="A81" s="8" t="s">
        <v>1840</v>
      </c>
      <c r="Q81" s="8"/>
      <c r="R81" s="8"/>
      <c r="S81" s="8"/>
      <c r="T81" s="8"/>
      <c r="U81" s="14"/>
      <c r="V81" s="14"/>
      <c r="W81" s="14"/>
      <c r="X81" s="14"/>
      <c r="Y81" s="8"/>
    </row>
    <row r="82" spans="1:25" s="37" customFormat="1" x14ac:dyDescent="0.25">
      <c r="A82" s="8" t="s">
        <v>1841</v>
      </c>
      <c r="Q82" s="8"/>
      <c r="R82" s="8"/>
      <c r="S82" s="8"/>
      <c r="T82" s="8"/>
      <c r="U82" s="14"/>
      <c r="V82" s="14"/>
      <c r="W82" s="14"/>
      <c r="X82" s="14"/>
      <c r="Y82" s="8"/>
    </row>
    <row r="83" spans="1:25" s="37" customFormat="1" x14ac:dyDescent="0.25">
      <c r="A83" s="8" t="s">
        <v>1842</v>
      </c>
      <c r="Q83" s="8"/>
      <c r="R83" s="8"/>
      <c r="S83" s="8"/>
      <c r="T83" s="8"/>
      <c r="U83" s="14"/>
      <c r="V83" s="14"/>
      <c r="W83" s="14"/>
      <c r="X83" s="14"/>
      <c r="Y83" s="8"/>
    </row>
    <row r="84" spans="1:25" s="37" customFormat="1" x14ac:dyDescent="0.25">
      <c r="A84" s="37" t="s">
        <v>628</v>
      </c>
      <c r="Q84" s="8"/>
      <c r="R84" s="8"/>
      <c r="S84" s="8"/>
      <c r="T84" s="8"/>
      <c r="U84" s="14"/>
      <c r="V84" s="14"/>
      <c r="W84" s="14"/>
      <c r="X84" s="14"/>
      <c r="Y84" s="8"/>
    </row>
    <row r="85" spans="1:25" s="37" customFormat="1" x14ac:dyDescent="0.25">
      <c r="A85" s="37" t="s">
        <v>629</v>
      </c>
      <c r="Q85" s="8"/>
      <c r="R85" s="8"/>
      <c r="S85" s="8"/>
      <c r="T85" s="8"/>
      <c r="U85" s="14"/>
      <c r="V85" s="14"/>
      <c r="W85" s="14"/>
      <c r="X85" s="14"/>
      <c r="Y85" s="8"/>
    </row>
    <row r="86" spans="1:25" s="37" customFormat="1" x14ac:dyDescent="0.25">
      <c r="A86" s="37" t="s">
        <v>658</v>
      </c>
      <c r="Q86" s="8"/>
      <c r="R86" s="8"/>
      <c r="S86" s="8"/>
      <c r="T86" s="8"/>
      <c r="U86" s="14"/>
      <c r="V86" s="14"/>
      <c r="W86" s="14"/>
      <c r="X86" s="14"/>
      <c r="Y86" s="8"/>
    </row>
    <row r="87" spans="1:25" s="37" customFormat="1" x14ac:dyDescent="0.25">
      <c r="A87" s="37" t="s">
        <v>1234</v>
      </c>
      <c r="Q87" s="8"/>
      <c r="R87" s="8"/>
      <c r="S87" s="8"/>
      <c r="T87" s="8"/>
      <c r="U87" s="14"/>
      <c r="V87" s="14"/>
      <c r="W87" s="14"/>
      <c r="X87" s="14"/>
      <c r="Y87" s="8"/>
    </row>
    <row r="88" spans="1:25" s="37" customFormat="1" x14ac:dyDescent="0.25">
      <c r="A88" s="37" t="s">
        <v>1504</v>
      </c>
      <c r="Q88" s="8"/>
      <c r="R88" s="8"/>
      <c r="S88" s="8"/>
      <c r="T88" s="8"/>
      <c r="U88" s="14"/>
      <c r="V88" s="14"/>
      <c r="W88" s="14"/>
      <c r="X88" s="14"/>
      <c r="Y88" s="8"/>
    </row>
    <row r="89" spans="1:25" x14ac:dyDescent="0.25">
      <c r="A89" t="s">
        <v>595</v>
      </c>
      <c r="Q89" s="8"/>
      <c r="R89" s="8"/>
      <c r="S89" s="8"/>
      <c r="T89" s="8"/>
      <c r="U89" s="14"/>
      <c r="V89" s="14"/>
      <c r="W89" s="14"/>
      <c r="X89" s="14"/>
      <c r="Y89" s="8"/>
    </row>
    <row r="90" spans="1:25" s="37" customFormat="1" x14ac:dyDescent="0.25">
      <c r="A90" s="37" t="s">
        <v>1533</v>
      </c>
      <c r="Q90" s="8"/>
      <c r="R90" s="8"/>
      <c r="S90" s="8"/>
      <c r="T90" s="8"/>
      <c r="U90" s="14"/>
      <c r="V90" s="14"/>
      <c r="W90" s="14"/>
      <c r="X90" s="14"/>
      <c r="Y90" s="8"/>
    </row>
    <row r="91" spans="1:25" s="37" customFormat="1" x14ac:dyDescent="0.25">
      <c r="A91" s="37" t="s">
        <v>1534</v>
      </c>
      <c r="Q91" s="8"/>
      <c r="R91" s="8"/>
      <c r="S91" s="8"/>
      <c r="T91" s="8"/>
      <c r="U91" s="14"/>
      <c r="V91" s="14"/>
      <c r="W91" s="14"/>
      <c r="X91" s="14"/>
      <c r="Y91" s="8"/>
    </row>
    <row r="92" spans="1:25" s="37" customFormat="1" x14ac:dyDescent="0.25">
      <c r="A92" s="37" t="s">
        <v>1535</v>
      </c>
      <c r="Q92" s="8"/>
      <c r="R92" s="8"/>
      <c r="S92" s="8"/>
      <c r="T92" s="8"/>
      <c r="U92" s="14"/>
      <c r="V92" s="14"/>
      <c r="W92" s="14"/>
      <c r="X92" s="14"/>
      <c r="Y92" s="8"/>
    </row>
    <row r="93" spans="1:25" x14ac:dyDescent="0.25">
      <c r="A93" t="s">
        <v>253</v>
      </c>
      <c r="Q93" s="8"/>
      <c r="R93" s="8"/>
      <c r="S93" s="8"/>
      <c r="T93" s="8"/>
      <c r="U93" s="14"/>
      <c r="V93" s="14"/>
      <c r="W93" s="16"/>
      <c r="X93" s="14"/>
      <c r="Y93" s="8"/>
    </row>
    <row r="94" spans="1:25" x14ac:dyDescent="0.25">
      <c r="A94" t="s">
        <v>296</v>
      </c>
      <c r="Q94" s="8"/>
      <c r="R94" s="8"/>
      <c r="S94" s="8"/>
      <c r="T94" s="8"/>
      <c r="U94" s="14"/>
      <c r="V94" s="14"/>
      <c r="W94" s="16"/>
      <c r="X94" s="14"/>
      <c r="Y94" s="8"/>
    </row>
    <row r="95" spans="1:25" x14ac:dyDescent="0.25">
      <c r="A95" t="s">
        <v>8</v>
      </c>
      <c r="Q95" s="8"/>
      <c r="R95" s="8"/>
      <c r="S95" s="8"/>
      <c r="T95" s="8"/>
      <c r="U95" s="16"/>
      <c r="V95" s="14"/>
      <c r="W95" s="14"/>
      <c r="X95" s="14"/>
      <c r="Y95" s="8"/>
    </row>
    <row r="96" spans="1:25" x14ac:dyDescent="0.25">
      <c r="A96" t="s">
        <v>97</v>
      </c>
      <c r="Q96" s="8"/>
      <c r="R96" s="8"/>
      <c r="S96" s="8"/>
      <c r="T96" s="8"/>
      <c r="U96" s="8"/>
      <c r="V96" s="8"/>
      <c r="W96" s="8"/>
      <c r="X96" s="14"/>
      <c r="Y96" s="8"/>
    </row>
    <row r="97" spans="1:25" x14ac:dyDescent="0.25">
      <c r="A97" t="s">
        <v>11</v>
      </c>
      <c r="Q97" s="8"/>
      <c r="R97" s="8"/>
      <c r="S97" s="8"/>
      <c r="T97" s="8"/>
      <c r="U97" s="8"/>
      <c r="V97" s="8"/>
      <c r="W97" s="8"/>
      <c r="X97" s="8"/>
      <c r="Y97" s="8"/>
    </row>
    <row r="98" spans="1:25" x14ac:dyDescent="0.25">
      <c r="A98" t="s">
        <v>14</v>
      </c>
      <c r="Q98" s="8"/>
      <c r="R98" s="8"/>
      <c r="S98" s="8"/>
      <c r="T98" s="8"/>
      <c r="U98" s="8"/>
      <c r="V98" s="8"/>
      <c r="W98" s="8"/>
      <c r="X98" s="8"/>
      <c r="Y98" s="8"/>
    </row>
    <row r="99" spans="1:25" x14ac:dyDescent="0.25">
      <c r="A99" t="s">
        <v>212</v>
      </c>
      <c r="Q99" s="8"/>
      <c r="R99" s="8"/>
      <c r="S99" s="8"/>
      <c r="T99" s="8"/>
      <c r="U99" s="8"/>
      <c r="V99" s="8"/>
      <c r="W99" s="8"/>
      <c r="X99" s="8"/>
      <c r="Y99" s="8"/>
    </row>
    <row r="100" spans="1:25" x14ac:dyDescent="0.25">
      <c r="A100" t="s">
        <v>254</v>
      </c>
      <c r="O100" s="2"/>
      <c r="Q100" s="8"/>
      <c r="R100" s="8"/>
      <c r="S100" s="8"/>
      <c r="T100" s="8"/>
      <c r="U100" s="8"/>
      <c r="V100" s="8"/>
      <c r="W100" s="8"/>
      <c r="X100" s="8"/>
      <c r="Y100" s="8"/>
    </row>
    <row r="101" spans="1:25" x14ac:dyDescent="0.25">
      <c r="A101" t="s">
        <v>337</v>
      </c>
      <c r="Q101" s="8"/>
      <c r="R101" s="8"/>
      <c r="S101" s="8"/>
      <c r="T101" s="8"/>
      <c r="U101" s="8"/>
      <c r="V101" s="8"/>
      <c r="W101" s="8"/>
      <c r="X101" s="8"/>
      <c r="Y101" s="8"/>
    </row>
    <row r="102" spans="1:25" x14ac:dyDescent="0.25">
      <c r="A102" t="s">
        <v>236</v>
      </c>
      <c r="Q102" s="8"/>
      <c r="R102" s="8"/>
      <c r="S102" s="8"/>
      <c r="T102" s="8"/>
      <c r="U102" s="8"/>
      <c r="V102" s="8"/>
      <c r="W102" s="8"/>
      <c r="X102" s="8"/>
      <c r="Y102" s="8"/>
    </row>
    <row r="103" spans="1:25" s="37" customFormat="1" x14ac:dyDescent="0.25">
      <c r="A103" s="37" t="s">
        <v>435</v>
      </c>
      <c r="Q103" s="8"/>
      <c r="R103" s="8"/>
      <c r="S103" s="8"/>
      <c r="T103" s="8"/>
      <c r="U103" s="8"/>
      <c r="V103" s="8"/>
      <c r="W103" s="8"/>
      <c r="X103" s="8"/>
      <c r="Y103" s="8"/>
    </row>
    <row r="104" spans="1:25" s="37" customFormat="1" x14ac:dyDescent="0.25">
      <c r="A104" s="37" t="s">
        <v>1128</v>
      </c>
      <c r="Q104" s="8"/>
      <c r="R104" s="8"/>
      <c r="S104" s="8"/>
      <c r="T104" s="8"/>
      <c r="U104" s="8"/>
      <c r="V104" s="8"/>
      <c r="W104" s="8"/>
      <c r="X104" s="8"/>
      <c r="Y104" s="8"/>
    </row>
    <row r="105" spans="1:25" x14ac:dyDescent="0.25">
      <c r="A105" t="s">
        <v>384</v>
      </c>
      <c r="Q105" s="8"/>
      <c r="R105" s="8"/>
      <c r="S105" s="8"/>
      <c r="T105" s="8"/>
      <c r="U105" s="8"/>
      <c r="V105" s="8"/>
      <c r="W105" s="8"/>
      <c r="X105" s="8"/>
      <c r="Y105" s="8"/>
    </row>
    <row r="106" spans="1:25" x14ac:dyDescent="0.25">
      <c r="A106" t="s">
        <v>385</v>
      </c>
      <c r="Q106" s="8"/>
      <c r="R106" s="8"/>
      <c r="S106" s="8"/>
      <c r="T106" s="8"/>
      <c r="U106" s="8"/>
      <c r="V106" s="8"/>
      <c r="W106" s="8"/>
      <c r="X106" s="14"/>
      <c r="Y106" s="14"/>
    </row>
    <row r="107" spans="1:25" s="37" customFormat="1" x14ac:dyDescent="0.25">
      <c r="A107" s="37" t="s">
        <v>1572</v>
      </c>
      <c r="Q107" s="8"/>
      <c r="R107" s="8"/>
      <c r="S107" s="8"/>
      <c r="T107" s="8"/>
      <c r="U107" s="8"/>
      <c r="V107" s="8"/>
      <c r="W107" s="8"/>
      <c r="X107" s="14"/>
      <c r="Y107" s="14"/>
    </row>
    <row r="108" spans="1:25" s="37" customFormat="1" x14ac:dyDescent="0.25">
      <c r="A108" s="37" t="s">
        <v>1687</v>
      </c>
      <c r="Q108" s="8"/>
      <c r="R108" s="8"/>
      <c r="S108" s="8"/>
      <c r="T108" s="8"/>
      <c r="U108" s="8"/>
      <c r="V108" s="8"/>
      <c r="W108" s="8"/>
      <c r="X108" s="14"/>
      <c r="Y108" s="14"/>
    </row>
    <row r="109" spans="1:25" s="37" customFormat="1" x14ac:dyDescent="0.25">
      <c r="A109" s="37" t="s">
        <v>1545</v>
      </c>
      <c r="Q109" s="8"/>
      <c r="R109" s="8"/>
      <c r="S109" s="8"/>
      <c r="T109" s="8"/>
      <c r="U109" s="8"/>
      <c r="V109" s="8"/>
      <c r="W109" s="8"/>
      <c r="X109" s="14"/>
      <c r="Y109" s="14"/>
    </row>
    <row r="110" spans="1:25" s="37" customFormat="1" x14ac:dyDescent="0.25">
      <c r="A110" s="37" t="s">
        <v>1564</v>
      </c>
      <c r="Q110" s="8"/>
      <c r="R110" s="8"/>
      <c r="S110" s="8"/>
      <c r="T110" s="8"/>
      <c r="U110" s="8"/>
      <c r="V110" s="8"/>
      <c r="W110" s="8"/>
      <c r="X110" s="14"/>
      <c r="Y110" s="14"/>
    </row>
    <row r="111" spans="1:25" x14ac:dyDescent="0.25">
      <c r="A111" t="s">
        <v>415</v>
      </c>
      <c r="Q111" s="8"/>
      <c r="R111" s="8"/>
      <c r="S111" s="8"/>
      <c r="T111" s="8"/>
      <c r="U111" s="8"/>
      <c r="V111" s="8"/>
      <c r="W111" s="8"/>
      <c r="X111" s="17"/>
      <c r="Y111" s="14"/>
    </row>
    <row r="112" spans="1:25" s="37" customFormat="1" x14ac:dyDescent="0.25">
      <c r="A112" s="37" t="s">
        <v>674</v>
      </c>
      <c r="Q112" s="8"/>
      <c r="R112" s="8"/>
      <c r="S112" s="8"/>
      <c r="T112" s="8"/>
      <c r="U112" s="8"/>
      <c r="V112" s="8"/>
      <c r="W112" s="8"/>
      <c r="X112" s="17"/>
      <c r="Y112" s="14"/>
    </row>
    <row r="113" spans="1:25" x14ac:dyDescent="0.25">
      <c r="A113" t="s">
        <v>371</v>
      </c>
      <c r="Q113" s="8"/>
      <c r="R113" s="8"/>
      <c r="S113" s="14"/>
      <c r="T113" s="14"/>
      <c r="U113" s="8"/>
      <c r="V113" s="8"/>
      <c r="W113" s="8"/>
      <c r="X113" s="14"/>
      <c r="Y113" s="14"/>
    </row>
    <row r="114" spans="1:25" x14ac:dyDescent="0.25">
      <c r="S114" s="2"/>
      <c r="T114" s="2"/>
    </row>
    <row r="115" spans="1:25" x14ac:dyDescent="0.25">
      <c r="T115" s="11"/>
    </row>
    <row r="119" spans="1:25" x14ac:dyDescent="0.25">
      <c r="A119" t="s">
        <v>256</v>
      </c>
      <c r="B119" t="s">
        <v>714</v>
      </c>
    </row>
    <row r="120" spans="1:25" hidden="1" x14ac:dyDescent="0.25">
      <c r="A120" t="s">
        <v>285</v>
      </c>
      <c r="B120">
        <f>COUNTIF(Identifier!A:A,Key!A120)</f>
        <v>1</v>
      </c>
    </row>
    <row r="121" spans="1:25" hidden="1" x14ac:dyDescent="0.25">
      <c r="A121" t="s">
        <v>264</v>
      </c>
      <c r="B121" s="37">
        <f>COUNTIF(Identifier!A:A,Key!A121)</f>
        <v>1</v>
      </c>
    </row>
    <row r="122" spans="1:25" hidden="1" x14ac:dyDescent="0.25">
      <c r="A122" t="s">
        <v>313</v>
      </c>
      <c r="B122" s="37">
        <f>COUNTIF(Identifier!A:A,Key!A122)</f>
        <v>1</v>
      </c>
    </row>
    <row r="123" spans="1:25" hidden="1" x14ac:dyDescent="0.25">
      <c r="A123" t="s">
        <v>249</v>
      </c>
      <c r="B123" s="37">
        <f>COUNTIF(Identifier!A:A,Key!A123)</f>
        <v>1</v>
      </c>
    </row>
    <row r="124" spans="1:25" hidden="1" x14ac:dyDescent="0.25">
      <c r="A124" t="s">
        <v>268</v>
      </c>
      <c r="B124" s="37">
        <f>COUNTIF(Identifier!A:A,Key!A124)</f>
        <v>1</v>
      </c>
    </row>
    <row r="125" spans="1:25" hidden="1" x14ac:dyDescent="0.25">
      <c r="A125" t="s">
        <v>269</v>
      </c>
      <c r="B125" s="37">
        <f>COUNTIF(Identifier!A:A,Key!A125)</f>
        <v>1</v>
      </c>
    </row>
    <row r="126" spans="1:25" hidden="1" x14ac:dyDescent="0.25">
      <c r="A126" t="s">
        <v>266</v>
      </c>
      <c r="B126" s="37">
        <f>COUNTIF(Identifier!A:A,Key!A126)</f>
        <v>1</v>
      </c>
    </row>
    <row r="127" spans="1:25" hidden="1" x14ac:dyDescent="0.25">
      <c r="A127" t="s">
        <v>265</v>
      </c>
      <c r="B127" s="37">
        <f>COUNTIF(Identifier!A:A,Key!A127)</f>
        <v>1</v>
      </c>
    </row>
    <row r="128" spans="1:25" hidden="1" x14ac:dyDescent="0.25">
      <c r="A128" t="s">
        <v>279</v>
      </c>
      <c r="B128" s="37">
        <f>COUNTIF(Identifier!A:A,Key!A128)</f>
        <v>1</v>
      </c>
    </row>
    <row r="129" spans="1:2" hidden="1" x14ac:dyDescent="0.25">
      <c r="A129" t="s">
        <v>32</v>
      </c>
      <c r="B129" s="37">
        <f>COUNTIF(Identifier!A:A,Key!A129)</f>
        <v>1</v>
      </c>
    </row>
    <row r="130" spans="1:2" hidden="1" x14ac:dyDescent="0.25">
      <c r="A130" t="s">
        <v>416</v>
      </c>
      <c r="B130" s="37">
        <f>COUNTIF(Identifier!A:A,Key!A130)</f>
        <v>1</v>
      </c>
    </row>
    <row r="131" spans="1:2" hidden="1" x14ac:dyDescent="0.25">
      <c r="A131" t="s">
        <v>259</v>
      </c>
      <c r="B131" s="37">
        <f>COUNTIF(Identifier!A:A,Key!A131)</f>
        <v>1</v>
      </c>
    </row>
    <row r="132" spans="1:2" hidden="1" x14ac:dyDescent="0.25">
      <c r="A132" t="s">
        <v>267</v>
      </c>
      <c r="B132" s="37">
        <f>COUNTIF(Identifier!A:A,Key!A132)</f>
        <v>1</v>
      </c>
    </row>
    <row r="133" spans="1:2" hidden="1" x14ac:dyDescent="0.25">
      <c r="A133" t="s">
        <v>310</v>
      </c>
      <c r="B133" s="37">
        <f>COUNTIF(Identifier!A:A,Key!A133)</f>
        <v>1</v>
      </c>
    </row>
    <row r="134" spans="1:2" hidden="1" x14ac:dyDescent="0.25">
      <c r="A134" t="s">
        <v>262</v>
      </c>
      <c r="B134" s="37">
        <f>COUNTIF(Identifier!A:A,Key!A134)</f>
        <v>1</v>
      </c>
    </row>
    <row r="135" spans="1:2" hidden="1" x14ac:dyDescent="0.25">
      <c r="A135" t="s">
        <v>336</v>
      </c>
      <c r="B135" s="37">
        <f>COUNTIF(Identifier!A:A,Key!A135)</f>
        <v>1</v>
      </c>
    </row>
    <row r="136" spans="1:2" hidden="1" x14ac:dyDescent="0.25">
      <c r="A136" t="s">
        <v>110</v>
      </c>
      <c r="B136" s="37">
        <f>COUNTIF(Identifier!A:A,Key!A136)</f>
        <v>1</v>
      </c>
    </row>
    <row r="137" spans="1:2" hidden="1" x14ac:dyDescent="0.25">
      <c r="A137" t="s">
        <v>227</v>
      </c>
      <c r="B137" s="37">
        <f>COUNTIF(Identifier!A:A,Key!A137)</f>
        <v>1</v>
      </c>
    </row>
    <row r="138" spans="1:2" hidden="1" x14ac:dyDescent="0.25">
      <c r="A138" t="s">
        <v>284</v>
      </c>
      <c r="B138" s="37">
        <f>COUNTIF(Identifier!A:A,Key!A138)</f>
        <v>1</v>
      </c>
    </row>
    <row r="139" spans="1:2" hidden="1" x14ac:dyDescent="0.25">
      <c r="A139" t="s">
        <v>283</v>
      </c>
      <c r="B139" s="37">
        <f>COUNTIF(Identifier!A:A,Key!A139)</f>
        <v>1</v>
      </c>
    </row>
    <row r="140" spans="1:2" hidden="1" x14ac:dyDescent="0.25">
      <c r="A140" t="s">
        <v>286</v>
      </c>
      <c r="B140" s="37">
        <f>COUNTIF(Identifier!A:A,Key!A140)</f>
        <v>1</v>
      </c>
    </row>
    <row r="141" spans="1:2" hidden="1" x14ac:dyDescent="0.25">
      <c r="A141" t="s">
        <v>417</v>
      </c>
      <c r="B141" s="37">
        <f>COUNTIF(Identifier!A:A,Key!A141)</f>
        <v>1</v>
      </c>
    </row>
    <row r="142" spans="1:2" hidden="1" x14ac:dyDescent="0.25">
      <c r="A142" t="s">
        <v>281</v>
      </c>
      <c r="B142" s="37">
        <f>COUNTIF(Identifier!A:A,Key!A142)</f>
        <v>1</v>
      </c>
    </row>
    <row r="143" spans="1:2" hidden="1" x14ac:dyDescent="0.25">
      <c r="A143" t="s">
        <v>363</v>
      </c>
      <c r="B143" s="37">
        <f>COUNTIF(Identifier!A:A,Key!A143)</f>
        <v>1</v>
      </c>
    </row>
    <row r="144" spans="1:2" hidden="1" x14ac:dyDescent="0.25">
      <c r="A144" t="s">
        <v>612</v>
      </c>
      <c r="B144" s="37">
        <f>COUNTIF(Identifier!A:A,Key!A144)</f>
        <v>1</v>
      </c>
    </row>
    <row r="145" spans="1:2" hidden="1" x14ac:dyDescent="0.25">
      <c r="A145" t="s">
        <v>275</v>
      </c>
      <c r="B145" s="37">
        <f>COUNTIF(Identifier!A:A,Key!A145)</f>
        <v>1</v>
      </c>
    </row>
    <row r="146" spans="1:2" hidden="1" x14ac:dyDescent="0.25">
      <c r="A146" t="s">
        <v>282</v>
      </c>
      <c r="B146" s="37">
        <f>COUNTIF(Identifier!A:A,Key!A146)</f>
        <v>1</v>
      </c>
    </row>
    <row r="147" spans="1:2" hidden="1" x14ac:dyDescent="0.25">
      <c r="A147" t="s">
        <v>1226</v>
      </c>
      <c r="B147" s="37">
        <f>COUNTIF(Identifier!A:A,Key!A147)</f>
        <v>1</v>
      </c>
    </row>
    <row r="148" spans="1:2" hidden="1" x14ac:dyDescent="0.25">
      <c r="A148" t="s">
        <v>1224</v>
      </c>
      <c r="B148" s="37">
        <f>COUNTIF(Identifier!A:A,Key!A148)</f>
        <v>1</v>
      </c>
    </row>
    <row r="149" spans="1:2" hidden="1" x14ac:dyDescent="0.25">
      <c r="A149" t="s">
        <v>288</v>
      </c>
      <c r="B149" s="37">
        <f>COUNTIF(Identifier!A:A,Key!A149)</f>
        <v>1</v>
      </c>
    </row>
    <row r="150" spans="1:2" hidden="1" x14ac:dyDescent="0.25">
      <c r="A150" t="s">
        <v>607</v>
      </c>
      <c r="B150" s="37">
        <f>COUNTIF(Identifier!A:A,Key!A150)</f>
        <v>1</v>
      </c>
    </row>
    <row r="151" spans="1:2" hidden="1" x14ac:dyDescent="0.25">
      <c r="A151" t="s">
        <v>351</v>
      </c>
      <c r="B151" s="37">
        <f>COUNTIF(Identifier!A:A,Key!A151)</f>
        <v>1</v>
      </c>
    </row>
    <row r="152" spans="1:2" hidden="1" x14ac:dyDescent="0.25">
      <c r="A152" t="s">
        <v>320</v>
      </c>
      <c r="B152" s="37">
        <f>COUNTIF(Identifier!A:A,Key!A152)</f>
        <v>1</v>
      </c>
    </row>
    <row r="153" spans="1:2" hidden="1" x14ac:dyDescent="0.25">
      <c r="A153" t="s">
        <v>263</v>
      </c>
      <c r="B153" s="37">
        <f>COUNTIF(Identifier!A:A,Key!A153)</f>
        <v>1</v>
      </c>
    </row>
    <row r="154" spans="1:2" hidden="1" x14ac:dyDescent="0.25">
      <c r="A154" t="s">
        <v>257</v>
      </c>
      <c r="B154" s="37">
        <f>COUNTIF(Identifier!A:A,Key!A154)</f>
        <v>1</v>
      </c>
    </row>
    <row r="155" spans="1:2" hidden="1" x14ac:dyDescent="0.25">
      <c r="A155" t="s">
        <v>588</v>
      </c>
      <c r="B155" s="37">
        <f>COUNTIF(Identifier!A:A,Key!A155)</f>
        <v>1</v>
      </c>
    </row>
    <row r="156" spans="1:2" hidden="1" x14ac:dyDescent="0.25">
      <c r="A156" t="s">
        <v>274</v>
      </c>
      <c r="B156" s="37">
        <f>COUNTIF(Identifier!A:A,Key!A156)</f>
        <v>1</v>
      </c>
    </row>
    <row r="157" spans="1:2" x14ac:dyDescent="0.25">
      <c r="A157" t="s">
        <v>639</v>
      </c>
      <c r="B157" s="37">
        <f>COUNTIF(Identifier!A:A,Key!A157)</f>
        <v>1</v>
      </c>
    </row>
    <row r="158" spans="1:2" x14ac:dyDescent="0.25">
      <c r="A158" t="s">
        <v>637</v>
      </c>
      <c r="B158" s="37">
        <f>COUNTIF(Identifier!A:A,Key!A158)</f>
        <v>1</v>
      </c>
    </row>
    <row r="159" spans="1:2" hidden="1" x14ac:dyDescent="0.25">
      <c r="A159" t="s">
        <v>272</v>
      </c>
      <c r="B159" s="37">
        <f>COUNTIF(Identifier!A:A,Key!A159)</f>
        <v>1</v>
      </c>
    </row>
    <row r="160" spans="1:2" hidden="1" x14ac:dyDescent="0.25">
      <c r="A160" t="s">
        <v>280</v>
      </c>
      <c r="B160" s="37">
        <f>COUNTIF(Identifier!A:A,Key!A160)</f>
        <v>1</v>
      </c>
    </row>
    <row r="161" spans="1:4" hidden="1" x14ac:dyDescent="0.25">
      <c r="A161" t="s">
        <v>399</v>
      </c>
      <c r="B161" s="37">
        <f>COUNTIF(Identifier!A:A,Key!A161)</f>
        <v>1</v>
      </c>
    </row>
    <row r="162" spans="1:4" hidden="1" x14ac:dyDescent="0.25">
      <c r="A162" t="s">
        <v>260</v>
      </c>
      <c r="B162" s="37">
        <f>COUNTIF(Identifier!A:A,Key!A162)</f>
        <v>1</v>
      </c>
    </row>
    <row r="163" spans="1:4" hidden="1" x14ac:dyDescent="0.25">
      <c r="A163" t="s">
        <v>400</v>
      </c>
      <c r="B163" s="37">
        <f>COUNTIF(Identifier!A:A,Key!A163)</f>
        <v>1</v>
      </c>
    </row>
    <row r="164" spans="1:4" hidden="1" x14ac:dyDescent="0.25">
      <c r="A164" t="s">
        <v>278</v>
      </c>
      <c r="B164" s="37">
        <f>COUNTIF(Identifier!A:A,Key!A164)</f>
        <v>1</v>
      </c>
    </row>
    <row r="165" spans="1:4" x14ac:dyDescent="0.25">
      <c r="A165" t="s">
        <v>673</v>
      </c>
      <c r="B165" s="37">
        <f>COUNTIF(Identifier!A:A,Key!A165)</f>
        <v>1</v>
      </c>
    </row>
    <row r="166" spans="1:4" hidden="1" x14ac:dyDescent="0.25">
      <c r="A166" t="s">
        <v>276</v>
      </c>
      <c r="B166" s="37">
        <f>COUNTIF(Identifier!A:A,Key!A166)</f>
        <v>1</v>
      </c>
    </row>
    <row r="167" spans="1:4" hidden="1" x14ac:dyDescent="0.25">
      <c r="A167" t="s">
        <v>277</v>
      </c>
      <c r="B167" s="37">
        <f>COUNTIF(Identifier!A:A,Key!A167)</f>
        <v>1</v>
      </c>
    </row>
    <row r="168" spans="1:4" hidden="1" x14ac:dyDescent="0.25">
      <c r="A168" t="s">
        <v>211</v>
      </c>
      <c r="B168" s="37">
        <f>COUNTIF(Identifier!A:A,Key!A168)</f>
        <v>1</v>
      </c>
    </row>
    <row r="169" spans="1:4" hidden="1" x14ac:dyDescent="0.25">
      <c r="A169" t="s">
        <v>382</v>
      </c>
      <c r="B169" s="37">
        <f>COUNTIF(Identifier!A:A,Key!A169)</f>
        <v>1</v>
      </c>
    </row>
    <row r="175" spans="1:4" x14ac:dyDescent="0.25">
      <c r="A175" t="s">
        <v>715</v>
      </c>
      <c r="B175" s="37" t="s">
        <v>710</v>
      </c>
      <c r="C175" t="s">
        <v>439</v>
      </c>
      <c r="D175" t="s">
        <v>669</v>
      </c>
    </row>
    <row r="176" spans="1:4" x14ac:dyDescent="0.25">
      <c r="A176" t="s">
        <v>462</v>
      </c>
      <c r="B176" s="37">
        <f>COUNTIF(Wine1!A:A,Key!A176)</f>
        <v>1</v>
      </c>
      <c r="C176">
        <f>COUNTIF(Drank!A:A,Key!A176)</f>
        <v>1</v>
      </c>
      <c r="D176">
        <f>COUNTIF(Agibility!A:A,Key!A176)</f>
        <v>1</v>
      </c>
    </row>
    <row r="177" spans="1:4" x14ac:dyDescent="0.25">
      <c r="A177" t="s">
        <v>425</v>
      </c>
      <c r="B177" s="37">
        <f>COUNTIF(Wine1!A:A,Key!A177)</f>
        <v>7</v>
      </c>
      <c r="C177" s="37">
        <f>COUNTIF(Drank!A:A,Key!A177)</f>
        <v>3</v>
      </c>
      <c r="D177" s="37">
        <f>COUNTIF(Agibility!A:A,Key!A177)</f>
        <v>1</v>
      </c>
    </row>
    <row r="178" spans="1:4" x14ac:dyDescent="0.25">
      <c r="A178" t="s">
        <v>490</v>
      </c>
      <c r="B178" s="37">
        <f>COUNTIF(Wine1!A:A,Key!A178)</f>
        <v>1</v>
      </c>
      <c r="C178" s="37">
        <f>COUNTIF(Drank!A:A,Key!A178)</f>
        <v>0</v>
      </c>
      <c r="D178" s="37">
        <f>COUNTIF(Agibility!A:A,Key!A178)</f>
        <v>1</v>
      </c>
    </row>
    <row r="179" spans="1:4" x14ac:dyDescent="0.25">
      <c r="A179" t="s">
        <v>554</v>
      </c>
      <c r="B179" s="37">
        <f>COUNTIF(Wine1!A:A,Key!A179)</f>
        <v>0</v>
      </c>
      <c r="C179" s="37">
        <f>COUNTIF(Drank!A:A,Key!A179)</f>
        <v>1</v>
      </c>
      <c r="D179" s="37">
        <f>COUNTIF(Agibility!A:A,Key!A179)</f>
        <v>1</v>
      </c>
    </row>
    <row r="180" spans="1:4" x14ac:dyDescent="0.25">
      <c r="A180" t="s">
        <v>573</v>
      </c>
      <c r="B180" s="37">
        <f>COUNTIF(Wine1!A:A,Key!A180)</f>
        <v>1</v>
      </c>
      <c r="C180" s="37">
        <f>COUNTIF(Drank!A:A,Key!A180)</f>
        <v>0</v>
      </c>
      <c r="D180" s="37">
        <f>COUNTIF(Agibility!A:A,Key!A180)</f>
        <v>1</v>
      </c>
    </row>
    <row r="181" spans="1:4" x14ac:dyDescent="0.25">
      <c r="A181" t="s">
        <v>572</v>
      </c>
      <c r="B181" s="37">
        <f>COUNTIF(Wine1!A:A,Key!A181)</f>
        <v>1</v>
      </c>
      <c r="C181" s="37">
        <f>COUNTIF(Drank!A:A,Key!A181)</f>
        <v>0</v>
      </c>
      <c r="D181" s="37">
        <f>COUNTIF(Agibility!A:A,Key!A181)</f>
        <v>1</v>
      </c>
    </row>
    <row r="182" spans="1:4" x14ac:dyDescent="0.25">
      <c r="A182" t="s">
        <v>492</v>
      </c>
      <c r="B182" s="37">
        <f>COUNTIF(Wine1!A:A,Key!A182)</f>
        <v>1</v>
      </c>
      <c r="C182" s="37">
        <f>COUNTIF(Drank!A:A,Key!A182)</f>
        <v>0</v>
      </c>
      <c r="D182" s="37">
        <f>COUNTIF(Agibility!A:A,Key!A182)</f>
        <v>1</v>
      </c>
    </row>
    <row r="183" spans="1:4" x14ac:dyDescent="0.25">
      <c r="A183" t="s">
        <v>479</v>
      </c>
      <c r="B183" s="37">
        <f>COUNTIF(Wine1!A:A,Key!A183)</f>
        <v>2</v>
      </c>
      <c r="C183" s="37">
        <f>COUNTIF(Drank!A:A,Key!A183)</f>
        <v>2</v>
      </c>
      <c r="D183" s="37">
        <f>COUNTIF(Agibility!A:A,Key!A183)</f>
        <v>1</v>
      </c>
    </row>
    <row r="184" spans="1:4" x14ac:dyDescent="0.25">
      <c r="A184" t="s">
        <v>508</v>
      </c>
      <c r="B184" s="37">
        <f>COUNTIF(Wine1!A:A,Key!A184)</f>
        <v>2</v>
      </c>
      <c r="C184" s="37">
        <f>COUNTIF(Drank!A:A,Key!A184)</f>
        <v>1</v>
      </c>
      <c r="D184" s="37">
        <f>COUNTIF(Agibility!A:A,Key!A184)</f>
        <v>1</v>
      </c>
    </row>
    <row r="185" spans="1:4" x14ac:dyDescent="0.25">
      <c r="A185" t="s">
        <v>549</v>
      </c>
      <c r="B185" s="37">
        <f>COUNTIF(Wine1!A:A,Key!A185)</f>
        <v>1</v>
      </c>
      <c r="C185" s="37">
        <f>COUNTIF(Drank!A:A,Key!A185)</f>
        <v>0</v>
      </c>
      <c r="D185" s="37">
        <f>COUNTIF(Agibility!A:A,Key!A185)</f>
        <v>1</v>
      </c>
    </row>
    <row r="186" spans="1:4" x14ac:dyDescent="0.25">
      <c r="A186" t="s">
        <v>515</v>
      </c>
      <c r="B186" s="37">
        <f>COUNTIF(Wine1!A:A,Key!A186)</f>
        <v>0</v>
      </c>
      <c r="C186" s="37">
        <f>COUNTIF(Drank!A:A,Key!A186)</f>
        <v>1</v>
      </c>
      <c r="D186" s="37">
        <f>COUNTIF(Agibility!A:A,Key!A186)</f>
        <v>1</v>
      </c>
    </row>
    <row r="187" spans="1:4" x14ac:dyDescent="0.25">
      <c r="A187" t="s">
        <v>574</v>
      </c>
      <c r="B187" s="37">
        <f>COUNTIF(Wine1!A:A,Key!A187)</f>
        <v>1</v>
      </c>
      <c r="C187" s="37">
        <f>COUNTIF(Drank!A:A,Key!A187)</f>
        <v>0</v>
      </c>
      <c r="D187" s="37">
        <f>COUNTIF(Agibility!A:A,Key!A187)</f>
        <v>1</v>
      </c>
    </row>
    <row r="188" spans="1:4" x14ac:dyDescent="0.25">
      <c r="A188" t="s">
        <v>496</v>
      </c>
      <c r="B188" s="37">
        <f>COUNTIF(Wine1!A:A,Key!A188)</f>
        <v>3</v>
      </c>
      <c r="C188" s="37">
        <f>COUNTIF(Drank!A:A,Key!A188)</f>
        <v>2</v>
      </c>
      <c r="D188" s="37">
        <f>COUNTIF(Agibility!A:A,Key!A188)</f>
        <v>1</v>
      </c>
    </row>
    <row r="189" spans="1:4" x14ac:dyDescent="0.25">
      <c r="A189" t="s">
        <v>548</v>
      </c>
      <c r="B189" s="37">
        <f>COUNTIF(Wine1!A:A,Key!A189)</f>
        <v>0</v>
      </c>
      <c r="C189" s="37">
        <f>COUNTIF(Drank!A:A,Key!A189)</f>
        <v>1</v>
      </c>
      <c r="D189" s="37">
        <f>COUNTIF(Agibility!A:A,Key!A189)</f>
        <v>1</v>
      </c>
    </row>
    <row r="190" spans="1:4" x14ac:dyDescent="0.25">
      <c r="A190" t="s">
        <v>567</v>
      </c>
      <c r="B190" s="37">
        <f>COUNTIF(Wine1!A:A,Key!A190)</f>
        <v>1</v>
      </c>
      <c r="C190" s="37">
        <f>COUNTIF(Drank!A:A,Key!A190)</f>
        <v>0</v>
      </c>
      <c r="D190" s="37">
        <f>COUNTIF(Agibility!A:A,Key!A190)</f>
        <v>1</v>
      </c>
    </row>
    <row r="191" spans="1:4" x14ac:dyDescent="0.25">
      <c r="A191" t="s">
        <v>476</v>
      </c>
      <c r="B191" s="37">
        <f>COUNTIF(Wine1!A:A,Key!A191)</f>
        <v>1</v>
      </c>
      <c r="C191" s="37">
        <f>COUNTIF(Drank!A:A,Key!A191)</f>
        <v>2</v>
      </c>
      <c r="D191" s="37">
        <f>COUNTIF(Agibility!A:A,Key!A191)</f>
        <v>1</v>
      </c>
    </row>
    <row r="192" spans="1:4" x14ac:dyDescent="0.25">
      <c r="A192" t="s">
        <v>458</v>
      </c>
      <c r="B192" s="37">
        <f>COUNTIF(Wine1!A:A,Key!A192)</f>
        <v>2</v>
      </c>
      <c r="C192" s="37">
        <f>COUNTIF(Drank!A:A,Key!A192)</f>
        <v>1</v>
      </c>
      <c r="D192" s="37">
        <f>COUNTIF(Agibility!A:A,Key!A192)</f>
        <v>1</v>
      </c>
    </row>
    <row r="193" spans="1:4" x14ac:dyDescent="0.25">
      <c r="A193" t="s">
        <v>706</v>
      </c>
      <c r="B193" s="37">
        <f>COUNTIF(Wine1!A:A,Key!A193)</f>
        <v>1</v>
      </c>
      <c r="C193" s="37">
        <f>COUNTIF(Drank!A:A,Key!A193)</f>
        <v>0</v>
      </c>
      <c r="D193" s="37">
        <f>COUNTIF(Agibility!A:A,Key!A193)</f>
        <v>1</v>
      </c>
    </row>
    <row r="194" spans="1:4" x14ac:dyDescent="0.25">
      <c r="A194" t="s">
        <v>560</v>
      </c>
      <c r="B194" s="37">
        <f>COUNTIF(Wine1!A:A,Key!A194)</f>
        <v>1</v>
      </c>
      <c r="C194" s="37">
        <f>COUNTIF(Drank!A:A,Key!A194)</f>
        <v>0</v>
      </c>
      <c r="D194" s="37">
        <f>COUNTIF(Agibility!A:A,Key!A194)</f>
        <v>1</v>
      </c>
    </row>
    <row r="195" spans="1:4" x14ac:dyDescent="0.25">
      <c r="A195" t="s">
        <v>559</v>
      </c>
      <c r="B195" s="37">
        <f>COUNTIF(Wine1!A:A,Key!A195)</f>
        <v>0</v>
      </c>
      <c r="C195" s="37">
        <f>COUNTIF(Drank!A:A,Key!A195)</f>
        <v>0</v>
      </c>
      <c r="D195" s="37">
        <f>COUNTIF(Agibility!A:A,Key!A195)</f>
        <v>0</v>
      </c>
    </row>
    <row r="196" spans="1:4" x14ac:dyDescent="0.25">
      <c r="A196" t="s">
        <v>485</v>
      </c>
      <c r="B196" s="37">
        <f>COUNTIF(Wine1!A:A,Key!A196)</f>
        <v>1</v>
      </c>
      <c r="C196" s="37">
        <f>COUNTIF(Drank!A:A,Key!A196)</f>
        <v>1</v>
      </c>
      <c r="D196" s="37">
        <f>COUNTIF(Agibility!A:A,Key!A196)</f>
        <v>1</v>
      </c>
    </row>
    <row r="197" spans="1:4" x14ac:dyDescent="0.25">
      <c r="A197" t="s">
        <v>501</v>
      </c>
      <c r="B197" s="37">
        <f>COUNTIF(Wine1!A:A,Key!A197)</f>
        <v>0</v>
      </c>
      <c r="C197" s="37">
        <f>COUNTIF(Drank!A:A,Key!A197)</f>
        <v>0</v>
      </c>
      <c r="D197" s="37">
        <f>COUNTIF(Agibility!A:A,Key!A197)</f>
        <v>0</v>
      </c>
    </row>
    <row r="198" spans="1:4" x14ac:dyDescent="0.25">
      <c r="A198" s="37" t="s">
        <v>562</v>
      </c>
      <c r="B198" s="37">
        <f>COUNTIF(Wine1!A:A,Key!A198)</f>
        <v>1</v>
      </c>
      <c r="C198" s="37">
        <f>COUNTIF(Drank!A:A,Key!A198)</f>
        <v>0</v>
      </c>
      <c r="D198" s="37">
        <f>COUNTIF(Agibility!A:A,Key!A198)</f>
        <v>1</v>
      </c>
    </row>
    <row r="199" spans="1:4" x14ac:dyDescent="0.25">
      <c r="A199" s="37" t="s">
        <v>1212</v>
      </c>
      <c r="B199" s="37">
        <f>COUNTIF(Wine1!A:A,Key!A199)</f>
        <v>9</v>
      </c>
      <c r="C199" s="37">
        <f>COUNTIF(Drank!A:A,Key!A199)</f>
        <v>4</v>
      </c>
      <c r="D199" s="37">
        <f>COUNTIF(Agibility!A:A,Key!A199)</f>
        <v>1</v>
      </c>
    </row>
    <row r="200" spans="1:4" x14ac:dyDescent="0.25">
      <c r="A200" s="37" t="s">
        <v>506</v>
      </c>
      <c r="B200" s="37">
        <f>COUNTIF(Wine1!A:A,Key!A200)</f>
        <v>2</v>
      </c>
      <c r="C200" s="37">
        <f>COUNTIF(Drank!A:A,Key!A200)</f>
        <v>1</v>
      </c>
      <c r="D200" s="37">
        <f>COUNTIF(Agibility!A:A,Key!A200)</f>
        <v>1</v>
      </c>
    </row>
    <row r="201" spans="1:4" x14ac:dyDescent="0.25">
      <c r="A201" s="37" t="s">
        <v>489</v>
      </c>
      <c r="B201" s="37">
        <f>COUNTIF(Wine1!A:A,Key!A201)</f>
        <v>2</v>
      </c>
      <c r="C201" s="37">
        <f>COUNTIF(Drank!A:A,Key!A201)</f>
        <v>0</v>
      </c>
      <c r="D201" s="37">
        <f>COUNTIF(Agibility!A:A,Key!A201)</f>
        <v>1</v>
      </c>
    </row>
    <row r="202" spans="1:4" x14ac:dyDescent="0.25">
      <c r="A202" s="37" t="s">
        <v>546</v>
      </c>
      <c r="B202" s="37">
        <f>COUNTIF(Wine1!A:A,Key!A202)</f>
        <v>1</v>
      </c>
      <c r="C202" s="37">
        <f>COUNTIF(Drank!A:A,Key!A202)</f>
        <v>0</v>
      </c>
      <c r="D202" s="37">
        <f>COUNTIF(Agibility!A:A,Key!A202)</f>
        <v>1</v>
      </c>
    </row>
    <row r="203" spans="1:4" x14ac:dyDescent="0.25">
      <c r="A203" s="37" t="s">
        <v>561</v>
      </c>
      <c r="B203" s="37">
        <f>COUNTIF(Wine1!A:A,Key!A203)</f>
        <v>1</v>
      </c>
      <c r="C203" s="37">
        <f>COUNTIF(Drank!A:A,Key!A203)</f>
        <v>0</v>
      </c>
      <c r="D203" s="37">
        <f>COUNTIF(Agibility!A:A,Key!A203)</f>
        <v>1</v>
      </c>
    </row>
    <row r="204" spans="1:4" x14ac:dyDescent="0.25">
      <c r="A204" s="37" t="s">
        <v>525</v>
      </c>
      <c r="B204" s="37">
        <f>COUNTIF(Wine1!A:A,Key!A204)</f>
        <v>1</v>
      </c>
      <c r="C204" s="37">
        <f>COUNTIF(Drank!A:A,Key!A204)</f>
        <v>0</v>
      </c>
      <c r="D204" s="37">
        <f>COUNTIF(Agibility!A:A,Key!A204)</f>
        <v>1</v>
      </c>
    </row>
    <row r="205" spans="1:4" x14ac:dyDescent="0.25">
      <c r="A205" s="37" t="s">
        <v>568</v>
      </c>
      <c r="B205" s="37">
        <f>COUNTIF(Wine1!A:A,Key!A205)</f>
        <v>1</v>
      </c>
      <c r="C205" s="37">
        <f>COUNTIF(Drank!A:A,Key!A205)</f>
        <v>0</v>
      </c>
      <c r="D205" s="37">
        <f>COUNTIF(Agibility!A:A,Key!A205)</f>
        <v>1</v>
      </c>
    </row>
    <row r="206" spans="1:4" x14ac:dyDescent="0.25">
      <c r="A206" s="37" t="s">
        <v>569</v>
      </c>
      <c r="B206" s="37">
        <f>COUNTIF(Wine1!A:A,Key!A206)</f>
        <v>1</v>
      </c>
      <c r="C206" s="37">
        <f>COUNTIF(Drank!A:A,Key!A206)</f>
        <v>0</v>
      </c>
      <c r="D206" s="37">
        <f>COUNTIF(Agibility!A:A,Key!A206)</f>
        <v>1</v>
      </c>
    </row>
    <row r="207" spans="1:4" x14ac:dyDescent="0.25">
      <c r="A207" s="37" t="s">
        <v>474</v>
      </c>
      <c r="B207" s="37">
        <f>COUNTIF(Wine1!A:A,Key!A207)</f>
        <v>4</v>
      </c>
      <c r="C207" s="37">
        <f>COUNTIF(Drank!A:A,Key!A207)</f>
        <v>6</v>
      </c>
      <c r="D207" s="37">
        <f>COUNTIF(Agibility!A:A,Key!A207)</f>
        <v>1</v>
      </c>
    </row>
    <row r="208" spans="1:4" x14ac:dyDescent="0.25">
      <c r="A208" t="s">
        <v>383</v>
      </c>
      <c r="B208" s="37">
        <f>COUNTIF(Wine1!A:A,Key!A208)</f>
        <v>19</v>
      </c>
      <c r="C208" s="37">
        <f>COUNTIF(Drank!A:A,Key!A208)</f>
        <v>33</v>
      </c>
      <c r="D208" s="37">
        <f>COUNTIF(Agibility!A:A,Key!A208)</f>
        <v>1</v>
      </c>
    </row>
    <row r="209" spans="1:4" x14ac:dyDescent="0.25">
      <c r="A209" t="s">
        <v>528</v>
      </c>
      <c r="B209" s="37">
        <f>COUNTIF(Wine1!A:A,Key!A209)</f>
        <v>1</v>
      </c>
      <c r="C209" s="37">
        <f>COUNTIF(Drank!A:A,Key!A209)</f>
        <v>0</v>
      </c>
      <c r="D209" s="37">
        <f>COUNTIF(Agibility!A:A,Key!A209)</f>
        <v>1</v>
      </c>
    </row>
    <row r="210" spans="1:4" x14ac:dyDescent="0.25">
      <c r="A210" t="s">
        <v>503</v>
      </c>
      <c r="B210" s="37">
        <f>COUNTIF(Wine1!A:A,Key!A210)</f>
        <v>4</v>
      </c>
      <c r="C210" s="37">
        <f>COUNTIF(Drank!A:A,Key!A210)</f>
        <v>5</v>
      </c>
      <c r="D210" s="37">
        <f>COUNTIF(Agibility!A:A,Key!A210)</f>
        <v>1</v>
      </c>
    </row>
    <row r="211" spans="1:4" x14ac:dyDescent="0.25">
      <c r="A211" t="s">
        <v>551</v>
      </c>
      <c r="B211" s="37">
        <f>COUNTIF(Wine1!A:A,Key!A211)</f>
        <v>1</v>
      </c>
      <c r="C211" s="37">
        <f>COUNTIF(Drank!A:A,Key!A211)</f>
        <v>0</v>
      </c>
      <c r="D211" s="37">
        <f>COUNTIF(Agibility!A:A,Key!A211)</f>
        <v>1</v>
      </c>
    </row>
    <row r="212" spans="1:4" x14ac:dyDescent="0.25">
      <c r="A212" t="s">
        <v>547</v>
      </c>
      <c r="B212" s="37">
        <f>COUNTIF(Wine1!A:A,Key!A212)</f>
        <v>1</v>
      </c>
      <c r="C212" s="37">
        <f>COUNTIF(Drank!A:A,Key!A212)</f>
        <v>1</v>
      </c>
      <c r="D212" s="37">
        <f>COUNTIF(Agibility!A:A,Key!A212)</f>
        <v>1</v>
      </c>
    </row>
    <row r="213" spans="1:4" x14ac:dyDescent="0.25">
      <c r="A213" t="s">
        <v>500</v>
      </c>
      <c r="B213" s="37">
        <f>COUNTIF(Wine1!A:A,Key!A213)</f>
        <v>2</v>
      </c>
      <c r="C213" s="37">
        <f>COUNTIF(Drank!A:A,Key!A213)</f>
        <v>0</v>
      </c>
      <c r="D213" s="37">
        <f>COUNTIF(Agibility!A:A,Key!A213)</f>
        <v>1</v>
      </c>
    </row>
    <row r="214" spans="1:4" x14ac:dyDescent="0.25">
      <c r="A214" t="s">
        <v>461</v>
      </c>
      <c r="B214" s="37">
        <f>COUNTIF(Wine1!A:A,Key!A214)</f>
        <v>0</v>
      </c>
      <c r="C214" s="37">
        <f>COUNTIF(Drank!A:A,Key!A214)</f>
        <v>1</v>
      </c>
      <c r="D214" s="37">
        <f>COUNTIF(Agibility!A:A,Key!A214)</f>
        <v>1</v>
      </c>
    </row>
    <row r="215" spans="1:4" x14ac:dyDescent="0.25">
      <c r="A215" t="s">
        <v>518</v>
      </c>
      <c r="B215" s="37">
        <f>COUNTIF(Wine1!A:A,Key!A215)</f>
        <v>2</v>
      </c>
      <c r="C215" s="37">
        <f>COUNTIF(Drank!A:A,Key!A215)</f>
        <v>1</v>
      </c>
      <c r="D215" s="37">
        <f>COUNTIF(Agibility!A:A,Key!A215)</f>
        <v>1</v>
      </c>
    </row>
    <row r="216" spans="1:4" x14ac:dyDescent="0.25">
      <c r="A216" t="s">
        <v>535</v>
      </c>
      <c r="B216" s="37">
        <f>COUNTIF(Wine1!A:A,Key!A216)</f>
        <v>2</v>
      </c>
      <c r="C216" s="37">
        <f>COUNTIF(Drank!A:A,Key!A216)</f>
        <v>0</v>
      </c>
      <c r="D216" s="37">
        <f>COUNTIF(Agibility!A:A,Key!A216)</f>
        <v>1</v>
      </c>
    </row>
    <row r="217" spans="1:4" x14ac:dyDescent="0.25">
      <c r="A217" t="s">
        <v>497</v>
      </c>
      <c r="B217" s="37">
        <f>COUNTIF(Wine1!A:A,Key!A217)</f>
        <v>2</v>
      </c>
      <c r="C217" s="37">
        <f>COUNTIF(Drank!A:A,Key!A217)</f>
        <v>0</v>
      </c>
      <c r="D217" s="37">
        <f>COUNTIF(Agibility!A:A,Key!A217)</f>
        <v>1</v>
      </c>
    </row>
    <row r="218" spans="1:4" x14ac:dyDescent="0.25">
      <c r="A218" t="s">
        <v>550</v>
      </c>
      <c r="B218" s="37">
        <f>COUNTIF(Wine1!A:A,Key!A218)</f>
        <v>1</v>
      </c>
      <c r="C218" s="37">
        <f>COUNTIF(Drank!A:A,Key!A218)</f>
        <v>1</v>
      </c>
      <c r="D218" s="37">
        <f>COUNTIF(Agibility!A:A,Key!A218)</f>
        <v>1</v>
      </c>
    </row>
    <row r="219" spans="1:4" x14ac:dyDescent="0.25">
      <c r="A219" t="s">
        <v>511</v>
      </c>
      <c r="B219" s="37">
        <f>COUNTIF(Wine1!A:A,Key!A219)</f>
        <v>2</v>
      </c>
      <c r="C219" s="37">
        <f>COUNTIF(Drank!A:A,Key!A219)</f>
        <v>1</v>
      </c>
      <c r="D219" s="37">
        <f>COUNTIF(Agibility!A:A,Key!A219)</f>
        <v>1</v>
      </c>
    </row>
    <row r="220" spans="1:4" x14ac:dyDescent="0.25">
      <c r="A220" t="s">
        <v>527</v>
      </c>
      <c r="B220" s="37">
        <f>COUNTIF(Wine1!A:A,Key!A220)</f>
        <v>2</v>
      </c>
      <c r="C220" s="37">
        <f>COUNTIF(Drank!A:A,Key!A220)</f>
        <v>0</v>
      </c>
      <c r="D220" s="37">
        <f>COUNTIF(Agibility!A:A,Key!A220)</f>
        <v>1</v>
      </c>
    </row>
    <row r="221" spans="1:4" x14ac:dyDescent="0.25">
      <c r="A221" t="s">
        <v>530</v>
      </c>
      <c r="B221" s="37">
        <f>COUNTIF(Wine1!A:A,Key!A221)</f>
        <v>1</v>
      </c>
      <c r="C221" s="37">
        <f>COUNTIF(Drank!A:A,Key!A221)</f>
        <v>0</v>
      </c>
      <c r="D221" s="37">
        <f>COUNTIF(Agibility!A:A,Key!A221)</f>
        <v>1</v>
      </c>
    </row>
    <row r="222" spans="1:4" x14ac:dyDescent="0.25">
      <c r="A222" s="37" t="s">
        <v>480</v>
      </c>
      <c r="B222" s="37">
        <f>COUNTIF(Wine1!A:A,Key!A222)</f>
        <v>2</v>
      </c>
      <c r="C222" s="37">
        <f>COUNTIF(Drank!A:A,Key!A222)</f>
        <v>0</v>
      </c>
      <c r="D222" s="37">
        <f>COUNTIF(Agibility!A:A,Key!A222)</f>
        <v>1</v>
      </c>
    </row>
    <row r="223" spans="1:4" x14ac:dyDescent="0.25">
      <c r="A223" t="s">
        <v>558</v>
      </c>
      <c r="B223" s="37">
        <f>COUNTIF(Wine1!A:A,Key!A223)</f>
        <v>1</v>
      </c>
      <c r="C223" s="37">
        <f>COUNTIF(Drank!A:A,Key!A223)</f>
        <v>0</v>
      </c>
      <c r="D223" s="37">
        <f>COUNTIF(Agibility!A:A,Key!A223)</f>
        <v>1</v>
      </c>
    </row>
    <row r="224" spans="1:4" x14ac:dyDescent="0.25">
      <c r="A224" t="s">
        <v>516</v>
      </c>
      <c r="B224" s="37">
        <f>COUNTIF(Wine1!A:A,Key!A224)</f>
        <v>1</v>
      </c>
      <c r="C224" s="37">
        <f>COUNTIF(Drank!A:A,Key!A224)</f>
        <v>1</v>
      </c>
      <c r="D224" s="37">
        <f>COUNTIF(Agibility!A:A,Key!A224)</f>
        <v>1</v>
      </c>
    </row>
    <row r="225" spans="1:4" x14ac:dyDescent="0.25">
      <c r="A225" t="s">
        <v>477</v>
      </c>
      <c r="B225" s="37">
        <f>COUNTIF(Wine1!A:A,Key!A225)</f>
        <v>5</v>
      </c>
      <c r="C225" s="37">
        <f>COUNTIF(Drank!A:A,Key!A225)</f>
        <v>1</v>
      </c>
      <c r="D225" s="37">
        <f>COUNTIF(Agibility!A:A,Key!A225)</f>
        <v>1</v>
      </c>
    </row>
    <row r="226" spans="1:4" x14ac:dyDescent="0.25">
      <c r="A226" t="s">
        <v>555</v>
      </c>
      <c r="B226" s="37">
        <f>COUNTIF(Wine1!A:A,Key!A226)</f>
        <v>1</v>
      </c>
      <c r="C226" s="37">
        <f>COUNTIF(Drank!A:A,Key!A226)</f>
        <v>1</v>
      </c>
      <c r="D226" s="37">
        <f>COUNTIF(Agibility!A:A,Key!A226)</f>
        <v>1</v>
      </c>
    </row>
    <row r="227" spans="1:4" x14ac:dyDescent="0.25">
      <c r="A227" t="s">
        <v>468</v>
      </c>
      <c r="B227" s="37">
        <f>COUNTIF(Wine1!A:A,Key!A227)</f>
        <v>0</v>
      </c>
      <c r="C227" s="37">
        <f>COUNTIF(Drank!A:A,Key!A227)</f>
        <v>1</v>
      </c>
      <c r="D227" s="37">
        <f>COUNTIF(Agibility!A:A,Key!A227)</f>
        <v>1</v>
      </c>
    </row>
    <row r="228" spans="1:4" x14ac:dyDescent="0.25">
      <c r="A228" t="s">
        <v>520</v>
      </c>
      <c r="B228" s="37">
        <f>COUNTIF(Wine1!A:A,Key!A228)</f>
        <v>8</v>
      </c>
      <c r="C228" s="37">
        <f>COUNTIF(Drank!A:A,Key!A228)</f>
        <v>1</v>
      </c>
      <c r="D228" s="37">
        <f>COUNTIF(Agibility!A:A,Key!A228)</f>
        <v>1</v>
      </c>
    </row>
    <row r="229" spans="1:4" x14ac:dyDescent="0.25">
      <c r="A229" t="s">
        <v>505</v>
      </c>
      <c r="B229" s="37">
        <f>COUNTIF(Wine1!A:A,Key!A229)</f>
        <v>2</v>
      </c>
      <c r="C229" s="37">
        <f>COUNTIF(Drank!A:A,Key!A229)</f>
        <v>1</v>
      </c>
      <c r="D229" s="37">
        <f>COUNTIF(Agibility!A:A,Key!A229)</f>
        <v>1</v>
      </c>
    </row>
    <row r="230" spans="1:4" x14ac:dyDescent="0.25">
      <c r="A230" t="s">
        <v>563</v>
      </c>
      <c r="B230" s="37">
        <f>COUNTIF(Wine1!A:A,Key!A230)</f>
        <v>1</v>
      </c>
      <c r="C230" s="37">
        <f>COUNTIF(Drank!A:A,Key!A230)</f>
        <v>0</v>
      </c>
      <c r="D230" s="37">
        <f>COUNTIF(Agibility!A:A,Key!A230)</f>
        <v>1</v>
      </c>
    </row>
    <row r="231" spans="1:4" x14ac:dyDescent="0.25">
      <c r="A231" t="s">
        <v>704</v>
      </c>
      <c r="B231" s="37">
        <f>COUNTIF(Wine1!A:A,Key!A231)</f>
        <v>2</v>
      </c>
      <c r="C231" s="37">
        <f>COUNTIF(Drank!A:A,Key!A231)</f>
        <v>1</v>
      </c>
      <c r="D231" s="37">
        <f>COUNTIF(Agibility!A:A,Key!A231)</f>
        <v>1</v>
      </c>
    </row>
    <row r="232" spans="1:4" x14ac:dyDescent="0.25">
      <c r="A232" t="s">
        <v>488</v>
      </c>
      <c r="B232" s="37">
        <f>COUNTIF(Wine1!A:A,Key!A232)</f>
        <v>5</v>
      </c>
      <c r="C232" s="37">
        <f>COUNTIF(Drank!A:A,Key!A232)</f>
        <v>1</v>
      </c>
      <c r="D232" s="37">
        <f>COUNTIF(Agibility!A:A,Key!A232)</f>
        <v>1</v>
      </c>
    </row>
    <row r="233" spans="1:4" x14ac:dyDescent="0.25">
      <c r="A233" t="s">
        <v>487</v>
      </c>
      <c r="B233" s="37">
        <f>COUNTIF(Wine1!A:A,Key!A233)</f>
        <v>3</v>
      </c>
      <c r="C233" s="37">
        <f>COUNTIF(Drank!A:A,Key!A233)</f>
        <v>1</v>
      </c>
      <c r="D233" s="37">
        <f>COUNTIF(Agibility!A:A,Key!A233)</f>
        <v>1</v>
      </c>
    </row>
    <row r="234" spans="1:4" x14ac:dyDescent="0.25">
      <c r="A234" t="s">
        <v>541</v>
      </c>
      <c r="B234" s="37">
        <f>COUNTIF(Wine1!A:A,Key!A234)</f>
        <v>0</v>
      </c>
      <c r="C234" s="37">
        <f>COUNTIF(Drank!A:A,Key!A234)</f>
        <v>0</v>
      </c>
      <c r="D234" s="37">
        <f>COUNTIF(Agibility!A:A,Key!A234)</f>
        <v>0</v>
      </c>
    </row>
    <row r="235" spans="1:4" x14ac:dyDescent="0.25">
      <c r="A235" t="s">
        <v>521</v>
      </c>
      <c r="B235" s="37">
        <f>COUNTIF(Wine1!A:A,Key!A235)</f>
        <v>7</v>
      </c>
      <c r="C235" s="37">
        <f>COUNTIF(Drank!A:A,Key!A235)</f>
        <v>2</v>
      </c>
      <c r="D235" s="37">
        <f>COUNTIF(Agibility!A:A,Key!A235)</f>
        <v>1</v>
      </c>
    </row>
    <row r="236" spans="1:4" x14ac:dyDescent="0.25">
      <c r="A236" t="s">
        <v>526</v>
      </c>
      <c r="B236" s="37">
        <f>COUNTIF(Wine1!A:A,Key!A236)</f>
        <v>1</v>
      </c>
      <c r="C236" s="37">
        <f>COUNTIF(Drank!A:A,Key!A236)</f>
        <v>0</v>
      </c>
      <c r="D236" s="37">
        <f>COUNTIF(Agibility!A:A,Key!A236)</f>
        <v>1</v>
      </c>
    </row>
    <row r="237" spans="1:4" x14ac:dyDescent="0.25">
      <c r="A237" t="s">
        <v>539</v>
      </c>
      <c r="B237" s="37">
        <f>COUNTIF(Wine1!A:A,Key!A237)</f>
        <v>3</v>
      </c>
      <c r="C237" s="37">
        <f>COUNTIF(Drank!A:A,Key!A237)</f>
        <v>1</v>
      </c>
      <c r="D237" s="37">
        <f>COUNTIF(Agibility!A:A,Key!A237)</f>
        <v>1</v>
      </c>
    </row>
    <row r="238" spans="1:4" x14ac:dyDescent="0.25">
      <c r="A238" t="s">
        <v>537</v>
      </c>
      <c r="B238" s="37">
        <f>COUNTIF(Wine1!A:A,Key!A238)</f>
        <v>3</v>
      </c>
      <c r="C238" s="37">
        <f>COUNTIF(Drank!A:A,Key!A238)</f>
        <v>1</v>
      </c>
      <c r="D238" s="37">
        <f>COUNTIF(Agibility!A:A,Key!A238)</f>
        <v>1</v>
      </c>
    </row>
    <row r="239" spans="1:4" x14ac:dyDescent="0.25">
      <c r="A239" t="s">
        <v>529</v>
      </c>
      <c r="B239" s="37">
        <f>COUNTIF(Wine1!A:A,Key!A239)</f>
        <v>2</v>
      </c>
      <c r="C239" s="37">
        <f>COUNTIF(Drank!A:A,Key!A239)</f>
        <v>0</v>
      </c>
      <c r="D239" s="37">
        <f>COUNTIF(Agibility!A:A,Key!A239)</f>
        <v>1</v>
      </c>
    </row>
    <row r="240" spans="1:4" x14ac:dyDescent="0.25">
      <c r="A240" t="s">
        <v>557</v>
      </c>
      <c r="B240" s="37">
        <f>COUNTIF(Wine1!A:A,Key!A240)</f>
        <v>1</v>
      </c>
      <c r="C240" s="37">
        <f>COUNTIF(Drank!A:A,Key!A240)</f>
        <v>2</v>
      </c>
      <c r="D240" s="37">
        <f>COUNTIF(Agibility!A:A,Key!A240)</f>
        <v>1</v>
      </c>
    </row>
    <row r="241" spans="1:4" x14ac:dyDescent="0.25">
      <c r="A241" t="s">
        <v>507</v>
      </c>
      <c r="B241" s="37">
        <f>COUNTIF(Wine1!A:A,Key!A241)</f>
        <v>1</v>
      </c>
      <c r="C241" s="37">
        <f>COUNTIF(Drank!A:A,Key!A241)</f>
        <v>1</v>
      </c>
      <c r="D241" s="37">
        <f>COUNTIF(Agibility!A:A,Key!A241)</f>
        <v>1</v>
      </c>
    </row>
    <row r="242" spans="1:4" x14ac:dyDescent="0.25">
      <c r="A242" t="s">
        <v>556</v>
      </c>
      <c r="B242" s="37">
        <f>COUNTIF(Wine1!A:A,Key!A242)</f>
        <v>1</v>
      </c>
      <c r="C242" s="37">
        <f>COUNTIF(Drank!A:A,Key!A242)</f>
        <v>1</v>
      </c>
      <c r="D242" s="37">
        <f>COUNTIF(Agibility!A:A,Key!A242)</f>
        <v>1</v>
      </c>
    </row>
    <row r="243" spans="1:4" x14ac:dyDescent="0.25">
      <c r="A243" t="s">
        <v>460</v>
      </c>
      <c r="B243" s="37">
        <f>COUNTIF(Wine1!A:A,Key!A243)</f>
        <v>2</v>
      </c>
      <c r="C243" s="37">
        <f>COUNTIF(Drank!A:A,Key!A243)</f>
        <v>1</v>
      </c>
      <c r="D243" s="37">
        <f>COUNTIF(Agibility!A:A,Key!A243)</f>
        <v>1</v>
      </c>
    </row>
    <row r="244" spans="1:4" x14ac:dyDescent="0.25">
      <c r="A244" t="s">
        <v>517</v>
      </c>
      <c r="B244" s="37">
        <f>COUNTIF(Wine1!A:A,Key!A244)</f>
        <v>3</v>
      </c>
      <c r="C244" s="37">
        <f>COUNTIF(Drank!A:A,Key!A244)</f>
        <v>1</v>
      </c>
      <c r="D244" s="37">
        <f>COUNTIF(Agibility!A:A,Key!A244)</f>
        <v>1</v>
      </c>
    </row>
    <row r="245" spans="1:4" x14ac:dyDescent="0.25">
      <c r="A245" t="s">
        <v>553</v>
      </c>
      <c r="B245" s="37">
        <f>COUNTIF(Wine1!A:A,Key!A245)</f>
        <v>2</v>
      </c>
      <c r="C245" s="37">
        <f>COUNTIF(Drank!A:A,Key!A245)</f>
        <v>1</v>
      </c>
      <c r="D245" s="37">
        <f>COUNTIF(Agibility!A:A,Key!A245)</f>
        <v>1</v>
      </c>
    </row>
    <row r="246" spans="1:4" x14ac:dyDescent="0.25">
      <c r="A246" t="s">
        <v>464</v>
      </c>
      <c r="B246" s="37">
        <f>COUNTIF(Wine1!A:A,Key!A246)</f>
        <v>0</v>
      </c>
      <c r="C246" s="37">
        <f>COUNTIF(Drank!A:A,Key!A246)</f>
        <v>0</v>
      </c>
      <c r="D246" s="37">
        <f>COUNTIF(Agibility!A:A,Key!A246)</f>
        <v>0</v>
      </c>
    </row>
    <row r="247" spans="1:4" x14ac:dyDescent="0.25">
      <c r="A247" t="s">
        <v>509</v>
      </c>
      <c r="B247" s="37">
        <f>COUNTIF(Wine1!A:A,Key!A247)</f>
        <v>2</v>
      </c>
      <c r="C247" s="37">
        <f>COUNTIF(Drank!A:A,Key!A247)</f>
        <v>1</v>
      </c>
      <c r="D247" s="37">
        <f>COUNTIF(Agibility!A:A,Key!A247)</f>
        <v>1</v>
      </c>
    </row>
    <row r="248" spans="1:4" x14ac:dyDescent="0.25">
      <c r="A248" t="s">
        <v>482</v>
      </c>
      <c r="B248" s="37">
        <f>COUNTIF(Wine1!A:A,Key!A248)</f>
        <v>5</v>
      </c>
      <c r="C248" s="37">
        <f>COUNTIF(Drank!A:A,Key!A248)</f>
        <v>1</v>
      </c>
      <c r="D248" s="37">
        <f>COUNTIF(Agibility!A:A,Key!A248)</f>
        <v>1</v>
      </c>
    </row>
    <row r="249" spans="1:4" x14ac:dyDescent="0.25">
      <c r="A249" t="s">
        <v>576</v>
      </c>
      <c r="B249" s="37">
        <f>COUNTIF(Wine1!A:A,Key!A249)</f>
        <v>1</v>
      </c>
      <c r="C249" s="37">
        <f>COUNTIF(Drank!A:A,Key!A249)</f>
        <v>0</v>
      </c>
      <c r="D249" s="37">
        <f>COUNTIF(Agibility!A:A,Key!A249)</f>
        <v>1</v>
      </c>
    </row>
    <row r="250" spans="1:4" x14ac:dyDescent="0.25">
      <c r="A250" t="s">
        <v>463</v>
      </c>
      <c r="B250" s="37">
        <f>COUNTIF(Wine1!A:A,Key!A250)</f>
        <v>0</v>
      </c>
      <c r="C250" s="37">
        <f>COUNTIF(Drank!A:A,Key!A250)</f>
        <v>2</v>
      </c>
      <c r="D250" s="37">
        <f>COUNTIF(Agibility!A:A,Key!A250)</f>
        <v>1</v>
      </c>
    </row>
    <row r="251" spans="1:4" x14ac:dyDescent="0.25">
      <c r="A251" t="s">
        <v>524</v>
      </c>
      <c r="B251" s="37">
        <f>COUNTIF(Wine1!A:A,Key!A251)</f>
        <v>2</v>
      </c>
      <c r="C251" s="37">
        <f>COUNTIF(Drank!A:A,Key!A251)</f>
        <v>1</v>
      </c>
      <c r="D251" s="37">
        <f>COUNTIF(Agibility!A:A,Key!A251)</f>
        <v>1</v>
      </c>
    </row>
    <row r="252" spans="1:4" x14ac:dyDescent="0.25">
      <c r="A252" t="s">
        <v>698</v>
      </c>
      <c r="B252" s="37">
        <f>COUNTIF(Wine1!A:A,Key!A252)</f>
        <v>1</v>
      </c>
      <c r="C252" s="37">
        <f>COUNTIF(Drank!A:A,Key!A252)</f>
        <v>1</v>
      </c>
      <c r="D252" s="37">
        <f>COUNTIF(Agibility!A:A,Key!A252)</f>
        <v>1</v>
      </c>
    </row>
    <row r="253" spans="1:4" x14ac:dyDescent="0.25">
      <c r="A253" t="s">
        <v>544</v>
      </c>
      <c r="B253" s="37">
        <f>COUNTIF(Wine1!A:A,Key!A253)</f>
        <v>4</v>
      </c>
      <c r="C253" s="37">
        <f>COUNTIF(Drank!A:A,Key!A253)</f>
        <v>0</v>
      </c>
      <c r="D253" s="37">
        <f>COUNTIF(Agibility!A:A,Key!A253)</f>
        <v>1</v>
      </c>
    </row>
    <row r="254" spans="1:4" x14ac:dyDescent="0.25">
      <c r="A254" t="s">
        <v>467</v>
      </c>
      <c r="B254" s="37">
        <f>COUNTIF(Wine1!A:A,Key!A254)</f>
        <v>0</v>
      </c>
      <c r="C254" s="37">
        <f>COUNTIF(Drank!A:A,Key!A254)</f>
        <v>2</v>
      </c>
      <c r="D254" s="37">
        <f>COUNTIF(Agibility!A:A,Key!A254)</f>
        <v>1</v>
      </c>
    </row>
    <row r="255" spans="1:4" x14ac:dyDescent="0.25">
      <c r="A255" t="s">
        <v>705</v>
      </c>
      <c r="B255" s="37">
        <f>COUNTIF(Wine1!A:A,Key!A255)</f>
        <v>4</v>
      </c>
      <c r="C255" s="37">
        <f>COUNTIF(Drank!A:A,Key!A255)</f>
        <v>0</v>
      </c>
      <c r="D255" s="37">
        <f>COUNTIF(Agibility!A:A,Key!A255)</f>
        <v>1</v>
      </c>
    </row>
    <row r="256" spans="1:4" x14ac:dyDescent="0.25">
      <c r="A256" t="s">
        <v>502</v>
      </c>
      <c r="B256" s="37">
        <f>COUNTIF(Wine1!A:A,Key!A256)</f>
        <v>4</v>
      </c>
      <c r="C256" s="37">
        <f>COUNTIF(Drank!A:A,Key!A256)</f>
        <v>0</v>
      </c>
      <c r="D256" s="37">
        <f>COUNTIF(Agibility!A:A,Key!A256)</f>
        <v>1</v>
      </c>
    </row>
    <row r="257" spans="1:4" x14ac:dyDescent="0.25">
      <c r="A257" t="s">
        <v>510</v>
      </c>
      <c r="B257" s="37">
        <f>COUNTIF(Wine1!A:A,Key!A257)</f>
        <v>1</v>
      </c>
      <c r="C257" s="37">
        <f>COUNTIF(Drank!A:A,Key!A257)</f>
        <v>0</v>
      </c>
      <c r="D257" s="37">
        <f>COUNTIF(Agibility!A:A,Key!A257)</f>
        <v>1</v>
      </c>
    </row>
    <row r="258" spans="1:4" x14ac:dyDescent="0.25">
      <c r="A258" t="s">
        <v>522</v>
      </c>
      <c r="B258" s="37">
        <f>COUNTIF(Wine1!A:A,Key!A258)</f>
        <v>1</v>
      </c>
      <c r="C258" s="37">
        <f>COUNTIF(Drank!A:A,Key!A258)</f>
        <v>0</v>
      </c>
      <c r="D258" s="37">
        <f>COUNTIF(Agibility!A:A,Key!A258)</f>
        <v>1</v>
      </c>
    </row>
    <row r="259" spans="1:4" x14ac:dyDescent="0.25">
      <c r="A259" t="s">
        <v>707</v>
      </c>
      <c r="B259" s="37">
        <f>COUNTIF(Wine1!A:A,Key!A259)</f>
        <v>2</v>
      </c>
      <c r="C259" s="37">
        <f>COUNTIF(Drank!A:A,Key!A259)</f>
        <v>0</v>
      </c>
      <c r="D259" s="37">
        <f>COUNTIF(Agibility!A:A,Key!A259)</f>
        <v>1</v>
      </c>
    </row>
    <row r="260" spans="1:4" x14ac:dyDescent="0.25">
      <c r="A260" t="s">
        <v>523</v>
      </c>
      <c r="B260" s="37">
        <f>COUNTIF(Wine1!A:A,Key!A260)</f>
        <v>2</v>
      </c>
      <c r="C260" s="37">
        <f>COUNTIF(Drank!A:A,Key!A260)</f>
        <v>0</v>
      </c>
      <c r="D260" s="37">
        <f>COUNTIF(Agibility!A:A,Key!A260)</f>
        <v>1</v>
      </c>
    </row>
    <row r="261" spans="1:4" x14ac:dyDescent="0.25">
      <c r="A261" t="s">
        <v>498</v>
      </c>
      <c r="B261" s="37">
        <f>COUNTIF(Wine1!A:A,Key!A261)</f>
        <v>2</v>
      </c>
      <c r="C261" s="37">
        <f>COUNTIF(Drank!A:A,Key!A261)</f>
        <v>1</v>
      </c>
      <c r="D261" s="37">
        <f>COUNTIF(Agibility!A:A,Key!A261)</f>
        <v>1</v>
      </c>
    </row>
    <row r="262" spans="1:4" x14ac:dyDescent="0.25">
      <c r="A262" t="s">
        <v>471</v>
      </c>
      <c r="B262" s="37">
        <f>COUNTIF(Wine1!A:A,Key!A262)</f>
        <v>9</v>
      </c>
      <c r="C262" s="37">
        <f>COUNTIF(Drank!A:A,Key!A262)</f>
        <v>5</v>
      </c>
      <c r="D262" s="37">
        <f>COUNTIF(Agibility!A:A,Key!A262)</f>
        <v>1</v>
      </c>
    </row>
    <row r="263" spans="1:4" x14ac:dyDescent="0.25">
      <c r="A263" t="s">
        <v>475</v>
      </c>
      <c r="B263" s="37">
        <f>COUNTIF(Wine1!A:A,Key!A263)</f>
        <v>3</v>
      </c>
      <c r="C263" s="37">
        <f>COUNTIF(Drank!A:A,Key!A263)</f>
        <v>1</v>
      </c>
      <c r="D263" s="37">
        <f>COUNTIF(Agibility!A:A,Key!A263)</f>
        <v>1</v>
      </c>
    </row>
    <row r="264" spans="1:4" x14ac:dyDescent="0.25">
      <c r="A264" t="s">
        <v>493</v>
      </c>
      <c r="B264" s="37">
        <f>COUNTIF(Wine1!A:A,Key!A264)</f>
        <v>1</v>
      </c>
      <c r="C264" s="37">
        <f>COUNTIF(Drank!A:A,Key!A264)</f>
        <v>0</v>
      </c>
      <c r="D264" s="37">
        <f>COUNTIF(Agibility!A:A,Key!A264)</f>
        <v>1</v>
      </c>
    </row>
    <row r="265" spans="1:4" x14ac:dyDescent="0.25">
      <c r="A265" t="s">
        <v>531</v>
      </c>
      <c r="B265" s="37">
        <f>COUNTIF(Wine1!A:A,Key!A265)</f>
        <v>2</v>
      </c>
      <c r="C265" s="37">
        <f>COUNTIF(Drank!A:A,Key!A265)</f>
        <v>2</v>
      </c>
      <c r="D265" s="37">
        <f>COUNTIF(Agibility!A:A,Key!A265)</f>
        <v>1</v>
      </c>
    </row>
    <row r="266" spans="1:4" x14ac:dyDescent="0.25">
      <c r="A266" t="s">
        <v>696</v>
      </c>
      <c r="B266" s="37">
        <f>COUNTIF(Wine1!A:A,Key!A266)</f>
        <v>1</v>
      </c>
      <c r="C266" s="37">
        <f>COUNTIF(Drank!A:A,Key!A266)</f>
        <v>3</v>
      </c>
      <c r="D266" s="37">
        <f>COUNTIF(Agibility!A:A,Key!A266)</f>
        <v>1</v>
      </c>
    </row>
    <row r="267" spans="1:4" x14ac:dyDescent="0.25">
      <c r="A267" t="s">
        <v>486</v>
      </c>
      <c r="B267" s="37">
        <f>COUNTIF(Wine1!A:A,Key!A267)</f>
        <v>0</v>
      </c>
      <c r="C267" s="37">
        <f>COUNTIF(Drank!A:A,Key!A267)</f>
        <v>0</v>
      </c>
      <c r="D267" s="37">
        <f>COUNTIF(Agibility!A:A,Key!A267)</f>
        <v>0</v>
      </c>
    </row>
    <row r="268" spans="1:4" x14ac:dyDescent="0.25">
      <c r="A268" t="s">
        <v>495</v>
      </c>
      <c r="B268" s="37">
        <f>COUNTIF(Wine1!A:A,Key!A268)</f>
        <v>1</v>
      </c>
      <c r="C268" s="37">
        <f>COUNTIF(Drank!A:A,Key!A268)</f>
        <v>0</v>
      </c>
      <c r="D268" s="37">
        <f>COUNTIF(Agibility!A:A,Key!A268)</f>
        <v>1</v>
      </c>
    </row>
    <row r="269" spans="1:4" x14ac:dyDescent="0.25">
      <c r="A269" t="s">
        <v>422</v>
      </c>
      <c r="B269" s="37">
        <f>COUNTIF(Wine1!A:A,Key!A269)</f>
        <v>6</v>
      </c>
      <c r="C269" s="37">
        <f>COUNTIF(Drank!A:A,Key!A269)</f>
        <v>11</v>
      </c>
      <c r="D269" s="37">
        <f>COUNTIF(Agibility!A:A,Key!A269)</f>
        <v>1</v>
      </c>
    </row>
    <row r="270" spans="1:4" x14ac:dyDescent="0.25">
      <c r="A270" t="s">
        <v>552</v>
      </c>
      <c r="B270" s="37">
        <f>COUNTIF(Wine1!A:A,Key!A270)</f>
        <v>2</v>
      </c>
      <c r="C270" s="37">
        <f>COUNTIF(Drank!A:A,Key!A270)</f>
        <v>0</v>
      </c>
      <c r="D270" s="37">
        <f>COUNTIF(Agibility!A:A,Key!A270)</f>
        <v>1</v>
      </c>
    </row>
    <row r="271" spans="1:4" x14ac:dyDescent="0.25">
      <c r="A271" t="s">
        <v>566</v>
      </c>
      <c r="B271" s="37">
        <f>COUNTIF(Wine1!A:A,Key!A271)</f>
        <v>2</v>
      </c>
      <c r="C271" s="37">
        <f>COUNTIF(Drank!A:A,Key!A271)</f>
        <v>0</v>
      </c>
      <c r="D271" s="37">
        <f>COUNTIF(Agibility!A:A,Key!A271)</f>
        <v>1</v>
      </c>
    </row>
    <row r="272" spans="1:4" x14ac:dyDescent="0.25">
      <c r="A272" t="s">
        <v>472</v>
      </c>
      <c r="B272" s="37">
        <f>COUNTIF(Wine1!A:A,Key!A272)</f>
        <v>1</v>
      </c>
      <c r="C272" s="37">
        <f>COUNTIF(Drank!A:A,Key!A272)</f>
        <v>2</v>
      </c>
      <c r="D272" s="37">
        <f>COUNTIF(Agibility!A:A,Key!A272)</f>
        <v>1</v>
      </c>
    </row>
    <row r="273" spans="1:4" x14ac:dyDescent="0.25">
      <c r="A273" t="s">
        <v>469</v>
      </c>
      <c r="B273" s="37">
        <f>COUNTIF(Wine1!A:A,Key!A273)</f>
        <v>0</v>
      </c>
      <c r="C273" s="37">
        <f>COUNTIF(Drank!A:A,Key!A273)</f>
        <v>1</v>
      </c>
      <c r="D273" s="37">
        <f>COUNTIF(Agibility!A:A,Key!A273)</f>
        <v>1</v>
      </c>
    </row>
    <row r="274" spans="1:4" x14ac:dyDescent="0.25">
      <c r="A274" t="s">
        <v>443</v>
      </c>
      <c r="B274" s="37">
        <f>COUNTIF(Wine1!A:A,Key!A274)</f>
        <v>3</v>
      </c>
      <c r="C274" s="37">
        <f>COUNTIF(Drank!A:A,Key!A274)</f>
        <v>1</v>
      </c>
      <c r="D274" s="37">
        <f>COUNTIF(Agibility!A:A,Key!A274)</f>
        <v>1</v>
      </c>
    </row>
    <row r="275" spans="1:4" x14ac:dyDescent="0.25">
      <c r="A275" t="s">
        <v>571</v>
      </c>
      <c r="B275" s="37">
        <f>COUNTIF(Wine1!A:A,Key!A275)</f>
        <v>1</v>
      </c>
      <c r="C275" s="37">
        <f>COUNTIF(Drank!A:A,Key!A275)</f>
        <v>0</v>
      </c>
      <c r="D275" s="37">
        <f>COUNTIF(Agibility!A:A,Key!A275)</f>
        <v>1</v>
      </c>
    </row>
    <row r="276" spans="1:4" x14ac:dyDescent="0.25">
      <c r="A276" t="s">
        <v>1213</v>
      </c>
      <c r="B276" s="37">
        <f>COUNTIF(Wine1!A:A,Key!A276)</f>
        <v>3</v>
      </c>
      <c r="C276" s="37">
        <f>COUNTIF(Drank!A:A,Key!A276)</f>
        <v>0</v>
      </c>
      <c r="D276" s="37">
        <f>COUNTIF(Agibility!A:A,Key!A276)</f>
        <v>1</v>
      </c>
    </row>
    <row r="277" spans="1:4" x14ac:dyDescent="0.25">
      <c r="A277" t="s">
        <v>533</v>
      </c>
      <c r="B277" s="37">
        <f>COUNTIF(Wine1!A:A,Key!A277)</f>
        <v>1</v>
      </c>
      <c r="C277" s="37">
        <f>COUNTIF(Drank!A:A,Key!A277)</f>
        <v>0</v>
      </c>
      <c r="D277" s="37">
        <f>COUNTIF(Agibility!A:A,Key!A277)</f>
        <v>1</v>
      </c>
    </row>
    <row r="278" spans="1:4" x14ac:dyDescent="0.25">
      <c r="A278" t="s">
        <v>1219</v>
      </c>
      <c r="B278" s="37">
        <f>COUNTIF(Wine1!A:A,Key!A278)</f>
        <v>4</v>
      </c>
      <c r="C278" s="37">
        <f>COUNTIF(Drank!A:A,Key!A278)</f>
        <v>18</v>
      </c>
      <c r="D278" s="37">
        <f>COUNTIF(Agibility!A:A,Key!A278)</f>
        <v>1</v>
      </c>
    </row>
    <row r="279" spans="1:4" x14ac:dyDescent="0.25">
      <c r="A279" t="s">
        <v>1218</v>
      </c>
      <c r="B279" s="37">
        <f>COUNTIF(Wine1!A:A,Key!A279)</f>
        <v>1</v>
      </c>
      <c r="C279" s="37">
        <f>COUNTIF(Drank!A:A,Key!A279)</f>
        <v>3</v>
      </c>
      <c r="D279" s="37">
        <f>COUNTIF(Agibility!A:A,Key!A279)</f>
        <v>1</v>
      </c>
    </row>
    <row r="280" spans="1:4" x14ac:dyDescent="0.25">
      <c r="A280" t="s">
        <v>564</v>
      </c>
      <c r="B280" s="37">
        <f>COUNTIF(Wine1!A:A,Key!A280)</f>
        <v>1</v>
      </c>
      <c r="C280" s="37">
        <f>COUNTIF(Drank!A:A,Key!A280)</f>
        <v>0</v>
      </c>
      <c r="D280" s="37">
        <f>COUNTIF(Agibility!A:A,Key!A280)</f>
        <v>1</v>
      </c>
    </row>
    <row r="281" spans="1:4" x14ac:dyDescent="0.25">
      <c r="A281" t="s">
        <v>499</v>
      </c>
      <c r="B281" s="37">
        <f>COUNTIF(Wine1!A:A,Key!A281)</f>
        <v>3</v>
      </c>
      <c r="C281" s="37">
        <f>COUNTIF(Drank!A:A,Key!A281)</f>
        <v>1</v>
      </c>
      <c r="D281" s="37">
        <f>COUNTIF(Agibility!A:A,Key!A281)</f>
        <v>1</v>
      </c>
    </row>
    <row r="282" spans="1:4" x14ac:dyDescent="0.25">
      <c r="A282" t="s">
        <v>565</v>
      </c>
      <c r="B282" s="37">
        <f>COUNTIF(Wine1!A:A,Key!A282)</f>
        <v>1</v>
      </c>
      <c r="C282" s="37">
        <f>COUNTIF(Drank!A:A,Key!A282)</f>
        <v>0</v>
      </c>
      <c r="D282" s="37">
        <f>COUNTIF(Agibility!A:A,Key!A282)</f>
        <v>1</v>
      </c>
    </row>
    <row r="283" spans="1:4" x14ac:dyDescent="0.25">
      <c r="A283" t="s">
        <v>695</v>
      </c>
      <c r="B283" s="37">
        <f>COUNTIF(Wine1!A:A,Key!A283)</f>
        <v>8</v>
      </c>
      <c r="C283" s="37">
        <f>COUNTIF(Drank!A:A,Key!A283)</f>
        <v>3</v>
      </c>
      <c r="D283" s="37">
        <f>COUNTIF(Agibility!A:A,Key!A283)</f>
        <v>1</v>
      </c>
    </row>
    <row r="284" spans="1:4" x14ac:dyDescent="0.25">
      <c r="A284" t="s">
        <v>519</v>
      </c>
      <c r="B284" s="37">
        <f>COUNTIF(Wine1!A:A,Key!A284)</f>
        <v>4</v>
      </c>
      <c r="C284" s="37">
        <f>COUNTIF(Drank!A:A,Key!A284)</f>
        <v>1</v>
      </c>
      <c r="D284" s="37">
        <f>COUNTIF(Agibility!A:A,Key!A284)</f>
        <v>1</v>
      </c>
    </row>
    <row r="285" spans="1:4" x14ac:dyDescent="0.25">
      <c r="A285" t="s">
        <v>575</v>
      </c>
      <c r="B285" s="37">
        <f>COUNTIF(Wine1!A:A,Key!A285)</f>
        <v>1</v>
      </c>
      <c r="C285" s="37">
        <f>COUNTIF(Drank!A:A,Key!A285)</f>
        <v>0</v>
      </c>
      <c r="D285" s="37">
        <f>COUNTIF(Agibility!A:A,Key!A285)</f>
        <v>1</v>
      </c>
    </row>
    <row r="286" spans="1:4" x14ac:dyDescent="0.25">
      <c r="A286" t="s">
        <v>703</v>
      </c>
      <c r="B286" s="37">
        <f>COUNTIF(Wine1!A:A,Key!A286)</f>
        <v>8</v>
      </c>
      <c r="C286" s="37">
        <f>COUNTIF(Drank!A:A,Key!A286)</f>
        <v>1</v>
      </c>
      <c r="D286" s="37">
        <f>COUNTIF(Agibility!A:A,Key!A286)</f>
        <v>1</v>
      </c>
    </row>
    <row r="287" spans="1:4" x14ac:dyDescent="0.25">
      <c r="A287" t="s">
        <v>577</v>
      </c>
      <c r="B287" s="37">
        <f>COUNTIF(Wine1!A:A,Key!A287)</f>
        <v>1</v>
      </c>
      <c r="C287" s="37">
        <f>COUNTIF(Drank!A:A,Key!A287)</f>
        <v>0</v>
      </c>
      <c r="D287" s="37">
        <f>COUNTIF(Agibility!A:A,Key!A287)</f>
        <v>1</v>
      </c>
    </row>
    <row r="288" spans="1:4" x14ac:dyDescent="0.25">
      <c r="A288" t="s">
        <v>532</v>
      </c>
      <c r="B288" s="37">
        <f>COUNTIF(Wine1!A:A,Key!A288)</f>
        <v>0</v>
      </c>
      <c r="C288" s="37">
        <f>COUNTIF(Drank!A:A,Key!A288)</f>
        <v>0</v>
      </c>
      <c r="D288" s="37">
        <f>COUNTIF(Agibility!A:A,Key!A288)</f>
        <v>0</v>
      </c>
    </row>
    <row r="289" spans="1:4" x14ac:dyDescent="0.25">
      <c r="A289" t="s">
        <v>699</v>
      </c>
      <c r="B289" s="37">
        <f>COUNTIF(Wine1!A:A,Key!A289)</f>
        <v>2</v>
      </c>
      <c r="C289" s="37">
        <f>COUNTIF(Drank!A:A,Key!A289)</f>
        <v>2</v>
      </c>
      <c r="D289" s="37">
        <f>COUNTIF(Agibility!A:A,Key!A289)</f>
        <v>1</v>
      </c>
    </row>
    <row r="290" spans="1:4" x14ac:dyDescent="0.25">
      <c r="A290" t="s">
        <v>466</v>
      </c>
      <c r="B290" s="37">
        <f>COUNTIF(Wine1!A:A,Key!A290)</f>
        <v>1</v>
      </c>
      <c r="C290" s="37">
        <f>COUNTIF(Drank!A:A,Key!A290)</f>
        <v>5</v>
      </c>
      <c r="D290" s="37">
        <f>COUNTIF(Agibility!A:A,Key!A290)</f>
        <v>1</v>
      </c>
    </row>
    <row r="291" spans="1:4" x14ac:dyDescent="0.25">
      <c r="A291" t="s">
        <v>540</v>
      </c>
      <c r="B291" s="37">
        <f>COUNTIF(Wine1!A:A,Key!A291)</f>
        <v>2</v>
      </c>
      <c r="C291" s="37">
        <f>COUNTIF(Drank!A:A,Key!A291)</f>
        <v>0</v>
      </c>
      <c r="D291" s="37">
        <f>COUNTIF(Agibility!A:A,Key!A291)</f>
        <v>1</v>
      </c>
    </row>
    <row r="292" spans="1:4" x14ac:dyDescent="0.25">
      <c r="A292" t="s">
        <v>427</v>
      </c>
      <c r="B292" s="37">
        <f>COUNTIF(Wine1!A:A,Key!A292)</f>
        <v>5</v>
      </c>
      <c r="C292" s="37">
        <f>COUNTIF(Drank!A:A,Key!A292)</f>
        <v>2</v>
      </c>
      <c r="D292" s="37">
        <f>COUNTIF(Agibility!A:A,Key!A292)</f>
        <v>1</v>
      </c>
    </row>
    <row r="293" spans="1:4" x14ac:dyDescent="0.25">
      <c r="A293" t="s">
        <v>426</v>
      </c>
      <c r="B293" s="37">
        <f>COUNTIF(Wine1!A:A,Key!A293)</f>
        <v>4</v>
      </c>
      <c r="C293" s="37">
        <f>COUNTIF(Drank!A:A,Key!A293)</f>
        <v>6</v>
      </c>
      <c r="D293" s="37">
        <f>COUNTIF(Agibility!A:A,Key!A293)</f>
        <v>1</v>
      </c>
    </row>
    <row r="294" spans="1:4" x14ac:dyDescent="0.25">
      <c r="A294" t="s">
        <v>701</v>
      </c>
      <c r="B294" s="37">
        <f>COUNTIF(Wine1!A:A,Key!A294)</f>
        <v>1</v>
      </c>
      <c r="C294" s="37">
        <f>COUNTIF(Drank!A:A,Key!A294)</f>
        <v>1</v>
      </c>
      <c r="D294" s="37">
        <f>COUNTIF(Agibility!A:A,Key!A294)</f>
        <v>1</v>
      </c>
    </row>
    <row r="295" spans="1:4" x14ac:dyDescent="0.25">
      <c r="A295" t="s">
        <v>483</v>
      </c>
      <c r="B295" s="37">
        <f>COUNTIF(Wine1!A:A,Key!A295)</f>
        <v>0</v>
      </c>
      <c r="C295" s="37">
        <f>COUNTIF(Drank!A:A,Key!A295)</f>
        <v>0</v>
      </c>
      <c r="D295" s="37">
        <f>COUNTIF(Agibility!A:A,Key!A295)</f>
        <v>1</v>
      </c>
    </row>
    <row r="296" spans="1:4" x14ac:dyDescent="0.25">
      <c r="A296" t="s">
        <v>512</v>
      </c>
      <c r="B296" s="37">
        <f>COUNTIF(Wine1!A:A,Key!A296)</f>
        <v>4</v>
      </c>
      <c r="C296" s="37">
        <f>COUNTIF(Drank!A:A,Key!A296)</f>
        <v>2</v>
      </c>
      <c r="D296" s="37">
        <f>COUNTIF(Agibility!A:A,Key!A296)</f>
        <v>1</v>
      </c>
    </row>
    <row r="297" spans="1:4" x14ac:dyDescent="0.25">
      <c r="A297" t="s">
        <v>536</v>
      </c>
      <c r="B297" s="37">
        <f>COUNTIF(Wine1!A:A,Key!A297)</f>
        <v>3</v>
      </c>
      <c r="C297" s="37">
        <f>COUNTIF(Drank!A:A,Key!A297)</f>
        <v>1</v>
      </c>
      <c r="D297" s="37">
        <f>COUNTIF(Agibility!A:A,Key!A297)</f>
        <v>1</v>
      </c>
    </row>
    <row r="298" spans="1:4" x14ac:dyDescent="0.25">
      <c r="A298" t="s">
        <v>470</v>
      </c>
      <c r="B298" s="37">
        <f>COUNTIF(Wine1!A:A,Key!A298)</f>
        <v>1</v>
      </c>
      <c r="C298" s="37">
        <f>COUNTIF(Drank!A:A,Key!A298)</f>
        <v>1</v>
      </c>
      <c r="D298" s="37">
        <f>COUNTIF(Agibility!A:A,Key!A298)</f>
        <v>1</v>
      </c>
    </row>
    <row r="299" spans="1:4" x14ac:dyDescent="0.25">
      <c r="A299" t="s">
        <v>686</v>
      </c>
      <c r="B299" s="37">
        <f>COUNTIF(Wine1!A:A,Key!A299)</f>
        <v>3</v>
      </c>
      <c r="C299" s="37">
        <f>COUNTIF(Drank!A:A,Key!A299)</f>
        <v>1</v>
      </c>
      <c r="D299" s="37">
        <f>COUNTIF(Agibility!A:A,Key!A299)</f>
        <v>1</v>
      </c>
    </row>
    <row r="300" spans="1:4" x14ac:dyDescent="0.25">
      <c r="A300" t="s">
        <v>708</v>
      </c>
      <c r="B300" s="37">
        <f>COUNTIF(Wine1!A:A,Key!A300)</f>
        <v>2</v>
      </c>
      <c r="C300" s="37">
        <f>COUNTIF(Drank!A:A,Key!A300)</f>
        <v>0</v>
      </c>
      <c r="D300" s="37">
        <f>COUNTIF(Agibility!A:A,Key!A300)</f>
        <v>1</v>
      </c>
    </row>
    <row r="301" spans="1:4" x14ac:dyDescent="0.25">
      <c r="A301" t="s">
        <v>709</v>
      </c>
      <c r="B301" s="37">
        <f>COUNTIF(Wine1!A:A,Key!A301)</f>
        <v>2</v>
      </c>
      <c r="C301" s="37">
        <f>COUNTIF(Drank!A:A,Key!A301)</f>
        <v>0</v>
      </c>
      <c r="D301" s="37">
        <f>COUNTIF(Agibility!A:A,Key!A301)</f>
        <v>1</v>
      </c>
    </row>
    <row r="302" spans="1:4" x14ac:dyDescent="0.25">
      <c r="A302" t="s">
        <v>433</v>
      </c>
      <c r="B302" s="37">
        <f>COUNTIF(Wine1!A:A,Key!A302)</f>
        <v>15</v>
      </c>
      <c r="C302" s="37">
        <f>COUNTIF(Drank!A:A,Key!A302)</f>
        <v>5</v>
      </c>
      <c r="D302" s="37">
        <f>COUNTIF(Agibility!A:A,Key!A302)</f>
        <v>1</v>
      </c>
    </row>
    <row r="303" spans="1:4" x14ac:dyDescent="0.25">
      <c r="A303" t="s">
        <v>481</v>
      </c>
      <c r="B303" s="37">
        <f>COUNTIF(Wine1!A:A,Key!A303)</f>
        <v>11</v>
      </c>
      <c r="C303" s="37">
        <f>COUNTIF(Drank!A:A,Key!A303)</f>
        <v>1</v>
      </c>
      <c r="D303" s="37">
        <f>COUNTIF(Agibility!A:A,Key!A303)</f>
        <v>1</v>
      </c>
    </row>
    <row r="304" spans="1:4" x14ac:dyDescent="0.25">
      <c r="A304" t="s">
        <v>484</v>
      </c>
      <c r="B304" s="37">
        <f>COUNTIF(Wine1!A:A,Key!A304)</f>
        <v>4</v>
      </c>
      <c r="C304" s="37">
        <f>COUNTIF(Drank!A:A,Key!A304)</f>
        <v>0</v>
      </c>
      <c r="D304" s="37">
        <f>COUNTIF(Agibility!A:A,Key!A304)</f>
        <v>1</v>
      </c>
    </row>
    <row r="305" spans="1:4" x14ac:dyDescent="0.25">
      <c r="A305" t="s">
        <v>538</v>
      </c>
      <c r="B305" s="37">
        <f>COUNTIF(Wine1!A:A,Key!A305)</f>
        <v>3</v>
      </c>
      <c r="C305" s="37">
        <f>COUNTIF(Drank!A:A,Key!A305)</f>
        <v>1</v>
      </c>
      <c r="D305" s="37">
        <f>COUNTIF(Agibility!A:A,Key!A305)</f>
        <v>1</v>
      </c>
    </row>
    <row r="306" spans="1:4" x14ac:dyDescent="0.25">
      <c r="A306" t="s">
        <v>662</v>
      </c>
      <c r="B306" s="37">
        <f>COUNTIF(Wine1!A:A,Key!A306)</f>
        <v>0</v>
      </c>
      <c r="C306" s="37">
        <f>COUNTIF(Drank!A:A,Key!A306)</f>
        <v>0</v>
      </c>
      <c r="D306" s="37">
        <f>COUNTIF(Agibility!A:A,Key!A306)</f>
        <v>1</v>
      </c>
    </row>
    <row r="307" spans="1:4" x14ac:dyDescent="0.25">
      <c r="A307" t="s">
        <v>542</v>
      </c>
      <c r="B307" s="37">
        <f>COUNTIF(Wine1!A:A,Key!A307)</f>
        <v>3</v>
      </c>
      <c r="C307" s="37">
        <f>COUNTIF(Drank!A:A,Key!A307)</f>
        <v>0</v>
      </c>
      <c r="D307" s="37">
        <f>COUNTIF(Agibility!A:A,Key!A307)</f>
        <v>1</v>
      </c>
    </row>
    <row r="308" spans="1:4" x14ac:dyDescent="0.25">
      <c r="A308" t="s">
        <v>504</v>
      </c>
      <c r="B308" s="37">
        <f>COUNTIF(Wine1!A:A,Key!A308)</f>
        <v>12</v>
      </c>
      <c r="C308" s="37">
        <f>COUNTIF(Drank!A:A,Key!A308)</f>
        <v>0</v>
      </c>
      <c r="D308" s="37">
        <f>COUNTIF(Agibility!A:A,Key!A308)</f>
        <v>1</v>
      </c>
    </row>
    <row r="309" spans="1:4" x14ac:dyDescent="0.25">
      <c r="A309" t="s">
        <v>534</v>
      </c>
      <c r="B309" s="37">
        <f>COUNTIF(Wine1!A:A,Key!A309)</f>
        <v>3</v>
      </c>
      <c r="C309" s="37">
        <f>COUNTIF(Drank!A:A,Key!A309)</f>
        <v>1</v>
      </c>
      <c r="D309" s="37">
        <f>COUNTIF(Agibility!A:A,Key!A309)</f>
        <v>1</v>
      </c>
    </row>
    <row r="310" spans="1:4" x14ac:dyDescent="0.25">
      <c r="A310" t="s">
        <v>543</v>
      </c>
      <c r="B310" s="37">
        <f>COUNTIF(Wine1!A:A,Key!A310)</f>
        <v>41</v>
      </c>
      <c r="C310" s="37">
        <f>COUNTIF(Drank!A:A,Key!A310)</f>
        <v>2</v>
      </c>
      <c r="D310" s="37">
        <f>COUNTIF(Agibility!A:A,Key!A310)</f>
        <v>1</v>
      </c>
    </row>
    <row r="311" spans="1:4" x14ac:dyDescent="0.25">
      <c r="A311" t="s">
        <v>447</v>
      </c>
      <c r="B311" s="37">
        <f>COUNTIF(Wine1!A:A,Key!A311)</f>
        <v>7</v>
      </c>
      <c r="C311" s="37">
        <f>COUNTIF(Drank!A:A,Key!A311)</f>
        <v>4</v>
      </c>
      <c r="D311" s="37">
        <f>COUNTIF(Agibility!A:A,Key!A311)</f>
        <v>1</v>
      </c>
    </row>
    <row r="312" spans="1:4" x14ac:dyDescent="0.25">
      <c r="A312" t="s">
        <v>424</v>
      </c>
      <c r="B312" s="37">
        <f>COUNTIF(Wine1!A:A,Key!A312)</f>
        <v>4</v>
      </c>
      <c r="C312" s="37">
        <f>COUNTIF(Drank!A:A,Key!A312)</f>
        <v>21</v>
      </c>
      <c r="D312" s="37">
        <f>COUNTIF(Agibility!A:A,Key!A312)</f>
        <v>1</v>
      </c>
    </row>
    <row r="313" spans="1:4" x14ac:dyDescent="0.25">
      <c r="A313" t="s">
        <v>702</v>
      </c>
      <c r="B313" s="37">
        <f>COUNTIF(Wine1!A:A,Key!A313)</f>
        <v>6</v>
      </c>
      <c r="C313" s="37">
        <f>COUNTIF(Drank!A:A,Key!A313)</f>
        <v>3</v>
      </c>
      <c r="D313" s="37">
        <f>COUNTIF(Agibility!A:A,Key!A313)</f>
        <v>1</v>
      </c>
    </row>
    <row r="314" spans="1:4" x14ac:dyDescent="0.25">
      <c r="A314" t="s">
        <v>473</v>
      </c>
      <c r="B314" s="37">
        <f>COUNTIF(Wine1!A:A,Key!A314)</f>
        <v>3</v>
      </c>
      <c r="C314" s="37">
        <f>COUNTIF(Drank!A:A,Key!A314)</f>
        <v>3</v>
      </c>
      <c r="D314" s="37">
        <f>COUNTIF(Agibility!A:A,Key!A314)</f>
        <v>1</v>
      </c>
    </row>
    <row r="315" spans="1:4" x14ac:dyDescent="0.25">
      <c r="A315" t="s">
        <v>545</v>
      </c>
      <c r="B315" s="37">
        <f>COUNTIF(Wine1!A:A,Key!A315)</f>
        <v>6</v>
      </c>
      <c r="C315" s="37">
        <f>COUNTIF(Drank!A:A,Key!A315)</f>
        <v>0</v>
      </c>
      <c r="D315" s="37">
        <f>COUNTIF(Agibility!A:A,Key!A315)</f>
        <v>1</v>
      </c>
    </row>
    <row r="316" spans="1:4" x14ac:dyDescent="0.25">
      <c r="A316" t="s">
        <v>438</v>
      </c>
      <c r="B316" s="37">
        <f>COUNTIF(Wine1!A:A,Key!A316)</f>
        <v>0</v>
      </c>
      <c r="C316" s="37">
        <f>COUNTIF(Drank!A:A,Key!A316)</f>
        <v>8</v>
      </c>
      <c r="D316" s="37">
        <f>COUNTIF(Agibility!A:A,Key!A316)</f>
        <v>1</v>
      </c>
    </row>
    <row r="317" spans="1:4" x14ac:dyDescent="0.25">
      <c r="A317" t="s">
        <v>513</v>
      </c>
      <c r="B317" s="37">
        <f>COUNTIF(Wine1!A:A,Key!A317)</f>
        <v>4</v>
      </c>
      <c r="C317" s="37">
        <f>COUNTIF(Drank!A:A,Key!A317)</f>
        <v>0</v>
      </c>
      <c r="D317" s="37">
        <f>COUNTIF(Agibility!A:A,Key!A317)</f>
        <v>1</v>
      </c>
    </row>
    <row r="318" spans="1:4" x14ac:dyDescent="0.25">
      <c r="A318" t="s">
        <v>478</v>
      </c>
      <c r="B318" s="37">
        <f>COUNTIF(Wine1!A:A,Key!A318)</f>
        <v>5</v>
      </c>
      <c r="C318" s="37">
        <f>COUNTIF(Drank!A:A,Key!A318)</f>
        <v>1</v>
      </c>
      <c r="D318" s="37">
        <f>COUNTIF(Agibility!A:A,Key!A318)</f>
        <v>1</v>
      </c>
    </row>
    <row r="319" spans="1:4" x14ac:dyDescent="0.25">
      <c r="A319" t="s">
        <v>1160</v>
      </c>
      <c r="B319" s="37">
        <f>COUNTIF(Wine1!A:A,Key!A319)</f>
        <v>2</v>
      </c>
      <c r="C319" s="37">
        <f>COUNTIF(Drank!A:A,Key!A319)</f>
        <v>0</v>
      </c>
      <c r="D319" s="37">
        <f>COUNTIF(Agibility!A:A,Key!A319)</f>
        <v>1</v>
      </c>
    </row>
    <row r="320" spans="1:4" x14ac:dyDescent="0.25">
      <c r="A320" t="s">
        <v>423</v>
      </c>
      <c r="B320" s="37">
        <f>COUNTIF(Wine1!A:A,Key!A320)</f>
        <v>20</v>
      </c>
      <c r="C320" s="37">
        <f>COUNTIF(Drank!A:A,Key!A320)</f>
        <v>17</v>
      </c>
      <c r="D320" s="37">
        <f>COUNTIF(Agibility!A:A,Key!A320)</f>
        <v>1</v>
      </c>
    </row>
    <row r="321" spans="1:4" x14ac:dyDescent="0.25">
      <c r="A321" t="s">
        <v>700</v>
      </c>
      <c r="B321" s="37">
        <f>COUNTIF(Wine1!A:A,Key!A321)</f>
        <v>3</v>
      </c>
      <c r="C321" s="37">
        <f>COUNTIF(Drank!A:A,Key!A321)</f>
        <v>1</v>
      </c>
      <c r="D321" s="37">
        <f>COUNTIF(Agibility!A:A,Key!A321)</f>
        <v>1</v>
      </c>
    </row>
    <row r="322" spans="1:4" x14ac:dyDescent="0.25">
      <c r="A322" t="s">
        <v>514</v>
      </c>
      <c r="B322" s="37">
        <f>COUNTIF(Wine1!A:A,Key!A322)</f>
        <v>4</v>
      </c>
      <c r="C322" s="37">
        <f>COUNTIF(Drank!A:A,Key!A322)</f>
        <v>0</v>
      </c>
      <c r="D322" s="37">
        <f>COUNTIF(Agibility!A:A,Key!A322)</f>
        <v>1</v>
      </c>
    </row>
    <row r="323" spans="1:4" x14ac:dyDescent="0.25">
      <c r="A323" t="s">
        <v>491</v>
      </c>
      <c r="B323" s="37">
        <f>COUNTIF(Wine1!A:A,Key!A323)</f>
        <v>1</v>
      </c>
      <c r="C323" s="37">
        <f>COUNTIF(Drank!A:A,Key!A323)</f>
        <v>0</v>
      </c>
      <c r="D323" s="37">
        <f>COUNTIF(Agibility!A:A,Key!A323)</f>
        <v>1</v>
      </c>
    </row>
    <row r="324" spans="1:4" x14ac:dyDescent="0.25">
      <c r="A324" t="s">
        <v>1211</v>
      </c>
      <c r="B324" s="37">
        <f>COUNTIF(Wine1!A:A,Key!A324)</f>
        <v>2</v>
      </c>
      <c r="C324" s="37">
        <f>COUNTIF(Drank!A:A,Key!A324)</f>
        <v>2</v>
      </c>
      <c r="D324" s="37">
        <f>COUNTIF(Agibility!A:A,Key!A324)</f>
        <v>1</v>
      </c>
    </row>
    <row r="325" spans="1:4" x14ac:dyDescent="0.25">
      <c r="A325" t="s">
        <v>459</v>
      </c>
      <c r="B325" s="37">
        <f>COUNTIF(Wine1!A:A,Key!A325)</f>
        <v>10</v>
      </c>
      <c r="C325" s="37">
        <f>COUNTIF(Drank!A:A,Key!A325)</f>
        <v>2</v>
      </c>
      <c r="D325" s="37">
        <f>COUNTIF(Agibility!A:A,Key!A325)</f>
        <v>1</v>
      </c>
    </row>
    <row r="326" spans="1:4" x14ac:dyDescent="0.25">
      <c r="A326" t="s">
        <v>456</v>
      </c>
      <c r="B326" s="37">
        <f>COUNTIF(Wine1!A:A,Key!A326)</f>
        <v>20</v>
      </c>
      <c r="C326" s="37">
        <f>COUNTIF(Drank!A:A,Key!A326)</f>
        <v>10</v>
      </c>
      <c r="D326" s="37">
        <f>COUNTIF(Agibility!A:A,Key!A326)</f>
        <v>1</v>
      </c>
    </row>
    <row r="327" spans="1:4" x14ac:dyDescent="0.25">
      <c r="A327" t="s">
        <v>692</v>
      </c>
      <c r="B327" s="37">
        <f>COUNTIF(Wine1!A:A,Key!A327)</f>
        <v>0</v>
      </c>
      <c r="C327" s="37">
        <f>COUNTIF(Drank!A:A,Key!A327)</f>
        <v>1</v>
      </c>
      <c r="D327" s="37">
        <f>COUNTIF(Agibility!A:A,Key!A327)</f>
        <v>1</v>
      </c>
    </row>
    <row r="328" spans="1:4" x14ac:dyDescent="0.25">
      <c r="A328" t="s">
        <v>663</v>
      </c>
      <c r="B328" s="37">
        <f>COUNTIF(Wine1!A:A,Key!A328)</f>
        <v>1</v>
      </c>
      <c r="C328" s="37">
        <f>COUNTIF(Drank!A:A,Key!A328)</f>
        <v>3</v>
      </c>
      <c r="D328" s="37">
        <f>COUNTIF(Agibility!A:A,Key!A328)</f>
        <v>1</v>
      </c>
    </row>
    <row r="329" spans="1:4" x14ac:dyDescent="0.25">
      <c r="A329" t="s">
        <v>465</v>
      </c>
      <c r="B329" s="37">
        <f>COUNTIF(Wine1!A:A,Key!A329)</f>
        <v>0</v>
      </c>
      <c r="C329" s="37">
        <f>COUNTIF(Drank!A:A,Key!A329)</f>
        <v>2</v>
      </c>
      <c r="D329" s="37">
        <f>COUNTIF(Agibility!A:A,Key!A329)</f>
        <v>1</v>
      </c>
    </row>
    <row r="330" spans="1:4" x14ac:dyDescent="0.25">
      <c r="A330" t="s">
        <v>693</v>
      </c>
      <c r="B330" s="37">
        <f>COUNTIF(Wine1!A:A,Key!A330)</f>
        <v>0</v>
      </c>
      <c r="C330" s="37">
        <f>COUNTIF(Drank!A:A,Key!A330)</f>
        <v>1</v>
      </c>
      <c r="D330" s="37">
        <f>COUNTIF(Agibility!A:A,Key!A330)</f>
        <v>1</v>
      </c>
    </row>
    <row r="331" spans="1:4" x14ac:dyDescent="0.25">
      <c r="A331" t="s">
        <v>697</v>
      </c>
      <c r="B331" s="37">
        <f>COUNTIF(Wine1!A:A,Key!A331)</f>
        <v>0</v>
      </c>
      <c r="C331" s="37">
        <f>COUNTIF(Drank!A:A,Key!A331)</f>
        <v>1</v>
      </c>
      <c r="D331" s="37">
        <f>COUNTIF(Agibility!A:A,Key!A331)</f>
        <v>1</v>
      </c>
    </row>
    <row r="332" spans="1:4" x14ac:dyDescent="0.25">
      <c r="A332" t="s">
        <v>694</v>
      </c>
      <c r="B332" s="37">
        <f>COUNTIF(Wine1!A:A,Key!A332)</f>
        <v>0</v>
      </c>
      <c r="C332" s="37">
        <f>COUNTIF(Drank!A:A,Key!A332)</f>
        <v>1</v>
      </c>
      <c r="D332" s="37">
        <f>COUNTIF(Agibility!A:A,Key!A332)</f>
        <v>1</v>
      </c>
    </row>
  </sheetData>
  <sortState xmlns:xlrd2="http://schemas.microsoft.com/office/spreadsheetml/2017/richdata2" ref="A120:A593">
    <sortCondition ref="A120:A593"/>
  </sortState>
  <phoneticPr fontId="19" type="noConversion"/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41B09-FB0C-40BA-9177-C867C8AD998B}">
  <dimension ref="A1:J140"/>
  <sheetViews>
    <sheetView workbookViewId="0">
      <selection activeCell="F8" sqref="F8"/>
    </sheetView>
  </sheetViews>
  <sheetFormatPr defaultRowHeight="15" x14ac:dyDescent="0.25"/>
  <cols>
    <col min="1" max="1" width="20" customWidth="1"/>
    <col min="5" max="5" width="26.7109375" bestFit="1" customWidth="1"/>
    <col min="8" max="8" width="10.5703125" bestFit="1" customWidth="1"/>
  </cols>
  <sheetData>
    <row r="1" spans="1:10" x14ac:dyDescent="0.25">
      <c r="A1" t="s">
        <v>176</v>
      </c>
      <c r="B1" t="s">
        <v>0</v>
      </c>
      <c r="C1" t="s">
        <v>1</v>
      </c>
      <c r="D1" t="s">
        <v>2</v>
      </c>
      <c r="E1" t="s">
        <v>256</v>
      </c>
      <c r="F1" t="s">
        <v>579</v>
      </c>
      <c r="G1" t="s">
        <v>580</v>
      </c>
      <c r="H1" t="s">
        <v>179</v>
      </c>
      <c r="I1" t="s">
        <v>578</v>
      </c>
      <c r="J1">
        <v>2020</v>
      </c>
    </row>
    <row r="2" spans="1:10" x14ac:dyDescent="0.25">
      <c r="A2" t="s">
        <v>455</v>
      </c>
      <c r="B2">
        <v>2017</v>
      </c>
      <c r="C2" t="s">
        <v>418</v>
      </c>
      <c r="D2" t="s">
        <v>419</v>
      </c>
      <c r="E2" t="s">
        <v>263</v>
      </c>
      <c r="F2" t="e">
        <f>VLOOKUP(A2,Wine1!A:AB,21,FALSE)</f>
        <v>#N/A</v>
      </c>
      <c r="G2" t="e">
        <f>VLOOKUP(A2,Wine1!A:AC,22,FALSE)</f>
        <v>#N/A</v>
      </c>
      <c r="H2" s="2" t="e">
        <f>VLOOKUP(A2,Wine1!A:AB,24,FALSE)</f>
        <v>#N/A</v>
      </c>
      <c r="I2" t="e">
        <f>VLOOKUP(A2,Wine1!A:AB,20,FALSE)</f>
        <v>#N/A</v>
      </c>
      <c r="J2" t="e">
        <f>IF(F2=0,0,F2-$J$1)</f>
        <v>#N/A</v>
      </c>
    </row>
    <row r="3" spans="1:10" x14ac:dyDescent="0.25">
      <c r="A3" t="s">
        <v>456</v>
      </c>
      <c r="B3">
        <v>2017</v>
      </c>
      <c r="C3" t="s">
        <v>409</v>
      </c>
      <c r="D3" t="s">
        <v>409</v>
      </c>
      <c r="E3" t="s">
        <v>260</v>
      </c>
      <c r="F3">
        <f>VLOOKUP(A3,Wine1!A:AB,21,FALSE)</f>
        <v>0</v>
      </c>
      <c r="G3">
        <f>VLOOKUP(A3,Wine1!A:AC,22,FALSE)</f>
        <v>89.7</v>
      </c>
      <c r="H3" s="2">
        <f>VLOOKUP(A3,Wine1!A:AB,24,FALSE)</f>
        <v>20</v>
      </c>
      <c r="I3">
        <f>VLOOKUP(A3,Wine1!A:AB,20,FALSE)</f>
        <v>0</v>
      </c>
      <c r="J3">
        <f t="shared" ref="J3:J66" si="0">IF(F3=0,0,F3-$J$1)</f>
        <v>0</v>
      </c>
    </row>
    <row r="4" spans="1:10" x14ac:dyDescent="0.25">
      <c r="A4" t="s">
        <v>457</v>
      </c>
      <c r="B4">
        <v>2013</v>
      </c>
      <c r="C4" t="s">
        <v>89</v>
      </c>
      <c r="D4" t="s">
        <v>90</v>
      </c>
      <c r="E4" t="s">
        <v>261</v>
      </c>
      <c r="F4" t="e">
        <f>VLOOKUP(A4,Wine1!A:AB,21,FALSE)</f>
        <v>#N/A</v>
      </c>
      <c r="G4" t="e">
        <f>VLOOKUP(A4,Wine1!A:AC,22,FALSE)</f>
        <v>#N/A</v>
      </c>
      <c r="H4" s="2" t="e">
        <f>VLOOKUP(A4,Wine1!A:AB,24,FALSE)</f>
        <v>#N/A</v>
      </c>
      <c r="I4" t="e">
        <f>VLOOKUP(A4,Wine1!A:AB,20,FALSE)</f>
        <v>#N/A</v>
      </c>
      <c r="J4" t="e">
        <f t="shared" si="0"/>
        <v>#N/A</v>
      </c>
    </row>
    <row r="5" spans="1:10" x14ac:dyDescent="0.25">
      <c r="A5" t="s">
        <v>424</v>
      </c>
      <c r="B5">
        <v>2016</v>
      </c>
      <c r="C5" t="s">
        <v>152</v>
      </c>
      <c r="D5" t="s">
        <v>153</v>
      </c>
      <c r="E5" t="s">
        <v>284</v>
      </c>
      <c r="F5">
        <f>VLOOKUP(A5,Wine1!A:AB,21,FALSE)</f>
        <v>89</v>
      </c>
      <c r="G5">
        <f>VLOOKUP(A5,Wine1!A:AC,22,FALSE)</f>
        <v>88.944444444444443</v>
      </c>
      <c r="H5" s="2">
        <f>VLOOKUP(A5,Wine1!A:AB,24,FALSE)</f>
        <v>4</v>
      </c>
      <c r="I5">
        <f>VLOOKUP(A5,Wine1!A:AB,20,FALSE)</f>
        <v>0</v>
      </c>
      <c r="J5">
        <f t="shared" si="0"/>
        <v>-1931</v>
      </c>
    </row>
    <row r="6" spans="1:10" x14ac:dyDescent="0.25">
      <c r="A6" t="s">
        <v>438</v>
      </c>
      <c r="B6">
        <v>2016</v>
      </c>
      <c r="C6" t="s">
        <v>378</v>
      </c>
      <c r="D6" t="s">
        <v>379</v>
      </c>
      <c r="E6" t="s">
        <v>382</v>
      </c>
      <c r="F6" t="e">
        <f>VLOOKUP(A6,Wine1!A:AB,21,FALSE)</f>
        <v>#N/A</v>
      </c>
      <c r="G6" t="e">
        <f>VLOOKUP(A6,Wine1!A:AC,22,FALSE)</f>
        <v>#N/A</v>
      </c>
      <c r="H6" s="2" t="e">
        <f>VLOOKUP(A6,Wine1!A:AB,24,FALSE)</f>
        <v>#N/A</v>
      </c>
      <c r="I6" t="e">
        <f>VLOOKUP(A6,Wine1!A:AB,20,FALSE)</f>
        <v>#N/A</v>
      </c>
      <c r="J6" t="e">
        <f t="shared" si="0"/>
        <v>#N/A</v>
      </c>
    </row>
    <row r="7" spans="1:10" x14ac:dyDescent="0.25">
      <c r="A7" t="s">
        <v>383</v>
      </c>
      <c r="B7">
        <v>2010</v>
      </c>
      <c r="C7" t="s">
        <v>56</v>
      </c>
      <c r="D7" t="s">
        <v>57</v>
      </c>
      <c r="E7" t="s">
        <v>258</v>
      </c>
      <c r="F7">
        <f>VLOOKUP(A7,Wine1!A:AB,21,FALSE)</f>
        <v>0</v>
      </c>
      <c r="G7">
        <f>VLOOKUP(A7,Wine1!A:AC,22,FALSE)</f>
        <v>89.46875</v>
      </c>
      <c r="H7" s="2">
        <f>VLOOKUP(A7,Wine1!A:AB,24,FALSE)</f>
        <v>19</v>
      </c>
      <c r="I7">
        <f>VLOOKUP(A7,Wine1!A:AB,20,FALSE)</f>
        <v>0</v>
      </c>
      <c r="J7">
        <f t="shared" si="0"/>
        <v>0</v>
      </c>
    </row>
    <row r="8" spans="1:10" x14ac:dyDescent="0.25">
      <c r="A8" t="s">
        <v>458</v>
      </c>
      <c r="B8">
        <v>2007</v>
      </c>
      <c r="C8" t="s">
        <v>410</v>
      </c>
      <c r="D8" t="s">
        <v>19</v>
      </c>
      <c r="E8" t="s">
        <v>266</v>
      </c>
      <c r="F8">
        <f>VLOOKUP(A8,Wine1!A:AB,21,FALSE)</f>
        <v>94</v>
      </c>
      <c r="G8">
        <f>VLOOKUP(A8,Wine1!A:AC,22,FALSE)</f>
        <v>92</v>
      </c>
      <c r="H8" s="2">
        <f>VLOOKUP(A8,Wine1!A:AB,24,FALSE)</f>
        <v>2</v>
      </c>
      <c r="I8">
        <f>VLOOKUP(A8,Wine1!A:AB,20,FALSE)</f>
        <v>0</v>
      </c>
      <c r="J8">
        <f t="shared" si="0"/>
        <v>-1926</v>
      </c>
    </row>
    <row r="9" spans="1:10" x14ac:dyDescent="0.25">
      <c r="A9" t="s">
        <v>459</v>
      </c>
      <c r="B9">
        <v>2017</v>
      </c>
      <c r="C9" t="s">
        <v>445</v>
      </c>
      <c r="D9" t="s">
        <v>446</v>
      </c>
      <c r="E9" t="s">
        <v>336</v>
      </c>
      <c r="F9">
        <f>VLOOKUP(A9,Wine1!A:AB,21,FALSE)</f>
        <v>92</v>
      </c>
      <c r="G9">
        <f>VLOOKUP(A9,Wine1!A:AC,22,FALSE)</f>
        <v>90</v>
      </c>
      <c r="H9" s="2">
        <f>VLOOKUP(A9,Wine1!A:AB,24,FALSE)</f>
        <v>10</v>
      </c>
      <c r="I9">
        <f>VLOOKUP(A9,Wine1!A:AB,20,FALSE)</f>
        <v>0</v>
      </c>
      <c r="J9">
        <f t="shared" si="0"/>
        <v>-1928</v>
      </c>
    </row>
    <row r="10" spans="1:10" x14ac:dyDescent="0.25">
      <c r="A10" t="s">
        <v>460</v>
      </c>
      <c r="B10">
        <v>2013</v>
      </c>
      <c r="C10" t="s">
        <v>37</v>
      </c>
      <c r="D10" t="s">
        <v>53</v>
      </c>
      <c r="E10" t="s">
        <v>313</v>
      </c>
      <c r="F10">
        <f>VLOOKUP(A10,Wine1!A:AB,21,FALSE)</f>
        <v>92</v>
      </c>
      <c r="G10">
        <f>VLOOKUP(A10,Wine1!A:AC,22,FALSE)</f>
        <v>92</v>
      </c>
      <c r="H10" s="2">
        <f>VLOOKUP(A10,Wine1!A:AB,24,FALSE)</f>
        <v>2</v>
      </c>
      <c r="I10">
        <f>VLOOKUP(A10,Wine1!A:AB,20,FALSE)</f>
        <v>2028</v>
      </c>
      <c r="J10">
        <f t="shared" si="0"/>
        <v>-1928</v>
      </c>
    </row>
    <row r="11" spans="1:10" x14ac:dyDescent="0.25">
      <c r="A11" t="s">
        <v>461</v>
      </c>
      <c r="B11">
        <v>2011</v>
      </c>
      <c r="C11" t="s">
        <v>9</v>
      </c>
      <c r="D11" t="s">
        <v>61</v>
      </c>
      <c r="E11" t="s">
        <v>264</v>
      </c>
      <c r="F11" t="e">
        <f>VLOOKUP(A11,Wine1!A:AB,21,FALSE)</f>
        <v>#N/A</v>
      </c>
      <c r="G11" t="e">
        <f>VLOOKUP(A11,Wine1!A:AC,22,FALSE)</f>
        <v>#N/A</v>
      </c>
      <c r="H11" s="2" t="e">
        <f>VLOOKUP(A11,Wine1!A:AB,24,FALSE)</f>
        <v>#N/A</v>
      </c>
      <c r="I11" t="e">
        <f>VLOOKUP(A11,Wine1!A:AB,20,FALSE)</f>
        <v>#N/A</v>
      </c>
      <c r="J11" t="e">
        <f t="shared" si="0"/>
        <v>#N/A</v>
      </c>
    </row>
    <row r="12" spans="1:10" x14ac:dyDescent="0.25">
      <c r="A12" t="s">
        <v>462</v>
      </c>
      <c r="B12">
        <v>1965</v>
      </c>
      <c r="C12" t="s">
        <v>347</v>
      </c>
      <c r="D12" t="s">
        <v>348</v>
      </c>
      <c r="E12" t="s">
        <v>351</v>
      </c>
      <c r="F12">
        <f>VLOOKUP(A12,Wine1!A:AB,21,FALSE)</f>
        <v>97</v>
      </c>
      <c r="G12">
        <f>VLOOKUP(A12,Wine1!A:AC,22,FALSE)</f>
        <v>95</v>
      </c>
      <c r="H12" s="2">
        <f>VLOOKUP(A12,Wine1!A:AB,24,FALSE)</f>
        <v>1</v>
      </c>
      <c r="I12">
        <f>VLOOKUP(A12,Wine1!A:AB,20,FALSE)</f>
        <v>0</v>
      </c>
      <c r="J12">
        <f t="shared" si="0"/>
        <v>-1923</v>
      </c>
    </row>
    <row r="13" spans="1:10" x14ac:dyDescent="0.25">
      <c r="A13" t="s">
        <v>463</v>
      </c>
      <c r="B13">
        <v>2013</v>
      </c>
      <c r="C13" t="s">
        <v>70</v>
      </c>
      <c r="D13" t="s">
        <v>71</v>
      </c>
      <c r="E13" t="s">
        <v>262</v>
      </c>
      <c r="F13" t="e">
        <f>VLOOKUP(A13,Wine1!A:AB,21,FALSE)</f>
        <v>#N/A</v>
      </c>
      <c r="G13" t="e">
        <f>VLOOKUP(A13,Wine1!A:AC,22,FALSE)</f>
        <v>#N/A</v>
      </c>
      <c r="H13" s="2" t="e">
        <f>VLOOKUP(A13,Wine1!A:AB,24,FALSE)</f>
        <v>#N/A</v>
      </c>
      <c r="I13" t="e">
        <f>VLOOKUP(A13,Wine1!A:AB,20,FALSE)</f>
        <v>#N/A</v>
      </c>
      <c r="J13" t="e">
        <f t="shared" si="0"/>
        <v>#N/A</v>
      </c>
    </row>
    <row r="14" spans="1:10" x14ac:dyDescent="0.25">
      <c r="A14" t="s">
        <v>1218</v>
      </c>
      <c r="B14">
        <v>2015</v>
      </c>
      <c r="C14" t="s">
        <v>1216</v>
      </c>
      <c r="D14" t="s">
        <v>303</v>
      </c>
      <c r="E14" t="s">
        <v>276</v>
      </c>
      <c r="F14" t="str">
        <f>VLOOKUP(A14,Wine1!A:AB,21,FALSE)</f>
        <v>91+</v>
      </c>
      <c r="G14">
        <f>VLOOKUP(A14,Wine1!A:AC,22,FALSE)</f>
        <v>91</v>
      </c>
      <c r="H14" s="2">
        <f>VLOOKUP(A14,Wine1!A:AB,24,FALSE)</f>
        <v>1</v>
      </c>
      <c r="I14">
        <f>VLOOKUP(A14,Wine1!A:AB,20,FALSE)</f>
        <v>0</v>
      </c>
      <c r="J14" t="e">
        <f t="shared" si="0"/>
        <v>#VALUE!</v>
      </c>
    </row>
    <row r="15" spans="1:10" x14ac:dyDescent="0.25">
      <c r="A15" t="s">
        <v>464</v>
      </c>
      <c r="B15">
        <v>2013</v>
      </c>
      <c r="C15" t="s">
        <v>181</v>
      </c>
      <c r="D15" t="s">
        <v>182</v>
      </c>
      <c r="E15" t="s">
        <v>276</v>
      </c>
      <c r="F15" t="e">
        <f>VLOOKUP(A15,Wine1!A:AB,21,FALSE)</f>
        <v>#N/A</v>
      </c>
      <c r="G15" t="e">
        <f>VLOOKUP(A15,Wine1!A:AC,22,FALSE)</f>
        <v>#N/A</v>
      </c>
      <c r="H15" s="2" t="e">
        <f>VLOOKUP(A15,Wine1!A:AB,24,FALSE)</f>
        <v>#N/A</v>
      </c>
      <c r="I15" t="e">
        <f>VLOOKUP(A15,Wine1!A:AB,20,FALSE)</f>
        <v>#N/A</v>
      </c>
      <c r="J15" t="e">
        <f t="shared" si="0"/>
        <v>#N/A</v>
      </c>
    </row>
    <row r="16" spans="1:10" x14ac:dyDescent="0.25">
      <c r="A16" t="s">
        <v>465</v>
      </c>
      <c r="B16">
        <v>2017</v>
      </c>
      <c r="C16" t="s">
        <v>316</v>
      </c>
      <c r="D16" t="s">
        <v>317</v>
      </c>
      <c r="E16" t="s">
        <v>262</v>
      </c>
      <c r="F16" t="e">
        <f>VLOOKUP(A16,Wine1!A:AB,21,FALSE)</f>
        <v>#N/A</v>
      </c>
      <c r="G16" t="e">
        <f>VLOOKUP(A16,Wine1!A:AC,22,FALSE)</f>
        <v>#N/A</v>
      </c>
      <c r="H16" s="2" t="e">
        <f>VLOOKUP(A16,Wine1!A:AB,24,FALSE)</f>
        <v>#N/A</v>
      </c>
      <c r="I16" t="e">
        <f>VLOOKUP(A16,Wine1!A:AB,20,FALSE)</f>
        <v>#N/A</v>
      </c>
      <c r="J16" t="e">
        <f t="shared" si="0"/>
        <v>#N/A</v>
      </c>
    </row>
    <row r="17" spans="1:10" x14ac:dyDescent="0.25">
      <c r="A17" t="s">
        <v>466</v>
      </c>
      <c r="B17">
        <v>2015</v>
      </c>
      <c r="C17" t="s">
        <v>224</v>
      </c>
      <c r="D17" t="s">
        <v>225</v>
      </c>
      <c r="E17" t="s">
        <v>286</v>
      </c>
      <c r="F17" t="str">
        <f>VLOOKUP(A17,Wine1!A:AB,21,FALSE)</f>
        <v>(89 - 91)+</v>
      </c>
      <c r="G17">
        <f>VLOOKUP(A17,Wine1!A:AC,22,FALSE)</f>
        <v>89.8</v>
      </c>
      <c r="H17" s="2">
        <f>VLOOKUP(A17,Wine1!A:AB,24,FALSE)</f>
        <v>1</v>
      </c>
      <c r="I17">
        <f>VLOOKUP(A17,Wine1!A:AB,20,FALSE)</f>
        <v>0</v>
      </c>
      <c r="J17" t="e">
        <f t="shared" si="0"/>
        <v>#VALUE!</v>
      </c>
    </row>
    <row r="18" spans="1:10" x14ac:dyDescent="0.25">
      <c r="A18" t="s">
        <v>467</v>
      </c>
      <c r="B18">
        <v>2014</v>
      </c>
      <c r="C18" t="s">
        <v>183</v>
      </c>
      <c r="D18" t="s">
        <v>184</v>
      </c>
      <c r="E18" t="s">
        <v>262</v>
      </c>
      <c r="F18" t="e">
        <f>VLOOKUP(A18,Wine1!A:AB,21,FALSE)</f>
        <v>#N/A</v>
      </c>
      <c r="G18" t="e">
        <f>VLOOKUP(A18,Wine1!A:AC,22,FALSE)</f>
        <v>#N/A</v>
      </c>
      <c r="H18" s="2" t="e">
        <f>VLOOKUP(A18,Wine1!A:AB,24,FALSE)</f>
        <v>#N/A</v>
      </c>
      <c r="I18" t="e">
        <f>VLOOKUP(A18,Wine1!A:AB,20,FALSE)</f>
        <v>#N/A</v>
      </c>
      <c r="J18" t="e">
        <f t="shared" si="0"/>
        <v>#N/A</v>
      </c>
    </row>
    <row r="19" spans="1:10" x14ac:dyDescent="0.25">
      <c r="A19" t="s">
        <v>468</v>
      </c>
      <c r="B19">
        <v>2013</v>
      </c>
      <c r="C19" t="s">
        <v>83</v>
      </c>
      <c r="D19" t="s">
        <v>84</v>
      </c>
      <c r="E19" t="s">
        <v>274</v>
      </c>
      <c r="F19" t="e">
        <f>VLOOKUP(A19,Wine1!A:AB,21,FALSE)</f>
        <v>#N/A</v>
      </c>
      <c r="G19" t="e">
        <f>VLOOKUP(A19,Wine1!A:AC,22,FALSE)</f>
        <v>#N/A</v>
      </c>
      <c r="H19" s="2" t="e">
        <f>VLOOKUP(A19,Wine1!A:AB,24,FALSE)</f>
        <v>#N/A</v>
      </c>
      <c r="I19" t="e">
        <f>VLOOKUP(A19,Wine1!A:AB,20,FALSE)</f>
        <v>#N/A</v>
      </c>
      <c r="J19" t="e">
        <f t="shared" si="0"/>
        <v>#N/A</v>
      </c>
    </row>
    <row r="20" spans="1:10" x14ac:dyDescent="0.25">
      <c r="A20" t="s">
        <v>469</v>
      </c>
      <c r="B20">
        <v>2015</v>
      </c>
      <c r="C20" t="s">
        <v>131</v>
      </c>
      <c r="D20" t="s">
        <v>132</v>
      </c>
      <c r="E20" t="s">
        <v>259</v>
      </c>
      <c r="F20" t="e">
        <f>VLOOKUP(A20,Wine1!A:AB,21,FALSE)</f>
        <v>#N/A</v>
      </c>
      <c r="G20" t="e">
        <f>VLOOKUP(A20,Wine1!A:AC,22,FALSE)</f>
        <v>#N/A</v>
      </c>
      <c r="H20" s="2" t="e">
        <f>VLOOKUP(A20,Wine1!A:AB,24,FALSE)</f>
        <v>#N/A</v>
      </c>
      <c r="I20" t="e">
        <f>VLOOKUP(A20,Wine1!A:AB,20,FALSE)</f>
        <v>#N/A</v>
      </c>
      <c r="J20" t="e">
        <f t="shared" si="0"/>
        <v>#N/A</v>
      </c>
    </row>
    <row r="21" spans="1:10" x14ac:dyDescent="0.25">
      <c r="A21" t="s">
        <v>470</v>
      </c>
      <c r="B21">
        <v>2016</v>
      </c>
      <c r="C21" t="s">
        <v>314</v>
      </c>
      <c r="D21" t="s">
        <v>315</v>
      </c>
      <c r="E21" t="s">
        <v>262</v>
      </c>
      <c r="F21">
        <f>VLOOKUP(A21,Wine1!A:AB,21,FALSE)</f>
        <v>0</v>
      </c>
      <c r="G21">
        <f>VLOOKUP(A21,Wine1!A:AC,22,FALSE)</f>
        <v>87</v>
      </c>
      <c r="H21" s="2">
        <f>VLOOKUP(A21,Wine1!A:AB,24,FALSE)</f>
        <v>1</v>
      </c>
      <c r="I21">
        <f>VLOOKUP(A21,Wine1!A:AB,20,FALSE)</f>
        <v>0</v>
      </c>
      <c r="J21">
        <f t="shared" si="0"/>
        <v>0</v>
      </c>
    </row>
    <row r="22" spans="1:10" x14ac:dyDescent="0.25">
      <c r="A22" t="s">
        <v>1219</v>
      </c>
      <c r="B22">
        <v>2015</v>
      </c>
      <c r="C22" t="s">
        <v>1216</v>
      </c>
      <c r="D22" t="s">
        <v>108</v>
      </c>
      <c r="E22" t="s">
        <v>276</v>
      </c>
      <c r="F22">
        <f>VLOOKUP(A22,Wine1!A:AB,21,FALSE)</f>
        <v>92</v>
      </c>
      <c r="G22">
        <f>VLOOKUP(A22,Wine1!A:AC,22,FALSE)</f>
        <v>91.235294117647058</v>
      </c>
      <c r="H22" s="2">
        <f>VLOOKUP(A22,Wine1!A:AB,24,FALSE)</f>
        <v>4</v>
      </c>
      <c r="I22">
        <f>VLOOKUP(A22,Wine1!A:AB,20,FALSE)</f>
        <v>0</v>
      </c>
      <c r="J22">
        <f t="shared" si="0"/>
        <v>-1928</v>
      </c>
    </row>
    <row r="23" spans="1:10" x14ac:dyDescent="0.25">
      <c r="A23" t="s">
        <v>471</v>
      </c>
      <c r="B23">
        <v>2014</v>
      </c>
      <c r="C23" t="s">
        <v>242</v>
      </c>
      <c r="D23">
        <v>1771</v>
      </c>
      <c r="E23" t="s">
        <v>1226</v>
      </c>
      <c r="F23">
        <f>VLOOKUP(A23,Wine1!A:AB,21,FALSE)</f>
        <v>93</v>
      </c>
      <c r="G23">
        <f>VLOOKUP(A23,Wine1!A:AC,22,FALSE)</f>
        <v>92.4</v>
      </c>
      <c r="H23" s="2">
        <f>VLOOKUP(A23,Wine1!A:AB,24,FALSE)</f>
        <v>9</v>
      </c>
      <c r="I23">
        <f>VLOOKUP(A23,Wine1!A:AB,20,FALSE)</f>
        <v>0</v>
      </c>
      <c r="J23">
        <f t="shared" si="0"/>
        <v>-1927</v>
      </c>
    </row>
    <row r="24" spans="1:10" x14ac:dyDescent="0.25">
      <c r="A24" t="s">
        <v>472</v>
      </c>
      <c r="B24">
        <v>2015</v>
      </c>
      <c r="C24" t="s">
        <v>9</v>
      </c>
      <c r="D24" t="s">
        <v>115</v>
      </c>
      <c r="E24" t="s">
        <v>262</v>
      </c>
      <c r="F24">
        <f>VLOOKUP(A24,Wine1!A:AB,21,FALSE)</f>
        <v>0</v>
      </c>
      <c r="G24">
        <f>VLOOKUP(A24,Wine1!A:AC,22,FALSE)</f>
        <v>91</v>
      </c>
      <c r="H24" s="2">
        <f>VLOOKUP(A24,Wine1!A:AB,24,FALSE)</f>
        <v>1</v>
      </c>
      <c r="I24">
        <f>VLOOKUP(A24,Wine1!A:AB,20,FALSE)</f>
        <v>0</v>
      </c>
      <c r="J24">
        <f t="shared" si="0"/>
        <v>0</v>
      </c>
    </row>
    <row r="25" spans="1:10" x14ac:dyDescent="0.25">
      <c r="A25" t="s">
        <v>1211</v>
      </c>
      <c r="B25">
        <v>2017</v>
      </c>
      <c r="C25" t="s">
        <v>335</v>
      </c>
      <c r="D25" t="s">
        <v>1209</v>
      </c>
      <c r="E25" t="s">
        <v>336</v>
      </c>
      <c r="F25">
        <f>VLOOKUP(A25,Wine1!A:AB,21,FALSE)</f>
        <v>90</v>
      </c>
      <c r="G25">
        <f>VLOOKUP(A25,Wine1!A:AC,22,FALSE)</f>
        <v>89.5</v>
      </c>
      <c r="H25" s="2">
        <f>VLOOKUP(A25,Wine1!A:AB,24,FALSE)</f>
        <v>2</v>
      </c>
      <c r="I25">
        <f>VLOOKUP(A25,Wine1!A:AB,20,FALSE)</f>
        <v>0</v>
      </c>
      <c r="J25">
        <f t="shared" si="0"/>
        <v>-1930</v>
      </c>
    </row>
    <row r="26" spans="1:10" x14ac:dyDescent="0.25">
      <c r="A26" t="s">
        <v>473</v>
      </c>
      <c r="B26">
        <v>2016</v>
      </c>
      <c r="C26" t="s">
        <v>91</v>
      </c>
      <c r="D26" t="s">
        <v>396</v>
      </c>
      <c r="E26" t="s">
        <v>399</v>
      </c>
      <c r="F26">
        <f>VLOOKUP(A26,Wine1!A:AB,21,FALSE)</f>
        <v>90</v>
      </c>
      <c r="G26">
        <f>VLOOKUP(A26,Wine1!A:AC,22,FALSE)</f>
        <v>90.666666666666671</v>
      </c>
      <c r="H26" s="2">
        <f>VLOOKUP(A26,Wine1!A:AB,24,FALSE)</f>
        <v>3</v>
      </c>
      <c r="I26">
        <f>VLOOKUP(A26,Wine1!A:AB,20,FALSE)</f>
        <v>0</v>
      </c>
      <c r="J26">
        <f t="shared" si="0"/>
        <v>-1930</v>
      </c>
    </row>
    <row r="27" spans="1:10" x14ac:dyDescent="0.25">
      <c r="A27" t="s">
        <v>474</v>
      </c>
      <c r="B27">
        <v>2010</v>
      </c>
      <c r="C27" t="s">
        <v>45</v>
      </c>
      <c r="D27" t="s">
        <v>46</v>
      </c>
      <c r="E27" t="s">
        <v>277</v>
      </c>
      <c r="F27">
        <f>VLOOKUP(A27,Wine1!A:AB,21,FALSE)</f>
        <v>93</v>
      </c>
      <c r="G27">
        <f>VLOOKUP(A27,Wine1!A:AC,22,FALSE)</f>
        <v>92.166666666666671</v>
      </c>
      <c r="H27" s="2">
        <f>VLOOKUP(A27,Wine1!A:AB,24,FALSE)</f>
        <v>4</v>
      </c>
      <c r="I27">
        <f>VLOOKUP(A27,Wine1!A:AB,20,FALSE)</f>
        <v>0</v>
      </c>
      <c r="J27">
        <f t="shared" si="0"/>
        <v>-1927</v>
      </c>
    </row>
    <row r="28" spans="1:10" x14ac:dyDescent="0.25">
      <c r="A28" t="s">
        <v>423</v>
      </c>
      <c r="B28">
        <v>2017</v>
      </c>
      <c r="C28" t="s">
        <v>361</v>
      </c>
      <c r="D28" t="s">
        <v>362</v>
      </c>
      <c r="E28" t="s">
        <v>286</v>
      </c>
      <c r="F28">
        <f>VLOOKUP(A28,Wine1!A:AB,21,FALSE)</f>
        <v>93</v>
      </c>
      <c r="G28">
        <f>VLOOKUP(A28,Wine1!A:AC,22,FALSE)</f>
        <v>92.470588235294116</v>
      </c>
      <c r="H28" s="2">
        <f>VLOOKUP(A28,Wine1!A:AB,24,FALSE)</f>
        <v>20</v>
      </c>
      <c r="I28">
        <f>VLOOKUP(A28,Wine1!A:AB,20,FALSE)</f>
        <v>0</v>
      </c>
      <c r="J28">
        <f t="shared" si="0"/>
        <v>-1927</v>
      </c>
    </row>
    <row r="29" spans="1:10" x14ac:dyDescent="0.25">
      <c r="A29" t="s">
        <v>447</v>
      </c>
      <c r="B29">
        <v>2016</v>
      </c>
      <c r="C29" t="s">
        <v>210</v>
      </c>
      <c r="D29" t="s">
        <v>211</v>
      </c>
      <c r="E29" t="s">
        <v>211</v>
      </c>
      <c r="F29">
        <f>VLOOKUP(A29,Wine1!A:AB,21,FALSE)</f>
        <v>93</v>
      </c>
      <c r="G29">
        <f>VLOOKUP(A29,Wine1!A:AC,22,FALSE)</f>
        <v>92</v>
      </c>
      <c r="H29" s="2">
        <f>VLOOKUP(A29,Wine1!A:AB,24,FALSE)</f>
        <v>7</v>
      </c>
      <c r="I29">
        <f>VLOOKUP(A29,Wine1!A:AB,20,FALSE)</f>
        <v>0</v>
      </c>
      <c r="J29">
        <f t="shared" si="0"/>
        <v>-1927</v>
      </c>
    </row>
    <row r="30" spans="1:10" x14ac:dyDescent="0.25">
      <c r="A30" t="s">
        <v>433</v>
      </c>
      <c r="B30">
        <v>2016</v>
      </c>
      <c r="C30" t="s">
        <v>407</v>
      </c>
      <c r="D30" t="s">
        <v>408</v>
      </c>
      <c r="E30" t="s">
        <v>417</v>
      </c>
      <c r="F30">
        <f>VLOOKUP(A30,Wine1!A:AB,21,FALSE)</f>
        <v>92</v>
      </c>
      <c r="G30">
        <f>VLOOKUP(A30,Wine1!A:AC,22,FALSE)</f>
        <v>92.2</v>
      </c>
      <c r="H30" s="2">
        <f>VLOOKUP(A30,Wine1!A:AB,24,FALSE)</f>
        <v>15</v>
      </c>
      <c r="I30">
        <f>VLOOKUP(A30,Wine1!A:AB,20,FALSE)</f>
        <v>0</v>
      </c>
      <c r="J30">
        <f t="shared" si="0"/>
        <v>-1928</v>
      </c>
    </row>
    <row r="31" spans="1:10" x14ac:dyDescent="0.25">
      <c r="A31" t="s">
        <v>475</v>
      </c>
      <c r="B31">
        <v>2014</v>
      </c>
      <c r="C31" t="s">
        <v>333</v>
      </c>
      <c r="D31" t="s">
        <v>373</v>
      </c>
      <c r="E31" t="s">
        <v>263</v>
      </c>
      <c r="F31">
        <f>VLOOKUP(A31,Wine1!A:AB,21,FALSE)</f>
        <v>95</v>
      </c>
      <c r="G31">
        <f>VLOOKUP(A31,Wine1!A:AC,22,FALSE)</f>
        <v>93</v>
      </c>
      <c r="H31" s="2">
        <f>VLOOKUP(A31,Wine1!A:AB,24,FALSE)</f>
        <v>3</v>
      </c>
      <c r="I31">
        <f>VLOOKUP(A31,Wine1!A:AB,20,FALSE)</f>
        <v>0</v>
      </c>
      <c r="J31">
        <f t="shared" si="0"/>
        <v>-1925</v>
      </c>
    </row>
    <row r="32" spans="1:10" x14ac:dyDescent="0.25">
      <c r="A32" t="s">
        <v>425</v>
      </c>
      <c r="B32">
        <v>1998</v>
      </c>
      <c r="C32" t="s">
        <v>197</v>
      </c>
      <c r="D32" t="s">
        <v>197</v>
      </c>
      <c r="E32" t="s">
        <v>260</v>
      </c>
      <c r="F32">
        <f>VLOOKUP(A32,Wine1!A:AB,21,FALSE)</f>
        <v>93</v>
      </c>
      <c r="G32">
        <f>VLOOKUP(A32,Wine1!A:AC,22,FALSE)</f>
        <v>92.666666666666671</v>
      </c>
      <c r="H32" s="2">
        <f>VLOOKUP(A32,Wine1!A:AB,24,FALSE)</f>
        <v>7</v>
      </c>
      <c r="I32">
        <f>VLOOKUP(A32,Wine1!A:AB,20,FALSE)</f>
        <v>0</v>
      </c>
      <c r="J32">
        <f t="shared" si="0"/>
        <v>-1927</v>
      </c>
    </row>
    <row r="33" spans="1:10" x14ac:dyDescent="0.25">
      <c r="A33" t="s">
        <v>476</v>
      </c>
      <c r="B33">
        <v>2007</v>
      </c>
      <c r="C33" t="s">
        <v>221</v>
      </c>
      <c r="D33" t="s">
        <v>222</v>
      </c>
      <c r="E33" t="s">
        <v>277</v>
      </c>
      <c r="F33">
        <f>VLOOKUP(A33,Wine1!A:AB,21,FALSE)</f>
        <v>95</v>
      </c>
      <c r="G33">
        <f>VLOOKUP(A33,Wine1!A:AC,22,FALSE)</f>
        <v>94.5</v>
      </c>
      <c r="H33" s="2">
        <f>VLOOKUP(A33,Wine1!A:AB,24,FALSE)</f>
        <v>1</v>
      </c>
      <c r="I33">
        <f>VLOOKUP(A33,Wine1!A:AB,20,FALSE)</f>
        <v>0</v>
      </c>
      <c r="J33">
        <f t="shared" si="0"/>
        <v>-1925</v>
      </c>
    </row>
    <row r="34" spans="1:10" x14ac:dyDescent="0.25">
      <c r="A34" t="s">
        <v>477</v>
      </c>
      <c r="B34">
        <v>2012</v>
      </c>
      <c r="C34" t="s">
        <v>444</v>
      </c>
      <c r="D34" t="s">
        <v>26</v>
      </c>
      <c r="E34" t="s">
        <v>313</v>
      </c>
      <c r="F34">
        <f>VLOOKUP(A34,Wine1!A:AB,21,FALSE)</f>
        <v>91</v>
      </c>
      <c r="G34">
        <f>VLOOKUP(A34,Wine1!A:AC,22,FALSE)</f>
        <v>91</v>
      </c>
      <c r="H34" s="2">
        <f>VLOOKUP(A34,Wine1!A:AB,24,FALSE)</f>
        <v>5</v>
      </c>
      <c r="I34">
        <f>VLOOKUP(A34,Wine1!A:AB,20,FALSE)</f>
        <v>0</v>
      </c>
      <c r="J34">
        <f t="shared" si="0"/>
        <v>-1929</v>
      </c>
    </row>
    <row r="35" spans="1:10" x14ac:dyDescent="0.25">
      <c r="A35" t="s">
        <v>478</v>
      </c>
      <c r="B35">
        <v>2016</v>
      </c>
      <c r="C35" t="s">
        <v>413</v>
      </c>
      <c r="D35" t="s">
        <v>414</v>
      </c>
      <c r="E35" t="s">
        <v>227</v>
      </c>
      <c r="F35">
        <f>VLOOKUP(A35,Wine1!A:AB,21,FALSE)</f>
        <v>93</v>
      </c>
      <c r="G35">
        <f>VLOOKUP(A35,Wine1!A:AC,22,FALSE)</f>
        <v>92</v>
      </c>
      <c r="H35" s="2">
        <f>VLOOKUP(A35,Wine1!A:AB,24,FALSE)</f>
        <v>5</v>
      </c>
      <c r="I35">
        <f>VLOOKUP(A35,Wine1!A:AB,20,FALSE)</f>
        <v>0</v>
      </c>
      <c r="J35">
        <f t="shared" si="0"/>
        <v>-1927</v>
      </c>
    </row>
    <row r="36" spans="1:10" x14ac:dyDescent="0.25">
      <c r="A36" t="s">
        <v>422</v>
      </c>
      <c r="B36">
        <v>2015</v>
      </c>
      <c r="C36" t="s">
        <v>111</v>
      </c>
      <c r="D36" t="s">
        <v>112</v>
      </c>
      <c r="E36" t="s">
        <v>262</v>
      </c>
      <c r="F36" t="str">
        <f>VLOOKUP(A36,Wine1!A:AB,21,FALSE)</f>
        <v>90+</v>
      </c>
      <c r="G36">
        <f>VLOOKUP(A36,Wine1!A:AC,22,FALSE)</f>
        <v>90.909090909090907</v>
      </c>
      <c r="H36" s="2">
        <f>VLOOKUP(A36,Wine1!A:AB,24,FALSE)</f>
        <v>6</v>
      </c>
      <c r="I36">
        <f>VLOOKUP(A36,Wine1!A:AB,20,FALSE)</f>
        <v>0</v>
      </c>
      <c r="J36" t="e">
        <f t="shared" si="0"/>
        <v>#VALUE!</v>
      </c>
    </row>
    <row r="37" spans="1:10" x14ac:dyDescent="0.25">
      <c r="A37" t="s">
        <v>479</v>
      </c>
      <c r="B37">
        <v>2004</v>
      </c>
      <c r="C37" t="s">
        <v>322</v>
      </c>
      <c r="D37" t="s">
        <v>323</v>
      </c>
      <c r="E37" t="s">
        <v>283</v>
      </c>
      <c r="F37">
        <f>VLOOKUP(A37,Wine1!A:AB,21,FALSE)</f>
        <v>94</v>
      </c>
      <c r="G37">
        <f>VLOOKUP(A37,Wine1!A:AC,22,FALSE)</f>
        <v>91</v>
      </c>
      <c r="H37" s="2">
        <f>VLOOKUP(A37,Wine1!A:AB,24,FALSE)</f>
        <v>2</v>
      </c>
      <c r="I37">
        <f>VLOOKUP(A37,Wine1!A:AB,20,FALSE)</f>
        <v>0</v>
      </c>
      <c r="J37">
        <f t="shared" si="0"/>
        <v>-1926</v>
      </c>
    </row>
    <row r="38" spans="1:10" x14ac:dyDescent="0.25">
      <c r="A38" t="s">
        <v>480</v>
      </c>
      <c r="B38">
        <v>2012</v>
      </c>
      <c r="C38" t="s">
        <v>245</v>
      </c>
      <c r="D38" t="s">
        <v>13</v>
      </c>
      <c r="E38" t="s">
        <v>265</v>
      </c>
      <c r="F38">
        <f>VLOOKUP(A38,Wine1!A:AB,21,FALSE)</f>
        <v>91</v>
      </c>
      <c r="G38" t="str">
        <f>VLOOKUP(A38,Wine1!A:AC,22,FALSE)</f>
        <v/>
      </c>
      <c r="H38" s="2">
        <f>VLOOKUP(A38,Wine1!A:AB,24,FALSE)</f>
        <v>2</v>
      </c>
      <c r="I38">
        <f>VLOOKUP(A38,Wine1!A:AB,20,FALSE)</f>
        <v>0</v>
      </c>
      <c r="J38">
        <f t="shared" si="0"/>
        <v>-1929</v>
      </c>
    </row>
    <row r="39" spans="1:10" x14ac:dyDescent="0.25">
      <c r="A39" t="s">
        <v>481</v>
      </c>
      <c r="B39">
        <v>2016</v>
      </c>
      <c r="C39" t="s">
        <v>420</v>
      </c>
      <c r="D39" t="s">
        <v>421</v>
      </c>
      <c r="E39" t="s">
        <v>227</v>
      </c>
      <c r="F39">
        <f>VLOOKUP(A39,Wine1!A:AB,21,FALSE)</f>
        <v>94</v>
      </c>
      <c r="G39">
        <f>VLOOKUP(A39,Wine1!A:AC,22,FALSE)</f>
        <v>92</v>
      </c>
      <c r="H39" s="2">
        <f>VLOOKUP(A39,Wine1!A:AB,24,FALSE)</f>
        <v>11</v>
      </c>
      <c r="I39">
        <f>VLOOKUP(A39,Wine1!A:AB,20,FALSE)</f>
        <v>0</v>
      </c>
      <c r="J39">
        <f t="shared" si="0"/>
        <v>-1926</v>
      </c>
    </row>
    <row r="40" spans="1:10" x14ac:dyDescent="0.25">
      <c r="A40" t="s">
        <v>482</v>
      </c>
      <c r="B40">
        <v>2013</v>
      </c>
      <c r="C40" t="s">
        <v>452</v>
      </c>
      <c r="D40" t="s">
        <v>453</v>
      </c>
      <c r="E40" t="s">
        <v>288</v>
      </c>
      <c r="F40" t="str">
        <f>VLOOKUP(A40,Wine1!A:AB,21,FALSE)</f>
        <v>91+</v>
      </c>
      <c r="G40">
        <f>VLOOKUP(A40,Wine1!A:AC,22,FALSE)</f>
        <v>94</v>
      </c>
      <c r="H40" s="2">
        <f>VLOOKUP(A40,Wine1!A:AB,24,FALSE)</f>
        <v>5</v>
      </c>
      <c r="I40">
        <f>VLOOKUP(A40,Wine1!A:AB,20,FALSE)</f>
        <v>0</v>
      </c>
      <c r="J40" t="e">
        <f t="shared" si="0"/>
        <v>#VALUE!</v>
      </c>
    </row>
    <row r="41" spans="1:10" x14ac:dyDescent="0.25">
      <c r="A41" t="s">
        <v>483</v>
      </c>
      <c r="B41">
        <v>2015</v>
      </c>
      <c r="C41" t="s">
        <v>405</v>
      </c>
      <c r="D41" t="s">
        <v>406</v>
      </c>
      <c r="E41" t="s">
        <v>417</v>
      </c>
      <c r="F41" t="e">
        <f>VLOOKUP(A41,Wine1!A:AB,21,FALSE)</f>
        <v>#N/A</v>
      </c>
      <c r="G41" t="e">
        <f>VLOOKUP(A41,Wine1!A:AC,22,FALSE)</f>
        <v>#N/A</v>
      </c>
      <c r="H41" s="2" t="e">
        <f>VLOOKUP(A41,Wine1!A:AB,24,FALSE)</f>
        <v>#N/A</v>
      </c>
      <c r="I41" t="e">
        <f>VLOOKUP(A41,Wine1!A:AB,20,FALSE)</f>
        <v>#N/A</v>
      </c>
      <c r="J41" t="e">
        <f t="shared" si="0"/>
        <v>#N/A</v>
      </c>
    </row>
    <row r="42" spans="1:10" x14ac:dyDescent="0.25">
      <c r="A42" t="s">
        <v>484</v>
      </c>
      <c r="B42">
        <v>2016</v>
      </c>
      <c r="C42" t="s">
        <v>394</v>
      </c>
      <c r="D42" t="s">
        <v>395</v>
      </c>
      <c r="E42" t="s">
        <v>227</v>
      </c>
      <c r="F42">
        <f>VLOOKUP(A42,Wine1!A:AB,21,FALSE)</f>
        <v>95</v>
      </c>
      <c r="G42" t="str">
        <f>VLOOKUP(A42,Wine1!A:AC,22,FALSE)</f>
        <v/>
      </c>
      <c r="H42" s="2">
        <f>VLOOKUP(A42,Wine1!A:AB,24,FALSE)</f>
        <v>4</v>
      </c>
      <c r="I42">
        <f>VLOOKUP(A42,Wine1!A:AB,20,FALSE)</f>
        <v>0</v>
      </c>
      <c r="J42">
        <f t="shared" si="0"/>
        <v>-1925</v>
      </c>
    </row>
    <row r="43" spans="1:10" x14ac:dyDescent="0.25">
      <c r="A43" t="s">
        <v>485</v>
      </c>
      <c r="B43">
        <v>2008</v>
      </c>
      <c r="C43" t="s">
        <v>411</v>
      </c>
      <c r="D43" t="s">
        <v>412</v>
      </c>
      <c r="E43" t="s">
        <v>416</v>
      </c>
      <c r="F43">
        <f>VLOOKUP(A43,Wine1!A:AB,21,FALSE)</f>
        <v>94</v>
      </c>
      <c r="G43">
        <f>VLOOKUP(A43,Wine1!A:AC,22,FALSE)</f>
        <v>94</v>
      </c>
      <c r="H43" s="2">
        <f>VLOOKUP(A43,Wine1!A:AB,24,FALSE)</f>
        <v>1</v>
      </c>
      <c r="I43">
        <f>VLOOKUP(A43,Wine1!A:AB,20,FALSE)</f>
        <v>0</v>
      </c>
      <c r="J43">
        <f t="shared" si="0"/>
        <v>-1926</v>
      </c>
    </row>
    <row r="44" spans="1:10" x14ac:dyDescent="0.25">
      <c r="A44" t="s">
        <v>486</v>
      </c>
      <c r="B44">
        <v>2014</v>
      </c>
      <c r="C44" t="s">
        <v>431</v>
      </c>
      <c r="D44" t="s">
        <v>432</v>
      </c>
      <c r="E44" t="s">
        <v>284</v>
      </c>
      <c r="F44" t="e">
        <f>VLOOKUP(A44,Wine1!A:AB,21,FALSE)</f>
        <v>#N/A</v>
      </c>
      <c r="G44" t="e">
        <f>VLOOKUP(A44,Wine1!A:AC,22,FALSE)</f>
        <v>#N/A</v>
      </c>
      <c r="H44" s="2" t="e">
        <f>VLOOKUP(A44,Wine1!A:AB,24,FALSE)</f>
        <v>#N/A</v>
      </c>
      <c r="I44" t="e">
        <f>VLOOKUP(A44,Wine1!A:AB,20,FALSE)</f>
        <v>#N/A</v>
      </c>
      <c r="J44" t="e">
        <f t="shared" si="0"/>
        <v>#N/A</v>
      </c>
    </row>
    <row r="45" spans="1:10" x14ac:dyDescent="0.25">
      <c r="A45" t="s">
        <v>426</v>
      </c>
      <c r="B45">
        <v>2015</v>
      </c>
      <c r="C45" t="s">
        <v>100</v>
      </c>
      <c r="D45" t="s">
        <v>101</v>
      </c>
      <c r="E45" t="s">
        <v>310</v>
      </c>
      <c r="F45">
        <f>VLOOKUP(A45,Wine1!A:AB,21,FALSE)</f>
        <v>92</v>
      </c>
      <c r="G45">
        <f>VLOOKUP(A45,Wine1!A:AC,22,FALSE)</f>
        <v>91</v>
      </c>
      <c r="H45" s="2">
        <f>VLOOKUP(A45,Wine1!A:AB,24,FALSE)</f>
        <v>4</v>
      </c>
      <c r="I45">
        <f>VLOOKUP(A45,Wine1!A:AB,20,FALSE)</f>
        <v>0</v>
      </c>
      <c r="J45">
        <f t="shared" si="0"/>
        <v>-1928</v>
      </c>
    </row>
    <row r="46" spans="1:10" x14ac:dyDescent="0.25">
      <c r="A46" t="s">
        <v>487</v>
      </c>
      <c r="B46">
        <v>2013</v>
      </c>
      <c r="C46" t="s">
        <v>440</v>
      </c>
      <c r="D46" t="s">
        <v>19</v>
      </c>
      <c r="E46" t="s">
        <v>266</v>
      </c>
      <c r="F46">
        <f>VLOOKUP(A46,Wine1!A:AB,21,FALSE)</f>
        <v>89</v>
      </c>
      <c r="G46">
        <f>VLOOKUP(A46,Wine1!A:AC,22,FALSE)</f>
        <v>89</v>
      </c>
      <c r="H46" s="2">
        <f>VLOOKUP(A46,Wine1!A:AB,24,FALSE)</f>
        <v>3</v>
      </c>
      <c r="I46">
        <f>VLOOKUP(A46,Wine1!A:AB,20,FALSE)</f>
        <v>0</v>
      </c>
      <c r="J46">
        <f t="shared" si="0"/>
        <v>-1931</v>
      </c>
    </row>
    <row r="47" spans="1:10" x14ac:dyDescent="0.25">
      <c r="A47" t="s">
        <v>488</v>
      </c>
      <c r="B47">
        <v>2013</v>
      </c>
      <c r="C47" t="s">
        <v>72</v>
      </c>
      <c r="D47" t="s">
        <v>73</v>
      </c>
      <c r="E47" t="s">
        <v>266</v>
      </c>
      <c r="F47" t="str">
        <f>VLOOKUP(A47,Wine1!A:AB,21,FALSE)</f>
        <v>93+</v>
      </c>
      <c r="G47">
        <f>VLOOKUP(A47,Wine1!A:AC,22,FALSE)</f>
        <v>93</v>
      </c>
      <c r="H47" s="2">
        <f>VLOOKUP(A47,Wine1!A:AB,24,FALSE)</f>
        <v>5</v>
      </c>
      <c r="I47">
        <f>VLOOKUP(A47,Wine1!A:AB,20,FALSE)</f>
        <v>0</v>
      </c>
      <c r="J47" t="e">
        <f t="shared" si="0"/>
        <v>#VALUE!</v>
      </c>
    </row>
    <row r="48" spans="1:10" x14ac:dyDescent="0.25">
      <c r="A48" t="s">
        <v>489</v>
      </c>
      <c r="B48">
        <v>2009</v>
      </c>
      <c r="C48" t="s">
        <v>37</v>
      </c>
      <c r="D48" t="s">
        <v>402</v>
      </c>
      <c r="E48" t="s">
        <v>313</v>
      </c>
      <c r="F48">
        <f>VLOOKUP(A48,Wine1!A:AB,21,FALSE)</f>
        <v>97</v>
      </c>
      <c r="G48" t="str">
        <f>VLOOKUP(A48,Wine1!A:AC,22,FALSE)</f>
        <v/>
      </c>
      <c r="H48" s="2">
        <f>VLOOKUP(A48,Wine1!A:AB,24,FALSE)</f>
        <v>2</v>
      </c>
      <c r="I48">
        <f>VLOOKUP(A48,Wine1!A:AB,20,FALSE)</f>
        <v>0</v>
      </c>
      <c r="J48">
        <f t="shared" si="0"/>
        <v>-1923</v>
      </c>
    </row>
    <row r="49" spans="1:10" x14ac:dyDescent="0.25">
      <c r="A49" t="s">
        <v>490</v>
      </c>
      <c r="B49">
        <v>2000</v>
      </c>
      <c r="C49" t="s">
        <v>168</v>
      </c>
      <c r="D49" t="s">
        <v>244</v>
      </c>
      <c r="E49" t="s">
        <v>257</v>
      </c>
      <c r="F49">
        <f>VLOOKUP(A49,Wine1!A:AB,21,FALSE)</f>
        <v>96</v>
      </c>
      <c r="G49" t="str">
        <f>VLOOKUP(A49,Wine1!A:AC,22,FALSE)</f>
        <v/>
      </c>
      <c r="H49" s="2">
        <f>VLOOKUP(A49,Wine1!A:AB,24,FALSE)</f>
        <v>1</v>
      </c>
      <c r="I49">
        <f>VLOOKUP(A49,Wine1!A:AB,20,FALSE)</f>
        <v>0</v>
      </c>
      <c r="J49">
        <f t="shared" si="0"/>
        <v>-1924</v>
      </c>
    </row>
    <row r="50" spans="1:10" x14ac:dyDescent="0.25">
      <c r="A50" t="s">
        <v>491</v>
      </c>
      <c r="B50">
        <v>2017</v>
      </c>
      <c r="C50" t="s">
        <v>397</v>
      </c>
      <c r="D50" t="s">
        <v>398</v>
      </c>
      <c r="E50" t="s">
        <v>263</v>
      </c>
      <c r="F50">
        <f>VLOOKUP(A50,Wine1!A:AB,21,FALSE)</f>
        <v>0</v>
      </c>
      <c r="G50" t="str">
        <f>VLOOKUP(A50,Wine1!A:AC,22,FALSE)</f>
        <v/>
      </c>
      <c r="H50" s="2">
        <f>VLOOKUP(A50,Wine1!A:AB,24,FALSE)</f>
        <v>1</v>
      </c>
      <c r="I50">
        <f>VLOOKUP(A50,Wine1!A:AB,20,FALSE)</f>
        <v>2032</v>
      </c>
      <c r="J50">
        <f t="shared" si="0"/>
        <v>0</v>
      </c>
    </row>
    <row r="51" spans="1:10" x14ac:dyDescent="0.25">
      <c r="A51" t="s">
        <v>492</v>
      </c>
      <c r="B51">
        <v>2004</v>
      </c>
      <c r="C51" t="s">
        <v>12</v>
      </c>
      <c r="D51" t="s">
        <v>13</v>
      </c>
      <c r="E51" t="s">
        <v>265</v>
      </c>
      <c r="F51">
        <f>VLOOKUP(A51,Wine1!A:AB,21,FALSE)</f>
        <v>91</v>
      </c>
      <c r="G51" t="str">
        <f>VLOOKUP(A51,Wine1!A:AC,22,FALSE)</f>
        <v/>
      </c>
      <c r="H51" s="2">
        <f>VLOOKUP(A51,Wine1!A:AB,24,FALSE)</f>
        <v>1</v>
      </c>
      <c r="I51">
        <f>VLOOKUP(A51,Wine1!A:AB,20,FALSE)</f>
        <v>0</v>
      </c>
      <c r="J51">
        <f t="shared" si="0"/>
        <v>-1929</v>
      </c>
    </row>
    <row r="52" spans="1:10" x14ac:dyDescent="0.25">
      <c r="A52" t="s">
        <v>493</v>
      </c>
      <c r="B52">
        <v>2014</v>
      </c>
      <c r="C52" t="s">
        <v>105</v>
      </c>
      <c r="D52" t="s">
        <v>106</v>
      </c>
      <c r="E52" t="s">
        <v>277</v>
      </c>
      <c r="F52">
        <f>VLOOKUP(A52,Wine1!A:AB,21,FALSE)</f>
        <v>91</v>
      </c>
      <c r="G52" t="str">
        <f>VLOOKUP(A52,Wine1!A:AC,22,FALSE)</f>
        <v/>
      </c>
      <c r="H52" s="2">
        <f>VLOOKUP(A52,Wine1!A:AB,24,FALSE)</f>
        <v>1</v>
      </c>
      <c r="I52">
        <f>VLOOKUP(A52,Wine1!A:AB,20,FALSE)</f>
        <v>0</v>
      </c>
      <c r="J52">
        <f t="shared" si="0"/>
        <v>-1929</v>
      </c>
    </row>
    <row r="53" spans="1:10" x14ac:dyDescent="0.25">
      <c r="A53" t="s">
        <v>494</v>
      </c>
      <c r="B53">
        <v>2014</v>
      </c>
      <c r="C53" t="s">
        <v>107</v>
      </c>
      <c r="D53" t="s">
        <v>108</v>
      </c>
      <c r="E53" t="s">
        <v>277</v>
      </c>
      <c r="F53" t="e">
        <f>VLOOKUP(A53,Wine1!A:AB,21,FALSE)</f>
        <v>#N/A</v>
      </c>
      <c r="G53" t="e">
        <f>VLOOKUP(A53,Wine1!A:AC,22,FALSE)</f>
        <v>#N/A</v>
      </c>
      <c r="H53" s="2" t="e">
        <f>VLOOKUP(A53,Wine1!A:AB,24,FALSE)</f>
        <v>#N/A</v>
      </c>
      <c r="I53" t="e">
        <f>VLOOKUP(A53,Wine1!A:AB,20,FALSE)</f>
        <v>#N/A</v>
      </c>
      <c r="J53" t="e">
        <f t="shared" si="0"/>
        <v>#N/A</v>
      </c>
    </row>
    <row r="54" spans="1:10" x14ac:dyDescent="0.25">
      <c r="A54" t="s">
        <v>495</v>
      </c>
      <c r="B54">
        <v>2014</v>
      </c>
      <c r="C54" t="s">
        <v>103</v>
      </c>
      <c r="D54" t="s">
        <v>104</v>
      </c>
      <c r="E54" t="s">
        <v>1224</v>
      </c>
      <c r="F54">
        <f>VLOOKUP(A54,Wine1!A:AB,21,FALSE)</f>
        <v>91</v>
      </c>
      <c r="G54" t="str">
        <f>VLOOKUP(A54,Wine1!A:AC,22,FALSE)</f>
        <v/>
      </c>
      <c r="H54" s="2">
        <f>VLOOKUP(A54,Wine1!A:AB,24,FALSE)</f>
        <v>1</v>
      </c>
      <c r="I54">
        <f>VLOOKUP(A54,Wine1!A:AB,20,FALSE)</f>
        <v>0</v>
      </c>
      <c r="J54">
        <f t="shared" si="0"/>
        <v>-1929</v>
      </c>
    </row>
    <row r="55" spans="1:10" x14ac:dyDescent="0.25">
      <c r="A55" t="s">
        <v>496</v>
      </c>
      <c r="B55">
        <v>2006</v>
      </c>
      <c r="C55" t="s">
        <v>219</v>
      </c>
      <c r="D55" t="s">
        <v>220</v>
      </c>
      <c r="E55" t="s">
        <v>277</v>
      </c>
      <c r="F55">
        <f>VLOOKUP(A55,Wine1!A:AB,21,FALSE)</f>
        <v>95</v>
      </c>
      <c r="G55">
        <f>VLOOKUP(A55,Wine1!A:AC,22,FALSE)</f>
        <v>94.5</v>
      </c>
      <c r="H55" s="2">
        <f>VLOOKUP(A55,Wine1!A:AB,24,FALSE)</f>
        <v>3</v>
      </c>
      <c r="I55">
        <f>VLOOKUP(A55,Wine1!A:AB,20,FALSE)</f>
        <v>0</v>
      </c>
      <c r="J55">
        <f t="shared" si="0"/>
        <v>-1925</v>
      </c>
    </row>
    <row r="56" spans="1:10" x14ac:dyDescent="0.25">
      <c r="A56" t="s">
        <v>497</v>
      </c>
      <c r="B56">
        <v>2012</v>
      </c>
      <c r="C56" t="s">
        <v>331</v>
      </c>
      <c r="D56" t="s">
        <v>332</v>
      </c>
      <c r="E56" t="s">
        <v>284</v>
      </c>
      <c r="F56">
        <f>VLOOKUP(A56,Wine1!A:AB,21,FALSE)</f>
        <v>96</v>
      </c>
      <c r="G56" t="str">
        <f>VLOOKUP(A56,Wine1!A:AC,22,FALSE)</f>
        <v/>
      </c>
      <c r="H56" s="2">
        <f>VLOOKUP(A56,Wine1!A:AB,24,FALSE)</f>
        <v>2</v>
      </c>
      <c r="I56">
        <f>VLOOKUP(A56,Wine1!A:AB,20,FALSE)</f>
        <v>0</v>
      </c>
      <c r="J56">
        <f t="shared" si="0"/>
        <v>-1924</v>
      </c>
    </row>
    <row r="57" spans="1:10" x14ac:dyDescent="0.25">
      <c r="A57" t="s">
        <v>498</v>
      </c>
      <c r="B57">
        <v>2014</v>
      </c>
      <c r="C57" t="s">
        <v>349</v>
      </c>
      <c r="D57" t="s">
        <v>350</v>
      </c>
      <c r="E57" t="s">
        <v>259</v>
      </c>
      <c r="F57">
        <f>VLOOKUP(A57,Wine1!A:AB,21,FALSE)</f>
        <v>96</v>
      </c>
      <c r="G57">
        <f>VLOOKUP(A57,Wine1!A:AC,22,FALSE)</f>
        <v>94</v>
      </c>
      <c r="H57" s="2">
        <f>VLOOKUP(A57,Wine1!A:AB,24,FALSE)</f>
        <v>2</v>
      </c>
      <c r="I57">
        <f>VLOOKUP(A57,Wine1!A:AB,20,FALSE)</f>
        <v>0</v>
      </c>
      <c r="J57">
        <f t="shared" si="0"/>
        <v>-1924</v>
      </c>
    </row>
    <row r="58" spans="1:10" x14ac:dyDescent="0.25">
      <c r="A58" t="s">
        <v>443</v>
      </c>
      <c r="B58">
        <v>2015</v>
      </c>
      <c r="C58" t="s">
        <v>388</v>
      </c>
      <c r="D58" t="s">
        <v>389</v>
      </c>
      <c r="E58" t="s">
        <v>278</v>
      </c>
      <c r="F58">
        <f>VLOOKUP(A58,Wine1!A:AB,21,FALSE)</f>
        <v>93</v>
      </c>
      <c r="G58">
        <f>VLOOKUP(A58,Wine1!A:AC,22,FALSE)</f>
        <v>92</v>
      </c>
      <c r="H58" s="2">
        <f>VLOOKUP(A58,Wine1!A:AB,24,FALSE)</f>
        <v>3</v>
      </c>
      <c r="I58">
        <f>VLOOKUP(A58,Wine1!A:AB,20,FALSE)</f>
        <v>0</v>
      </c>
      <c r="J58">
        <f t="shared" si="0"/>
        <v>-1927</v>
      </c>
    </row>
    <row r="59" spans="1:10" x14ac:dyDescent="0.25">
      <c r="A59" t="s">
        <v>499</v>
      </c>
      <c r="B59">
        <v>2015</v>
      </c>
      <c r="C59" t="s">
        <v>226</v>
      </c>
      <c r="D59" t="s">
        <v>227</v>
      </c>
      <c r="E59" t="s">
        <v>227</v>
      </c>
      <c r="F59">
        <f>VLOOKUP(A59,Wine1!A:AB,21,FALSE)</f>
        <v>93</v>
      </c>
      <c r="G59">
        <f>VLOOKUP(A59,Wine1!A:AC,22,FALSE)</f>
        <v>93</v>
      </c>
      <c r="H59" s="2">
        <f>VLOOKUP(A59,Wine1!A:AB,24,FALSE)</f>
        <v>3</v>
      </c>
      <c r="I59">
        <f>VLOOKUP(A59,Wine1!A:AB,20,FALSE)</f>
        <v>0</v>
      </c>
      <c r="J59">
        <f t="shared" si="0"/>
        <v>-1927</v>
      </c>
    </row>
    <row r="60" spans="1:10" x14ac:dyDescent="0.25">
      <c r="A60" t="s">
        <v>500</v>
      </c>
      <c r="B60">
        <v>2011</v>
      </c>
      <c r="C60" t="s">
        <v>60</v>
      </c>
      <c r="D60" t="s">
        <v>13</v>
      </c>
      <c r="E60" t="s">
        <v>265</v>
      </c>
      <c r="F60" t="str">
        <f>VLOOKUP(A60,Wine1!A:AB,21,FALSE)</f>
        <v>92+</v>
      </c>
      <c r="G60" t="str">
        <f>VLOOKUP(A60,Wine1!A:AC,22,FALSE)</f>
        <v/>
      </c>
      <c r="H60" s="2">
        <f>VLOOKUP(A60,Wine1!A:AB,24,FALSE)</f>
        <v>2</v>
      </c>
      <c r="I60">
        <f>VLOOKUP(A60,Wine1!A:AB,20,FALSE)</f>
        <v>0</v>
      </c>
      <c r="J60" t="e">
        <f t="shared" si="0"/>
        <v>#VALUE!</v>
      </c>
    </row>
    <row r="61" spans="1:10" x14ac:dyDescent="0.25">
      <c r="A61" t="s">
        <v>501</v>
      </c>
      <c r="B61">
        <v>2008</v>
      </c>
      <c r="C61" t="s">
        <v>329</v>
      </c>
      <c r="D61" t="s">
        <v>330</v>
      </c>
      <c r="E61" t="s">
        <v>274</v>
      </c>
      <c r="F61" t="e">
        <f>VLOOKUP(A61,Wine1!A:AB,21,FALSE)</f>
        <v>#N/A</v>
      </c>
      <c r="G61" t="e">
        <f>VLOOKUP(A61,Wine1!A:AC,22,FALSE)</f>
        <v>#N/A</v>
      </c>
      <c r="H61" s="2" t="e">
        <f>VLOOKUP(A61,Wine1!A:AB,24,FALSE)</f>
        <v>#N/A</v>
      </c>
      <c r="I61" t="e">
        <f>VLOOKUP(A61,Wine1!A:AB,20,FALSE)</f>
        <v>#N/A</v>
      </c>
      <c r="J61" t="e">
        <f t="shared" si="0"/>
        <v>#N/A</v>
      </c>
    </row>
    <row r="62" spans="1:10" x14ac:dyDescent="0.25">
      <c r="A62" t="s">
        <v>427</v>
      </c>
      <c r="B62">
        <v>2015</v>
      </c>
      <c r="C62" t="s">
        <v>248</v>
      </c>
      <c r="D62" t="s">
        <v>249</v>
      </c>
      <c r="E62" t="s">
        <v>249</v>
      </c>
      <c r="F62">
        <f>VLOOKUP(A62,Wine1!A:AB,21,FALSE)</f>
        <v>93</v>
      </c>
      <c r="G62">
        <f>VLOOKUP(A62,Wine1!A:AC,22,FALSE)</f>
        <v>93.5</v>
      </c>
      <c r="H62" s="2">
        <f>VLOOKUP(A62,Wine1!A:AB,24,FALSE)</f>
        <v>5</v>
      </c>
      <c r="I62">
        <f>VLOOKUP(A62,Wine1!A:AB,20,FALSE)</f>
        <v>0</v>
      </c>
      <c r="J62">
        <f t="shared" si="0"/>
        <v>-1927</v>
      </c>
    </row>
    <row r="63" spans="1:10" x14ac:dyDescent="0.25">
      <c r="A63" t="s">
        <v>502</v>
      </c>
      <c r="B63">
        <v>2014</v>
      </c>
      <c r="C63" t="s">
        <v>403</v>
      </c>
      <c r="D63" t="s">
        <v>404</v>
      </c>
      <c r="E63" t="s">
        <v>280</v>
      </c>
      <c r="F63" t="str">
        <f>VLOOKUP(A63,Wine1!A:AB,21,FALSE)</f>
        <v>94+</v>
      </c>
      <c r="G63" t="str">
        <f>VLOOKUP(A63,Wine1!A:AC,22,FALSE)</f>
        <v/>
      </c>
      <c r="H63" s="2">
        <f>VLOOKUP(A63,Wine1!A:AB,24,FALSE)</f>
        <v>4</v>
      </c>
      <c r="I63">
        <f>VLOOKUP(A63,Wine1!A:AB,20,FALSE)</f>
        <v>0</v>
      </c>
      <c r="J63" t="e">
        <f t="shared" si="0"/>
        <v>#VALUE!</v>
      </c>
    </row>
    <row r="64" spans="1:10" x14ac:dyDescent="0.25">
      <c r="A64" t="s">
        <v>503</v>
      </c>
      <c r="B64">
        <v>2010</v>
      </c>
      <c r="C64" t="s">
        <v>197</v>
      </c>
      <c r="D64" t="s">
        <v>197</v>
      </c>
      <c r="E64" t="s">
        <v>260</v>
      </c>
      <c r="F64">
        <f>VLOOKUP(A64,Wine1!A:AB,21,FALSE)</f>
        <v>93</v>
      </c>
      <c r="G64">
        <f>VLOOKUP(A64,Wine1!A:AC,22,FALSE)</f>
        <v>92.8</v>
      </c>
      <c r="H64" s="2">
        <f>VLOOKUP(A64,Wine1!A:AB,24,FALSE)</f>
        <v>4</v>
      </c>
      <c r="I64">
        <f>VLOOKUP(A64,Wine1!A:AB,20,FALSE)</f>
        <v>0</v>
      </c>
      <c r="J64">
        <f t="shared" si="0"/>
        <v>-1927</v>
      </c>
    </row>
    <row r="65" spans="1:10" x14ac:dyDescent="0.25">
      <c r="A65" t="s">
        <v>1212</v>
      </c>
      <c r="B65">
        <v>2009</v>
      </c>
      <c r="C65" t="s">
        <v>1208</v>
      </c>
      <c r="D65" t="s">
        <v>216</v>
      </c>
      <c r="E65" t="s">
        <v>260</v>
      </c>
      <c r="F65">
        <f>VLOOKUP(A65,Wine1!A:AB,21,FALSE)</f>
        <v>93</v>
      </c>
      <c r="G65">
        <f>VLOOKUP(A65,Wine1!A:AC,22,FALSE)</f>
        <v>92.25</v>
      </c>
      <c r="H65" s="2">
        <f>VLOOKUP(A65,Wine1!A:AB,24,FALSE)</f>
        <v>9</v>
      </c>
      <c r="I65">
        <f>VLOOKUP(A65,Wine1!A:AB,20,FALSE)</f>
        <v>0</v>
      </c>
      <c r="J65">
        <f t="shared" si="0"/>
        <v>-1927</v>
      </c>
    </row>
    <row r="66" spans="1:10" x14ac:dyDescent="0.25">
      <c r="A66" t="s">
        <v>504</v>
      </c>
      <c r="B66">
        <v>2016</v>
      </c>
      <c r="C66" t="s">
        <v>125</v>
      </c>
      <c r="D66" t="s">
        <v>125</v>
      </c>
      <c r="E66" t="s">
        <v>260</v>
      </c>
      <c r="F66" t="str">
        <f>VLOOKUP(A66,Wine1!A:AB,21,FALSE)</f>
        <v>95+</v>
      </c>
      <c r="G66" t="str">
        <f>VLOOKUP(A66,Wine1!A:AC,22,FALSE)</f>
        <v/>
      </c>
      <c r="H66" s="2">
        <f>VLOOKUP(A66,Wine1!A:AB,24,FALSE)</f>
        <v>12</v>
      </c>
      <c r="I66">
        <f>VLOOKUP(A66,Wine1!A:AB,20,FALSE)</f>
        <v>0</v>
      </c>
      <c r="J66" t="e">
        <f t="shared" si="0"/>
        <v>#VALUE!</v>
      </c>
    </row>
    <row r="67" spans="1:10" x14ac:dyDescent="0.25">
      <c r="A67" t="s">
        <v>505</v>
      </c>
      <c r="B67">
        <v>2013</v>
      </c>
      <c r="C67" t="s">
        <v>85</v>
      </c>
      <c r="D67" t="s">
        <v>86</v>
      </c>
      <c r="E67" t="s">
        <v>268</v>
      </c>
      <c r="F67">
        <f>VLOOKUP(A67,Wine1!A:AB,21,FALSE)</f>
        <v>0</v>
      </c>
      <c r="G67">
        <f>VLOOKUP(A67,Wine1!A:AC,22,FALSE)</f>
        <v>89</v>
      </c>
      <c r="H67" s="2">
        <f>VLOOKUP(A67,Wine1!A:AB,24,FALSE)</f>
        <v>2</v>
      </c>
      <c r="I67">
        <f>VLOOKUP(A67,Wine1!A:AB,20,FALSE)</f>
        <v>0</v>
      </c>
      <c r="J67">
        <f t="shared" ref="J67:J130" si="1">IF(F67=0,0,F67-$J$1)</f>
        <v>0</v>
      </c>
    </row>
    <row r="68" spans="1:10" x14ac:dyDescent="0.25">
      <c r="A68" t="s">
        <v>506</v>
      </c>
      <c r="B68">
        <v>2009</v>
      </c>
      <c r="C68" t="s">
        <v>42</v>
      </c>
      <c r="D68" t="s">
        <v>43</v>
      </c>
      <c r="E68" t="s">
        <v>266</v>
      </c>
      <c r="F68">
        <f>VLOOKUP(A68,Wine1!A:AB,21,FALSE)</f>
        <v>89</v>
      </c>
      <c r="G68">
        <f>VLOOKUP(A68,Wine1!A:AC,22,FALSE)</f>
        <v>90</v>
      </c>
      <c r="H68" s="2">
        <f>VLOOKUP(A68,Wine1!A:AB,24,FALSE)</f>
        <v>2</v>
      </c>
      <c r="I68">
        <f>VLOOKUP(A68,Wine1!A:AB,20,FALSE)</f>
        <v>0</v>
      </c>
      <c r="J68">
        <f t="shared" si="1"/>
        <v>-1931</v>
      </c>
    </row>
    <row r="69" spans="1:10" x14ac:dyDescent="0.25">
      <c r="A69" t="s">
        <v>507</v>
      </c>
      <c r="B69">
        <v>2013</v>
      </c>
      <c r="C69" t="s">
        <v>333</v>
      </c>
      <c r="D69" t="s">
        <v>334</v>
      </c>
      <c r="E69" t="s">
        <v>263</v>
      </c>
      <c r="F69">
        <f>VLOOKUP(A69,Wine1!A:AB,21,FALSE)</f>
        <v>94</v>
      </c>
      <c r="G69">
        <f>VLOOKUP(A69,Wine1!A:AC,22,FALSE)</f>
        <v>94</v>
      </c>
      <c r="H69" s="2">
        <f>VLOOKUP(A69,Wine1!A:AB,24,FALSE)</f>
        <v>1</v>
      </c>
      <c r="I69">
        <f>VLOOKUP(A69,Wine1!A:AB,20,FALSE)</f>
        <v>0</v>
      </c>
      <c r="J69">
        <f t="shared" si="1"/>
        <v>-1926</v>
      </c>
    </row>
    <row r="70" spans="1:10" x14ac:dyDescent="0.25">
      <c r="A70" t="s">
        <v>508</v>
      </c>
      <c r="B70">
        <v>2005</v>
      </c>
      <c r="C70" t="s">
        <v>217</v>
      </c>
      <c r="D70" t="s">
        <v>218</v>
      </c>
      <c r="E70" t="s">
        <v>277</v>
      </c>
      <c r="F70" t="str">
        <f>VLOOKUP(A70,Wine1!A:AB,21,FALSE)</f>
        <v>93+</v>
      </c>
      <c r="G70">
        <f>VLOOKUP(A70,Wine1!A:AC,22,FALSE)</f>
        <v>93</v>
      </c>
      <c r="H70" s="2">
        <f>VLOOKUP(A70,Wine1!A:AB,24,FALSE)</f>
        <v>2</v>
      </c>
      <c r="I70">
        <f>VLOOKUP(A70,Wine1!A:AB,20,FALSE)</f>
        <v>0</v>
      </c>
      <c r="J70" t="e">
        <f t="shared" si="1"/>
        <v>#VALUE!</v>
      </c>
    </row>
    <row r="71" spans="1:10" x14ac:dyDescent="0.25">
      <c r="A71" t="s">
        <v>509</v>
      </c>
      <c r="B71">
        <v>2013</v>
      </c>
      <c r="C71" t="s">
        <v>246</v>
      </c>
      <c r="D71" t="s">
        <v>247</v>
      </c>
      <c r="E71" t="s">
        <v>272</v>
      </c>
      <c r="F71">
        <f>VLOOKUP(A71,Wine1!A:AB,21,FALSE)</f>
        <v>90</v>
      </c>
      <c r="G71">
        <f>VLOOKUP(A71,Wine1!A:AC,22,FALSE)</f>
        <v>90</v>
      </c>
      <c r="H71" s="2">
        <f>VLOOKUP(A71,Wine1!A:AB,24,FALSE)</f>
        <v>2</v>
      </c>
      <c r="I71">
        <f>VLOOKUP(A71,Wine1!A:AB,20,FALSE)</f>
        <v>0</v>
      </c>
      <c r="J71">
        <f t="shared" si="1"/>
        <v>-1930</v>
      </c>
    </row>
    <row r="72" spans="1:10" x14ac:dyDescent="0.25">
      <c r="A72" t="s">
        <v>510</v>
      </c>
      <c r="B72">
        <v>2014</v>
      </c>
      <c r="C72" t="s">
        <v>99</v>
      </c>
      <c r="D72" t="s">
        <v>94</v>
      </c>
      <c r="E72" t="s">
        <v>32</v>
      </c>
      <c r="F72">
        <f>VLOOKUP(A72,Wine1!A:AB,21,FALSE)</f>
        <v>92</v>
      </c>
      <c r="G72" t="str">
        <f>VLOOKUP(A72,Wine1!A:AC,22,FALSE)</f>
        <v/>
      </c>
      <c r="H72" s="2">
        <f>VLOOKUP(A72,Wine1!A:AB,24,FALSE)</f>
        <v>1</v>
      </c>
      <c r="I72">
        <f>VLOOKUP(A72,Wine1!A:AB,20,FALSE)</f>
        <v>0</v>
      </c>
      <c r="J72">
        <f t="shared" si="1"/>
        <v>-1928</v>
      </c>
    </row>
    <row r="73" spans="1:10" x14ac:dyDescent="0.25">
      <c r="A73" t="s">
        <v>511</v>
      </c>
      <c r="B73">
        <v>2012</v>
      </c>
      <c r="C73" t="s">
        <v>318</v>
      </c>
      <c r="D73" t="s">
        <v>319</v>
      </c>
      <c r="E73" t="s">
        <v>320</v>
      </c>
      <c r="F73">
        <f>VLOOKUP(A73,Wine1!A:AB,21,FALSE)</f>
        <v>0</v>
      </c>
      <c r="G73">
        <f>VLOOKUP(A73,Wine1!A:AC,22,FALSE)</f>
        <v>92</v>
      </c>
      <c r="H73" s="2">
        <f>VLOOKUP(A73,Wine1!A:AB,24,FALSE)</f>
        <v>2</v>
      </c>
      <c r="I73">
        <f>VLOOKUP(A73,Wine1!A:AB,20,FALSE)</f>
        <v>0</v>
      </c>
      <c r="J73">
        <f t="shared" si="1"/>
        <v>0</v>
      </c>
    </row>
    <row r="74" spans="1:10" x14ac:dyDescent="0.25">
      <c r="A74" t="s">
        <v>512</v>
      </c>
      <c r="B74">
        <v>2016</v>
      </c>
      <c r="C74" t="s">
        <v>232</v>
      </c>
      <c r="D74" t="s">
        <v>233</v>
      </c>
      <c r="E74" t="s">
        <v>281</v>
      </c>
      <c r="F74">
        <f>VLOOKUP(A74,Wine1!A:AB,21,FALSE)</f>
        <v>96</v>
      </c>
      <c r="G74">
        <f>VLOOKUP(A74,Wine1!A:AC,22,FALSE)</f>
        <v>95.5</v>
      </c>
      <c r="H74" s="2">
        <f>VLOOKUP(A74,Wine1!A:AB,24,FALSE)</f>
        <v>4</v>
      </c>
      <c r="I74">
        <f>VLOOKUP(A74,Wine1!A:AB,20,FALSE)</f>
        <v>0</v>
      </c>
      <c r="J74">
        <f t="shared" si="1"/>
        <v>-1924</v>
      </c>
    </row>
    <row r="75" spans="1:10" x14ac:dyDescent="0.25">
      <c r="A75" t="s">
        <v>513</v>
      </c>
      <c r="B75">
        <v>2016</v>
      </c>
      <c r="C75" t="s">
        <v>405</v>
      </c>
      <c r="D75" t="s">
        <v>454</v>
      </c>
      <c r="E75" t="s">
        <v>283</v>
      </c>
      <c r="F75">
        <f>VLOOKUP(A75,Wine1!A:AB,21,FALSE)</f>
        <v>95</v>
      </c>
      <c r="G75" t="str">
        <f>VLOOKUP(A75,Wine1!A:AC,22,FALSE)</f>
        <v/>
      </c>
      <c r="H75" s="2">
        <f>VLOOKUP(A75,Wine1!A:AB,24,FALSE)</f>
        <v>4</v>
      </c>
      <c r="I75">
        <f>VLOOKUP(A75,Wine1!A:AB,20,FALSE)</f>
        <v>0</v>
      </c>
      <c r="J75">
        <f t="shared" si="1"/>
        <v>-1925</v>
      </c>
    </row>
    <row r="76" spans="1:10" x14ac:dyDescent="0.25">
      <c r="A76" t="s">
        <v>514</v>
      </c>
      <c r="B76">
        <v>2017</v>
      </c>
      <c r="C76" t="s">
        <v>359</v>
      </c>
      <c r="D76" t="s">
        <v>360</v>
      </c>
      <c r="E76" t="s">
        <v>283</v>
      </c>
      <c r="F76">
        <f>VLOOKUP(A76,Wine1!A:AB,21,FALSE)</f>
        <v>95</v>
      </c>
      <c r="G76" t="str">
        <f>VLOOKUP(A76,Wine1!A:AC,22,FALSE)</f>
        <v/>
      </c>
      <c r="H76" s="2">
        <f>VLOOKUP(A76,Wine1!A:AB,24,FALSE)</f>
        <v>4</v>
      </c>
      <c r="I76">
        <f>VLOOKUP(A76,Wine1!A:AB,20,FALSE)</f>
        <v>0</v>
      </c>
      <c r="J76">
        <f t="shared" si="1"/>
        <v>-1925</v>
      </c>
    </row>
    <row r="77" spans="1:10" x14ac:dyDescent="0.25">
      <c r="A77" t="s">
        <v>515</v>
      </c>
      <c r="B77">
        <v>2006</v>
      </c>
      <c r="C77" t="s">
        <v>18</v>
      </c>
      <c r="D77" t="s">
        <v>19</v>
      </c>
      <c r="E77" t="s">
        <v>266</v>
      </c>
      <c r="F77" t="e">
        <f>VLOOKUP(A77,Wine1!A:AB,21,FALSE)</f>
        <v>#N/A</v>
      </c>
      <c r="G77" t="e">
        <f>VLOOKUP(A77,Wine1!A:AC,22,FALSE)</f>
        <v>#N/A</v>
      </c>
      <c r="H77" s="2" t="e">
        <f>VLOOKUP(A77,Wine1!A:AB,24,FALSE)</f>
        <v>#N/A</v>
      </c>
      <c r="I77" t="e">
        <f>VLOOKUP(A77,Wine1!A:AB,20,FALSE)</f>
        <v>#N/A</v>
      </c>
      <c r="J77" t="e">
        <f t="shared" si="1"/>
        <v>#N/A</v>
      </c>
    </row>
    <row r="78" spans="1:10" x14ac:dyDescent="0.25">
      <c r="A78" t="s">
        <v>516</v>
      </c>
      <c r="B78">
        <v>2012</v>
      </c>
      <c r="C78" t="s">
        <v>208</v>
      </c>
      <c r="D78" t="s">
        <v>19</v>
      </c>
      <c r="E78" t="s">
        <v>266</v>
      </c>
      <c r="F78">
        <f>VLOOKUP(A78,Wine1!A:AB,21,FALSE)</f>
        <v>90</v>
      </c>
      <c r="G78">
        <f>VLOOKUP(A78,Wine1!A:AC,22,FALSE)</f>
        <v>88</v>
      </c>
      <c r="H78" s="2">
        <f>VLOOKUP(A78,Wine1!A:AB,24,FALSE)</f>
        <v>1</v>
      </c>
      <c r="I78">
        <f>VLOOKUP(A78,Wine1!A:AB,20,FALSE)</f>
        <v>0</v>
      </c>
      <c r="J78">
        <f t="shared" si="1"/>
        <v>-1930</v>
      </c>
    </row>
    <row r="79" spans="1:10" x14ac:dyDescent="0.25">
      <c r="A79" t="s">
        <v>517</v>
      </c>
      <c r="B79">
        <v>2013</v>
      </c>
      <c r="C79" t="s">
        <v>87</v>
      </c>
      <c r="D79" t="s">
        <v>88</v>
      </c>
      <c r="E79" t="s">
        <v>282</v>
      </c>
      <c r="F79">
        <f>VLOOKUP(A79,Wine1!A:AB,21,FALSE)</f>
        <v>0</v>
      </c>
      <c r="G79">
        <f>VLOOKUP(A79,Wine1!A:AC,22,FALSE)</f>
        <v>91</v>
      </c>
      <c r="H79" s="2">
        <f>VLOOKUP(A79,Wine1!A:AB,24,FALSE)</f>
        <v>3</v>
      </c>
      <c r="I79">
        <f>VLOOKUP(A79,Wine1!A:AB,20,FALSE)</f>
        <v>0</v>
      </c>
      <c r="J79">
        <f t="shared" si="1"/>
        <v>0</v>
      </c>
    </row>
    <row r="80" spans="1:10" x14ac:dyDescent="0.25">
      <c r="A80" t="s">
        <v>518</v>
      </c>
      <c r="B80">
        <v>2011</v>
      </c>
      <c r="C80" t="s">
        <v>12</v>
      </c>
      <c r="D80" t="s">
        <v>19</v>
      </c>
      <c r="E80" t="s">
        <v>266</v>
      </c>
      <c r="F80">
        <f>VLOOKUP(A80,Wine1!A:AB,21,FALSE)</f>
        <v>92</v>
      </c>
      <c r="G80">
        <f>VLOOKUP(A80,Wine1!A:AC,22,FALSE)</f>
        <v>90</v>
      </c>
      <c r="H80" s="2">
        <f>VLOOKUP(A80,Wine1!A:AB,24,FALSE)</f>
        <v>2</v>
      </c>
      <c r="I80">
        <f>VLOOKUP(A80,Wine1!A:AB,20,FALSE)</f>
        <v>0</v>
      </c>
      <c r="J80">
        <f t="shared" si="1"/>
        <v>-1928</v>
      </c>
    </row>
    <row r="81" spans="1:10" x14ac:dyDescent="0.25">
      <c r="A81" t="s">
        <v>519</v>
      </c>
      <c r="B81">
        <v>2015</v>
      </c>
      <c r="C81" t="s">
        <v>116</v>
      </c>
      <c r="D81" t="s">
        <v>116</v>
      </c>
      <c r="E81" t="s">
        <v>279</v>
      </c>
      <c r="F81" t="str">
        <f>VLOOKUP(A81,Wine1!A:AB,21,FALSE)</f>
        <v>(89 - 91)</v>
      </c>
      <c r="G81">
        <f>VLOOKUP(A81,Wine1!A:AC,22,FALSE)</f>
        <v>91</v>
      </c>
      <c r="H81" s="2">
        <f>VLOOKUP(A81,Wine1!A:AB,24,FALSE)</f>
        <v>4</v>
      </c>
      <c r="I81">
        <f>VLOOKUP(A81,Wine1!A:AB,20,FALSE)</f>
        <v>0</v>
      </c>
      <c r="J81" t="e">
        <f t="shared" si="1"/>
        <v>#VALUE!</v>
      </c>
    </row>
    <row r="82" spans="1:10" x14ac:dyDescent="0.25">
      <c r="A82" t="s">
        <v>520</v>
      </c>
      <c r="B82">
        <v>2013</v>
      </c>
      <c r="C82" t="s">
        <v>140</v>
      </c>
      <c r="D82" t="s">
        <v>372</v>
      </c>
      <c r="E82" t="s">
        <v>279</v>
      </c>
      <c r="F82">
        <f>VLOOKUP(A82,Wine1!A:AB,21,FALSE)</f>
        <v>97</v>
      </c>
      <c r="G82">
        <f>VLOOKUP(A82,Wine1!A:AC,22,FALSE)</f>
        <v>92</v>
      </c>
      <c r="H82" s="2">
        <f>VLOOKUP(A82,Wine1!A:AB,24,FALSE)</f>
        <v>8</v>
      </c>
      <c r="I82">
        <f>VLOOKUP(A82,Wine1!A:AB,20,FALSE)</f>
        <v>0</v>
      </c>
      <c r="J82">
        <f t="shared" si="1"/>
        <v>-1923</v>
      </c>
    </row>
    <row r="83" spans="1:10" x14ac:dyDescent="0.25">
      <c r="A83" t="s">
        <v>521</v>
      </c>
      <c r="B83">
        <v>2013</v>
      </c>
      <c r="C83" t="s">
        <v>428</v>
      </c>
      <c r="D83" t="s">
        <v>429</v>
      </c>
      <c r="E83" t="s">
        <v>268</v>
      </c>
      <c r="F83">
        <f>VLOOKUP(A83,Wine1!A:AB,21,FALSE)</f>
        <v>92</v>
      </c>
      <c r="G83">
        <f>VLOOKUP(A83,Wine1!A:AC,22,FALSE)</f>
        <v>91.5</v>
      </c>
      <c r="H83" s="2">
        <f>VLOOKUP(A83,Wine1!A:AB,24,FALSE)</f>
        <v>7</v>
      </c>
      <c r="I83">
        <f>VLOOKUP(A83,Wine1!A:AB,20,FALSE)</f>
        <v>0</v>
      </c>
      <c r="J83">
        <f t="shared" si="1"/>
        <v>-1928</v>
      </c>
    </row>
    <row r="84" spans="1:10" x14ac:dyDescent="0.25">
      <c r="A84" t="s">
        <v>522</v>
      </c>
      <c r="B84">
        <v>2014</v>
      </c>
      <c r="C84" t="s">
        <v>109</v>
      </c>
      <c r="D84" t="s">
        <v>110</v>
      </c>
      <c r="E84" t="s">
        <v>110</v>
      </c>
      <c r="F84">
        <f>VLOOKUP(A84,Wine1!A:AB,21,FALSE)</f>
        <v>88</v>
      </c>
      <c r="G84" t="str">
        <f>VLOOKUP(A84,Wine1!A:AC,22,FALSE)</f>
        <v/>
      </c>
      <c r="H84" s="2">
        <f>VLOOKUP(A84,Wine1!A:AB,24,FALSE)</f>
        <v>1</v>
      </c>
      <c r="I84">
        <f>VLOOKUP(A84,Wine1!A:AB,20,FALSE)</f>
        <v>0</v>
      </c>
      <c r="J84">
        <f t="shared" si="1"/>
        <v>-1932</v>
      </c>
    </row>
    <row r="85" spans="1:10" x14ac:dyDescent="0.25">
      <c r="A85" t="s">
        <v>523</v>
      </c>
      <c r="B85">
        <v>2014</v>
      </c>
      <c r="C85" t="s">
        <v>93</v>
      </c>
      <c r="D85" t="s">
        <v>94</v>
      </c>
      <c r="E85" t="s">
        <v>32</v>
      </c>
      <c r="F85">
        <f>VLOOKUP(A85,Wine1!A:AB,21,FALSE)</f>
        <v>92</v>
      </c>
      <c r="G85" t="str">
        <f>VLOOKUP(A85,Wine1!A:AC,22,FALSE)</f>
        <v/>
      </c>
      <c r="H85" s="2">
        <f>VLOOKUP(A85,Wine1!A:AB,24,FALSE)</f>
        <v>2</v>
      </c>
      <c r="I85">
        <f>VLOOKUP(A85,Wine1!A:AB,20,FALSE)</f>
        <v>0</v>
      </c>
      <c r="J85">
        <f t="shared" si="1"/>
        <v>-1928</v>
      </c>
    </row>
    <row r="86" spans="1:10" x14ac:dyDescent="0.25">
      <c r="A86" t="s">
        <v>524</v>
      </c>
      <c r="B86">
        <v>2014</v>
      </c>
      <c r="C86" t="s">
        <v>111</v>
      </c>
      <c r="D86" t="s">
        <v>26</v>
      </c>
      <c r="E86" t="s">
        <v>313</v>
      </c>
      <c r="F86">
        <f>VLOOKUP(A86,Wine1!A:AB,21,FALSE)</f>
        <v>91</v>
      </c>
      <c r="G86">
        <f>VLOOKUP(A86,Wine1!A:AC,22,FALSE)</f>
        <v>94</v>
      </c>
      <c r="H86" s="2">
        <f>VLOOKUP(A86,Wine1!A:AB,24,FALSE)</f>
        <v>2</v>
      </c>
      <c r="I86">
        <f>VLOOKUP(A86,Wine1!A:AB,20,FALSE)</f>
        <v>0</v>
      </c>
      <c r="J86">
        <f t="shared" si="1"/>
        <v>-1929</v>
      </c>
    </row>
    <row r="87" spans="1:10" x14ac:dyDescent="0.25">
      <c r="A87" t="s">
        <v>525</v>
      </c>
      <c r="B87">
        <v>2009</v>
      </c>
      <c r="C87" t="s">
        <v>35</v>
      </c>
      <c r="D87" t="s">
        <v>36</v>
      </c>
      <c r="E87" t="s">
        <v>268</v>
      </c>
      <c r="F87">
        <f>VLOOKUP(A87,Wine1!A:AB,21,FALSE)</f>
        <v>0</v>
      </c>
      <c r="G87" t="str">
        <f>VLOOKUP(A87,Wine1!A:AC,22,FALSE)</f>
        <v/>
      </c>
      <c r="H87" s="2">
        <f>VLOOKUP(A87,Wine1!A:AB,24,FALSE)</f>
        <v>1</v>
      </c>
      <c r="I87">
        <f>VLOOKUP(A87,Wine1!A:AB,20,FALSE)</f>
        <v>2024</v>
      </c>
      <c r="J87">
        <f t="shared" si="1"/>
        <v>0</v>
      </c>
    </row>
    <row r="88" spans="1:10" x14ac:dyDescent="0.25">
      <c r="A88" t="s">
        <v>526</v>
      </c>
      <c r="B88">
        <v>2013</v>
      </c>
      <c r="C88" t="s">
        <v>81</v>
      </c>
      <c r="D88" t="s">
        <v>82</v>
      </c>
      <c r="E88" t="s">
        <v>268</v>
      </c>
      <c r="F88">
        <f>VLOOKUP(A88,Wine1!A:AB,21,FALSE)</f>
        <v>0</v>
      </c>
      <c r="G88" t="str">
        <f>VLOOKUP(A88,Wine1!A:AC,22,FALSE)</f>
        <v/>
      </c>
      <c r="H88" s="2">
        <f>VLOOKUP(A88,Wine1!A:AB,24,FALSE)</f>
        <v>1</v>
      </c>
      <c r="I88">
        <f>VLOOKUP(A88,Wine1!A:AB,20,FALSE)</f>
        <v>2033</v>
      </c>
      <c r="J88">
        <f t="shared" si="1"/>
        <v>0</v>
      </c>
    </row>
    <row r="89" spans="1:10" x14ac:dyDescent="0.25">
      <c r="A89" t="s">
        <v>527</v>
      </c>
      <c r="B89">
        <v>2012</v>
      </c>
      <c r="C89" t="s">
        <v>65</v>
      </c>
      <c r="D89" t="s">
        <v>13</v>
      </c>
      <c r="E89" t="s">
        <v>265</v>
      </c>
      <c r="F89">
        <f>VLOOKUP(A89,Wine1!A:AB,21,FALSE)</f>
        <v>0</v>
      </c>
      <c r="G89" t="str">
        <f>VLOOKUP(A89,Wine1!A:AC,22,FALSE)</f>
        <v/>
      </c>
      <c r="H89" s="2">
        <f>VLOOKUP(A89,Wine1!A:AB,24,FALSE)</f>
        <v>2</v>
      </c>
      <c r="I89">
        <f>VLOOKUP(A89,Wine1!A:AB,20,FALSE)</f>
        <v>2030</v>
      </c>
      <c r="J89">
        <f t="shared" si="1"/>
        <v>0</v>
      </c>
    </row>
    <row r="90" spans="1:10" x14ac:dyDescent="0.25">
      <c r="A90" t="s">
        <v>528</v>
      </c>
      <c r="B90">
        <v>2010</v>
      </c>
      <c r="C90" t="s">
        <v>37</v>
      </c>
      <c r="D90" t="s">
        <v>53</v>
      </c>
      <c r="E90" t="s">
        <v>313</v>
      </c>
      <c r="F90">
        <f>VLOOKUP(A90,Wine1!A:AB,21,FALSE)</f>
        <v>91</v>
      </c>
      <c r="G90" t="str">
        <f>VLOOKUP(A90,Wine1!A:AC,22,FALSE)</f>
        <v/>
      </c>
      <c r="H90" s="2">
        <f>VLOOKUP(A90,Wine1!A:AB,24,FALSE)</f>
        <v>1</v>
      </c>
      <c r="I90">
        <f>VLOOKUP(A90,Wine1!A:AB,20,FALSE)</f>
        <v>0</v>
      </c>
      <c r="J90">
        <f t="shared" si="1"/>
        <v>-1929</v>
      </c>
    </row>
    <row r="91" spans="1:10" x14ac:dyDescent="0.25">
      <c r="A91" t="s">
        <v>529</v>
      </c>
      <c r="B91">
        <v>2013</v>
      </c>
      <c r="C91" t="s">
        <v>311</v>
      </c>
      <c r="D91" t="s">
        <v>312</v>
      </c>
      <c r="E91" t="s">
        <v>313</v>
      </c>
      <c r="F91">
        <f>VLOOKUP(A91,Wine1!A:AB,21,FALSE)</f>
        <v>93</v>
      </c>
      <c r="G91" t="str">
        <f>VLOOKUP(A91,Wine1!A:AC,22,FALSE)</f>
        <v/>
      </c>
      <c r="H91" s="2">
        <f>VLOOKUP(A91,Wine1!A:AB,24,FALSE)</f>
        <v>2</v>
      </c>
      <c r="I91">
        <f>VLOOKUP(A91,Wine1!A:AB,20,FALSE)</f>
        <v>0</v>
      </c>
      <c r="J91">
        <f t="shared" si="1"/>
        <v>-1927</v>
      </c>
    </row>
    <row r="92" spans="1:10" x14ac:dyDescent="0.25">
      <c r="A92" t="s">
        <v>530</v>
      </c>
      <c r="B92">
        <v>2012</v>
      </c>
      <c r="C92" t="s">
        <v>62</v>
      </c>
      <c r="D92" t="s">
        <v>62</v>
      </c>
      <c r="E92" t="s">
        <v>282</v>
      </c>
      <c r="F92">
        <f>VLOOKUP(A92,Wine1!A:AB,21,FALSE)</f>
        <v>88</v>
      </c>
      <c r="G92" t="str">
        <f>VLOOKUP(A92,Wine1!A:AC,22,FALSE)</f>
        <v/>
      </c>
      <c r="H92" s="2">
        <f>VLOOKUP(A92,Wine1!A:AB,24,FALSE)</f>
        <v>1</v>
      </c>
      <c r="I92">
        <f>VLOOKUP(A92,Wine1!A:AB,20,FALSE)</f>
        <v>0</v>
      </c>
      <c r="J92">
        <f t="shared" si="1"/>
        <v>-1932</v>
      </c>
    </row>
    <row r="93" spans="1:10" x14ac:dyDescent="0.25">
      <c r="A93" t="s">
        <v>531</v>
      </c>
      <c r="B93">
        <v>2014</v>
      </c>
      <c r="C93" t="s">
        <v>248</v>
      </c>
      <c r="D93" t="s">
        <v>249</v>
      </c>
      <c r="E93" t="s">
        <v>249</v>
      </c>
      <c r="F93">
        <f>VLOOKUP(A93,Wine1!A:AB,21,FALSE)</f>
        <v>94</v>
      </c>
      <c r="G93">
        <f>VLOOKUP(A93,Wine1!A:AC,22,FALSE)</f>
        <v>93</v>
      </c>
      <c r="H93" s="2">
        <f>VLOOKUP(A93,Wine1!A:AB,24,FALSE)</f>
        <v>2</v>
      </c>
      <c r="I93">
        <f>VLOOKUP(A93,Wine1!A:AB,20,FALSE)</f>
        <v>0</v>
      </c>
      <c r="J93">
        <f t="shared" si="1"/>
        <v>-1926</v>
      </c>
    </row>
    <row r="94" spans="1:10" x14ac:dyDescent="0.25">
      <c r="A94" t="s">
        <v>532</v>
      </c>
      <c r="B94">
        <v>2015</v>
      </c>
      <c r="C94" t="s">
        <v>250</v>
      </c>
      <c r="D94" t="s">
        <v>251</v>
      </c>
      <c r="E94" t="s">
        <v>274</v>
      </c>
      <c r="F94" t="e">
        <f>VLOOKUP(A94,Wine1!A:AB,21,FALSE)</f>
        <v>#N/A</v>
      </c>
      <c r="G94" t="e">
        <f>VLOOKUP(A94,Wine1!A:AC,22,FALSE)</f>
        <v>#N/A</v>
      </c>
      <c r="H94" s="2" t="e">
        <f>VLOOKUP(A94,Wine1!A:AB,24,FALSE)</f>
        <v>#N/A</v>
      </c>
      <c r="I94" t="e">
        <f>VLOOKUP(A94,Wine1!A:AB,20,FALSE)</f>
        <v>#N/A</v>
      </c>
      <c r="J94" t="e">
        <f t="shared" si="1"/>
        <v>#N/A</v>
      </c>
    </row>
    <row r="95" spans="1:10" x14ac:dyDescent="0.25">
      <c r="A95" t="s">
        <v>533</v>
      </c>
      <c r="B95">
        <v>2015</v>
      </c>
      <c r="C95" t="s">
        <v>127</v>
      </c>
      <c r="D95" t="s">
        <v>128</v>
      </c>
      <c r="E95" t="s">
        <v>259</v>
      </c>
      <c r="F95">
        <f>VLOOKUP(A95,Wine1!A:AB,21,FALSE)</f>
        <v>89</v>
      </c>
      <c r="G95" t="str">
        <f>VLOOKUP(A95,Wine1!A:AC,22,FALSE)</f>
        <v/>
      </c>
      <c r="H95" s="2">
        <f>VLOOKUP(A95,Wine1!A:AB,24,FALSE)</f>
        <v>1</v>
      </c>
      <c r="I95">
        <f>VLOOKUP(A95,Wine1!A:AB,20,FALSE)</f>
        <v>0</v>
      </c>
      <c r="J95">
        <f t="shared" si="1"/>
        <v>-1931</v>
      </c>
    </row>
    <row r="96" spans="1:10" x14ac:dyDescent="0.25">
      <c r="A96" t="s">
        <v>534</v>
      </c>
      <c r="B96">
        <v>2016</v>
      </c>
      <c r="C96" t="s">
        <v>357</v>
      </c>
      <c r="D96" t="s">
        <v>358</v>
      </c>
      <c r="E96" t="s">
        <v>363</v>
      </c>
      <c r="F96">
        <f>VLOOKUP(A96,Wine1!A:AB,21,FALSE)</f>
        <v>95</v>
      </c>
      <c r="G96">
        <f>VLOOKUP(A96,Wine1!A:AC,22,FALSE)</f>
        <v>94</v>
      </c>
      <c r="H96" s="2">
        <f>VLOOKUP(A96,Wine1!A:AB,24,FALSE)</f>
        <v>3</v>
      </c>
      <c r="I96">
        <f>VLOOKUP(A96,Wine1!A:AB,20,FALSE)</f>
        <v>0</v>
      </c>
      <c r="J96">
        <f t="shared" si="1"/>
        <v>-1925</v>
      </c>
    </row>
    <row r="97" spans="1:10" x14ac:dyDescent="0.25">
      <c r="A97" t="s">
        <v>535</v>
      </c>
      <c r="B97">
        <v>2012</v>
      </c>
      <c r="C97" t="s">
        <v>354</v>
      </c>
      <c r="D97" t="s">
        <v>355</v>
      </c>
      <c r="E97" t="s">
        <v>276</v>
      </c>
      <c r="F97" t="str">
        <f>VLOOKUP(A97,Wine1!A:AB,21,FALSE)</f>
        <v>97?</v>
      </c>
      <c r="G97" t="str">
        <f>VLOOKUP(A97,Wine1!A:AC,22,FALSE)</f>
        <v/>
      </c>
      <c r="H97" s="2">
        <f>VLOOKUP(A97,Wine1!A:AB,24,FALSE)</f>
        <v>2</v>
      </c>
      <c r="I97">
        <f>VLOOKUP(A97,Wine1!A:AB,20,FALSE)</f>
        <v>0</v>
      </c>
      <c r="J97" t="e">
        <f t="shared" si="1"/>
        <v>#VALUE!</v>
      </c>
    </row>
    <row r="98" spans="1:10" x14ac:dyDescent="0.25">
      <c r="A98" t="s">
        <v>536</v>
      </c>
      <c r="B98">
        <v>2016</v>
      </c>
      <c r="C98" t="s">
        <v>252</v>
      </c>
      <c r="D98" t="s">
        <v>32</v>
      </c>
      <c r="E98" t="s">
        <v>32</v>
      </c>
      <c r="F98">
        <f>VLOOKUP(A98,Wine1!A:AB,21,FALSE)</f>
        <v>93</v>
      </c>
      <c r="G98">
        <f>VLOOKUP(A98,Wine1!A:AC,22,FALSE)</f>
        <v>93</v>
      </c>
      <c r="H98" s="2">
        <f>VLOOKUP(A98,Wine1!A:AB,24,FALSE)</f>
        <v>3</v>
      </c>
      <c r="I98">
        <f>VLOOKUP(A98,Wine1!A:AB,20,FALSE)</f>
        <v>0</v>
      </c>
      <c r="J98">
        <f t="shared" si="1"/>
        <v>-1927</v>
      </c>
    </row>
    <row r="99" spans="1:10" x14ac:dyDescent="0.25">
      <c r="A99" t="s">
        <v>537</v>
      </c>
      <c r="B99">
        <v>2013</v>
      </c>
      <c r="C99" t="s">
        <v>294</v>
      </c>
      <c r="D99" t="s">
        <v>305</v>
      </c>
      <c r="E99" t="s">
        <v>268</v>
      </c>
      <c r="F99">
        <f>VLOOKUP(A99,Wine1!A:AB,21,FALSE)</f>
        <v>94</v>
      </c>
      <c r="G99">
        <f>VLOOKUP(A99,Wine1!A:AC,22,FALSE)</f>
        <v>94</v>
      </c>
      <c r="H99" s="2">
        <f>VLOOKUP(A99,Wine1!A:AB,24,FALSE)</f>
        <v>3</v>
      </c>
      <c r="I99">
        <f>VLOOKUP(A99,Wine1!A:AB,20,FALSE)</f>
        <v>0</v>
      </c>
      <c r="J99">
        <f t="shared" si="1"/>
        <v>-1926</v>
      </c>
    </row>
    <row r="100" spans="1:10" x14ac:dyDescent="0.25">
      <c r="A100" t="s">
        <v>538</v>
      </c>
      <c r="B100">
        <v>2016</v>
      </c>
      <c r="C100" t="s">
        <v>194</v>
      </c>
      <c r="D100" t="s">
        <v>195</v>
      </c>
      <c r="E100" t="s">
        <v>32</v>
      </c>
      <c r="F100">
        <f>VLOOKUP(A100,Wine1!A:AB,21,FALSE)</f>
        <v>92</v>
      </c>
      <c r="G100">
        <f>VLOOKUP(A100,Wine1!A:AC,22,FALSE)</f>
        <v>90</v>
      </c>
      <c r="H100" s="2">
        <f>VLOOKUP(A100,Wine1!A:AB,24,FALSE)</f>
        <v>3</v>
      </c>
      <c r="I100">
        <f>VLOOKUP(A100,Wine1!A:AB,20,FALSE)</f>
        <v>0</v>
      </c>
      <c r="J100">
        <f t="shared" si="1"/>
        <v>-1928</v>
      </c>
    </row>
    <row r="101" spans="1:10" x14ac:dyDescent="0.25">
      <c r="A101" t="s">
        <v>539</v>
      </c>
      <c r="B101">
        <v>2013</v>
      </c>
      <c r="C101" t="s">
        <v>294</v>
      </c>
      <c r="D101" t="s">
        <v>295</v>
      </c>
      <c r="E101" t="s">
        <v>268</v>
      </c>
      <c r="F101" t="str">
        <f>VLOOKUP(A101,Wine1!A:AB,21,FALSE)</f>
        <v>94+</v>
      </c>
      <c r="G101">
        <f>VLOOKUP(A101,Wine1!A:AC,22,FALSE)</f>
        <v>91</v>
      </c>
      <c r="H101" s="2">
        <f>VLOOKUP(A101,Wine1!A:AB,24,FALSE)</f>
        <v>3</v>
      </c>
      <c r="I101">
        <f>VLOOKUP(A101,Wine1!A:AB,20,FALSE)</f>
        <v>0</v>
      </c>
      <c r="J101" t="e">
        <f t="shared" si="1"/>
        <v>#VALUE!</v>
      </c>
    </row>
    <row r="102" spans="1:10" x14ac:dyDescent="0.25">
      <c r="A102" t="s">
        <v>540</v>
      </c>
      <c r="B102">
        <v>2015</v>
      </c>
      <c r="C102" t="s">
        <v>120</v>
      </c>
      <c r="D102" t="s">
        <v>121</v>
      </c>
      <c r="E102" t="s">
        <v>279</v>
      </c>
      <c r="F102">
        <f>VLOOKUP(A102,Wine1!A:AB,21,FALSE)</f>
        <v>94</v>
      </c>
      <c r="G102" t="str">
        <f>VLOOKUP(A102,Wine1!A:AC,22,FALSE)</f>
        <v/>
      </c>
      <c r="H102" s="2">
        <f>VLOOKUP(A102,Wine1!A:AB,24,FALSE)</f>
        <v>2</v>
      </c>
      <c r="I102">
        <f>VLOOKUP(A102,Wine1!A:AB,20,FALSE)</f>
        <v>0</v>
      </c>
      <c r="J102">
        <f t="shared" si="1"/>
        <v>-1926</v>
      </c>
    </row>
    <row r="103" spans="1:10" x14ac:dyDescent="0.25">
      <c r="A103" t="s">
        <v>541</v>
      </c>
      <c r="B103">
        <v>2013</v>
      </c>
      <c r="C103" t="s">
        <v>386</v>
      </c>
      <c r="D103" t="s">
        <v>387</v>
      </c>
      <c r="E103" t="s">
        <v>280</v>
      </c>
      <c r="F103" t="e">
        <f>VLOOKUP(A103,Wine1!A:AB,21,FALSE)</f>
        <v>#N/A</v>
      </c>
      <c r="G103" t="e">
        <f>VLOOKUP(A103,Wine1!A:AC,22,FALSE)</f>
        <v>#N/A</v>
      </c>
      <c r="H103" s="2" t="e">
        <f>VLOOKUP(A103,Wine1!A:AB,24,FALSE)</f>
        <v>#N/A</v>
      </c>
      <c r="I103" t="e">
        <f>VLOOKUP(A103,Wine1!A:AB,20,FALSE)</f>
        <v>#N/A</v>
      </c>
      <c r="J103" t="e">
        <f t="shared" si="1"/>
        <v>#N/A</v>
      </c>
    </row>
    <row r="104" spans="1:10" x14ac:dyDescent="0.25">
      <c r="A104" t="s">
        <v>542</v>
      </c>
      <c r="B104">
        <v>2016</v>
      </c>
      <c r="C104" t="s">
        <v>392</v>
      </c>
      <c r="D104" t="s">
        <v>393</v>
      </c>
      <c r="E104" t="s">
        <v>400</v>
      </c>
      <c r="F104">
        <f>VLOOKUP(A104,Wine1!A:AB,21,FALSE)</f>
        <v>96</v>
      </c>
      <c r="G104" t="str">
        <f>VLOOKUP(A104,Wine1!A:AC,22,FALSE)</f>
        <v/>
      </c>
      <c r="H104" s="2">
        <f>VLOOKUP(A104,Wine1!A:AB,24,FALSE)</f>
        <v>3</v>
      </c>
      <c r="I104">
        <f>VLOOKUP(A104,Wine1!A:AB,20,FALSE)</f>
        <v>0</v>
      </c>
      <c r="J104">
        <f t="shared" si="1"/>
        <v>-1924</v>
      </c>
    </row>
    <row r="105" spans="1:10" x14ac:dyDescent="0.25">
      <c r="A105" t="s">
        <v>543</v>
      </c>
      <c r="B105">
        <v>2016</v>
      </c>
      <c r="C105" t="s">
        <v>248</v>
      </c>
      <c r="D105" t="s">
        <v>249</v>
      </c>
      <c r="E105" t="s">
        <v>249</v>
      </c>
      <c r="F105">
        <f>VLOOKUP(A105,Wine1!A:AB,21,FALSE)</f>
        <v>95</v>
      </c>
      <c r="G105">
        <f>VLOOKUP(A105,Wine1!A:AC,22,FALSE)</f>
        <v>95.5</v>
      </c>
      <c r="H105" s="2">
        <f>VLOOKUP(A105,Wine1!A:AB,24,FALSE)</f>
        <v>41</v>
      </c>
      <c r="I105">
        <f>VLOOKUP(A105,Wine1!A:AB,20,FALSE)</f>
        <v>0</v>
      </c>
      <c r="J105">
        <f t="shared" si="1"/>
        <v>-1925</v>
      </c>
    </row>
    <row r="106" spans="1:10" x14ac:dyDescent="0.25">
      <c r="A106" t="s">
        <v>544</v>
      </c>
      <c r="B106">
        <v>2014</v>
      </c>
      <c r="C106" t="s">
        <v>252</v>
      </c>
      <c r="D106" t="s">
        <v>430</v>
      </c>
      <c r="E106" t="s">
        <v>32</v>
      </c>
      <c r="F106">
        <f>VLOOKUP(A106,Wine1!A:AB,21,FALSE)</f>
        <v>95</v>
      </c>
      <c r="G106" t="str">
        <f>VLOOKUP(A106,Wine1!A:AC,22,FALSE)</f>
        <v/>
      </c>
      <c r="H106" s="2">
        <f>VLOOKUP(A106,Wine1!A:AB,24,FALSE)</f>
        <v>4</v>
      </c>
      <c r="I106">
        <f>VLOOKUP(A106,Wine1!A:AB,20,FALSE)</f>
        <v>0</v>
      </c>
      <c r="J106">
        <f t="shared" si="1"/>
        <v>-1925</v>
      </c>
    </row>
    <row r="107" spans="1:10" x14ac:dyDescent="0.25">
      <c r="A107" t="s">
        <v>545</v>
      </c>
      <c r="B107">
        <v>2016</v>
      </c>
      <c r="C107" t="s">
        <v>91</v>
      </c>
      <c r="D107" t="s">
        <v>304</v>
      </c>
      <c r="E107" t="s">
        <v>279</v>
      </c>
      <c r="F107">
        <f>VLOOKUP(A107,Wine1!A:AB,21,FALSE)</f>
        <v>100</v>
      </c>
      <c r="G107" t="str">
        <f>VLOOKUP(A107,Wine1!A:AC,22,FALSE)</f>
        <v/>
      </c>
      <c r="H107" s="2">
        <f>VLOOKUP(A107,Wine1!A:AB,24,FALSE)</f>
        <v>6</v>
      </c>
      <c r="I107">
        <f>VLOOKUP(A107,Wine1!A:AB,20,FALSE)</f>
        <v>0</v>
      </c>
      <c r="J107">
        <f t="shared" si="1"/>
        <v>-1920</v>
      </c>
    </row>
    <row r="108" spans="1:10" x14ac:dyDescent="0.25">
      <c r="A108" t="s">
        <v>546</v>
      </c>
      <c r="B108">
        <v>2009</v>
      </c>
      <c r="C108" t="s">
        <v>37</v>
      </c>
      <c r="D108" t="s">
        <v>38</v>
      </c>
      <c r="E108" t="s">
        <v>313</v>
      </c>
      <c r="F108">
        <f>VLOOKUP(A108,Wine1!A:AB,21,FALSE)</f>
        <v>0</v>
      </c>
      <c r="G108" t="str">
        <f>VLOOKUP(A108,Wine1!A:AC,22,FALSE)</f>
        <v/>
      </c>
      <c r="H108" s="2">
        <f>VLOOKUP(A108,Wine1!A:AB,24,FALSE)</f>
        <v>1</v>
      </c>
      <c r="I108">
        <f>VLOOKUP(A108,Wine1!A:AB,20,FALSE)</f>
        <v>2027</v>
      </c>
      <c r="J108">
        <f t="shared" si="1"/>
        <v>0</v>
      </c>
    </row>
    <row r="109" spans="1:10" x14ac:dyDescent="0.25">
      <c r="A109" t="s">
        <v>547</v>
      </c>
      <c r="B109">
        <v>2010</v>
      </c>
      <c r="C109" t="s">
        <v>241</v>
      </c>
      <c r="D109" t="s">
        <v>32</v>
      </c>
      <c r="E109" t="s">
        <v>32</v>
      </c>
      <c r="F109">
        <f>VLOOKUP(A109,Wine1!A:AB,21,FALSE)</f>
        <v>0</v>
      </c>
      <c r="G109">
        <f>VLOOKUP(A109,Wine1!A:AC,22,FALSE)</f>
        <v>93</v>
      </c>
      <c r="H109" s="2">
        <f>VLOOKUP(A109,Wine1!A:AB,24,FALSE)</f>
        <v>1</v>
      </c>
      <c r="I109">
        <f>VLOOKUP(A109,Wine1!A:AB,20,FALSE)</f>
        <v>0</v>
      </c>
      <c r="J109">
        <f t="shared" si="1"/>
        <v>0</v>
      </c>
    </row>
    <row r="110" spans="1:10" x14ac:dyDescent="0.25">
      <c r="A110" t="s">
        <v>548</v>
      </c>
      <c r="B110">
        <v>2006</v>
      </c>
      <c r="C110" t="s">
        <v>15</v>
      </c>
      <c r="D110" t="s">
        <v>16</v>
      </c>
      <c r="E110" t="s">
        <v>279</v>
      </c>
      <c r="F110" t="e">
        <f>VLOOKUP(A110,Wine1!A:AB,21,FALSE)</f>
        <v>#N/A</v>
      </c>
      <c r="G110" t="e">
        <f>VLOOKUP(A110,Wine1!A:AC,22,FALSE)</f>
        <v>#N/A</v>
      </c>
      <c r="H110" s="2" t="e">
        <f>VLOOKUP(A110,Wine1!A:AB,24,FALSE)</f>
        <v>#N/A</v>
      </c>
      <c r="I110" t="e">
        <f>VLOOKUP(A110,Wine1!A:AB,20,FALSE)</f>
        <v>#N/A</v>
      </c>
      <c r="J110" t="e">
        <f t="shared" si="1"/>
        <v>#N/A</v>
      </c>
    </row>
    <row r="111" spans="1:10" x14ac:dyDescent="0.25">
      <c r="A111" t="s">
        <v>549</v>
      </c>
      <c r="B111">
        <v>2006</v>
      </c>
      <c r="C111" t="s">
        <v>22</v>
      </c>
      <c r="D111" t="s">
        <v>19</v>
      </c>
      <c r="E111" t="s">
        <v>266</v>
      </c>
      <c r="F111">
        <f>VLOOKUP(A111,Wine1!A:AB,21,FALSE)</f>
        <v>94</v>
      </c>
      <c r="G111" t="str">
        <f>VLOOKUP(A111,Wine1!A:AC,22,FALSE)</f>
        <v/>
      </c>
      <c r="H111" s="2">
        <f>VLOOKUP(A111,Wine1!A:AB,24,FALSE)</f>
        <v>1</v>
      </c>
      <c r="I111">
        <f>VLOOKUP(A111,Wine1!A:AB,20,FALSE)</f>
        <v>0</v>
      </c>
      <c r="J111">
        <f t="shared" si="1"/>
        <v>-1926</v>
      </c>
    </row>
    <row r="112" spans="1:10" x14ac:dyDescent="0.25">
      <c r="A112" t="s">
        <v>550</v>
      </c>
      <c r="B112">
        <v>2012</v>
      </c>
      <c r="C112" t="s">
        <v>72</v>
      </c>
      <c r="D112" t="s">
        <v>73</v>
      </c>
      <c r="E112" t="s">
        <v>266</v>
      </c>
      <c r="F112">
        <f>VLOOKUP(A112,Wine1!A:AB,21,FALSE)</f>
        <v>91</v>
      </c>
      <c r="G112">
        <f>VLOOKUP(A112,Wine1!A:AC,22,FALSE)</f>
        <v>90</v>
      </c>
      <c r="H112" s="2">
        <f>VLOOKUP(A112,Wine1!A:AB,24,FALSE)</f>
        <v>1</v>
      </c>
      <c r="I112">
        <f>VLOOKUP(A112,Wine1!A:AB,20,FALSE)</f>
        <v>0</v>
      </c>
      <c r="J112">
        <f t="shared" si="1"/>
        <v>-1929</v>
      </c>
    </row>
    <row r="113" spans="1:10" x14ac:dyDescent="0.25">
      <c r="A113" t="s">
        <v>551</v>
      </c>
      <c r="B113">
        <v>2010</v>
      </c>
      <c r="C113" t="s">
        <v>54</v>
      </c>
      <c r="D113" t="s">
        <v>55</v>
      </c>
      <c r="E113" t="s">
        <v>285</v>
      </c>
      <c r="F113">
        <f>VLOOKUP(A113,Wine1!A:AB,21,FALSE)</f>
        <v>91</v>
      </c>
      <c r="G113" t="str">
        <f>VLOOKUP(A113,Wine1!A:AC,22,FALSE)</f>
        <v/>
      </c>
      <c r="H113" s="2">
        <f>VLOOKUP(A113,Wine1!A:AB,24,FALSE)</f>
        <v>1</v>
      </c>
      <c r="I113">
        <f>VLOOKUP(A113,Wine1!A:AB,20,FALSE)</f>
        <v>0</v>
      </c>
      <c r="J113">
        <f t="shared" si="1"/>
        <v>-1929</v>
      </c>
    </row>
    <row r="114" spans="1:10" x14ac:dyDescent="0.25">
      <c r="A114" t="s">
        <v>552</v>
      </c>
      <c r="B114">
        <v>2015</v>
      </c>
      <c r="C114" t="s">
        <v>118</v>
      </c>
      <c r="D114" t="s">
        <v>118</v>
      </c>
      <c r="E114" t="s">
        <v>274</v>
      </c>
      <c r="F114">
        <f>VLOOKUP(A114,Wine1!A:AB,21,FALSE)</f>
        <v>91</v>
      </c>
      <c r="G114" t="str">
        <f>VLOOKUP(A114,Wine1!A:AC,22,FALSE)</f>
        <v/>
      </c>
      <c r="H114" s="2">
        <f>VLOOKUP(A114,Wine1!A:AB,24,FALSE)</f>
        <v>2</v>
      </c>
      <c r="I114">
        <f>VLOOKUP(A114,Wine1!A:AB,20,FALSE)</f>
        <v>0</v>
      </c>
      <c r="J114">
        <f t="shared" si="1"/>
        <v>-1929</v>
      </c>
    </row>
    <row r="115" spans="1:10" x14ac:dyDescent="0.25">
      <c r="A115" t="s">
        <v>553</v>
      </c>
      <c r="B115">
        <v>2013</v>
      </c>
      <c r="C115" t="s">
        <v>293</v>
      </c>
      <c r="D115" t="s">
        <v>19</v>
      </c>
      <c r="E115" t="s">
        <v>266</v>
      </c>
      <c r="F115">
        <f>VLOOKUP(A115,Wine1!A:AB,21,FALSE)</f>
        <v>93</v>
      </c>
      <c r="G115">
        <f>VLOOKUP(A115,Wine1!A:AC,22,FALSE)</f>
        <v>93</v>
      </c>
      <c r="H115" s="2">
        <f>VLOOKUP(A115,Wine1!A:AB,24,FALSE)</f>
        <v>2</v>
      </c>
      <c r="I115">
        <f>VLOOKUP(A115,Wine1!A:AB,20,FALSE)</f>
        <v>0</v>
      </c>
      <c r="J115">
        <f t="shared" si="1"/>
        <v>-1927</v>
      </c>
    </row>
    <row r="116" spans="1:10" x14ac:dyDescent="0.25">
      <c r="A116" t="s">
        <v>554</v>
      </c>
      <c r="B116">
        <v>2000</v>
      </c>
      <c r="C116" t="s">
        <v>243</v>
      </c>
      <c r="D116" t="s">
        <v>244</v>
      </c>
      <c r="E116" t="s">
        <v>257</v>
      </c>
      <c r="F116" t="e">
        <f>VLOOKUP(A116,Wine1!A:AB,21,FALSE)</f>
        <v>#N/A</v>
      </c>
      <c r="G116" t="e">
        <f>VLOOKUP(A116,Wine1!A:AC,22,FALSE)</f>
        <v>#N/A</v>
      </c>
      <c r="H116" s="2" t="e">
        <f>VLOOKUP(A116,Wine1!A:AB,24,FALSE)</f>
        <v>#N/A</v>
      </c>
      <c r="I116" t="e">
        <f>VLOOKUP(A116,Wine1!A:AB,20,FALSE)</f>
        <v>#N/A</v>
      </c>
      <c r="J116" t="e">
        <f t="shared" si="1"/>
        <v>#N/A</v>
      </c>
    </row>
    <row r="117" spans="1:10" x14ac:dyDescent="0.25">
      <c r="A117" t="s">
        <v>555</v>
      </c>
      <c r="B117">
        <v>2012</v>
      </c>
      <c r="C117" t="s">
        <v>214</v>
      </c>
      <c r="D117" t="s">
        <v>215</v>
      </c>
      <c r="E117" t="s">
        <v>265</v>
      </c>
      <c r="F117">
        <f>VLOOKUP(A117,Wine1!A:AB,21,FALSE)</f>
        <v>0</v>
      </c>
      <c r="G117">
        <f>VLOOKUP(A117,Wine1!A:AC,22,FALSE)</f>
        <v>94</v>
      </c>
      <c r="H117" s="2">
        <f>VLOOKUP(A117,Wine1!A:AB,24,FALSE)</f>
        <v>1</v>
      </c>
      <c r="I117">
        <f>VLOOKUP(A117,Wine1!A:AB,20,FALSE)</f>
        <v>0</v>
      </c>
      <c r="J117">
        <f t="shared" si="1"/>
        <v>0</v>
      </c>
    </row>
    <row r="118" spans="1:10" x14ac:dyDescent="0.25">
      <c r="A118" t="s">
        <v>556</v>
      </c>
      <c r="B118">
        <v>2013</v>
      </c>
      <c r="C118" t="s">
        <v>364</v>
      </c>
      <c r="D118" t="s">
        <v>249</v>
      </c>
      <c r="E118" t="s">
        <v>249</v>
      </c>
      <c r="F118">
        <f>VLOOKUP(A118,Wine1!A:AB,21,FALSE)</f>
        <v>90</v>
      </c>
      <c r="G118">
        <f>VLOOKUP(A118,Wine1!A:AC,22,FALSE)</f>
        <v>91</v>
      </c>
      <c r="H118" s="2">
        <f>VLOOKUP(A118,Wine1!A:AB,24,FALSE)</f>
        <v>1</v>
      </c>
      <c r="I118">
        <f>VLOOKUP(A118,Wine1!A:AB,20,FALSE)</f>
        <v>0</v>
      </c>
      <c r="J118">
        <f t="shared" si="1"/>
        <v>-1930</v>
      </c>
    </row>
    <row r="119" spans="1:10" x14ac:dyDescent="0.25">
      <c r="A119" t="s">
        <v>557</v>
      </c>
      <c r="B119">
        <v>2013</v>
      </c>
      <c r="C119" t="s">
        <v>245</v>
      </c>
      <c r="D119" t="s">
        <v>19</v>
      </c>
      <c r="E119" t="s">
        <v>266</v>
      </c>
      <c r="F119">
        <f>VLOOKUP(A119,Wine1!A:AB,21,FALSE)</f>
        <v>90</v>
      </c>
      <c r="G119">
        <f>VLOOKUP(A119,Wine1!A:AC,22,FALSE)</f>
        <v>90.5</v>
      </c>
      <c r="H119" s="2">
        <f>VLOOKUP(A119,Wine1!A:AB,24,FALSE)</f>
        <v>1</v>
      </c>
      <c r="I119">
        <f>VLOOKUP(A119,Wine1!A:AB,20,FALSE)</f>
        <v>0</v>
      </c>
      <c r="J119">
        <f t="shared" si="1"/>
        <v>-1930</v>
      </c>
    </row>
    <row r="120" spans="1:10" x14ac:dyDescent="0.25">
      <c r="A120" t="s">
        <v>558</v>
      </c>
      <c r="B120">
        <v>2012</v>
      </c>
      <c r="C120" t="s">
        <v>223</v>
      </c>
      <c r="D120" t="s">
        <v>19</v>
      </c>
      <c r="E120" t="s">
        <v>266</v>
      </c>
      <c r="F120">
        <f>VLOOKUP(A120,Wine1!A:AB,21,FALSE)</f>
        <v>93</v>
      </c>
      <c r="G120" t="str">
        <f>VLOOKUP(A120,Wine1!A:AC,22,FALSE)</f>
        <v/>
      </c>
      <c r="H120" s="2">
        <f>VLOOKUP(A120,Wine1!A:AB,24,FALSE)</f>
        <v>1</v>
      </c>
      <c r="I120">
        <f>VLOOKUP(A120,Wine1!A:AB,20,FALSE)</f>
        <v>0</v>
      </c>
      <c r="J120">
        <f t="shared" si="1"/>
        <v>-1927</v>
      </c>
    </row>
    <row r="121" spans="1:10" x14ac:dyDescent="0.25">
      <c r="A121" t="s">
        <v>559</v>
      </c>
      <c r="B121">
        <v>2008</v>
      </c>
      <c r="C121" t="s">
        <v>27</v>
      </c>
      <c r="D121" t="s">
        <v>220</v>
      </c>
      <c r="E121" t="s">
        <v>266</v>
      </c>
      <c r="F121" t="e">
        <f>VLOOKUP(A121,Wine1!A:AB,21,FALSE)</f>
        <v>#N/A</v>
      </c>
      <c r="G121" t="e">
        <f>VLOOKUP(A121,Wine1!A:AC,22,FALSE)</f>
        <v>#N/A</v>
      </c>
      <c r="H121" s="2" t="e">
        <f>VLOOKUP(A121,Wine1!A:AB,24,FALSE)</f>
        <v>#N/A</v>
      </c>
      <c r="I121" t="e">
        <f>VLOOKUP(A121,Wine1!A:AB,20,FALSE)</f>
        <v>#N/A</v>
      </c>
      <c r="J121" t="e">
        <f t="shared" si="1"/>
        <v>#N/A</v>
      </c>
    </row>
    <row r="122" spans="1:10" x14ac:dyDescent="0.25">
      <c r="A122" t="s">
        <v>560</v>
      </c>
      <c r="B122">
        <v>2008</v>
      </c>
      <c r="C122" t="s">
        <v>28</v>
      </c>
      <c r="D122" t="s">
        <v>19</v>
      </c>
      <c r="E122" t="s">
        <v>266</v>
      </c>
      <c r="F122" t="str">
        <f>VLOOKUP(A122,Wine1!A:AB,21,FALSE)</f>
        <v>92+</v>
      </c>
      <c r="G122" t="str">
        <f>VLOOKUP(A122,Wine1!A:AC,22,FALSE)</f>
        <v/>
      </c>
      <c r="H122" s="2">
        <f>VLOOKUP(A122,Wine1!A:AB,24,FALSE)</f>
        <v>1</v>
      </c>
      <c r="I122">
        <f>VLOOKUP(A122,Wine1!A:AB,20,FALSE)</f>
        <v>0</v>
      </c>
      <c r="J122" t="e">
        <f t="shared" si="1"/>
        <v>#VALUE!</v>
      </c>
    </row>
    <row r="123" spans="1:10" x14ac:dyDescent="0.25">
      <c r="A123" t="s">
        <v>561</v>
      </c>
      <c r="B123">
        <v>2009</v>
      </c>
      <c r="C123" t="s">
        <v>33</v>
      </c>
      <c r="D123" t="s">
        <v>34</v>
      </c>
      <c r="E123" t="s">
        <v>268</v>
      </c>
      <c r="F123">
        <f>VLOOKUP(A123,Wine1!A:AB,21,FALSE)</f>
        <v>96</v>
      </c>
      <c r="G123" t="str">
        <f>VLOOKUP(A123,Wine1!A:AC,22,FALSE)</f>
        <v/>
      </c>
      <c r="H123" s="2">
        <f>VLOOKUP(A123,Wine1!A:AB,24,FALSE)</f>
        <v>1</v>
      </c>
      <c r="I123">
        <f>VLOOKUP(A123,Wine1!A:AB,20,FALSE)</f>
        <v>0</v>
      </c>
      <c r="J123">
        <f t="shared" si="1"/>
        <v>-1924</v>
      </c>
    </row>
    <row r="124" spans="1:10" x14ac:dyDescent="0.25">
      <c r="A124" t="s">
        <v>562</v>
      </c>
      <c r="B124">
        <v>2009</v>
      </c>
      <c r="C124" t="s">
        <v>31</v>
      </c>
      <c r="D124" t="s">
        <v>32</v>
      </c>
      <c r="E124" t="s">
        <v>32</v>
      </c>
      <c r="F124">
        <f>VLOOKUP(A124,Wine1!A:AB,21,FALSE)</f>
        <v>92</v>
      </c>
      <c r="G124" t="str">
        <f>VLOOKUP(A124,Wine1!A:AC,22,FALSE)</f>
        <v/>
      </c>
      <c r="H124" s="2">
        <f>VLOOKUP(A124,Wine1!A:AB,24,FALSE)</f>
        <v>1</v>
      </c>
      <c r="I124">
        <f>VLOOKUP(A124,Wine1!A:AB,20,FALSE)</f>
        <v>0</v>
      </c>
      <c r="J124">
        <f t="shared" si="1"/>
        <v>-1928</v>
      </c>
    </row>
    <row r="125" spans="1:10" x14ac:dyDescent="0.25">
      <c r="A125" t="s">
        <v>563</v>
      </c>
      <c r="B125">
        <v>2013</v>
      </c>
      <c r="C125" t="s">
        <v>75</v>
      </c>
      <c r="D125" t="s">
        <v>76</v>
      </c>
      <c r="E125" t="s">
        <v>267</v>
      </c>
      <c r="F125">
        <f>VLOOKUP(A125,Wine1!A:AB,21,FALSE)</f>
        <v>93</v>
      </c>
      <c r="G125" t="str">
        <f>VLOOKUP(A125,Wine1!A:AC,22,FALSE)</f>
        <v/>
      </c>
      <c r="H125" s="2">
        <f>VLOOKUP(A125,Wine1!A:AB,24,FALSE)</f>
        <v>1</v>
      </c>
      <c r="I125">
        <f>VLOOKUP(A125,Wine1!A:AB,20,FALSE)</f>
        <v>0</v>
      </c>
      <c r="J125">
        <f t="shared" si="1"/>
        <v>-1927</v>
      </c>
    </row>
    <row r="126" spans="1:10" x14ac:dyDescent="0.25">
      <c r="A126" t="s">
        <v>564</v>
      </c>
      <c r="B126">
        <v>2015</v>
      </c>
      <c r="C126" t="s">
        <v>123</v>
      </c>
      <c r="D126" t="s">
        <v>124</v>
      </c>
      <c r="E126" t="s">
        <v>279</v>
      </c>
      <c r="F126" t="str">
        <f>VLOOKUP(A126,Wine1!A:AB,21,FALSE)</f>
        <v>(89 - 91)</v>
      </c>
      <c r="G126" t="str">
        <f>VLOOKUP(A126,Wine1!A:AC,22,FALSE)</f>
        <v/>
      </c>
      <c r="H126" s="2">
        <f>VLOOKUP(A126,Wine1!A:AB,24,FALSE)</f>
        <v>1</v>
      </c>
      <c r="I126">
        <f>VLOOKUP(A126,Wine1!A:AB,20,FALSE)</f>
        <v>0</v>
      </c>
      <c r="J126" t="e">
        <f t="shared" si="1"/>
        <v>#VALUE!</v>
      </c>
    </row>
    <row r="127" spans="1:10" x14ac:dyDescent="0.25">
      <c r="A127" t="s">
        <v>565</v>
      </c>
      <c r="B127">
        <v>2015</v>
      </c>
      <c r="C127" t="s">
        <v>133</v>
      </c>
      <c r="D127" t="s">
        <v>134</v>
      </c>
      <c r="E127" t="s">
        <v>284</v>
      </c>
      <c r="F127">
        <f>VLOOKUP(A127,Wine1!A:AB,21,FALSE)</f>
        <v>96</v>
      </c>
      <c r="G127" t="str">
        <f>VLOOKUP(A127,Wine1!A:AC,22,FALSE)</f>
        <v/>
      </c>
      <c r="H127" s="2">
        <f>VLOOKUP(A127,Wine1!A:AB,24,FALSE)</f>
        <v>1</v>
      </c>
      <c r="I127">
        <f>VLOOKUP(A127,Wine1!A:AB,20,FALSE)</f>
        <v>0</v>
      </c>
      <c r="J127">
        <f t="shared" si="1"/>
        <v>-1924</v>
      </c>
    </row>
    <row r="128" spans="1:10" x14ac:dyDescent="0.25">
      <c r="A128" t="s">
        <v>566</v>
      </c>
      <c r="B128">
        <v>2015</v>
      </c>
      <c r="C128" t="s">
        <v>122</v>
      </c>
      <c r="D128" t="s">
        <v>122</v>
      </c>
      <c r="E128" t="s">
        <v>275</v>
      </c>
      <c r="F128" t="str">
        <f>VLOOKUP(A128,Wine1!A:AB,21,FALSE)</f>
        <v>94+</v>
      </c>
      <c r="G128" t="str">
        <f>VLOOKUP(A128,Wine1!A:AC,22,FALSE)</f>
        <v/>
      </c>
      <c r="H128" s="2">
        <f>VLOOKUP(A128,Wine1!A:AB,24,FALSE)</f>
        <v>2</v>
      </c>
      <c r="I128">
        <f>VLOOKUP(A128,Wine1!A:AB,20,FALSE)</f>
        <v>0</v>
      </c>
      <c r="J128" t="e">
        <f t="shared" si="1"/>
        <v>#VALUE!</v>
      </c>
    </row>
    <row r="129" spans="1:10" x14ac:dyDescent="0.25">
      <c r="A129" t="s">
        <v>567</v>
      </c>
      <c r="B129">
        <v>2007</v>
      </c>
      <c r="C129" t="s">
        <v>9</v>
      </c>
      <c r="D129" t="s">
        <v>26</v>
      </c>
      <c r="E129" t="s">
        <v>313</v>
      </c>
      <c r="F129" t="str">
        <f>VLOOKUP(A129,Wine1!A:AB,21,FALSE)</f>
        <v>94+</v>
      </c>
      <c r="G129" t="str">
        <f>VLOOKUP(A129,Wine1!A:AC,22,FALSE)</f>
        <v/>
      </c>
      <c r="H129" s="2">
        <f>VLOOKUP(A129,Wine1!A:AB,24,FALSE)</f>
        <v>1</v>
      </c>
      <c r="I129">
        <f>VLOOKUP(A129,Wine1!A:AB,20,FALSE)</f>
        <v>0</v>
      </c>
      <c r="J129" t="e">
        <f t="shared" si="1"/>
        <v>#VALUE!</v>
      </c>
    </row>
    <row r="130" spans="1:10" x14ac:dyDescent="0.25">
      <c r="A130" t="s">
        <v>568</v>
      </c>
      <c r="B130">
        <v>2010</v>
      </c>
      <c r="C130" t="s">
        <v>47</v>
      </c>
      <c r="D130" t="s">
        <v>48</v>
      </c>
      <c r="E130" t="s">
        <v>32</v>
      </c>
      <c r="F130">
        <f>VLOOKUP(A130,Wine1!A:AB,21,FALSE)</f>
        <v>96</v>
      </c>
      <c r="G130" t="str">
        <f>VLOOKUP(A130,Wine1!A:AC,22,FALSE)</f>
        <v/>
      </c>
      <c r="H130" s="2">
        <f>VLOOKUP(A130,Wine1!A:AB,24,FALSE)</f>
        <v>1</v>
      </c>
      <c r="I130">
        <f>VLOOKUP(A130,Wine1!A:AB,20,FALSE)</f>
        <v>0</v>
      </c>
      <c r="J130">
        <f t="shared" si="1"/>
        <v>-1924</v>
      </c>
    </row>
    <row r="131" spans="1:10" x14ac:dyDescent="0.25">
      <c r="A131" t="s">
        <v>569</v>
      </c>
      <c r="B131">
        <v>2010</v>
      </c>
      <c r="C131" t="s">
        <v>51</v>
      </c>
      <c r="D131" t="s">
        <v>52</v>
      </c>
      <c r="E131" t="s">
        <v>269</v>
      </c>
      <c r="F131" t="str">
        <f>VLOOKUP(A131,Wine1!A:AB,21,FALSE)</f>
        <v>94+</v>
      </c>
      <c r="G131" t="str">
        <f>VLOOKUP(A131,Wine1!A:AC,22,FALSE)</f>
        <v/>
      </c>
      <c r="H131" s="2">
        <f>VLOOKUP(A131,Wine1!A:AB,24,FALSE)</f>
        <v>1</v>
      </c>
      <c r="I131">
        <f>VLOOKUP(A131,Wine1!A:AB,20,FALSE)</f>
        <v>0</v>
      </c>
      <c r="J131" t="e">
        <f t="shared" ref="J131:J140" si="2">IF(F131=0,0,F131-$J$1)</f>
        <v>#VALUE!</v>
      </c>
    </row>
    <row r="132" spans="1:10" x14ac:dyDescent="0.25">
      <c r="A132" t="s">
        <v>570</v>
      </c>
      <c r="B132" t="s">
        <v>167</v>
      </c>
      <c r="C132" t="s">
        <v>185</v>
      </c>
      <c r="D132" t="s">
        <v>186</v>
      </c>
      <c r="E132" t="s">
        <v>257</v>
      </c>
      <c r="F132" t="e">
        <f>VLOOKUP(A132,Wine1!A:AB,21,FALSE)</f>
        <v>#N/A</v>
      </c>
      <c r="G132" t="e">
        <f>VLOOKUP(A132,Wine1!A:AC,22,FALSE)</f>
        <v>#N/A</v>
      </c>
      <c r="H132" s="2" t="e">
        <f>VLOOKUP(A132,Wine1!A:AB,24,FALSE)</f>
        <v>#N/A</v>
      </c>
      <c r="I132" t="e">
        <f>VLOOKUP(A132,Wine1!A:AB,20,FALSE)</f>
        <v>#N/A</v>
      </c>
      <c r="J132" t="e">
        <f t="shared" si="2"/>
        <v>#N/A</v>
      </c>
    </row>
    <row r="133" spans="1:10" x14ac:dyDescent="0.25">
      <c r="A133" t="s">
        <v>571</v>
      </c>
      <c r="B133">
        <v>2015</v>
      </c>
      <c r="C133" t="s">
        <v>119</v>
      </c>
      <c r="D133" t="s">
        <v>32</v>
      </c>
      <c r="E133" t="s">
        <v>32</v>
      </c>
      <c r="F133" t="str">
        <f>VLOOKUP(A133,Wine1!A:AB,21,FALSE)</f>
        <v>94+</v>
      </c>
      <c r="G133" t="str">
        <f>VLOOKUP(A133,Wine1!A:AC,22,FALSE)</f>
        <v/>
      </c>
      <c r="H133" s="2">
        <f>VLOOKUP(A133,Wine1!A:AB,24,FALSE)</f>
        <v>1</v>
      </c>
      <c r="I133">
        <f>VLOOKUP(A133,Wine1!A:AB,20,FALSE)</f>
        <v>0</v>
      </c>
      <c r="J133" t="e">
        <f t="shared" si="2"/>
        <v>#VALUE!</v>
      </c>
    </row>
    <row r="134" spans="1:10" x14ac:dyDescent="0.25">
      <c r="A134" t="s">
        <v>572</v>
      </c>
      <c r="B134">
        <v>2004</v>
      </c>
      <c r="C134" t="s">
        <v>9</v>
      </c>
      <c r="D134" t="s">
        <v>10</v>
      </c>
      <c r="E134" t="s">
        <v>264</v>
      </c>
      <c r="F134">
        <f>VLOOKUP(A134,Wine1!A:AB,21,FALSE)</f>
        <v>94</v>
      </c>
      <c r="G134" t="str">
        <f>VLOOKUP(A134,Wine1!A:AC,22,FALSE)</f>
        <v/>
      </c>
      <c r="H134" s="2">
        <f>VLOOKUP(A134,Wine1!A:AB,24,FALSE)</f>
        <v>1</v>
      </c>
      <c r="I134">
        <f>VLOOKUP(A134,Wine1!A:AB,20,FALSE)</f>
        <v>0</v>
      </c>
      <c r="J134">
        <f t="shared" si="2"/>
        <v>-1926</v>
      </c>
    </row>
    <row r="135" spans="1:10" x14ac:dyDescent="0.25">
      <c r="A135" t="s">
        <v>1213</v>
      </c>
      <c r="B135">
        <v>2015</v>
      </c>
      <c r="C135" t="s">
        <v>1210</v>
      </c>
      <c r="D135" t="s">
        <v>1210</v>
      </c>
      <c r="E135" t="s">
        <v>260</v>
      </c>
      <c r="F135" t="str">
        <f>VLOOKUP(A135,Wine1!A:AB,21,FALSE)</f>
        <v>94+</v>
      </c>
      <c r="G135" t="str">
        <f>VLOOKUP(A135,Wine1!A:AC,22,FALSE)</f>
        <v/>
      </c>
      <c r="H135" s="2">
        <f>VLOOKUP(A135,Wine1!A:AB,24,FALSE)</f>
        <v>3</v>
      </c>
      <c r="I135">
        <f>VLOOKUP(A135,Wine1!A:AB,20,FALSE)</f>
        <v>0</v>
      </c>
      <c r="J135" t="e">
        <f t="shared" si="2"/>
        <v>#VALUE!</v>
      </c>
    </row>
    <row r="136" spans="1:10" x14ac:dyDescent="0.25">
      <c r="A136" t="s">
        <v>573</v>
      </c>
      <c r="B136">
        <v>2003</v>
      </c>
      <c r="C136" t="s">
        <v>6</v>
      </c>
      <c r="D136" t="s">
        <v>7</v>
      </c>
      <c r="E136" t="s">
        <v>257</v>
      </c>
      <c r="F136">
        <f>VLOOKUP(A136,Wine1!A:AB,21,FALSE)</f>
        <v>0</v>
      </c>
      <c r="G136" t="str">
        <f>VLOOKUP(A136,Wine1!A:AC,22,FALSE)</f>
        <v/>
      </c>
      <c r="H136" s="2">
        <f>VLOOKUP(A136,Wine1!A:AB,24,FALSE)</f>
        <v>1</v>
      </c>
      <c r="I136">
        <f>VLOOKUP(A136,Wine1!A:AB,20,FALSE)</f>
        <v>2024</v>
      </c>
      <c r="J136">
        <f t="shared" si="2"/>
        <v>0</v>
      </c>
    </row>
    <row r="137" spans="1:10" x14ac:dyDescent="0.25">
      <c r="A137" t="s">
        <v>574</v>
      </c>
      <c r="B137">
        <v>2006</v>
      </c>
      <c r="C137" t="s">
        <v>20</v>
      </c>
      <c r="D137" t="s">
        <v>21</v>
      </c>
      <c r="E137" t="s">
        <v>280</v>
      </c>
      <c r="F137">
        <f>VLOOKUP(A137,Wine1!A:AB,21,FALSE)</f>
        <v>97</v>
      </c>
      <c r="G137" t="str">
        <f>VLOOKUP(A137,Wine1!A:AC,22,FALSE)</f>
        <v/>
      </c>
      <c r="H137" s="2">
        <f>VLOOKUP(A137,Wine1!A:AB,24,FALSE)</f>
        <v>1</v>
      </c>
      <c r="I137">
        <f>VLOOKUP(A137,Wine1!A:AB,20,FALSE)</f>
        <v>0</v>
      </c>
      <c r="J137">
        <f t="shared" si="2"/>
        <v>-1923</v>
      </c>
    </row>
    <row r="138" spans="1:10" x14ac:dyDescent="0.25">
      <c r="A138" t="s">
        <v>575</v>
      </c>
      <c r="B138">
        <v>2015</v>
      </c>
      <c r="C138" t="s">
        <v>126</v>
      </c>
      <c r="D138" t="s">
        <v>126</v>
      </c>
      <c r="E138" t="s">
        <v>274</v>
      </c>
      <c r="F138">
        <f>VLOOKUP(A138,Wine1!A:AB,21,FALSE)</f>
        <v>92</v>
      </c>
      <c r="G138" t="str">
        <f>VLOOKUP(A138,Wine1!A:AC,22,FALSE)</f>
        <v/>
      </c>
      <c r="H138" s="2">
        <f>VLOOKUP(A138,Wine1!A:AB,24,FALSE)</f>
        <v>1</v>
      </c>
      <c r="I138">
        <f>VLOOKUP(A138,Wine1!A:AB,20,FALSE)</f>
        <v>0</v>
      </c>
      <c r="J138">
        <f t="shared" si="2"/>
        <v>-1928</v>
      </c>
    </row>
    <row r="139" spans="1:10" x14ac:dyDescent="0.25">
      <c r="A139" t="s">
        <v>576</v>
      </c>
      <c r="B139">
        <v>2013</v>
      </c>
      <c r="C139" t="s">
        <v>91</v>
      </c>
      <c r="D139" t="s">
        <v>92</v>
      </c>
      <c r="E139" t="s">
        <v>279</v>
      </c>
      <c r="F139">
        <f>VLOOKUP(A139,Wine1!A:AB,21,FALSE)</f>
        <v>97</v>
      </c>
      <c r="G139" t="str">
        <f>VLOOKUP(A139,Wine1!A:AC,22,FALSE)</f>
        <v/>
      </c>
      <c r="H139" s="2">
        <f>VLOOKUP(A139,Wine1!A:AB,24,FALSE)</f>
        <v>1</v>
      </c>
      <c r="I139">
        <f>VLOOKUP(A139,Wine1!A:AB,20,FALSE)</f>
        <v>0</v>
      </c>
      <c r="J139">
        <f t="shared" si="2"/>
        <v>-1923</v>
      </c>
    </row>
    <row r="140" spans="1:10" x14ac:dyDescent="0.25">
      <c r="A140" t="s">
        <v>577</v>
      </c>
      <c r="B140">
        <v>2015</v>
      </c>
      <c r="C140" t="s">
        <v>125</v>
      </c>
      <c r="D140" t="s">
        <v>125</v>
      </c>
      <c r="E140" t="s">
        <v>260</v>
      </c>
      <c r="F140">
        <f>VLOOKUP(A140,Wine1!A:AB,21,FALSE)</f>
        <v>94</v>
      </c>
      <c r="G140" t="str">
        <f>VLOOKUP(A140,Wine1!A:AC,22,FALSE)</f>
        <v/>
      </c>
      <c r="H140" s="2">
        <f>VLOOKUP(A140,Wine1!A:AB,24,FALSE)</f>
        <v>1</v>
      </c>
      <c r="I140">
        <f>VLOOKUP(A140,Wine1!A:AB,20,FALSE)</f>
        <v>0</v>
      </c>
      <c r="J140">
        <f t="shared" si="2"/>
        <v>-1926</v>
      </c>
    </row>
  </sheetData>
  <autoFilter ref="A1:J140" xr:uid="{A4507A09-92DD-4695-A9B3-BF30C22F5CB7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3E07-F3B6-4C9A-A926-6932BF3678BC}">
  <dimension ref="A1:U49"/>
  <sheetViews>
    <sheetView workbookViewId="0">
      <selection activeCell="H24" sqref="H24"/>
    </sheetView>
  </sheetViews>
  <sheetFormatPr defaultRowHeight="15" x14ac:dyDescent="0.25"/>
  <cols>
    <col min="7" max="7" width="26.7109375" bestFit="1" customWidth="1"/>
  </cols>
  <sheetData>
    <row r="1" spans="1:21" x14ac:dyDescent="0.25">
      <c r="I1">
        <v>100</v>
      </c>
      <c r="J1">
        <v>99</v>
      </c>
      <c r="K1">
        <v>98</v>
      </c>
      <c r="L1">
        <v>97</v>
      </c>
      <c r="M1">
        <v>96</v>
      </c>
      <c r="N1">
        <v>95</v>
      </c>
      <c r="O1">
        <v>94</v>
      </c>
      <c r="P1">
        <v>93</v>
      </c>
      <c r="Q1">
        <v>92</v>
      </c>
      <c r="R1">
        <v>91</v>
      </c>
      <c r="S1">
        <v>90</v>
      </c>
      <c r="T1">
        <v>89</v>
      </c>
      <c r="U1">
        <v>88</v>
      </c>
    </row>
    <row r="2" spans="1:21" x14ac:dyDescent="0.25">
      <c r="A2">
        <v>100</v>
      </c>
      <c r="B2">
        <f t="shared" ref="B2:B11" si="0">B3*1.35</f>
        <v>40.715775633951615</v>
      </c>
      <c r="C2">
        <f>SUM(B2:B14)</f>
        <v>159.76084887381339</v>
      </c>
      <c r="G2" t="s">
        <v>285</v>
      </c>
      <c r="H2">
        <v>1</v>
      </c>
    </row>
    <row r="3" spans="1:21" x14ac:dyDescent="0.25">
      <c r="A3">
        <v>99</v>
      </c>
      <c r="B3">
        <f t="shared" si="0"/>
        <v>30.159833802927121</v>
      </c>
      <c r="C3">
        <f t="shared" ref="C3:C22" si="1">SUM(B3:B15)</f>
        <v>119.04507323986172</v>
      </c>
      <c r="G3" t="s">
        <v>264</v>
      </c>
      <c r="H3">
        <v>2.4</v>
      </c>
      <c r="I3">
        <f t="shared" ref="I3:U12" si="2">VLOOKUP(I$1,$A:$C,3,FALSE)*$H3</f>
        <v>383.42603729715211</v>
      </c>
      <c r="J3" s="37">
        <f t="shared" si="2"/>
        <v>285.70817577566811</v>
      </c>
      <c r="K3" s="37">
        <f t="shared" si="2"/>
        <v>213.32457464864305</v>
      </c>
      <c r="L3" s="37">
        <f t="shared" si="2"/>
        <v>159.70709233232813</v>
      </c>
      <c r="M3" s="37">
        <f t="shared" si="2"/>
        <v>119.99043876468753</v>
      </c>
      <c r="N3" s="37">
        <f t="shared" si="2"/>
        <v>90.570695381250019</v>
      </c>
      <c r="O3" s="37">
        <f t="shared" si="2"/>
        <v>68.77829287500002</v>
      </c>
      <c r="P3" s="37">
        <f t="shared" si="2"/>
        <v>52.635772500000009</v>
      </c>
      <c r="Q3" s="37">
        <f t="shared" si="2"/>
        <v>40.678350000000002</v>
      </c>
      <c r="R3" s="37">
        <f t="shared" si="2"/>
        <v>31.821000000000002</v>
      </c>
      <c r="S3" s="37">
        <f t="shared" si="2"/>
        <v>25.26</v>
      </c>
      <c r="T3" s="37">
        <f t="shared" si="2"/>
        <v>20.399999999999999</v>
      </c>
      <c r="U3" s="37">
        <f t="shared" si="2"/>
        <v>16.8</v>
      </c>
    </row>
    <row r="4" spans="1:21" x14ac:dyDescent="0.25">
      <c r="A4">
        <v>98</v>
      </c>
      <c r="B4">
        <f t="shared" si="0"/>
        <v>22.340617631797866</v>
      </c>
      <c r="C4">
        <f t="shared" si="1"/>
        <v>88.885239436934611</v>
      </c>
      <c r="G4" t="s">
        <v>313</v>
      </c>
      <c r="H4">
        <v>2.5</v>
      </c>
      <c r="I4" s="37">
        <f t="shared" si="2"/>
        <v>399.40212218453348</v>
      </c>
      <c r="J4" s="37">
        <f t="shared" si="2"/>
        <v>297.6126830996543</v>
      </c>
      <c r="K4" s="37">
        <f t="shared" si="2"/>
        <v>222.21309859233654</v>
      </c>
      <c r="L4" s="37">
        <f t="shared" si="2"/>
        <v>166.36155451284182</v>
      </c>
      <c r="M4" s="37">
        <f t="shared" si="2"/>
        <v>124.99004037988284</v>
      </c>
      <c r="N4" s="37">
        <f t="shared" si="2"/>
        <v>94.344474355468776</v>
      </c>
      <c r="O4" s="37">
        <f t="shared" si="2"/>
        <v>71.644055078125021</v>
      </c>
      <c r="P4" s="37">
        <f t="shared" si="2"/>
        <v>54.828929687500008</v>
      </c>
      <c r="Q4" s="37">
        <f t="shared" si="2"/>
        <v>42.373281250000005</v>
      </c>
      <c r="R4" s="37">
        <f t="shared" si="2"/>
        <v>33.146875000000001</v>
      </c>
      <c r="S4" s="37">
        <f t="shared" si="2"/>
        <v>26.3125</v>
      </c>
      <c r="T4" s="37">
        <f t="shared" si="2"/>
        <v>21.25</v>
      </c>
      <c r="U4" s="37">
        <f t="shared" si="2"/>
        <v>17.5</v>
      </c>
    </row>
    <row r="5" spans="1:21" x14ac:dyDescent="0.25">
      <c r="A5">
        <v>97</v>
      </c>
      <c r="B5">
        <f t="shared" si="0"/>
        <v>16.548605653183603</v>
      </c>
      <c r="C5">
        <f t="shared" si="1"/>
        <v>66.544621805136728</v>
      </c>
      <c r="G5" t="s">
        <v>249</v>
      </c>
      <c r="H5">
        <v>2</v>
      </c>
      <c r="I5" s="37">
        <f t="shared" si="2"/>
        <v>319.52169774762677</v>
      </c>
      <c r="J5" s="37">
        <f t="shared" si="2"/>
        <v>238.09014647972344</v>
      </c>
      <c r="K5" s="37">
        <f t="shared" si="2"/>
        <v>177.77047887386922</v>
      </c>
      <c r="L5" s="37">
        <f t="shared" si="2"/>
        <v>133.08924361027346</v>
      </c>
      <c r="M5" s="37">
        <f t="shared" si="2"/>
        <v>99.992032303906271</v>
      </c>
      <c r="N5" s="37">
        <f t="shared" si="2"/>
        <v>75.475579484375018</v>
      </c>
      <c r="O5" s="37">
        <f t="shared" si="2"/>
        <v>57.315244062500014</v>
      </c>
      <c r="P5" s="37">
        <f t="shared" si="2"/>
        <v>43.863143750000006</v>
      </c>
      <c r="Q5" s="37">
        <f t="shared" si="2"/>
        <v>33.898625000000003</v>
      </c>
      <c r="R5" s="37">
        <f t="shared" si="2"/>
        <v>26.517500000000002</v>
      </c>
      <c r="S5" s="37">
        <f t="shared" si="2"/>
        <v>21.05</v>
      </c>
      <c r="T5" s="37">
        <f t="shared" si="2"/>
        <v>17</v>
      </c>
      <c r="U5" s="37">
        <f t="shared" si="2"/>
        <v>14</v>
      </c>
    </row>
    <row r="6" spans="1:21" x14ac:dyDescent="0.25">
      <c r="A6">
        <v>96</v>
      </c>
      <c r="B6">
        <f t="shared" si="0"/>
        <v>12.258226409765632</v>
      </c>
      <c r="C6">
        <f t="shared" si="1"/>
        <v>49.996016151953135</v>
      </c>
      <c r="G6" t="s">
        <v>268</v>
      </c>
      <c r="H6">
        <v>2.2000000000000002</v>
      </c>
      <c r="I6" s="37">
        <f t="shared" si="2"/>
        <v>351.47386752238947</v>
      </c>
      <c r="J6" s="37">
        <f t="shared" si="2"/>
        <v>261.89916112769583</v>
      </c>
      <c r="K6" s="37">
        <f t="shared" si="2"/>
        <v>195.54752676125617</v>
      </c>
      <c r="L6" s="37">
        <f t="shared" si="2"/>
        <v>146.39816797130081</v>
      </c>
      <c r="M6" s="37">
        <f t="shared" si="2"/>
        <v>109.99123553429691</v>
      </c>
      <c r="N6" s="37">
        <f t="shared" si="2"/>
        <v>83.023137432812533</v>
      </c>
      <c r="O6" s="37">
        <f t="shared" si="2"/>
        <v>63.046768468750024</v>
      </c>
      <c r="P6" s="37">
        <f t="shared" si="2"/>
        <v>48.249458125000011</v>
      </c>
      <c r="Q6" s="37">
        <f t="shared" si="2"/>
        <v>37.288487500000009</v>
      </c>
      <c r="R6" s="37">
        <f t="shared" si="2"/>
        <v>29.169250000000005</v>
      </c>
      <c r="S6" s="37">
        <f t="shared" si="2"/>
        <v>23.155000000000001</v>
      </c>
      <c r="T6" s="37">
        <f t="shared" si="2"/>
        <v>18.700000000000003</v>
      </c>
      <c r="U6" s="37">
        <f t="shared" si="2"/>
        <v>15.400000000000002</v>
      </c>
    </row>
    <row r="7" spans="1:21" x14ac:dyDescent="0.25">
      <c r="A7">
        <v>95</v>
      </c>
      <c r="B7">
        <f t="shared" si="0"/>
        <v>9.0801677109375039</v>
      </c>
      <c r="C7">
        <f t="shared" si="1"/>
        <v>37.737789742187509</v>
      </c>
      <c r="G7" t="s">
        <v>269</v>
      </c>
      <c r="H7">
        <v>2.2999999999999998</v>
      </c>
      <c r="I7" s="37">
        <f t="shared" si="2"/>
        <v>367.44995240977079</v>
      </c>
      <c r="J7" s="37">
        <f t="shared" si="2"/>
        <v>273.80366845168192</v>
      </c>
      <c r="K7" s="37">
        <f t="shared" si="2"/>
        <v>204.43605070494959</v>
      </c>
      <c r="L7" s="37">
        <f t="shared" si="2"/>
        <v>153.05263015181447</v>
      </c>
      <c r="M7" s="37">
        <f t="shared" si="2"/>
        <v>114.99083714949221</v>
      </c>
      <c r="N7" s="37">
        <f t="shared" si="2"/>
        <v>86.796916407031262</v>
      </c>
      <c r="O7" s="37">
        <f t="shared" si="2"/>
        <v>65.912530671875004</v>
      </c>
      <c r="P7" s="37">
        <f t="shared" si="2"/>
        <v>50.442615312500003</v>
      </c>
      <c r="Q7" s="37">
        <f t="shared" si="2"/>
        <v>38.983418749999998</v>
      </c>
      <c r="R7" s="37">
        <f t="shared" si="2"/>
        <v>30.495124999999998</v>
      </c>
      <c r="S7" s="37">
        <f t="shared" si="2"/>
        <v>24.2075</v>
      </c>
      <c r="T7" s="37">
        <f t="shared" si="2"/>
        <v>19.549999999999997</v>
      </c>
      <c r="U7" s="37">
        <f t="shared" si="2"/>
        <v>16.099999999999998</v>
      </c>
    </row>
    <row r="8" spans="1:21" x14ac:dyDescent="0.25">
      <c r="A8">
        <v>94</v>
      </c>
      <c r="B8">
        <f t="shared" si="0"/>
        <v>6.726050156250003</v>
      </c>
      <c r="C8">
        <f t="shared" si="1"/>
        <v>28.657622031250007</v>
      </c>
      <c r="G8" t="s">
        <v>266</v>
      </c>
      <c r="H8">
        <v>2.2000000000000002</v>
      </c>
      <c r="I8" s="37">
        <f t="shared" si="2"/>
        <v>351.47386752238947</v>
      </c>
      <c r="J8" s="37">
        <f t="shared" si="2"/>
        <v>261.89916112769583</v>
      </c>
      <c r="K8" s="37">
        <f t="shared" si="2"/>
        <v>195.54752676125617</v>
      </c>
      <c r="L8" s="37">
        <f t="shared" si="2"/>
        <v>146.39816797130081</v>
      </c>
      <c r="M8" s="37">
        <f t="shared" si="2"/>
        <v>109.99123553429691</v>
      </c>
      <c r="N8" s="37">
        <f t="shared" si="2"/>
        <v>83.023137432812533</v>
      </c>
      <c r="O8" s="37">
        <f t="shared" si="2"/>
        <v>63.046768468750024</v>
      </c>
      <c r="P8" s="37">
        <f t="shared" si="2"/>
        <v>48.249458125000011</v>
      </c>
      <c r="Q8" s="37">
        <f t="shared" si="2"/>
        <v>37.288487500000009</v>
      </c>
      <c r="R8" s="37">
        <f t="shared" si="2"/>
        <v>29.169250000000005</v>
      </c>
      <c r="S8" s="37">
        <f t="shared" si="2"/>
        <v>23.155000000000001</v>
      </c>
      <c r="T8" s="37">
        <f t="shared" si="2"/>
        <v>18.700000000000003</v>
      </c>
      <c r="U8" s="37">
        <f t="shared" si="2"/>
        <v>15.400000000000002</v>
      </c>
    </row>
    <row r="9" spans="1:21" x14ac:dyDescent="0.25">
      <c r="A9">
        <v>93</v>
      </c>
      <c r="B9">
        <f t="shared" si="0"/>
        <v>4.9822593750000017</v>
      </c>
      <c r="C9">
        <f t="shared" si="1"/>
        <v>21.931571875000003</v>
      </c>
      <c r="G9" t="s">
        <v>265</v>
      </c>
      <c r="H9">
        <v>2.5</v>
      </c>
      <c r="I9" s="37">
        <f t="shared" si="2"/>
        <v>399.40212218453348</v>
      </c>
      <c r="J9" s="37">
        <f t="shared" si="2"/>
        <v>297.6126830996543</v>
      </c>
      <c r="K9" s="37">
        <f t="shared" si="2"/>
        <v>222.21309859233654</v>
      </c>
      <c r="L9" s="37">
        <f t="shared" si="2"/>
        <v>166.36155451284182</v>
      </c>
      <c r="M9" s="37">
        <f t="shared" si="2"/>
        <v>124.99004037988284</v>
      </c>
      <c r="N9" s="37">
        <f t="shared" si="2"/>
        <v>94.344474355468776</v>
      </c>
      <c r="O9" s="37">
        <f t="shared" si="2"/>
        <v>71.644055078125021</v>
      </c>
      <c r="P9" s="37">
        <f t="shared" si="2"/>
        <v>54.828929687500008</v>
      </c>
      <c r="Q9" s="37">
        <f t="shared" si="2"/>
        <v>42.373281250000005</v>
      </c>
      <c r="R9" s="37">
        <f t="shared" si="2"/>
        <v>33.146875000000001</v>
      </c>
      <c r="S9" s="37">
        <f t="shared" si="2"/>
        <v>26.3125</v>
      </c>
      <c r="T9" s="37">
        <f t="shared" si="2"/>
        <v>21.25</v>
      </c>
      <c r="U9" s="37">
        <f t="shared" si="2"/>
        <v>17.5</v>
      </c>
    </row>
    <row r="10" spans="1:21" x14ac:dyDescent="0.25">
      <c r="A10">
        <v>92</v>
      </c>
      <c r="B10">
        <f t="shared" si="0"/>
        <v>3.6905625000000009</v>
      </c>
      <c r="C10">
        <f t="shared" si="1"/>
        <v>16.949312500000001</v>
      </c>
      <c r="G10" t="s">
        <v>279</v>
      </c>
      <c r="I10" s="37">
        <f t="shared" si="2"/>
        <v>0</v>
      </c>
      <c r="J10" s="37">
        <f t="shared" si="2"/>
        <v>0</v>
      </c>
      <c r="K10" s="37">
        <f t="shared" si="2"/>
        <v>0</v>
      </c>
      <c r="L10" s="37">
        <f t="shared" si="2"/>
        <v>0</v>
      </c>
      <c r="M10" s="37">
        <f t="shared" si="2"/>
        <v>0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2"/>
        <v>0</v>
      </c>
      <c r="S10" s="37">
        <f t="shared" si="2"/>
        <v>0</v>
      </c>
      <c r="T10" s="37">
        <f t="shared" si="2"/>
        <v>0</v>
      </c>
      <c r="U10" s="37">
        <f t="shared" si="2"/>
        <v>0</v>
      </c>
    </row>
    <row r="11" spans="1:21" x14ac:dyDescent="0.25">
      <c r="A11">
        <v>91</v>
      </c>
      <c r="B11">
        <f t="shared" si="0"/>
        <v>2.7337500000000006</v>
      </c>
      <c r="C11">
        <f t="shared" si="1"/>
        <v>13.258750000000001</v>
      </c>
      <c r="G11" t="s">
        <v>32</v>
      </c>
      <c r="I11" s="37">
        <f t="shared" si="2"/>
        <v>0</v>
      </c>
      <c r="J11" s="37">
        <f t="shared" si="2"/>
        <v>0</v>
      </c>
      <c r="K11" s="37">
        <f t="shared" si="2"/>
        <v>0</v>
      </c>
      <c r="L11" s="37">
        <f t="shared" si="2"/>
        <v>0</v>
      </c>
      <c r="M11" s="37">
        <f t="shared" si="2"/>
        <v>0</v>
      </c>
      <c r="N11" s="37">
        <f t="shared" si="2"/>
        <v>0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2"/>
        <v>0</v>
      </c>
      <c r="S11" s="37">
        <f t="shared" si="2"/>
        <v>0</v>
      </c>
      <c r="T11" s="37">
        <f t="shared" si="2"/>
        <v>0</v>
      </c>
      <c r="U11" s="37">
        <f t="shared" si="2"/>
        <v>0</v>
      </c>
    </row>
    <row r="12" spans="1:21" x14ac:dyDescent="0.25">
      <c r="A12">
        <v>90</v>
      </c>
      <c r="B12">
        <f>B13*1.35</f>
        <v>2.0250000000000004</v>
      </c>
      <c r="C12">
        <f t="shared" si="1"/>
        <v>10.525</v>
      </c>
      <c r="G12" t="s">
        <v>416</v>
      </c>
      <c r="I12" s="37">
        <f t="shared" si="2"/>
        <v>0</v>
      </c>
      <c r="J12" s="37">
        <f t="shared" si="2"/>
        <v>0</v>
      </c>
      <c r="K12" s="37">
        <f t="shared" si="2"/>
        <v>0</v>
      </c>
      <c r="L12" s="37">
        <f t="shared" si="2"/>
        <v>0</v>
      </c>
      <c r="M12" s="37">
        <f t="shared" si="2"/>
        <v>0</v>
      </c>
      <c r="N12" s="37">
        <f t="shared" si="2"/>
        <v>0</v>
      </c>
      <c r="O12" s="37">
        <f t="shared" si="2"/>
        <v>0</v>
      </c>
      <c r="P12" s="37">
        <f t="shared" si="2"/>
        <v>0</v>
      </c>
      <c r="Q12" s="37">
        <f t="shared" si="2"/>
        <v>0</v>
      </c>
      <c r="R12" s="37">
        <f t="shared" si="2"/>
        <v>0</v>
      </c>
      <c r="S12" s="37">
        <f t="shared" si="2"/>
        <v>0</v>
      </c>
      <c r="T12" s="37">
        <f t="shared" si="2"/>
        <v>0</v>
      </c>
      <c r="U12" s="37">
        <f t="shared" si="2"/>
        <v>0</v>
      </c>
    </row>
    <row r="13" spans="1:21" x14ac:dyDescent="0.25">
      <c r="A13">
        <v>89</v>
      </c>
      <c r="B13">
        <v>1.5</v>
      </c>
      <c r="C13">
        <f t="shared" si="1"/>
        <v>8.5</v>
      </c>
      <c r="G13" t="s">
        <v>259</v>
      </c>
      <c r="I13" s="37">
        <f t="shared" ref="I13:U22" si="3">VLOOKUP(I$1,$A:$C,3,FALSE)*$H13</f>
        <v>0</v>
      </c>
      <c r="J13" s="37">
        <f t="shared" si="3"/>
        <v>0</v>
      </c>
      <c r="K13" s="37">
        <f t="shared" si="3"/>
        <v>0</v>
      </c>
      <c r="L13" s="37">
        <f t="shared" si="3"/>
        <v>0</v>
      </c>
      <c r="M13" s="37">
        <f t="shared" si="3"/>
        <v>0</v>
      </c>
      <c r="N13" s="37">
        <f t="shared" si="3"/>
        <v>0</v>
      </c>
      <c r="O13" s="37">
        <f t="shared" si="3"/>
        <v>0</v>
      </c>
      <c r="P13" s="37">
        <f t="shared" si="3"/>
        <v>0</v>
      </c>
      <c r="Q13" s="37">
        <f t="shared" si="3"/>
        <v>0</v>
      </c>
      <c r="R13" s="37">
        <f t="shared" si="3"/>
        <v>0</v>
      </c>
      <c r="S13" s="37">
        <f t="shared" si="3"/>
        <v>0</v>
      </c>
      <c r="T13" s="37">
        <f t="shared" si="3"/>
        <v>0</v>
      </c>
      <c r="U13" s="37">
        <f t="shared" si="3"/>
        <v>0</v>
      </c>
    </row>
    <row r="14" spans="1:21" x14ac:dyDescent="0.25">
      <c r="A14">
        <v>88</v>
      </c>
      <c r="B14">
        <v>7</v>
      </c>
      <c r="C14">
        <f t="shared" si="1"/>
        <v>7</v>
      </c>
      <c r="G14" t="s">
        <v>267</v>
      </c>
      <c r="I14" s="37">
        <f t="shared" si="3"/>
        <v>0</v>
      </c>
      <c r="J14" s="37">
        <f t="shared" si="3"/>
        <v>0</v>
      </c>
      <c r="K14" s="37">
        <f t="shared" si="3"/>
        <v>0</v>
      </c>
      <c r="L14" s="37">
        <f t="shared" si="3"/>
        <v>0</v>
      </c>
      <c r="M14" s="37">
        <f t="shared" si="3"/>
        <v>0</v>
      </c>
      <c r="N14" s="37">
        <f t="shared" si="3"/>
        <v>0</v>
      </c>
      <c r="O14" s="37">
        <f t="shared" si="3"/>
        <v>0</v>
      </c>
      <c r="P14" s="37">
        <f t="shared" si="3"/>
        <v>0</v>
      </c>
      <c r="Q14" s="37">
        <f t="shared" si="3"/>
        <v>0</v>
      </c>
      <c r="R14" s="37">
        <f t="shared" si="3"/>
        <v>0</v>
      </c>
      <c r="S14" s="37">
        <f t="shared" si="3"/>
        <v>0</v>
      </c>
      <c r="T14" s="37">
        <f t="shared" si="3"/>
        <v>0</v>
      </c>
      <c r="U14" s="37">
        <f t="shared" si="3"/>
        <v>0</v>
      </c>
    </row>
    <row r="15" spans="1:21" x14ac:dyDescent="0.25">
      <c r="A15">
        <v>87</v>
      </c>
      <c r="C15">
        <f t="shared" si="1"/>
        <v>0</v>
      </c>
      <c r="G15" t="s">
        <v>310</v>
      </c>
      <c r="H15">
        <v>1.5</v>
      </c>
      <c r="I15" s="37">
        <f t="shared" si="3"/>
        <v>239.64127331072007</v>
      </c>
      <c r="J15" s="37">
        <f t="shared" si="3"/>
        <v>178.56760985979258</v>
      </c>
      <c r="K15" s="37">
        <f t="shared" si="3"/>
        <v>133.32785915540191</v>
      </c>
      <c r="L15" s="37">
        <f t="shared" si="3"/>
        <v>99.816932707705092</v>
      </c>
      <c r="M15" s="37">
        <f t="shared" si="3"/>
        <v>74.9940242279297</v>
      </c>
      <c r="N15" s="37">
        <f t="shared" si="3"/>
        <v>56.60668461328126</v>
      </c>
      <c r="O15" s="37">
        <f t="shared" si="3"/>
        <v>42.986433046875007</v>
      </c>
      <c r="P15" s="37">
        <f t="shared" si="3"/>
        <v>32.897357812500005</v>
      </c>
      <c r="Q15" s="37">
        <f t="shared" si="3"/>
        <v>25.42396875</v>
      </c>
      <c r="R15" s="37">
        <f t="shared" si="3"/>
        <v>19.888125000000002</v>
      </c>
      <c r="S15" s="37">
        <f t="shared" si="3"/>
        <v>15.787500000000001</v>
      </c>
      <c r="T15" s="37">
        <f t="shared" si="3"/>
        <v>12.75</v>
      </c>
      <c r="U15" s="37">
        <f t="shared" si="3"/>
        <v>10.5</v>
      </c>
    </row>
    <row r="16" spans="1:21" x14ac:dyDescent="0.25">
      <c r="A16">
        <v>86</v>
      </c>
      <c r="C16">
        <f t="shared" si="1"/>
        <v>0</v>
      </c>
      <c r="G16" t="s">
        <v>262</v>
      </c>
      <c r="H16">
        <v>1.9</v>
      </c>
      <c r="I16" s="37">
        <f t="shared" si="3"/>
        <v>303.5456128602454</v>
      </c>
      <c r="J16" s="37">
        <f t="shared" si="3"/>
        <v>226.18563915573725</v>
      </c>
      <c r="K16" s="37">
        <f t="shared" si="3"/>
        <v>168.88195493017577</v>
      </c>
      <c r="L16" s="37">
        <f t="shared" si="3"/>
        <v>126.43478142975978</v>
      </c>
      <c r="M16" s="37">
        <f t="shared" si="3"/>
        <v>94.992430688710954</v>
      </c>
      <c r="N16" s="37">
        <f t="shared" si="3"/>
        <v>71.701800510156261</v>
      </c>
      <c r="O16" s="37">
        <f t="shared" si="3"/>
        <v>54.449481859375013</v>
      </c>
      <c r="P16" s="37">
        <f t="shared" si="3"/>
        <v>41.669986562500007</v>
      </c>
      <c r="Q16" s="37">
        <f t="shared" si="3"/>
        <v>32.203693749999999</v>
      </c>
      <c r="R16" s="37">
        <f t="shared" si="3"/>
        <v>25.191625000000002</v>
      </c>
      <c r="S16" s="37">
        <f t="shared" si="3"/>
        <v>19.997499999999999</v>
      </c>
      <c r="T16" s="37">
        <f t="shared" si="3"/>
        <v>16.149999999999999</v>
      </c>
      <c r="U16" s="37">
        <f t="shared" si="3"/>
        <v>13.299999999999999</v>
      </c>
    </row>
    <row r="17" spans="1:21" x14ac:dyDescent="0.25">
      <c r="A17">
        <v>85</v>
      </c>
      <c r="C17">
        <f t="shared" si="1"/>
        <v>0</v>
      </c>
      <c r="G17" t="s">
        <v>336</v>
      </c>
      <c r="I17" s="37">
        <f t="shared" si="3"/>
        <v>0</v>
      </c>
      <c r="J17" s="37">
        <f t="shared" si="3"/>
        <v>0</v>
      </c>
      <c r="K17" s="37">
        <f t="shared" si="3"/>
        <v>0</v>
      </c>
      <c r="L17" s="37">
        <f t="shared" si="3"/>
        <v>0</v>
      </c>
      <c r="M17" s="37">
        <f t="shared" si="3"/>
        <v>0</v>
      </c>
      <c r="N17" s="37">
        <f t="shared" si="3"/>
        <v>0</v>
      </c>
      <c r="O17" s="37">
        <f t="shared" si="3"/>
        <v>0</v>
      </c>
      <c r="P17" s="37">
        <f t="shared" si="3"/>
        <v>0</v>
      </c>
      <c r="Q17" s="37">
        <f t="shared" si="3"/>
        <v>0</v>
      </c>
      <c r="R17" s="37">
        <f t="shared" si="3"/>
        <v>0</v>
      </c>
      <c r="S17" s="37">
        <f t="shared" si="3"/>
        <v>0</v>
      </c>
      <c r="T17" s="37">
        <f t="shared" si="3"/>
        <v>0</v>
      </c>
      <c r="U17" s="37">
        <f t="shared" si="3"/>
        <v>0</v>
      </c>
    </row>
    <row r="18" spans="1:21" x14ac:dyDescent="0.25">
      <c r="A18">
        <v>84</v>
      </c>
      <c r="C18">
        <f t="shared" si="1"/>
        <v>0</v>
      </c>
      <c r="G18" t="s">
        <v>110</v>
      </c>
      <c r="I18" s="37">
        <f t="shared" si="3"/>
        <v>0</v>
      </c>
      <c r="J18" s="37">
        <f t="shared" si="3"/>
        <v>0</v>
      </c>
      <c r="K18" s="37">
        <f t="shared" si="3"/>
        <v>0</v>
      </c>
      <c r="L18" s="37">
        <f t="shared" si="3"/>
        <v>0</v>
      </c>
      <c r="M18" s="37">
        <f t="shared" si="3"/>
        <v>0</v>
      </c>
      <c r="N18" s="37">
        <f t="shared" si="3"/>
        <v>0</v>
      </c>
      <c r="O18" s="37">
        <f t="shared" si="3"/>
        <v>0</v>
      </c>
      <c r="P18" s="37">
        <f t="shared" si="3"/>
        <v>0</v>
      </c>
      <c r="Q18" s="37">
        <f t="shared" si="3"/>
        <v>0</v>
      </c>
      <c r="R18" s="37">
        <f t="shared" si="3"/>
        <v>0</v>
      </c>
      <c r="S18" s="37">
        <f t="shared" si="3"/>
        <v>0</v>
      </c>
      <c r="T18" s="37">
        <f t="shared" si="3"/>
        <v>0</v>
      </c>
      <c r="U18" s="37">
        <f t="shared" si="3"/>
        <v>0</v>
      </c>
    </row>
    <row r="19" spans="1:21" x14ac:dyDescent="0.25">
      <c r="A19">
        <v>83</v>
      </c>
      <c r="C19">
        <f t="shared" si="1"/>
        <v>0</v>
      </c>
      <c r="G19" t="s">
        <v>227</v>
      </c>
      <c r="H19">
        <v>1.2</v>
      </c>
      <c r="I19" s="37">
        <f t="shared" si="3"/>
        <v>191.71301864857605</v>
      </c>
      <c r="J19" s="37">
        <f t="shared" si="3"/>
        <v>142.85408788783405</v>
      </c>
      <c r="K19" s="37">
        <f t="shared" si="3"/>
        <v>106.66228732432153</v>
      </c>
      <c r="L19" s="37">
        <f t="shared" si="3"/>
        <v>79.853546166164065</v>
      </c>
      <c r="M19" s="37">
        <f t="shared" si="3"/>
        <v>59.995219382343763</v>
      </c>
      <c r="N19" s="37">
        <f t="shared" si="3"/>
        <v>45.285347690625009</v>
      </c>
      <c r="O19" s="37">
        <f t="shared" si="3"/>
        <v>34.38914643750001</v>
      </c>
      <c r="P19" s="37">
        <f t="shared" si="3"/>
        <v>26.317886250000004</v>
      </c>
      <c r="Q19" s="37">
        <f t="shared" si="3"/>
        <v>20.339175000000001</v>
      </c>
      <c r="R19" s="37">
        <f t="shared" si="3"/>
        <v>15.910500000000001</v>
      </c>
      <c r="S19" s="37">
        <f t="shared" si="3"/>
        <v>12.63</v>
      </c>
      <c r="T19" s="37">
        <f t="shared" si="3"/>
        <v>10.199999999999999</v>
      </c>
      <c r="U19" s="37">
        <f t="shared" si="3"/>
        <v>8.4</v>
      </c>
    </row>
    <row r="20" spans="1:21" x14ac:dyDescent="0.25">
      <c r="A20">
        <v>82</v>
      </c>
      <c r="C20">
        <f t="shared" si="1"/>
        <v>0</v>
      </c>
      <c r="G20" t="s">
        <v>284</v>
      </c>
      <c r="I20" s="37">
        <f t="shared" si="3"/>
        <v>0</v>
      </c>
      <c r="J20" s="37">
        <f t="shared" si="3"/>
        <v>0</v>
      </c>
      <c r="K20" s="37">
        <f t="shared" si="3"/>
        <v>0</v>
      </c>
      <c r="L20" s="37">
        <f t="shared" si="3"/>
        <v>0</v>
      </c>
      <c r="M20" s="37">
        <f t="shared" si="3"/>
        <v>0</v>
      </c>
      <c r="N20" s="37">
        <f t="shared" si="3"/>
        <v>0</v>
      </c>
      <c r="O20" s="37">
        <f t="shared" si="3"/>
        <v>0</v>
      </c>
      <c r="P20" s="37">
        <f t="shared" si="3"/>
        <v>0</v>
      </c>
      <c r="Q20" s="37">
        <f t="shared" si="3"/>
        <v>0</v>
      </c>
      <c r="R20" s="37">
        <f t="shared" si="3"/>
        <v>0</v>
      </c>
      <c r="S20" s="37">
        <f t="shared" si="3"/>
        <v>0</v>
      </c>
      <c r="T20" s="37">
        <f t="shared" si="3"/>
        <v>0</v>
      </c>
      <c r="U20" s="37">
        <f t="shared" si="3"/>
        <v>0</v>
      </c>
    </row>
    <row r="21" spans="1:21" x14ac:dyDescent="0.25">
      <c r="A21">
        <v>81</v>
      </c>
      <c r="C21">
        <f t="shared" si="1"/>
        <v>0</v>
      </c>
      <c r="G21" t="s">
        <v>283</v>
      </c>
      <c r="I21" s="37">
        <f t="shared" si="3"/>
        <v>0</v>
      </c>
      <c r="J21" s="37">
        <f t="shared" si="3"/>
        <v>0</v>
      </c>
      <c r="K21" s="37">
        <f t="shared" si="3"/>
        <v>0</v>
      </c>
      <c r="L21" s="37">
        <f t="shared" si="3"/>
        <v>0</v>
      </c>
      <c r="M21" s="37">
        <f t="shared" si="3"/>
        <v>0</v>
      </c>
      <c r="N21" s="37">
        <f t="shared" si="3"/>
        <v>0</v>
      </c>
      <c r="O21" s="37">
        <f t="shared" si="3"/>
        <v>0</v>
      </c>
      <c r="P21" s="37">
        <f t="shared" si="3"/>
        <v>0</v>
      </c>
      <c r="Q21" s="37">
        <f t="shared" si="3"/>
        <v>0</v>
      </c>
      <c r="R21" s="37">
        <f t="shared" si="3"/>
        <v>0</v>
      </c>
      <c r="S21" s="37">
        <f t="shared" si="3"/>
        <v>0</v>
      </c>
      <c r="T21" s="37">
        <f t="shared" si="3"/>
        <v>0</v>
      </c>
      <c r="U21" s="37">
        <f t="shared" si="3"/>
        <v>0</v>
      </c>
    </row>
    <row r="22" spans="1:21" x14ac:dyDescent="0.25">
      <c r="A22">
        <v>80</v>
      </c>
      <c r="C22">
        <f t="shared" si="1"/>
        <v>0</v>
      </c>
      <c r="G22" t="s">
        <v>286</v>
      </c>
      <c r="I22" s="37">
        <f t="shared" si="3"/>
        <v>0</v>
      </c>
      <c r="J22" s="37">
        <f t="shared" si="3"/>
        <v>0</v>
      </c>
      <c r="K22" s="37">
        <f t="shared" si="3"/>
        <v>0</v>
      </c>
      <c r="L22" s="37">
        <f t="shared" si="3"/>
        <v>0</v>
      </c>
      <c r="M22" s="37">
        <f t="shared" si="3"/>
        <v>0</v>
      </c>
      <c r="N22" s="37">
        <f t="shared" si="3"/>
        <v>0</v>
      </c>
      <c r="O22" s="37">
        <f t="shared" si="3"/>
        <v>0</v>
      </c>
      <c r="P22" s="37">
        <f t="shared" si="3"/>
        <v>0</v>
      </c>
      <c r="Q22" s="37">
        <f t="shared" si="3"/>
        <v>0</v>
      </c>
      <c r="R22" s="37">
        <f t="shared" si="3"/>
        <v>0</v>
      </c>
      <c r="S22" s="37">
        <f t="shared" si="3"/>
        <v>0</v>
      </c>
      <c r="T22" s="37">
        <f t="shared" si="3"/>
        <v>0</v>
      </c>
      <c r="U22" s="37">
        <f t="shared" si="3"/>
        <v>0</v>
      </c>
    </row>
    <row r="23" spans="1:21" x14ac:dyDescent="0.25">
      <c r="G23" t="s">
        <v>417</v>
      </c>
      <c r="I23" s="37">
        <f t="shared" ref="I23:U32" si="4">VLOOKUP(I$1,$A:$C,3,FALSE)*$H23</f>
        <v>0</v>
      </c>
      <c r="J23" s="37">
        <f t="shared" si="4"/>
        <v>0</v>
      </c>
      <c r="K23" s="37">
        <f t="shared" si="4"/>
        <v>0</v>
      </c>
      <c r="L23" s="37">
        <f t="shared" si="4"/>
        <v>0</v>
      </c>
      <c r="M23" s="37">
        <f t="shared" si="4"/>
        <v>0</v>
      </c>
      <c r="N23" s="37">
        <f t="shared" si="4"/>
        <v>0</v>
      </c>
      <c r="O23" s="37">
        <f t="shared" si="4"/>
        <v>0</v>
      </c>
      <c r="P23" s="37">
        <f t="shared" si="4"/>
        <v>0</v>
      </c>
      <c r="Q23" s="37">
        <f t="shared" si="4"/>
        <v>0</v>
      </c>
      <c r="R23" s="37">
        <f t="shared" si="4"/>
        <v>0</v>
      </c>
      <c r="S23" s="37">
        <f t="shared" si="4"/>
        <v>0</v>
      </c>
      <c r="T23" s="37">
        <f t="shared" si="4"/>
        <v>0</v>
      </c>
      <c r="U23" s="37">
        <f t="shared" si="4"/>
        <v>0</v>
      </c>
    </row>
    <row r="24" spans="1:21" x14ac:dyDescent="0.25">
      <c r="G24" t="s">
        <v>281</v>
      </c>
      <c r="H24">
        <v>1.4</v>
      </c>
      <c r="I24" s="37">
        <f t="shared" si="4"/>
        <v>223.66518842333872</v>
      </c>
      <c r="J24" s="37">
        <f t="shared" si="4"/>
        <v>166.66310253580639</v>
      </c>
      <c r="K24" s="37">
        <f t="shared" si="4"/>
        <v>124.43933521170845</v>
      </c>
      <c r="L24" s="37">
        <f t="shared" si="4"/>
        <v>93.162470527191417</v>
      </c>
      <c r="M24" s="37">
        <f t="shared" si="4"/>
        <v>69.994422612734382</v>
      </c>
      <c r="N24" s="37">
        <f t="shared" si="4"/>
        <v>52.83290563906251</v>
      </c>
      <c r="O24" s="37">
        <f t="shared" si="4"/>
        <v>40.120670843750005</v>
      </c>
      <c r="P24" s="37">
        <f t="shared" si="4"/>
        <v>30.704200625000002</v>
      </c>
      <c r="Q24" s="37">
        <f t="shared" si="4"/>
        <v>23.7290375</v>
      </c>
      <c r="R24" s="37">
        <f t="shared" si="4"/>
        <v>18.562249999999999</v>
      </c>
      <c r="S24" s="37">
        <f t="shared" si="4"/>
        <v>14.734999999999999</v>
      </c>
      <c r="T24" s="37">
        <f t="shared" si="4"/>
        <v>11.899999999999999</v>
      </c>
      <c r="U24" s="37">
        <f t="shared" si="4"/>
        <v>9.7999999999999989</v>
      </c>
    </row>
    <row r="25" spans="1:21" x14ac:dyDescent="0.25">
      <c r="G25" t="s">
        <v>363</v>
      </c>
      <c r="I25" s="37">
        <f t="shared" si="4"/>
        <v>0</v>
      </c>
      <c r="J25" s="37">
        <f t="shared" si="4"/>
        <v>0</v>
      </c>
      <c r="K25" s="37">
        <f t="shared" si="4"/>
        <v>0</v>
      </c>
      <c r="L25" s="37">
        <f t="shared" si="4"/>
        <v>0</v>
      </c>
      <c r="M25" s="37">
        <f t="shared" si="4"/>
        <v>0</v>
      </c>
      <c r="N25" s="37">
        <f t="shared" si="4"/>
        <v>0</v>
      </c>
      <c r="O25" s="37">
        <f t="shared" si="4"/>
        <v>0</v>
      </c>
      <c r="P25" s="37">
        <f t="shared" si="4"/>
        <v>0</v>
      </c>
      <c r="Q25" s="37">
        <f t="shared" si="4"/>
        <v>0</v>
      </c>
      <c r="R25" s="37">
        <f t="shared" si="4"/>
        <v>0</v>
      </c>
      <c r="S25" s="37">
        <f t="shared" si="4"/>
        <v>0</v>
      </c>
      <c r="T25" s="37">
        <f t="shared" si="4"/>
        <v>0</v>
      </c>
      <c r="U25" s="37">
        <f t="shared" si="4"/>
        <v>0</v>
      </c>
    </row>
    <row r="26" spans="1:21" x14ac:dyDescent="0.25">
      <c r="G26" t="s">
        <v>612</v>
      </c>
      <c r="I26" s="37">
        <f t="shared" si="4"/>
        <v>0</v>
      </c>
      <c r="J26" s="37">
        <f t="shared" si="4"/>
        <v>0</v>
      </c>
      <c r="K26" s="37">
        <f t="shared" si="4"/>
        <v>0</v>
      </c>
      <c r="L26" s="37">
        <f t="shared" si="4"/>
        <v>0</v>
      </c>
      <c r="M26" s="37">
        <f t="shared" si="4"/>
        <v>0</v>
      </c>
      <c r="N26" s="37">
        <f t="shared" si="4"/>
        <v>0</v>
      </c>
      <c r="O26" s="37">
        <f t="shared" si="4"/>
        <v>0</v>
      </c>
      <c r="P26" s="37">
        <f t="shared" si="4"/>
        <v>0</v>
      </c>
      <c r="Q26" s="37">
        <f t="shared" si="4"/>
        <v>0</v>
      </c>
      <c r="R26" s="37">
        <f t="shared" si="4"/>
        <v>0</v>
      </c>
      <c r="S26" s="37">
        <f t="shared" si="4"/>
        <v>0</v>
      </c>
      <c r="T26" s="37">
        <f t="shared" si="4"/>
        <v>0</v>
      </c>
      <c r="U26" s="37">
        <f t="shared" si="4"/>
        <v>0</v>
      </c>
    </row>
    <row r="27" spans="1:21" x14ac:dyDescent="0.25">
      <c r="G27" t="s">
        <v>275</v>
      </c>
      <c r="I27" s="37">
        <f t="shared" si="4"/>
        <v>0</v>
      </c>
      <c r="J27" s="37">
        <f t="shared" si="4"/>
        <v>0</v>
      </c>
      <c r="K27" s="37">
        <f t="shared" si="4"/>
        <v>0</v>
      </c>
      <c r="L27" s="37">
        <f t="shared" si="4"/>
        <v>0</v>
      </c>
      <c r="M27" s="37">
        <f t="shared" si="4"/>
        <v>0</v>
      </c>
      <c r="N27" s="37">
        <f t="shared" si="4"/>
        <v>0</v>
      </c>
      <c r="O27" s="37">
        <f t="shared" si="4"/>
        <v>0</v>
      </c>
      <c r="P27" s="37">
        <f t="shared" si="4"/>
        <v>0</v>
      </c>
      <c r="Q27" s="37">
        <f t="shared" si="4"/>
        <v>0</v>
      </c>
      <c r="R27" s="37">
        <f t="shared" si="4"/>
        <v>0</v>
      </c>
      <c r="S27" s="37">
        <f t="shared" si="4"/>
        <v>0</v>
      </c>
      <c r="T27" s="37">
        <f t="shared" si="4"/>
        <v>0</v>
      </c>
      <c r="U27" s="37">
        <f t="shared" si="4"/>
        <v>0</v>
      </c>
    </row>
    <row r="28" spans="1:21" x14ac:dyDescent="0.25">
      <c r="G28" t="s">
        <v>282</v>
      </c>
      <c r="I28" s="37">
        <f t="shared" si="4"/>
        <v>0</v>
      </c>
      <c r="J28" s="37">
        <f t="shared" si="4"/>
        <v>0</v>
      </c>
      <c r="K28" s="37">
        <f t="shared" si="4"/>
        <v>0</v>
      </c>
      <c r="L28" s="37">
        <f t="shared" si="4"/>
        <v>0</v>
      </c>
      <c r="M28" s="37">
        <f t="shared" si="4"/>
        <v>0</v>
      </c>
      <c r="N28" s="37">
        <f t="shared" si="4"/>
        <v>0</v>
      </c>
      <c r="O28" s="37">
        <f t="shared" si="4"/>
        <v>0</v>
      </c>
      <c r="P28" s="37">
        <f t="shared" si="4"/>
        <v>0</v>
      </c>
      <c r="Q28" s="37">
        <f t="shared" si="4"/>
        <v>0</v>
      </c>
      <c r="R28" s="37">
        <f t="shared" si="4"/>
        <v>0</v>
      </c>
      <c r="S28" s="37">
        <f t="shared" si="4"/>
        <v>0</v>
      </c>
      <c r="T28" s="37">
        <f t="shared" si="4"/>
        <v>0</v>
      </c>
      <c r="U28" s="37">
        <f t="shared" si="4"/>
        <v>0</v>
      </c>
    </row>
    <row r="29" spans="1:21" x14ac:dyDescent="0.25">
      <c r="G29" t="s">
        <v>1226</v>
      </c>
      <c r="I29" s="37">
        <f t="shared" si="4"/>
        <v>0</v>
      </c>
      <c r="J29" s="37">
        <f t="shared" si="4"/>
        <v>0</v>
      </c>
      <c r="K29" s="37">
        <f t="shared" si="4"/>
        <v>0</v>
      </c>
      <c r="L29" s="37">
        <f t="shared" si="4"/>
        <v>0</v>
      </c>
      <c r="M29" s="37">
        <f t="shared" si="4"/>
        <v>0</v>
      </c>
      <c r="N29" s="37">
        <f t="shared" si="4"/>
        <v>0</v>
      </c>
      <c r="O29" s="37">
        <f t="shared" si="4"/>
        <v>0</v>
      </c>
      <c r="P29" s="37">
        <f t="shared" si="4"/>
        <v>0</v>
      </c>
      <c r="Q29" s="37">
        <f t="shared" si="4"/>
        <v>0</v>
      </c>
      <c r="R29" s="37">
        <f t="shared" si="4"/>
        <v>0</v>
      </c>
      <c r="S29" s="37">
        <f t="shared" si="4"/>
        <v>0</v>
      </c>
      <c r="T29" s="37">
        <f t="shared" si="4"/>
        <v>0</v>
      </c>
      <c r="U29" s="37">
        <f t="shared" si="4"/>
        <v>0</v>
      </c>
    </row>
    <row r="30" spans="1:21" x14ac:dyDescent="0.25">
      <c r="G30" t="s">
        <v>1224</v>
      </c>
      <c r="I30" s="37">
        <f t="shared" si="4"/>
        <v>0</v>
      </c>
      <c r="J30" s="37">
        <f t="shared" si="4"/>
        <v>0</v>
      </c>
      <c r="K30" s="37">
        <f t="shared" si="4"/>
        <v>0</v>
      </c>
      <c r="L30" s="37">
        <f t="shared" si="4"/>
        <v>0</v>
      </c>
      <c r="M30" s="37">
        <f t="shared" si="4"/>
        <v>0</v>
      </c>
      <c r="N30" s="37">
        <f t="shared" si="4"/>
        <v>0</v>
      </c>
      <c r="O30" s="37">
        <f t="shared" si="4"/>
        <v>0</v>
      </c>
      <c r="P30" s="37">
        <f t="shared" si="4"/>
        <v>0</v>
      </c>
      <c r="Q30" s="37">
        <f t="shared" si="4"/>
        <v>0</v>
      </c>
      <c r="R30" s="37">
        <f t="shared" si="4"/>
        <v>0</v>
      </c>
      <c r="S30" s="37">
        <f t="shared" si="4"/>
        <v>0</v>
      </c>
      <c r="T30" s="37">
        <f t="shared" si="4"/>
        <v>0</v>
      </c>
      <c r="U30" s="37">
        <f t="shared" si="4"/>
        <v>0</v>
      </c>
    </row>
    <row r="31" spans="1:21" x14ac:dyDescent="0.25">
      <c r="G31" t="s">
        <v>288</v>
      </c>
      <c r="H31">
        <v>1.9</v>
      </c>
      <c r="I31" s="37">
        <f t="shared" si="4"/>
        <v>303.5456128602454</v>
      </c>
      <c r="J31" s="37">
        <f t="shared" si="4"/>
        <v>226.18563915573725</v>
      </c>
      <c r="K31" s="37">
        <f t="shared" si="4"/>
        <v>168.88195493017577</v>
      </c>
      <c r="L31" s="37">
        <f t="shared" si="4"/>
        <v>126.43478142975978</v>
      </c>
      <c r="M31" s="37">
        <f t="shared" si="4"/>
        <v>94.992430688710954</v>
      </c>
      <c r="N31" s="37">
        <f t="shared" si="4"/>
        <v>71.701800510156261</v>
      </c>
      <c r="O31" s="37">
        <f t="shared" si="4"/>
        <v>54.449481859375013</v>
      </c>
      <c r="P31" s="37">
        <f t="shared" si="4"/>
        <v>41.669986562500007</v>
      </c>
      <c r="Q31" s="37">
        <f t="shared" si="4"/>
        <v>32.203693749999999</v>
      </c>
      <c r="R31" s="37">
        <f t="shared" si="4"/>
        <v>25.191625000000002</v>
      </c>
      <c r="S31" s="37">
        <f t="shared" si="4"/>
        <v>19.997499999999999</v>
      </c>
      <c r="T31" s="37">
        <f t="shared" si="4"/>
        <v>16.149999999999999</v>
      </c>
      <c r="U31" s="37">
        <f t="shared" si="4"/>
        <v>13.299999999999999</v>
      </c>
    </row>
    <row r="32" spans="1:21" x14ac:dyDescent="0.25">
      <c r="G32" t="s">
        <v>607</v>
      </c>
      <c r="H32">
        <v>1.1000000000000001</v>
      </c>
      <c r="I32" s="37">
        <f t="shared" si="4"/>
        <v>175.73693376119473</v>
      </c>
      <c r="J32" s="37">
        <f t="shared" si="4"/>
        <v>130.94958056384792</v>
      </c>
      <c r="K32" s="37">
        <f t="shared" si="4"/>
        <v>97.773763380628083</v>
      </c>
      <c r="L32" s="37">
        <f t="shared" si="4"/>
        <v>73.199083985650404</v>
      </c>
      <c r="M32" s="37">
        <f t="shared" si="4"/>
        <v>54.995617767148453</v>
      </c>
      <c r="N32" s="37">
        <f t="shared" si="4"/>
        <v>41.511568716406266</v>
      </c>
      <c r="O32" s="37">
        <f t="shared" si="4"/>
        <v>31.523384234375012</v>
      </c>
      <c r="P32" s="37">
        <f t="shared" si="4"/>
        <v>24.124729062500005</v>
      </c>
      <c r="Q32" s="37">
        <f t="shared" si="4"/>
        <v>18.644243750000005</v>
      </c>
      <c r="R32" s="37">
        <f t="shared" si="4"/>
        <v>14.584625000000003</v>
      </c>
      <c r="S32" s="37">
        <f t="shared" si="4"/>
        <v>11.577500000000001</v>
      </c>
      <c r="T32" s="37">
        <f t="shared" si="4"/>
        <v>9.3500000000000014</v>
      </c>
      <c r="U32" s="37">
        <f t="shared" si="4"/>
        <v>7.7000000000000011</v>
      </c>
    </row>
    <row r="33" spans="7:21" x14ac:dyDescent="0.25">
      <c r="G33" t="s">
        <v>351</v>
      </c>
      <c r="I33" s="37">
        <f t="shared" ref="I33:U42" si="5">VLOOKUP(I$1,$A:$C,3,FALSE)*$H33</f>
        <v>0</v>
      </c>
      <c r="J33" s="37">
        <f t="shared" si="5"/>
        <v>0</v>
      </c>
      <c r="K33" s="37">
        <f t="shared" si="5"/>
        <v>0</v>
      </c>
      <c r="L33" s="37">
        <f t="shared" si="5"/>
        <v>0</v>
      </c>
      <c r="M33" s="37">
        <f t="shared" si="5"/>
        <v>0</v>
      </c>
      <c r="N33" s="37">
        <f t="shared" si="5"/>
        <v>0</v>
      </c>
      <c r="O33" s="37">
        <f t="shared" si="5"/>
        <v>0</v>
      </c>
      <c r="P33" s="37">
        <f t="shared" si="5"/>
        <v>0</v>
      </c>
      <c r="Q33" s="37">
        <f t="shared" si="5"/>
        <v>0</v>
      </c>
      <c r="R33" s="37">
        <f t="shared" si="5"/>
        <v>0</v>
      </c>
      <c r="S33" s="37">
        <f t="shared" si="5"/>
        <v>0</v>
      </c>
      <c r="T33" s="37">
        <f t="shared" si="5"/>
        <v>0</v>
      </c>
      <c r="U33" s="37">
        <f t="shared" si="5"/>
        <v>0</v>
      </c>
    </row>
    <row r="34" spans="7:21" x14ac:dyDescent="0.25">
      <c r="G34" t="s">
        <v>320</v>
      </c>
      <c r="I34" s="37">
        <f t="shared" si="5"/>
        <v>0</v>
      </c>
      <c r="J34" s="37">
        <f t="shared" si="5"/>
        <v>0</v>
      </c>
      <c r="K34" s="37">
        <f t="shared" si="5"/>
        <v>0</v>
      </c>
      <c r="L34" s="37">
        <f t="shared" si="5"/>
        <v>0</v>
      </c>
      <c r="M34" s="37">
        <f t="shared" si="5"/>
        <v>0</v>
      </c>
      <c r="N34" s="37">
        <f t="shared" si="5"/>
        <v>0</v>
      </c>
      <c r="O34" s="37">
        <f t="shared" si="5"/>
        <v>0</v>
      </c>
      <c r="P34" s="37">
        <f t="shared" si="5"/>
        <v>0</v>
      </c>
      <c r="Q34" s="37">
        <f t="shared" si="5"/>
        <v>0</v>
      </c>
      <c r="R34" s="37">
        <f t="shared" si="5"/>
        <v>0</v>
      </c>
      <c r="S34" s="37">
        <f t="shared" si="5"/>
        <v>0</v>
      </c>
      <c r="T34" s="37">
        <f t="shared" si="5"/>
        <v>0</v>
      </c>
      <c r="U34" s="37">
        <f t="shared" si="5"/>
        <v>0</v>
      </c>
    </row>
    <row r="35" spans="7:21" x14ac:dyDescent="0.25">
      <c r="G35" t="s">
        <v>263</v>
      </c>
      <c r="I35" s="37">
        <f t="shared" si="5"/>
        <v>0</v>
      </c>
      <c r="J35" s="37">
        <f t="shared" si="5"/>
        <v>0</v>
      </c>
      <c r="K35" s="37">
        <f t="shared" si="5"/>
        <v>0</v>
      </c>
      <c r="L35" s="37">
        <f t="shared" si="5"/>
        <v>0</v>
      </c>
      <c r="M35" s="37">
        <f t="shared" si="5"/>
        <v>0</v>
      </c>
      <c r="N35" s="37">
        <f t="shared" si="5"/>
        <v>0</v>
      </c>
      <c r="O35" s="37">
        <f t="shared" si="5"/>
        <v>0</v>
      </c>
      <c r="P35" s="37">
        <f t="shared" si="5"/>
        <v>0</v>
      </c>
      <c r="Q35" s="37">
        <f t="shared" si="5"/>
        <v>0</v>
      </c>
      <c r="R35" s="37">
        <f t="shared" si="5"/>
        <v>0</v>
      </c>
      <c r="S35" s="37">
        <f t="shared" si="5"/>
        <v>0</v>
      </c>
      <c r="T35" s="37">
        <f t="shared" si="5"/>
        <v>0</v>
      </c>
      <c r="U35" s="37">
        <f t="shared" si="5"/>
        <v>0</v>
      </c>
    </row>
    <row r="36" spans="7:21" x14ac:dyDescent="0.25">
      <c r="G36" t="s">
        <v>257</v>
      </c>
      <c r="H36">
        <v>2</v>
      </c>
      <c r="I36" s="37">
        <f t="shared" si="5"/>
        <v>319.52169774762677</v>
      </c>
      <c r="J36" s="37">
        <f t="shared" si="5"/>
        <v>238.09014647972344</v>
      </c>
      <c r="K36" s="37">
        <f t="shared" si="5"/>
        <v>177.77047887386922</v>
      </c>
      <c r="L36" s="37">
        <f t="shared" si="5"/>
        <v>133.08924361027346</v>
      </c>
      <c r="M36" s="37">
        <f t="shared" si="5"/>
        <v>99.992032303906271</v>
      </c>
      <c r="N36" s="37">
        <f t="shared" si="5"/>
        <v>75.475579484375018</v>
      </c>
      <c r="O36" s="37">
        <f t="shared" si="5"/>
        <v>57.315244062500014</v>
      </c>
      <c r="P36" s="37">
        <f t="shared" si="5"/>
        <v>43.863143750000006</v>
      </c>
      <c r="Q36" s="37">
        <f t="shared" si="5"/>
        <v>33.898625000000003</v>
      </c>
      <c r="R36" s="37">
        <f t="shared" si="5"/>
        <v>26.517500000000002</v>
      </c>
      <c r="S36" s="37">
        <f t="shared" si="5"/>
        <v>21.05</v>
      </c>
      <c r="T36" s="37">
        <f t="shared" si="5"/>
        <v>17</v>
      </c>
      <c r="U36" s="37">
        <f t="shared" si="5"/>
        <v>14</v>
      </c>
    </row>
    <row r="37" spans="7:21" x14ac:dyDescent="0.25">
      <c r="G37" t="s">
        <v>588</v>
      </c>
      <c r="I37" s="37">
        <f t="shared" si="5"/>
        <v>0</v>
      </c>
      <c r="J37" s="37">
        <f t="shared" si="5"/>
        <v>0</v>
      </c>
      <c r="K37" s="37">
        <f t="shared" si="5"/>
        <v>0</v>
      </c>
      <c r="L37" s="37">
        <f t="shared" si="5"/>
        <v>0</v>
      </c>
      <c r="M37" s="37">
        <f t="shared" si="5"/>
        <v>0</v>
      </c>
      <c r="N37" s="37">
        <f t="shared" si="5"/>
        <v>0</v>
      </c>
      <c r="O37" s="37">
        <f t="shared" si="5"/>
        <v>0</v>
      </c>
      <c r="P37" s="37">
        <f t="shared" si="5"/>
        <v>0</v>
      </c>
      <c r="Q37" s="37">
        <f t="shared" si="5"/>
        <v>0</v>
      </c>
      <c r="R37" s="37">
        <f t="shared" si="5"/>
        <v>0</v>
      </c>
      <c r="S37" s="37">
        <f t="shared" si="5"/>
        <v>0</v>
      </c>
      <c r="T37" s="37">
        <f t="shared" si="5"/>
        <v>0</v>
      </c>
      <c r="U37" s="37">
        <f t="shared" si="5"/>
        <v>0</v>
      </c>
    </row>
    <row r="38" spans="7:21" x14ac:dyDescent="0.25">
      <c r="G38" t="s">
        <v>274</v>
      </c>
      <c r="I38" s="37">
        <f t="shared" si="5"/>
        <v>0</v>
      </c>
      <c r="J38" s="37">
        <f t="shared" si="5"/>
        <v>0</v>
      </c>
      <c r="K38" s="37">
        <f t="shared" si="5"/>
        <v>0</v>
      </c>
      <c r="L38" s="37">
        <f t="shared" si="5"/>
        <v>0</v>
      </c>
      <c r="M38" s="37">
        <f t="shared" si="5"/>
        <v>0</v>
      </c>
      <c r="N38" s="37">
        <f t="shared" si="5"/>
        <v>0</v>
      </c>
      <c r="O38" s="37">
        <f t="shared" si="5"/>
        <v>0</v>
      </c>
      <c r="P38" s="37">
        <f t="shared" si="5"/>
        <v>0</v>
      </c>
      <c r="Q38" s="37">
        <f t="shared" si="5"/>
        <v>0</v>
      </c>
      <c r="R38" s="37">
        <f t="shared" si="5"/>
        <v>0</v>
      </c>
      <c r="S38" s="37">
        <f t="shared" si="5"/>
        <v>0</v>
      </c>
      <c r="T38" s="37">
        <f t="shared" si="5"/>
        <v>0</v>
      </c>
      <c r="U38" s="37">
        <f t="shared" si="5"/>
        <v>0</v>
      </c>
    </row>
    <row r="39" spans="7:21" x14ac:dyDescent="0.25">
      <c r="G39" t="s">
        <v>272</v>
      </c>
      <c r="I39" s="37">
        <f t="shared" si="5"/>
        <v>0</v>
      </c>
      <c r="J39" s="37">
        <f t="shared" si="5"/>
        <v>0</v>
      </c>
      <c r="K39" s="37">
        <f t="shared" si="5"/>
        <v>0</v>
      </c>
      <c r="L39" s="37">
        <f t="shared" si="5"/>
        <v>0</v>
      </c>
      <c r="M39" s="37">
        <f t="shared" si="5"/>
        <v>0</v>
      </c>
      <c r="N39" s="37">
        <f t="shared" si="5"/>
        <v>0</v>
      </c>
      <c r="O39" s="37">
        <f t="shared" si="5"/>
        <v>0</v>
      </c>
      <c r="P39" s="37">
        <f t="shared" si="5"/>
        <v>0</v>
      </c>
      <c r="Q39" s="37">
        <f t="shared" si="5"/>
        <v>0</v>
      </c>
      <c r="R39" s="37">
        <f t="shared" si="5"/>
        <v>0</v>
      </c>
      <c r="S39" s="37">
        <f t="shared" si="5"/>
        <v>0</v>
      </c>
      <c r="T39" s="37">
        <f t="shared" si="5"/>
        <v>0</v>
      </c>
      <c r="U39" s="37">
        <f t="shared" si="5"/>
        <v>0</v>
      </c>
    </row>
    <row r="40" spans="7:21" x14ac:dyDescent="0.25">
      <c r="G40" t="s">
        <v>280</v>
      </c>
      <c r="I40" s="37">
        <f t="shared" si="5"/>
        <v>0</v>
      </c>
      <c r="J40" s="37">
        <f t="shared" si="5"/>
        <v>0</v>
      </c>
      <c r="K40" s="37">
        <f t="shared" si="5"/>
        <v>0</v>
      </c>
      <c r="L40" s="37">
        <f t="shared" si="5"/>
        <v>0</v>
      </c>
      <c r="M40" s="37">
        <f t="shared" si="5"/>
        <v>0</v>
      </c>
      <c r="N40" s="37">
        <f t="shared" si="5"/>
        <v>0</v>
      </c>
      <c r="O40" s="37">
        <f t="shared" si="5"/>
        <v>0</v>
      </c>
      <c r="P40" s="37">
        <f t="shared" si="5"/>
        <v>0</v>
      </c>
      <c r="Q40" s="37">
        <f t="shared" si="5"/>
        <v>0</v>
      </c>
      <c r="R40" s="37">
        <f t="shared" si="5"/>
        <v>0</v>
      </c>
      <c r="S40" s="37">
        <f t="shared" si="5"/>
        <v>0</v>
      </c>
      <c r="T40" s="37">
        <f t="shared" si="5"/>
        <v>0</v>
      </c>
      <c r="U40" s="37">
        <f t="shared" si="5"/>
        <v>0</v>
      </c>
    </row>
    <row r="41" spans="7:21" x14ac:dyDescent="0.25">
      <c r="G41" t="s">
        <v>399</v>
      </c>
      <c r="I41" s="37">
        <f t="shared" si="5"/>
        <v>0</v>
      </c>
      <c r="J41" s="37">
        <f t="shared" si="5"/>
        <v>0</v>
      </c>
      <c r="K41" s="37">
        <f t="shared" si="5"/>
        <v>0</v>
      </c>
      <c r="L41" s="37">
        <f t="shared" si="5"/>
        <v>0</v>
      </c>
      <c r="M41" s="37">
        <f t="shared" si="5"/>
        <v>0</v>
      </c>
      <c r="N41" s="37">
        <f t="shared" si="5"/>
        <v>0</v>
      </c>
      <c r="O41" s="37">
        <f t="shared" si="5"/>
        <v>0</v>
      </c>
      <c r="P41" s="37">
        <f t="shared" si="5"/>
        <v>0</v>
      </c>
      <c r="Q41" s="37">
        <f t="shared" si="5"/>
        <v>0</v>
      </c>
      <c r="R41" s="37">
        <f t="shared" si="5"/>
        <v>0</v>
      </c>
      <c r="S41" s="37">
        <f t="shared" si="5"/>
        <v>0</v>
      </c>
      <c r="T41" s="37">
        <f t="shared" si="5"/>
        <v>0</v>
      </c>
      <c r="U41" s="37">
        <f t="shared" si="5"/>
        <v>0</v>
      </c>
    </row>
    <row r="42" spans="7:21" x14ac:dyDescent="0.25">
      <c r="G42" t="s">
        <v>260</v>
      </c>
      <c r="I42" s="37">
        <f t="shared" si="5"/>
        <v>0</v>
      </c>
      <c r="J42" s="37">
        <f t="shared" si="5"/>
        <v>0</v>
      </c>
      <c r="K42" s="37">
        <f t="shared" si="5"/>
        <v>0</v>
      </c>
      <c r="L42" s="37">
        <f t="shared" si="5"/>
        <v>0</v>
      </c>
      <c r="M42" s="37">
        <f t="shared" si="5"/>
        <v>0</v>
      </c>
      <c r="N42" s="37">
        <f t="shared" si="5"/>
        <v>0</v>
      </c>
      <c r="O42" s="37">
        <f t="shared" si="5"/>
        <v>0</v>
      </c>
      <c r="P42" s="37">
        <f t="shared" si="5"/>
        <v>0</v>
      </c>
      <c r="Q42" s="37">
        <f t="shared" si="5"/>
        <v>0</v>
      </c>
      <c r="R42" s="37">
        <f t="shared" si="5"/>
        <v>0</v>
      </c>
      <c r="S42" s="37">
        <f t="shared" si="5"/>
        <v>0</v>
      </c>
      <c r="T42" s="37">
        <f t="shared" si="5"/>
        <v>0</v>
      </c>
      <c r="U42" s="37">
        <f t="shared" si="5"/>
        <v>0</v>
      </c>
    </row>
    <row r="43" spans="7:21" x14ac:dyDescent="0.25">
      <c r="G43" t="s">
        <v>400</v>
      </c>
      <c r="I43" s="37">
        <f t="shared" ref="I43:U49" si="6">VLOOKUP(I$1,$A:$C,3,FALSE)*$H43</f>
        <v>0</v>
      </c>
      <c r="J43" s="37">
        <f t="shared" si="6"/>
        <v>0</v>
      </c>
      <c r="K43" s="37">
        <f t="shared" si="6"/>
        <v>0</v>
      </c>
      <c r="L43" s="37">
        <f t="shared" si="6"/>
        <v>0</v>
      </c>
      <c r="M43" s="37">
        <f t="shared" si="6"/>
        <v>0</v>
      </c>
      <c r="N43" s="37">
        <f t="shared" si="6"/>
        <v>0</v>
      </c>
      <c r="O43" s="37">
        <f t="shared" si="6"/>
        <v>0</v>
      </c>
      <c r="P43" s="37">
        <f t="shared" si="6"/>
        <v>0</v>
      </c>
      <c r="Q43" s="37">
        <f t="shared" si="6"/>
        <v>0</v>
      </c>
      <c r="R43" s="37">
        <f t="shared" si="6"/>
        <v>0</v>
      </c>
      <c r="S43" s="37">
        <f t="shared" si="6"/>
        <v>0</v>
      </c>
      <c r="T43" s="37">
        <f t="shared" si="6"/>
        <v>0</v>
      </c>
      <c r="U43" s="37">
        <f t="shared" si="6"/>
        <v>0</v>
      </c>
    </row>
    <row r="44" spans="7:21" x14ac:dyDescent="0.25">
      <c r="G44" t="s">
        <v>261</v>
      </c>
      <c r="I44" s="37">
        <f t="shared" si="6"/>
        <v>0</v>
      </c>
      <c r="J44" s="37">
        <f t="shared" si="6"/>
        <v>0</v>
      </c>
      <c r="K44" s="37">
        <f t="shared" si="6"/>
        <v>0</v>
      </c>
      <c r="L44" s="37">
        <f t="shared" si="6"/>
        <v>0</v>
      </c>
      <c r="M44" s="37">
        <f t="shared" si="6"/>
        <v>0</v>
      </c>
      <c r="N44" s="37">
        <f t="shared" si="6"/>
        <v>0</v>
      </c>
      <c r="O44" s="37">
        <f t="shared" si="6"/>
        <v>0</v>
      </c>
      <c r="P44" s="37">
        <f t="shared" si="6"/>
        <v>0</v>
      </c>
      <c r="Q44" s="37">
        <f t="shared" si="6"/>
        <v>0</v>
      </c>
      <c r="R44" s="37">
        <f t="shared" si="6"/>
        <v>0</v>
      </c>
      <c r="S44" s="37">
        <f t="shared" si="6"/>
        <v>0</v>
      </c>
      <c r="T44" s="37">
        <f t="shared" si="6"/>
        <v>0</v>
      </c>
      <c r="U44" s="37">
        <f t="shared" si="6"/>
        <v>0</v>
      </c>
    </row>
    <row r="45" spans="7:21" x14ac:dyDescent="0.25">
      <c r="G45" t="s">
        <v>278</v>
      </c>
      <c r="I45" s="37">
        <f t="shared" si="6"/>
        <v>0</v>
      </c>
      <c r="J45" s="37">
        <f t="shared" si="6"/>
        <v>0</v>
      </c>
      <c r="K45" s="37">
        <f t="shared" si="6"/>
        <v>0</v>
      </c>
      <c r="L45" s="37">
        <f t="shared" si="6"/>
        <v>0</v>
      </c>
      <c r="M45" s="37">
        <f t="shared" si="6"/>
        <v>0</v>
      </c>
      <c r="N45" s="37">
        <f t="shared" si="6"/>
        <v>0</v>
      </c>
      <c r="O45" s="37">
        <f t="shared" si="6"/>
        <v>0</v>
      </c>
      <c r="P45" s="37">
        <f t="shared" si="6"/>
        <v>0</v>
      </c>
      <c r="Q45" s="37">
        <f t="shared" si="6"/>
        <v>0</v>
      </c>
      <c r="R45" s="37">
        <f t="shared" si="6"/>
        <v>0</v>
      </c>
      <c r="S45" s="37">
        <f t="shared" si="6"/>
        <v>0</v>
      </c>
      <c r="T45" s="37">
        <f t="shared" si="6"/>
        <v>0</v>
      </c>
      <c r="U45" s="37">
        <f t="shared" si="6"/>
        <v>0</v>
      </c>
    </row>
    <row r="46" spans="7:21" x14ac:dyDescent="0.25">
      <c r="G46" t="s">
        <v>276</v>
      </c>
      <c r="H46">
        <v>0.8</v>
      </c>
      <c r="I46" s="37">
        <f t="shared" si="6"/>
        <v>127.80867909905072</v>
      </c>
      <c r="J46" s="37">
        <f t="shared" si="6"/>
        <v>95.236058591889389</v>
      </c>
      <c r="K46" s="37">
        <f t="shared" si="6"/>
        <v>71.108191549547698</v>
      </c>
      <c r="L46" s="37">
        <f t="shared" si="6"/>
        <v>53.235697444109384</v>
      </c>
      <c r="M46" s="37">
        <f t="shared" si="6"/>
        <v>39.996812921562508</v>
      </c>
      <c r="N46" s="37">
        <f t="shared" si="6"/>
        <v>30.190231793750009</v>
      </c>
      <c r="O46" s="37">
        <f t="shared" si="6"/>
        <v>22.926097625000008</v>
      </c>
      <c r="P46" s="37">
        <f t="shared" si="6"/>
        <v>17.545257500000002</v>
      </c>
      <c r="Q46" s="37">
        <f t="shared" si="6"/>
        <v>13.559450000000002</v>
      </c>
      <c r="R46" s="37">
        <f t="shared" si="6"/>
        <v>10.607000000000001</v>
      </c>
      <c r="S46" s="37">
        <f t="shared" si="6"/>
        <v>8.42</v>
      </c>
      <c r="T46" s="37">
        <f t="shared" si="6"/>
        <v>6.8000000000000007</v>
      </c>
      <c r="U46" s="37">
        <f t="shared" si="6"/>
        <v>5.6000000000000005</v>
      </c>
    </row>
    <row r="47" spans="7:21" x14ac:dyDescent="0.25">
      <c r="G47" t="s">
        <v>277</v>
      </c>
      <c r="I47" s="37">
        <f t="shared" si="6"/>
        <v>0</v>
      </c>
      <c r="J47" s="37">
        <f t="shared" si="6"/>
        <v>0</v>
      </c>
      <c r="K47" s="37">
        <f t="shared" si="6"/>
        <v>0</v>
      </c>
      <c r="L47" s="37">
        <f t="shared" si="6"/>
        <v>0</v>
      </c>
      <c r="M47" s="37">
        <f t="shared" si="6"/>
        <v>0</v>
      </c>
      <c r="N47" s="37">
        <f t="shared" si="6"/>
        <v>0</v>
      </c>
      <c r="O47" s="37">
        <f t="shared" si="6"/>
        <v>0</v>
      </c>
      <c r="P47" s="37">
        <f t="shared" si="6"/>
        <v>0</v>
      </c>
      <c r="Q47" s="37">
        <f t="shared" si="6"/>
        <v>0</v>
      </c>
      <c r="R47" s="37">
        <f t="shared" si="6"/>
        <v>0</v>
      </c>
      <c r="S47" s="37">
        <f t="shared" si="6"/>
        <v>0</v>
      </c>
      <c r="T47" s="37">
        <f t="shared" si="6"/>
        <v>0</v>
      </c>
      <c r="U47" s="37">
        <f t="shared" si="6"/>
        <v>0</v>
      </c>
    </row>
    <row r="48" spans="7:21" x14ac:dyDescent="0.25">
      <c r="G48" t="s">
        <v>211</v>
      </c>
      <c r="I48" s="37">
        <f t="shared" si="6"/>
        <v>0</v>
      </c>
      <c r="J48" s="37">
        <f t="shared" si="6"/>
        <v>0</v>
      </c>
      <c r="K48" s="37">
        <f t="shared" si="6"/>
        <v>0</v>
      </c>
      <c r="L48" s="37">
        <f t="shared" si="6"/>
        <v>0</v>
      </c>
      <c r="M48" s="37">
        <f t="shared" si="6"/>
        <v>0</v>
      </c>
      <c r="N48" s="37">
        <f t="shared" si="6"/>
        <v>0</v>
      </c>
      <c r="O48" s="37">
        <f t="shared" si="6"/>
        <v>0</v>
      </c>
      <c r="P48" s="37">
        <f t="shared" si="6"/>
        <v>0</v>
      </c>
      <c r="Q48" s="37">
        <f t="shared" si="6"/>
        <v>0</v>
      </c>
      <c r="R48" s="37">
        <f t="shared" si="6"/>
        <v>0</v>
      </c>
      <c r="S48" s="37">
        <f t="shared" si="6"/>
        <v>0</v>
      </c>
      <c r="T48" s="37">
        <f t="shared" si="6"/>
        <v>0</v>
      </c>
      <c r="U48" s="37">
        <f t="shared" si="6"/>
        <v>0</v>
      </c>
    </row>
    <row r="49" spans="7:21" x14ac:dyDescent="0.25">
      <c r="G49" t="s">
        <v>382</v>
      </c>
      <c r="I49" s="37">
        <f t="shared" si="6"/>
        <v>0</v>
      </c>
      <c r="J49" s="37">
        <f t="shared" si="6"/>
        <v>0</v>
      </c>
      <c r="K49" s="37">
        <f t="shared" si="6"/>
        <v>0</v>
      </c>
      <c r="L49" s="37">
        <f t="shared" si="6"/>
        <v>0</v>
      </c>
      <c r="M49" s="37">
        <f t="shared" si="6"/>
        <v>0</v>
      </c>
      <c r="N49" s="37">
        <f t="shared" si="6"/>
        <v>0</v>
      </c>
      <c r="O49" s="37">
        <f t="shared" si="6"/>
        <v>0</v>
      </c>
      <c r="P49" s="37">
        <f t="shared" si="6"/>
        <v>0</v>
      </c>
      <c r="Q49" s="37">
        <f t="shared" si="6"/>
        <v>0</v>
      </c>
      <c r="R49" s="37">
        <f t="shared" si="6"/>
        <v>0</v>
      </c>
      <c r="S49" s="37">
        <f t="shared" si="6"/>
        <v>0</v>
      </c>
      <c r="T49" s="37">
        <f t="shared" si="6"/>
        <v>0</v>
      </c>
      <c r="U49" s="37">
        <f t="shared" si="6"/>
        <v>0</v>
      </c>
    </row>
  </sheetData>
  <sortState xmlns:xlrd2="http://schemas.microsoft.com/office/spreadsheetml/2017/richdata2" ref="G2:G430">
    <sortCondition ref="G2:G43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DDE7F-3435-47B6-9FAD-F85783BD0C18}">
  <dimension ref="A1:T34"/>
  <sheetViews>
    <sheetView topLeftCell="H1" workbookViewId="0">
      <selection activeCell="K6" sqref="K6"/>
    </sheetView>
  </sheetViews>
  <sheetFormatPr defaultRowHeight="15" x14ac:dyDescent="0.25"/>
  <cols>
    <col min="1" max="1" width="12.85546875" bestFit="1" customWidth="1"/>
    <col min="2" max="2" width="12.85546875" style="37" customWidth="1"/>
    <col min="14" max="14" width="26.5703125" bestFit="1" customWidth="1"/>
    <col min="16" max="16" width="5" bestFit="1" customWidth="1"/>
    <col min="17" max="17" width="26.5703125" bestFit="1" customWidth="1"/>
    <col min="18" max="18" width="26.5703125" style="37" customWidth="1"/>
    <col min="19" max="19" width="33" bestFit="1" customWidth="1"/>
  </cols>
  <sheetData>
    <row r="1" spans="1:20" x14ac:dyDescent="0.25">
      <c r="B1" s="37" t="s">
        <v>959</v>
      </c>
      <c r="D1" t="s">
        <v>958</v>
      </c>
    </row>
    <row r="2" spans="1:20" x14ac:dyDescent="0.25">
      <c r="A2" t="s">
        <v>728</v>
      </c>
      <c r="B2" s="37">
        <f>COUNTIF(UniqueID!C:C,Country!A2)</f>
        <v>116</v>
      </c>
      <c r="C2" s="2">
        <f>AVERAGEIF(UniqueID!C:C,Country!A2,UniqueID!L:L)</f>
        <v>45.285237068965472</v>
      </c>
      <c r="D2">
        <f>SUMIF(Table1[Country],Country!A2,Wine1!I:I)</f>
        <v>555</v>
      </c>
      <c r="H2" t="s">
        <v>728</v>
      </c>
      <c r="I2">
        <f>COUNTIF(Wine1!F:F,Country!H2)</f>
        <v>556</v>
      </c>
    </row>
    <row r="3" spans="1:20" x14ac:dyDescent="0.25">
      <c r="A3" t="s">
        <v>742</v>
      </c>
      <c r="B3" s="37">
        <f>COUNTIF(UniqueID!C:C,Country!A3)</f>
        <v>47</v>
      </c>
      <c r="C3" s="2">
        <f>AVERAGEIF(UniqueID!C:C,Country!A3,UniqueID!L:L)</f>
        <v>35.896808510638301</v>
      </c>
      <c r="D3" s="37">
        <f>SUMIF(Table1[Country],Country!A3,Wine1!I:I)</f>
        <v>359</v>
      </c>
      <c r="H3" t="s">
        <v>729</v>
      </c>
      <c r="I3" s="37">
        <f>COUNTIF(Wine1!F:F,Country!H3)</f>
        <v>224</v>
      </c>
    </row>
    <row r="4" spans="1:20" x14ac:dyDescent="0.25">
      <c r="A4" t="s">
        <v>804</v>
      </c>
      <c r="B4" s="37">
        <f>COUNTIF(UniqueID!C:C,Country!A4)</f>
        <v>13</v>
      </c>
      <c r="C4" s="2">
        <f>AVERAGEIF(UniqueID!C:C,Country!A4,UniqueID!L:L)</f>
        <v>55.396153846153844</v>
      </c>
      <c r="D4" s="37">
        <f>SUMIF(Table1[Country],Country!A4,Wine1!I:I)</f>
        <v>34</v>
      </c>
      <c r="H4" t="s">
        <v>727</v>
      </c>
      <c r="I4" s="37">
        <f>COUNTIF(Wine1!F:F,Country!H4)</f>
        <v>59</v>
      </c>
    </row>
    <row r="5" spans="1:20" x14ac:dyDescent="0.25">
      <c r="A5" t="s">
        <v>729</v>
      </c>
      <c r="B5" s="37">
        <f>COUNTIF(UniqueID!C:C,Country!A5)</f>
        <v>32</v>
      </c>
      <c r="C5" s="2">
        <f>AVERAGEIF(UniqueID!C:C,Country!A5,UniqueID!L:L)</f>
        <v>35.463906250000001</v>
      </c>
      <c r="D5" s="37">
        <f>SUMIF(Table1[Country],Country!A5,Wine1!I:I)</f>
        <v>224</v>
      </c>
      <c r="H5" t="s">
        <v>742</v>
      </c>
      <c r="I5" s="37">
        <f>COUNTIF(Wine1!F:F,Country!H5)</f>
        <v>359</v>
      </c>
    </row>
    <row r="6" spans="1:20" x14ac:dyDescent="0.25">
      <c r="A6" t="s">
        <v>727</v>
      </c>
      <c r="B6" s="37">
        <f>COUNTIF(UniqueID!C:C,Country!A6)</f>
        <v>39</v>
      </c>
      <c r="C6" s="2">
        <f>AVERAGEIF(UniqueID!C:C,Country!A6,UniqueID!L:L)</f>
        <v>44.184615384615384</v>
      </c>
      <c r="D6" s="37">
        <f>SUMIF(Table1[Country],Country!A6,Wine1!I:I)</f>
        <v>59</v>
      </c>
      <c r="H6" t="s">
        <v>731</v>
      </c>
      <c r="I6" s="37">
        <f>COUNTIF(Wine1!F:F,Country!H6)</f>
        <v>59</v>
      </c>
    </row>
    <row r="7" spans="1:20" x14ac:dyDescent="0.25">
      <c r="A7" t="s">
        <v>731</v>
      </c>
      <c r="B7" s="37">
        <f>COUNTIF(UniqueID!C:C,Country!A7)</f>
        <v>8</v>
      </c>
      <c r="C7" s="2">
        <f>AVERAGEIF(UniqueID!C:C,Country!A7,UniqueID!L:L)</f>
        <v>27.89</v>
      </c>
      <c r="D7" s="37">
        <f>SUMIF(Table1[Country],Country!A7,Wine1!I:I)</f>
        <v>59</v>
      </c>
      <c r="H7" t="s">
        <v>804</v>
      </c>
      <c r="I7" s="37">
        <f>COUNTIF(Wine1!F:F,Country!H7)</f>
        <v>34</v>
      </c>
    </row>
    <row r="8" spans="1:20" x14ac:dyDescent="0.25">
      <c r="A8" t="s">
        <v>736</v>
      </c>
      <c r="B8" s="37">
        <f>COUNTIF(UniqueID!C:C,Country!A8)</f>
        <v>3</v>
      </c>
      <c r="C8" s="2">
        <f>AVERAGEIF(UniqueID!C:C,Country!A8,UniqueID!L:L)</f>
        <v>45.830000000000005</v>
      </c>
      <c r="D8" s="37">
        <f>SUMIF(Table1[Country],Country!A8,Wine1!I:I)</f>
        <v>14</v>
      </c>
      <c r="H8" t="s">
        <v>736</v>
      </c>
      <c r="I8" s="37">
        <f>COUNTIF(Wine1!F:F,Country!H8)</f>
        <v>14</v>
      </c>
      <c r="T8" s="37"/>
    </row>
    <row r="9" spans="1:20" x14ac:dyDescent="0.25">
      <c r="A9" t="s">
        <v>865</v>
      </c>
      <c r="B9" s="37">
        <f>COUNTIF(UniqueID!C:C,Country!A9)</f>
        <v>1</v>
      </c>
      <c r="C9" s="2">
        <f>AVERAGEIF(UniqueID!C:C,Country!A9,UniqueID!L:L)</f>
        <v>29.984999999999996</v>
      </c>
      <c r="D9" s="37">
        <f>SUMIF(Table1[Country],Country!A9,Wine1!I:I)</f>
        <v>0</v>
      </c>
      <c r="H9" t="s">
        <v>1589</v>
      </c>
      <c r="I9" s="37">
        <f>COUNTIF(Wine1!F:F,Country!H9)</f>
        <v>1</v>
      </c>
      <c r="T9" s="37"/>
    </row>
    <row r="10" spans="1:20" x14ac:dyDescent="0.25">
      <c r="A10" t="s">
        <v>952</v>
      </c>
      <c r="B10" s="37">
        <f>COUNTIF(UniqueID!C:C,Country!A10)</f>
        <v>1</v>
      </c>
      <c r="C10" s="2">
        <f>AVERAGEIF(UniqueID!C:C,Country!A10,UniqueID!L:L)</f>
        <v>13.490000000000002</v>
      </c>
      <c r="D10" s="37">
        <f>SUMIF(Table1[Country],Country!A10,Wine1!I:I)</f>
        <v>4</v>
      </c>
      <c r="H10" t="s">
        <v>1606</v>
      </c>
      <c r="I10" s="37">
        <f>COUNTIF(Wine1!F:F,Country!H10)</f>
        <v>6</v>
      </c>
      <c r="T10" s="37"/>
    </row>
    <row r="11" spans="1:20" x14ac:dyDescent="0.25">
      <c r="H11" t="s">
        <v>952</v>
      </c>
      <c r="I11" s="37">
        <f>COUNTIF(Wine1!F:F,Country!H11)</f>
        <v>4</v>
      </c>
      <c r="T11" s="37"/>
    </row>
    <row r="12" spans="1:20" x14ac:dyDescent="0.25">
      <c r="T12" s="37"/>
    </row>
    <row r="13" spans="1:20" x14ac:dyDescent="0.25">
      <c r="T13" s="37"/>
    </row>
    <row r="14" spans="1:20" x14ac:dyDescent="0.25">
      <c r="T14" s="37"/>
    </row>
    <row r="15" spans="1:20" x14ac:dyDescent="0.25">
      <c r="T15" s="37"/>
    </row>
    <row r="16" spans="1:20" x14ac:dyDescent="0.25">
      <c r="T16" s="37"/>
    </row>
    <row r="17" spans="20:20" x14ac:dyDescent="0.25">
      <c r="T17" s="37"/>
    </row>
    <row r="18" spans="20:20" x14ac:dyDescent="0.25">
      <c r="T18" s="37"/>
    </row>
    <row r="19" spans="20:20" x14ac:dyDescent="0.25">
      <c r="T19" s="37"/>
    </row>
    <row r="20" spans="20:20" x14ac:dyDescent="0.25">
      <c r="T20" s="37"/>
    </row>
    <row r="21" spans="20:20" x14ac:dyDescent="0.25">
      <c r="T21" s="37"/>
    </row>
    <row r="22" spans="20:20" x14ac:dyDescent="0.25">
      <c r="T22" s="37"/>
    </row>
    <row r="23" spans="20:20" x14ac:dyDescent="0.25">
      <c r="T23" s="37"/>
    </row>
    <row r="24" spans="20:20" x14ac:dyDescent="0.25">
      <c r="T24" s="37"/>
    </row>
    <row r="25" spans="20:20" x14ac:dyDescent="0.25">
      <c r="T25" s="37"/>
    </row>
    <row r="26" spans="20:20" x14ac:dyDescent="0.25">
      <c r="T26" s="37"/>
    </row>
    <row r="27" spans="20:20" x14ac:dyDescent="0.25">
      <c r="T27" s="37"/>
    </row>
    <row r="28" spans="20:20" x14ac:dyDescent="0.25">
      <c r="T28" s="37"/>
    </row>
    <row r="29" spans="20:20" x14ac:dyDescent="0.25">
      <c r="T29" s="37"/>
    </row>
    <row r="30" spans="20:20" x14ac:dyDescent="0.25">
      <c r="T30" s="37"/>
    </row>
    <row r="31" spans="20:20" x14ac:dyDescent="0.25">
      <c r="T31" s="37"/>
    </row>
    <row r="32" spans="20:20" x14ac:dyDescent="0.25">
      <c r="T32" s="37"/>
    </row>
    <row r="33" spans="20:20" x14ac:dyDescent="0.25">
      <c r="T33" s="37"/>
    </row>
    <row r="34" spans="20:20" x14ac:dyDescent="0.25">
      <c r="T34" s="37"/>
    </row>
  </sheetData>
  <sortState xmlns:xlrd2="http://schemas.microsoft.com/office/spreadsheetml/2017/richdata2" ref="P7:P63">
    <sortCondition ref="P7:P63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B8000-3430-4525-B7E2-DB55C100FBA0}">
  <dimension ref="A2:F278"/>
  <sheetViews>
    <sheetView workbookViewId="0">
      <selection activeCell="F13" sqref="F13"/>
    </sheetView>
  </sheetViews>
  <sheetFormatPr defaultRowHeight="15" x14ac:dyDescent="0.25"/>
  <cols>
    <col min="1" max="1" width="26.85546875" bestFit="1" customWidth="1"/>
    <col min="2" max="2" width="9.7109375" style="37" bestFit="1" customWidth="1"/>
    <col min="3" max="3" width="20.140625" style="37" customWidth="1"/>
  </cols>
  <sheetData>
    <row r="2" spans="1:6" x14ac:dyDescent="0.25">
      <c r="A2" t="s">
        <v>978</v>
      </c>
      <c r="B2" s="37" t="s">
        <v>731</v>
      </c>
      <c r="C2" s="37" t="s">
        <v>732</v>
      </c>
      <c r="D2">
        <f>COUNTIF(UniqueID!F:F,Region!A2)</f>
        <v>8</v>
      </c>
      <c r="E2" s="2">
        <f>AVERAGEIF(UniqueID!F:F,Region!A2,UniqueID!L:L)</f>
        <v>27.89</v>
      </c>
      <c r="F2">
        <f>SUMIF(Wine1!G:G,Region!C2,Wine1!I:I)</f>
        <v>54</v>
      </c>
    </row>
    <row r="3" spans="1:6" x14ac:dyDescent="0.25">
      <c r="A3" s="37" t="s">
        <v>986</v>
      </c>
      <c r="B3" s="37" t="s">
        <v>736</v>
      </c>
      <c r="C3" s="37" t="s">
        <v>737</v>
      </c>
      <c r="D3" s="37">
        <f>COUNTIF(UniqueID!F:F,Region!A3)</f>
        <v>2</v>
      </c>
      <c r="E3" s="2">
        <f>AVERAGEIF(UniqueID!F:F,Region!A3,UniqueID!L:L)</f>
        <v>36.245000000000005</v>
      </c>
      <c r="F3" s="37">
        <f>SUMIF(Wine1!G:G,Region!C3,Wine1!I:I)</f>
        <v>11</v>
      </c>
    </row>
    <row r="4" spans="1:6" x14ac:dyDescent="0.25">
      <c r="A4" s="37" t="s">
        <v>981</v>
      </c>
      <c r="B4" s="37" t="s">
        <v>736</v>
      </c>
      <c r="C4" s="37" t="s">
        <v>740</v>
      </c>
      <c r="D4" s="37">
        <f>COUNTIF(UniqueID!F:F,Region!A4)</f>
        <v>1</v>
      </c>
      <c r="E4" s="2">
        <f>AVERAGEIF(UniqueID!F:F,Region!A4,UniqueID!L:L)</f>
        <v>65</v>
      </c>
      <c r="F4" s="37">
        <f>SUMIF(Wine1!G:G,Region!C4,Wine1!I:I)</f>
        <v>2</v>
      </c>
    </row>
    <row r="5" spans="1:6" x14ac:dyDescent="0.25">
      <c r="A5" s="37" t="s">
        <v>991</v>
      </c>
      <c r="B5" s="37" t="s">
        <v>952</v>
      </c>
      <c r="C5" s="37" t="s">
        <v>953</v>
      </c>
      <c r="D5" s="37">
        <f>COUNTIF(UniqueID!F:F,Region!A5)</f>
        <v>1</v>
      </c>
      <c r="E5" s="2">
        <f>AVERAGEIF(UniqueID!F:F,Region!A5,UniqueID!L:L)</f>
        <v>13.490000000000002</v>
      </c>
      <c r="F5" s="37">
        <f>SUMIF(Wine1!G:G,Region!C5,Wine1!I:I)</f>
        <v>0</v>
      </c>
    </row>
    <row r="6" spans="1:6" x14ac:dyDescent="0.25">
      <c r="A6" s="37" t="s">
        <v>984</v>
      </c>
      <c r="B6" s="37" t="s">
        <v>742</v>
      </c>
      <c r="C6" s="37" t="s">
        <v>743</v>
      </c>
      <c r="D6" s="37">
        <f>COUNTIF(UniqueID!F:F,Region!A6)</f>
        <v>1</v>
      </c>
      <c r="E6" s="2">
        <f>AVERAGEIF(UniqueID!F:F,Region!A6,UniqueID!L:L)</f>
        <v>22</v>
      </c>
      <c r="F6" s="37">
        <f>SUMIF(Wine1!G:G,Region!C6,Wine1!I:I)</f>
        <v>2</v>
      </c>
    </row>
    <row r="7" spans="1:6" x14ac:dyDescent="0.25">
      <c r="A7" s="37" t="s">
        <v>977</v>
      </c>
      <c r="B7" s="37" t="s">
        <v>742</v>
      </c>
      <c r="C7" s="37" t="s">
        <v>745</v>
      </c>
      <c r="D7" s="37">
        <f>COUNTIF(UniqueID!F:F,Region!A7)</f>
        <v>2</v>
      </c>
      <c r="E7" s="2">
        <f>AVERAGEIF(UniqueID!F:F,Region!A7,UniqueID!L:L)</f>
        <v>16.489999999999998</v>
      </c>
      <c r="F7" s="37">
        <f>SUMIF(Wine1!G:G,Region!C7,Wine1!I:I)</f>
        <v>12</v>
      </c>
    </row>
    <row r="8" spans="1:6" x14ac:dyDescent="0.25">
      <c r="A8" s="37" t="s">
        <v>976</v>
      </c>
      <c r="B8" s="37" t="s">
        <v>742</v>
      </c>
      <c r="C8" s="37" t="s">
        <v>748</v>
      </c>
      <c r="D8" s="37">
        <f>COUNTIF(UniqueID!F:F,Region!A8)</f>
        <v>21</v>
      </c>
      <c r="E8" s="2">
        <f>AVERAGEIF(UniqueID!F:F,Region!A8,UniqueID!L:L)</f>
        <v>44.531904761904762</v>
      </c>
      <c r="F8" s="37">
        <f>SUMIF(Wine1!G:G,Region!C8,Wine1!I:I)</f>
        <v>142</v>
      </c>
    </row>
    <row r="9" spans="1:6" x14ac:dyDescent="0.25">
      <c r="A9" s="37" t="s">
        <v>985</v>
      </c>
      <c r="B9" s="37" t="s">
        <v>742</v>
      </c>
      <c r="C9" s="37" t="s">
        <v>754</v>
      </c>
      <c r="D9" s="37">
        <f>COUNTIF(UniqueID!F:F,Region!A9)</f>
        <v>3</v>
      </c>
      <c r="E9" s="2">
        <f>AVERAGEIF(UniqueID!F:F,Region!A9,UniqueID!L:L)</f>
        <v>37.333333333333336</v>
      </c>
      <c r="F9" s="37">
        <f>SUMIF(Wine1!G:G,Region!C9,Wine1!I:I)</f>
        <v>5</v>
      </c>
    </row>
    <row r="10" spans="1:6" x14ac:dyDescent="0.25">
      <c r="A10" s="37" t="s">
        <v>980</v>
      </c>
      <c r="B10" s="37" t="s">
        <v>742</v>
      </c>
      <c r="C10" s="37" t="s">
        <v>416</v>
      </c>
      <c r="D10" s="37">
        <f>COUNTIF(UniqueID!F:F,Region!A10)</f>
        <v>1</v>
      </c>
      <c r="E10" s="2">
        <f>AVERAGEIF(UniqueID!F:F,Region!A10,UniqueID!L:L)</f>
        <v>60</v>
      </c>
      <c r="F10" s="37">
        <f>SUMIF(Wine1!G:G,Region!C10,Wine1!I:I)</f>
        <v>6</v>
      </c>
    </row>
    <row r="11" spans="1:6" x14ac:dyDescent="0.25">
      <c r="A11" s="37" t="s">
        <v>969</v>
      </c>
      <c r="B11" s="37" t="s">
        <v>742</v>
      </c>
      <c r="C11" s="37" t="s">
        <v>756</v>
      </c>
      <c r="D11" s="37">
        <f>COUNTIF(UniqueID!F:F,Region!A11)</f>
        <v>1</v>
      </c>
      <c r="E11" s="2">
        <f>AVERAGEIF(UniqueID!F:F,Region!A11,UniqueID!L:L)</f>
        <v>12.989999999999998</v>
      </c>
      <c r="F11" s="37">
        <f>SUMIF(Wine1!G:G,Region!C11,Wine1!I:I)</f>
        <v>1</v>
      </c>
    </row>
    <row r="12" spans="1:6" x14ac:dyDescent="0.25">
      <c r="A12" s="37" t="s">
        <v>962</v>
      </c>
      <c r="B12" s="37" t="s">
        <v>742</v>
      </c>
      <c r="C12" s="37" t="s">
        <v>758</v>
      </c>
      <c r="D12" s="37">
        <f>COUNTIF(UniqueID!F:F,Region!A12)</f>
        <v>1</v>
      </c>
      <c r="E12" s="2">
        <f>AVERAGEIF(UniqueID!F:F,Region!A12,UniqueID!L:L)</f>
        <v>15.97</v>
      </c>
      <c r="F12" s="37">
        <f>SUMIF(Wine1!G:G,Region!C12,Wine1!I:I)</f>
        <v>0</v>
      </c>
    </row>
    <row r="13" spans="1:6" x14ac:dyDescent="0.25">
      <c r="A13" s="37" t="s">
        <v>974</v>
      </c>
      <c r="B13" s="37" t="s">
        <v>742</v>
      </c>
      <c r="C13" s="37" t="s">
        <v>759</v>
      </c>
      <c r="D13" s="37">
        <f>COUNTIF(UniqueID!F:F,Region!A13)</f>
        <v>16</v>
      </c>
      <c r="E13" s="2">
        <f>AVERAGEIF(UniqueID!F:F,Region!A13,UniqueID!L:L)</f>
        <v>30.065625000000004</v>
      </c>
      <c r="F13" s="37">
        <f>SUMIF(Wine1!G:G,Region!C13,Wine1!I:I)</f>
        <v>170</v>
      </c>
    </row>
    <row r="14" spans="1:6" x14ac:dyDescent="0.25">
      <c r="A14" s="37" t="s">
        <v>975</v>
      </c>
      <c r="B14" s="37" t="s">
        <v>742</v>
      </c>
      <c r="C14" s="37" t="s">
        <v>766</v>
      </c>
      <c r="D14" s="37">
        <f>COUNTIF(UniqueID!F:F,Region!A14)</f>
        <v>1</v>
      </c>
      <c r="E14" s="2">
        <f>AVERAGEIF(UniqueID!F:F,Region!A14,UniqueID!L:L)</f>
        <v>14.99</v>
      </c>
      <c r="F14" s="37">
        <f>SUMIF(Wine1!G:G,Region!C14,Wine1!I:I)</f>
        <v>8</v>
      </c>
    </row>
    <row r="15" spans="1:6" x14ac:dyDescent="0.25">
      <c r="A15" s="37" t="s">
        <v>989</v>
      </c>
      <c r="B15" s="37" t="s">
        <v>865</v>
      </c>
      <c r="D15" s="37">
        <f>COUNTIF(UniqueID!F:F,Region!A15)</f>
        <v>1</v>
      </c>
      <c r="E15" s="2">
        <f>AVERAGEIF(UniqueID!F:F,Region!A15,UniqueID!L:L)</f>
        <v>29.984999999999996</v>
      </c>
      <c r="F15" s="37">
        <f>SUMIF(Wine1!G:G,Region!C15,Wine1!I:I)</f>
        <v>0</v>
      </c>
    </row>
    <row r="16" spans="1:6" x14ac:dyDescent="0.25">
      <c r="A16" s="37" t="s">
        <v>993</v>
      </c>
      <c r="B16" s="37" t="s">
        <v>728</v>
      </c>
      <c r="C16" s="37" t="s">
        <v>768</v>
      </c>
      <c r="D16" s="37">
        <f>COUNTIF(UniqueID!F:F,Region!A16)</f>
        <v>1</v>
      </c>
      <c r="E16" s="2">
        <f>AVERAGEIF(UniqueID!F:F,Region!A16,UniqueID!L:L)</f>
        <v>14.000000000000002</v>
      </c>
      <c r="F16" s="37">
        <f>SUMIF(Wine1!G:G,Region!C16,Wine1!I:I)</f>
        <v>0</v>
      </c>
    </row>
    <row r="17" spans="1:6" x14ac:dyDescent="0.25">
      <c r="A17" s="37" t="s">
        <v>988</v>
      </c>
      <c r="B17" s="37" t="s">
        <v>728</v>
      </c>
      <c r="C17" s="37" t="s">
        <v>771</v>
      </c>
      <c r="D17" s="37">
        <f>COUNTIF(UniqueID!F:F,Region!A17)</f>
        <v>2</v>
      </c>
      <c r="E17" s="2">
        <f>AVERAGEIF(UniqueID!F:F,Region!A17,UniqueID!L:L)</f>
        <v>49.994999999999997</v>
      </c>
      <c r="F17" s="37">
        <f>SUMIF(Wine1!G:G,Region!C17,Wine1!I:I)</f>
        <v>6</v>
      </c>
    </row>
    <row r="18" spans="1:6" x14ac:dyDescent="0.25">
      <c r="A18" s="37" t="s">
        <v>994</v>
      </c>
      <c r="B18" s="37" t="s">
        <v>728</v>
      </c>
      <c r="C18" s="37" t="s">
        <v>774</v>
      </c>
      <c r="D18" s="37">
        <f>COUNTIF(UniqueID!F:F,Region!A18)</f>
        <v>2</v>
      </c>
      <c r="E18" s="2">
        <f>AVERAGEIF(UniqueID!F:F,Region!A18,UniqueID!L:L)</f>
        <v>27.5</v>
      </c>
      <c r="F18" s="37">
        <f>SUMIF(Wine1!G:G,Region!C18,Wine1!I:I)</f>
        <v>0</v>
      </c>
    </row>
    <row r="19" spans="1:6" x14ac:dyDescent="0.25">
      <c r="A19" s="37" t="s">
        <v>992</v>
      </c>
      <c r="B19" s="37" t="s">
        <v>728</v>
      </c>
      <c r="C19" s="37" t="s">
        <v>776</v>
      </c>
      <c r="D19" s="37">
        <f>COUNTIF(UniqueID!F:F,Region!A19)</f>
        <v>1</v>
      </c>
      <c r="E19" s="2">
        <f>AVERAGEIF(UniqueID!F:F,Region!A19,UniqueID!L:L)</f>
        <v>40</v>
      </c>
      <c r="F19" s="37">
        <f>SUMIF(Wine1!G:G,Region!C19,Wine1!I:I)</f>
        <v>0</v>
      </c>
    </row>
    <row r="20" spans="1:6" x14ac:dyDescent="0.25">
      <c r="A20" s="37" t="s">
        <v>965</v>
      </c>
      <c r="B20" s="37" t="s">
        <v>728</v>
      </c>
      <c r="C20" s="37" t="s">
        <v>778</v>
      </c>
      <c r="D20" s="37">
        <f>COUNTIF(UniqueID!F:F,Region!A20)</f>
        <v>26</v>
      </c>
      <c r="E20" s="2">
        <f>AVERAGEIF(UniqueID!F:F,Region!A20,UniqueID!L:L)</f>
        <v>43.846442307692314</v>
      </c>
      <c r="F20" s="37">
        <f>SUMIF(Wine1!G:G,Region!C20,Wine1!I:I)</f>
        <v>165</v>
      </c>
    </row>
    <row r="21" spans="1:6" x14ac:dyDescent="0.25">
      <c r="A21" s="37" t="s">
        <v>972</v>
      </c>
      <c r="B21" s="37" t="s">
        <v>728</v>
      </c>
      <c r="C21" s="37" t="s">
        <v>785</v>
      </c>
      <c r="D21" s="37">
        <f>COUNTIF(UniqueID!F:F,Region!A21)</f>
        <v>4</v>
      </c>
      <c r="E21" s="2">
        <f>AVERAGEIF(UniqueID!F:F,Region!A21,UniqueID!L:L)</f>
        <v>16.975000000000001</v>
      </c>
      <c r="F21" s="37">
        <f>SUMIF(Wine1!G:G,Region!C21,Wine1!I:I)</f>
        <v>31</v>
      </c>
    </row>
    <row r="22" spans="1:6" x14ac:dyDescent="0.25">
      <c r="A22" s="37" t="s">
        <v>987</v>
      </c>
      <c r="B22" s="37" t="s">
        <v>728</v>
      </c>
      <c r="C22" s="37" t="s">
        <v>787</v>
      </c>
      <c r="D22" s="37">
        <f>COUNTIF(UniqueID!F:F,Region!A22)</f>
        <v>1</v>
      </c>
      <c r="E22" s="2">
        <f>AVERAGEIF(UniqueID!F:F,Region!A22,UniqueID!L:L)</f>
        <v>44</v>
      </c>
      <c r="F22" s="37">
        <f>SUMIF(Wine1!G:G,Region!C22,Wine1!I:I)</f>
        <v>5</v>
      </c>
    </row>
    <row r="23" spans="1:6" x14ac:dyDescent="0.25">
      <c r="A23" s="37" t="s">
        <v>995</v>
      </c>
      <c r="B23" s="37" t="s">
        <v>728</v>
      </c>
      <c r="C23" s="37" t="s">
        <v>788</v>
      </c>
      <c r="D23" s="37">
        <f>COUNTIF(UniqueID!F:F,Region!A23)</f>
        <v>1</v>
      </c>
      <c r="E23" s="2">
        <f>AVERAGEIF(UniqueID!F:F,Region!A23,UniqueID!L:L)</f>
        <v>16.190000000000001</v>
      </c>
      <c r="F23" s="37">
        <f>SUMIF(Wine1!G:G,Region!C23,Wine1!I:I)</f>
        <v>7</v>
      </c>
    </row>
    <row r="24" spans="1:6" x14ac:dyDescent="0.25">
      <c r="A24" s="37" t="s">
        <v>963</v>
      </c>
      <c r="B24" s="37" t="s">
        <v>728</v>
      </c>
      <c r="C24" s="37" t="s">
        <v>790</v>
      </c>
      <c r="D24" s="37">
        <f>COUNTIF(UniqueID!F:F,Region!A24)</f>
        <v>50</v>
      </c>
      <c r="E24" s="2">
        <f>AVERAGEIF(UniqueID!F:F,Region!A24,UniqueID!L:L)</f>
        <v>50.083399999999983</v>
      </c>
      <c r="F24" s="37">
        <f>SUMIF(Wine1!G:G,Region!C24,Wine1!I:I)</f>
        <v>275</v>
      </c>
    </row>
    <row r="25" spans="1:6" x14ac:dyDescent="0.25">
      <c r="A25" s="37" t="s">
        <v>983</v>
      </c>
      <c r="B25" s="37" t="s">
        <v>728</v>
      </c>
      <c r="C25" s="37" t="s">
        <v>797</v>
      </c>
      <c r="D25" s="37">
        <f>COUNTIF(UniqueID!F:F,Region!A25)</f>
        <v>1</v>
      </c>
      <c r="E25" s="2">
        <f>AVERAGEIF(UniqueID!F:F,Region!A25,UniqueID!L:L)</f>
        <v>24.989999999999995</v>
      </c>
      <c r="F25" s="37">
        <f>SUMIF(Wine1!G:G,Region!C25,Wine1!I:I)</f>
        <v>4</v>
      </c>
    </row>
    <row r="26" spans="1:6" x14ac:dyDescent="0.25">
      <c r="A26" s="37" t="s">
        <v>961</v>
      </c>
      <c r="B26" s="37" t="s">
        <v>728</v>
      </c>
      <c r="C26" s="37" t="s">
        <v>799</v>
      </c>
      <c r="D26" s="37">
        <f>COUNTIF(UniqueID!F:F,Region!A26)</f>
        <v>27</v>
      </c>
      <c r="E26" s="2">
        <f>AVERAGEIF(UniqueID!F:F,Region!A26,UniqueID!L:L)</f>
        <v>46.179259259259261</v>
      </c>
      <c r="F26" s="37">
        <f>SUMIF(Wine1!G:G,Region!C26,Wine1!I:I)</f>
        <v>61</v>
      </c>
    </row>
    <row r="27" spans="1:6" x14ac:dyDescent="0.25">
      <c r="A27" s="37" t="s">
        <v>964</v>
      </c>
      <c r="B27" s="37" t="s">
        <v>804</v>
      </c>
      <c r="C27" s="37" t="s">
        <v>837</v>
      </c>
      <c r="D27" s="37">
        <f>COUNTIF(UniqueID!F:F,Region!A27)</f>
        <v>3</v>
      </c>
      <c r="E27" s="2">
        <f>AVERAGEIF(UniqueID!F:F,Region!A27,UniqueID!L:L)</f>
        <v>9.7299999999999986</v>
      </c>
      <c r="F27" s="37">
        <f>SUMIF(Wine1!G:G,Region!C27,Wine1!I:I)</f>
        <v>1</v>
      </c>
    </row>
    <row r="28" spans="1:6" x14ac:dyDescent="0.25">
      <c r="A28" s="37" t="s">
        <v>979</v>
      </c>
      <c r="B28" s="37" t="s">
        <v>804</v>
      </c>
      <c r="C28" s="37" t="s">
        <v>805</v>
      </c>
      <c r="D28" s="37">
        <f>COUNTIF(UniqueID!F:F,Region!A28)</f>
        <v>10</v>
      </c>
      <c r="E28" s="2">
        <f>AVERAGEIF(UniqueID!F:F,Region!A28,UniqueID!L:L)</f>
        <v>69.096000000000004</v>
      </c>
      <c r="F28" s="37">
        <f>SUMIF(Wine1!G:G,Region!C28,Wine1!I:I)</f>
        <v>21</v>
      </c>
    </row>
    <row r="29" spans="1:6" x14ac:dyDescent="0.25">
      <c r="A29" s="37" t="s">
        <v>966</v>
      </c>
      <c r="B29" s="37" t="s">
        <v>729</v>
      </c>
      <c r="C29" s="37" t="s">
        <v>809</v>
      </c>
      <c r="D29" s="37">
        <f>COUNTIF(UniqueID!F:F,Region!A29)</f>
        <v>1</v>
      </c>
      <c r="E29" s="2">
        <f>AVERAGEIF(UniqueID!F:F,Region!A29,UniqueID!L:L)</f>
        <v>150</v>
      </c>
      <c r="F29" s="37">
        <f>SUMIF(Wine1!G:G,Region!C29,Wine1!I:I)</f>
        <v>5</v>
      </c>
    </row>
    <row r="30" spans="1:6" x14ac:dyDescent="0.25">
      <c r="A30" s="37" t="s">
        <v>968</v>
      </c>
      <c r="B30" s="37" t="s">
        <v>729</v>
      </c>
      <c r="C30" s="37" t="s">
        <v>811</v>
      </c>
      <c r="D30" s="37">
        <f>COUNTIF(UniqueID!F:F,Region!A30)</f>
        <v>5</v>
      </c>
      <c r="E30" s="2">
        <f>AVERAGEIF(UniqueID!F:F,Region!A30,UniqueID!L:L)</f>
        <v>16.931999999999999</v>
      </c>
      <c r="F30" s="37">
        <f>SUMIF(Wine1!G:G,Region!C30,Wine1!I:I)</f>
        <v>14</v>
      </c>
    </row>
    <row r="31" spans="1:6" x14ac:dyDescent="0.25">
      <c r="A31" s="37" t="s">
        <v>971</v>
      </c>
      <c r="B31" s="37" t="s">
        <v>729</v>
      </c>
      <c r="C31" s="37" t="s">
        <v>814</v>
      </c>
      <c r="D31" s="37">
        <f>COUNTIF(UniqueID!F:F,Region!A31)</f>
        <v>1</v>
      </c>
      <c r="E31" s="2">
        <f>AVERAGEIF(UniqueID!F:F,Region!A31,UniqueID!L:L)</f>
        <v>38</v>
      </c>
      <c r="F31" s="37">
        <f>SUMIF(Wine1!G:G,Region!C31,Wine1!I:I)</f>
        <v>0</v>
      </c>
    </row>
    <row r="32" spans="1:6" x14ac:dyDescent="0.25">
      <c r="A32" s="37" t="s">
        <v>996</v>
      </c>
      <c r="B32" s="37" t="s">
        <v>729</v>
      </c>
      <c r="C32" s="37" t="s">
        <v>819</v>
      </c>
      <c r="D32" s="37">
        <f>COUNTIF(UniqueID!F:F,Region!A32)</f>
        <v>1</v>
      </c>
      <c r="E32" s="2">
        <f>AVERAGEIF(UniqueID!F:F,Region!A32,UniqueID!L:L)</f>
        <v>39.99</v>
      </c>
      <c r="F32" s="37">
        <f>SUMIF(Wine1!G:G,Region!C32,Wine1!I:I)</f>
        <v>0</v>
      </c>
    </row>
    <row r="33" spans="1:6" x14ac:dyDescent="0.25">
      <c r="A33" s="37" t="s">
        <v>990</v>
      </c>
      <c r="B33" s="37" t="s">
        <v>729</v>
      </c>
      <c r="C33" s="37" t="s">
        <v>821</v>
      </c>
      <c r="D33" s="37">
        <f>COUNTIF(UniqueID!F:F,Region!A33)</f>
        <v>1</v>
      </c>
      <c r="E33" s="2">
        <f>AVERAGEIF(UniqueID!F:F,Region!A33,UniqueID!L:L)</f>
        <v>39</v>
      </c>
      <c r="F33" s="37">
        <f>SUMIF(Wine1!G:G,Region!C33,Wine1!I:I)</f>
        <v>5</v>
      </c>
    </row>
    <row r="34" spans="1:6" x14ac:dyDescent="0.25">
      <c r="A34" s="37" t="s">
        <v>967</v>
      </c>
      <c r="B34" s="37" t="s">
        <v>729</v>
      </c>
      <c r="C34" s="37" t="s">
        <v>823</v>
      </c>
      <c r="D34" s="37">
        <f>COUNTIF(UniqueID!F:F,Region!A34)</f>
        <v>13</v>
      </c>
      <c r="E34" s="2">
        <f>AVERAGEIF(UniqueID!F:F,Region!A34,UniqueID!L:L)</f>
        <v>40.838846153846148</v>
      </c>
      <c r="F34" s="37">
        <f>SUMIF(Wine1!G:G,Region!C34,Wine1!I:I)</f>
        <v>106</v>
      </c>
    </row>
    <row r="35" spans="1:6" x14ac:dyDescent="0.25">
      <c r="A35" s="37" t="s">
        <v>973</v>
      </c>
      <c r="B35" s="37" t="s">
        <v>729</v>
      </c>
      <c r="C35" s="37" t="s">
        <v>826</v>
      </c>
      <c r="D35" s="37">
        <f>COUNTIF(UniqueID!F:F,Region!A35)</f>
        <v>3</v>
      </c>
      <c r="E35" s="2">
        <f>AVERAGEIF(UniqueID!F:F,Region!A35,UniqueID!L:L)</f>
        <v>22.496666666666666</v>
      </c>
      <c r="F35" s="37">
        <f>SUMIF(Wine1!G:G,Region!C35,Wine1!I:I)</f>
        <v>19</v>
      </c>
    </row>
    <row r="36" spans="1:6" x14ac:dyDescent="0.25">
      <c r="A36" s="37" t="s">
        <v>970</v>
      </c>
      <c r="B36" s="37" t="s">
        <v>727</v>
      </c>
      <c r="C36" s="37" t="s">
        <v>806</v>
      </c>
      <c r="D36" s="37">
        <f>COUNTIF(UniqueID!F:F,Region!A36)</f>
        <v>37</v>
      </c>
      <c r="E36" s="2">
        <f>AVERAGEIF(UniqueID!F:F,Region!A36,UniqueID!L:L)</f>
        <v>45.33</v>
      </c>
      <c r="F36" s="37">
        <f>SUMIF(Wine1!G:G,Region!C36,Wine1!I:I)</f>
        <v>46</v>
      </c>
    </row>
    <row r="37" spans="1:6" x14ac:dyDescent="0.25">
      <c r="A37" s="37" t="s">
        <v>982</v>
      </c>
      <c r="B37" s="37" t="s">
        <v>727</v>
      </c>
      <c r="C37" s="37" t="s">
        <v>833</v>
      </c>
      <c r="D37" s="37">
        <f>COUNTIF(UniqueID!F:F,Region!A37)</f>
        <v>2</v>
      </c>
      <c r="E37" s="2">
        <f>AVERAGEIF(UniqueID!F:F,Region!A37,UniqueID!L:L)</f>
        <v>22.994999999999997</v>
      </c>
      <c r="F37" s="37">
        <f>SUMIF(Wine1!G:G,Region!C37,Wine1!I:I)</f>
        <v>5</v>
      </c>
    </row>
    <row r="38" spans="1:6" x14ac:dyDescent="0.25">
      <c r="A38" s="37"/>
    </row>
    <row r="243" spans="1:2" x14ac:dyDescent="0.25">
      <c r="A243" s="37" t="str">
        <f>CONCATENATE(UniqueID!C242,", ",UniqueID!D242)</f>
        <v>France, Rhone</v>
      </c>
      <c r="B243" s="37" t="str">
        <f>CONCATENATE(UniqueID!D242,", ",UniqueID!E242)</f>
        <v>Rhone, Southern Rhone, Chateauneuf du Pape</v>
      </c>
    </row>
    <row r="244" spans="1:2" x14ac:dyDescent="0.25">
      <c r="A244" s="37" t="str">
        <f>CONCATENATE(UniqueID!C243,", ",UniqueID!D243)</f>
        <v>Italy, Tuscany</v>
      </c>
      <c r="B244" s="37" t="str">
        <f>CONCATENATE(UniqueID!D243,", ",UniqueID!E243)</f>
        <v>Tuscany, Brunello di Montalcino</v>
      </c>
    </row>
    <row r="245" spans="1:2" x14ac:dyDescent="0.25">
      <c r="A245" s="37" t="str">
        <f>CONCATENATE(UniqueID!C244,", ",UniqueID!D244)</f>
        <v>Italy, Tuscany</v>
      </c>
      <c r="B245" s="37" t="str">
        <f>CONCATENATE(UniqueID!D244,", ",UniqueID!E244)</f>
        <v>Tuscany, Brunello di Montalcino</v>
      </c>
    </row>
    <row r="246" spans="1:2" x14ac:dyDescent="0.25">
      <c r="A246" s="37" t="str">
        <f>CONCATENATE(UniqueID!C245,", ",UniqueID!D245)</f>
        <v>Italy, Campania</v>
      </c>
      <c r="B246" s="37" t="str">
        <f>CONCATENATE(UniqueID!D245,", ",UniqueID!E245)</f>
        <v>Campania, Colli di Salerno</v>
      </c>
    </row>
    <row r="247" spans="1:2" x14ac:dyDescent="0.25">
      <c r="A247" s="37" t="str">
        <f>CONCATENATE(UniqueID!C246,", ",UniqueID!D246)</f>
        <v>Italy, Tuscany</v>
      </c>
      <c r="B247" s="37" t="str">
        <f>CONCATENATE(UniqueID!D246,", ",UniqueID!E246)</f>
        <v>Tuscany, Brunello di Montalcino</v>
      </c>
    </row>
    <row r="248" spans="1:2" x14ac:dyDescent="0.25">
      <c r="A248" s="37" t="str">
        <f>CONCATENATE(UniqueID!C247,", ",UniqueID!D247)</f>
        <v>Italy, Piedmont</v>
      </c>
      <c r="B248" s="37" t="str">
        <f>CONCATENATE(UniqueID!D247,", ",UniqueID!E247)</f>
        <v>Piedmont, Barbaresco</v>
      </c>
    </row>
    <row r="249" spans="1:2" x14ac:dyDescent="0.25">
      <c r="A249" s="37" t="str">
        <f>CONCATENATE(UniqueID!C248,", ",UniqueID!D248)</f>
        <v>Portugal, Douro</v>
      </c>
      <c r="B249" s="37" t="str">
        <f>CONCATENATE(UniqueID!D248,", ",UniqueID!E248)</f>
        <v>Douro, Porto</v>
      </c>
    </row>
    <row r="250" spans="1:2" x14ac:dyDescent="0.25">
      <c r="A250" s="37" t="str">
        <f>CONCATENATE(UniqueID!C249,", ",UniqueID!D249)</f>
        <v>Italy, Piedmont</v>
      </c>
      <c r="B250" s="37" t="str">
        <f>CONCATENATE(UniqueID!D249,", ",UniqueID!E249)</f>
        <v>Piedmont, Barbaresco</v>
      </c>
    </row>
    <row r="251" spans="1:2" x14ac:dyDescent="0.25">
      <c r="A251" s="37" t="str">
        <f>CONCATENATE(UniqueID!C250,", ",UniqueID!D250)</f>
        <v>Italy, Piedmont</v>
      </c>
      <c r="B251" s="37" t="str">
        <f>CONCATENATE(UniqueID!D250,", ",UniqueID!E250)</f>
        <v>Piedmont, Barbaresco</v>
      </c>
    </row>
    <row r="252" spans="1:2" x14ac:dyDescent="0.25">
      <c r="A252" s="37" t="str">
        <f>CONCATENATE(UniqueID!C251,", ",UniqueID!D251)</f>
        <v>Spain, Castilla Y Leon</v>
      </c>
      <c r="B252" s="37" t="str">
        <f>CONCATENATE(UniqueID!D251,", ",UniqueID!E251)</f>
        <v>Castilla Y Leon, Ribera Del Duero</v>
      </c>
    </row>
    <row r="253" spans="1:2" x14ac:dyDescent="0.25">
      <c r="A253" s="37" t="str">
        <f>CONCATENATE(UniqueID!C337,", ",UniqueID!D337)</f>
        <v xml:space="preserve">, </v>
      </c>
      <c r="B253" s="37" t="str">
        <f>CONCATENATE(UniqueID!D337,", ",UniqueID!E337)</f>
        <v xml:space="preserve">, </v>
      </c>
    </row>
    <row r="254" spans="1:2" x14ac:dyDescent="0.25">
      <c r="A254" s="37" t="str">
        <f>CONCATENATE(UniqueID!C338,", ",UniqueID!D338)</f>
        <v xml:space="preserve">, </v>
      </c>
      <c r="B254" s="37" t="str">
        <f>CONCATENATE(UniqueID!D338,", ",UniqueID!E338)</f>
        <v xml:space="preserve">, </v>
      </c>
    </row>
    <row r="255" spans="1:2" x14ac:dyDescent="0.25">
      <c r="A255" s="37" t="str">
        <f>CONCATENATE(UniqueID!C339,", ",UniqueID!D339)</f>
        <v xml:space="preserve">, </v>
      </c>
      <c r="B255" s="37" t="str">
        <f>CONCATENATE(UniqueID!D339,", ",UniqueID!E339)</f>
        <v xml:space="preserve">, </v>
      </c>
    </row>
    <row r="256" spans="1:2" x14ac:dyDescent="0.25">
      <c r="A256" s="37" t="str">
        <f>CONCATENATE(UniqueID!C340,", ",UniqueID!D340)</f>
        <v xml:space="preserve">, </v>
      </c>
      <c r="B256" s="37" t="str">
        <f>CONCATENATE(UniqueID!D340,", ",UniqueID!E340)</f>
        <v xml:space="preserve">, </v>
      </c>
    </row>
    <row r="257" spans="1:2" x14ac:dyDescent="0.25">
      <c r="A257" s="37" t="str">
        <f>CONCATENATE(UniqueID!C341,", ",UniqueID!D341)</f>
        <v xml:space="preserve">, </v>
      </c>
      <c r="B257" s="37" t="str">
        <f>CONCATENATE(UniqueID!D341,", ",UniqueID!E341)</f>
        <v xml:space="preserve">, </v>
      </c>
    </row>
    <row r="258" spans="1:2" x14ac:dyDescent="0.25">
      <c r="A258" s="37" t="str">
        <f>CONCATENATE(UniqueID!C342,", ",UniqueID!D342)</f>
        <v xml:space="preserve">, </v>
      </c>
      <c r="B258" s="37" t="str">
        <f>CONCATENATE(UniqueID!D342,", ",UniqueID!E342)</f>
        <v xml:space="preserve">, </v>
      </c>
    </row>
    <row r="259" spans="1:2" x14ac:dyDescent="0.25">
      <c r="A259" s="37" t="str">
        <f>CONCATENATE(UniqueID!C343,", ",UniqueID!D343)</f>
        <v xml:space="preserve">, </v>
      </c>
      <c r="B259" s="37" t="str">
        <f>CONCATENATE(UniqueID!D343,", ",UniqueID!E343)</f>
        <v xml:space="preserve">, </v>
      </c>
    </row>
    <row r="260" spans="1:2" x14ac:dyDescent="0.25">
      <c r="A260" s="37" t="str">
        <f>CONCATENATE(UniqueID!C344,", ",UniqueID!D344)</f>
        <v xml:space="preserve">, </v>
      </c>
      <c r="B260" s="37" t="str">
        <f>CONCATENATE(UniqueID!D344,", ",UniqueID!E344)</f>
        <v xml:space="preserve">, </v>
      </c>
    </row>
    <row r="261" spans="1:2" x14ac:dyDescent="0.25">
      <c r="A261" s="37" t="str">
        <f>CONCATENATE(UniqueID!C345,", ",UniqueID!D345)</f>
        <v xml:space="preserve">, </v>
      </c>
      <c r="B261" s="37" t="str">
        <f>CONCATENATE(UniqueID!D345,", ",UniqueID!E345)</f>
        <v xml:space="preserve">, </v>
      </c>
    </row>
    <row r="262" spans="1:2" x14ac:dyDescent="0.25">
      <c r="A262" s="37" t="str">
        <f>CONCATENATE(UniqueID!C346,", ",UniqueID!D346)</f>
        <v xml:space="preserve">, </v>
      </c>
      <c r="B262" s="37" t="str">
        <f>CONCATENATE(UniqueID!D346,", ",UniqueID!E346)</f>
        <v xml:space="preserve">, </v>
      </c>
    </row>
    <row r="263" spans="1:2" x14ac:dyDescent="0.25">
      <c r="A263" s="37" t="str">
        <f>CONCATENATE(UniqueID!C347,", ",UniqueID!D347)</f>
        <v xml:space="preserve">, </v>
      </c>
      <c r="B263" s="37" t="str">
        <f>CONCATENATE(UniqueID!D347,", ",UniqueID!E347)</f>
        <v xml:space="preserve">, </v>
      </c>
    </row>
    <row r="264" spans="1:2" x14ac:dyDescent="0.25">
      <c r="A264" s="37" t="str">
        <f>CONCATENATE(UniqueID!C348,", ",UniqueID!D348)</f>
        <v xml:space="preserve">, </v>
      </c>
      <c r="B264" s="37" t="str">
        <f>CONCATENATE(UniqueID!D348,", ",UniqueID!E348)</f>
        <v xml:space="preserve">, </v>
      </c>
    </row>
    <row r="265" spans="1:2" x14ac:dyDescent="0.25">
      <c r="A265" s="37" t="str">
        <f>CONCATENATE(UniqueID!C349,", ",UniqueID!D349)</f>
        <v xml:space="preserve">, </v>
      </c>
      <c r="B265" s="37" t="str">
        <f>CONCATENATE(UniqueID!D349,", ",UniqueID!E349)</f>
        <v xml:space="preserve">, </v>
      </c>
    </row>
    <row r="266" spans="1:2" x14ac:dyDescent="0.25">
      <c r="A266" s="37" t="str">
        <f>CONCATENATE(UniqueID!C350,", ",UniqueID!D350)</f>
        <v xml:space="preserve">, </v>
      </c>
      <c r="B266" s="37" t="str">
        <f>CONCATENATE(UniqueID!D350,", ",UniqueID!E350)</f>
        <v xml:space="preserve">, </v>
      </c>
    </row>
    <row r="267" spans="1:2" x14ac:dyDescent="0.25">
      <c r="A267" s="37" t="str">
        <f>CONCATENATE(UniqueID!C351,", ",UniqueID!D351)</f>
        <v xml:space="preserve">, </v>
      </c>
      <c r="B267" s="37" t="str">
        <f>CONCATENATE(UniqueID!D351,", ",UniqueID!E351)</f>
        <v xml:space="preserve">, </v>
      </c>
    </row>
    <row r="268" spans="1:2" x14ac:dyDescent="0.25">
      <c r="A268" s="37" t="str">
        <f>CONCATENATE(UniqueID!C352,", ",UniqueID!D352)</f>
        <v xml:space="preserve">, </v>
      </c>
      <c r="B268" s="37" t="str">
        <f>CONCATENATE(UniqueID!D352,", ",UniqueID!E352)</f>
        <v xml:space="preserve">, </v>
      </c>
    </row>
    <row r="269" spans="1:2" x14ac:dyDescent="0.25">
      <c r="A269" s="37" t="str">
        <f>CONCATENATE(UniqueID!C353,", ",UniqueID!D353)</f>
        <v xml:space="preserve">, </v>
      </c>
      <c r="B269" s="37" t="str">
        <f>CONCATENATE(UniqueID!D353,", ",UniqueID!E353)</f>
        <v xml:space="preserve">, </v>
      </c>
    </row>
    <row r="270" spans="1:2" x14ac:dyDescent="0.25">
      <c r="A270" s="37" t="str">
        <f>CONCATENATE(UniqueID!C354,", ",UniqueID!D354)</f>
        <v xml:space="preserve">, </v>
      </c>
      <c r="B270" s="37" t="str">
        <f>CONCATENATE(UniqueID!D354,", ",UniqueID!E354)</f>
        <v xml:space="preserve">, </v>
      </c>
    </row>
    <row r="271" spans="1:2" x14ac:dyDescent="0.25">
      <c r="A271" s="37" t="str">
        <f>CONCATENATE(UniqueID!C355,", ",UniqueID!D355)</f>
        <v xml:space="preserve">, </v>
      </c>
      <c r="B271" s="37" t="str">
        <f>CONCATENATE(UniqueID!D355,", ",UniqueID!E355)</f>
        <v xml:space="preserve">, </v>
      </c>
    </row>
    <row r="272" spans="1:2" x14ac:dyDescent="0.25">
      <c r="A272" s="37" t="str">
        <f>CONCATENATE(UniqueID!C356,", ",UniqueID!D356)</f>
        <v xml:space="preserve">, </v>
      </c>
      <c r="B272" s="37" t="str">
        <f>CONCATENATE(UniqueID!D356,", ",UniqueID!E356)</f>
        <v xml:space="preserve">, </v>
      </c>
    </row>
    <row r="273" spans="1:2" x14ac:dyDescent="0.25">
      <c r="A273" s="37" t="str">
        <f>CONCATENATE(UniqueID!C357,", ",UniqueID!D357)</f>
        <v xml:space="preserve">, </v>
      </c>
      <c r="B273" s="37" t="str">
        <f>CONCATENATE(UniqueID!D357,", ",UniqueID!E357)</f>
        <v xml:space="preserve">, </v>
      </c>
    </row>
    <row r="274" spans="1:2" x14ac:dyDescent="0.25">
      <c r="A274" s="37" t="str">
        <f>CONCATENATE(UniqueID!C358,", ",UniqueID!D358)</f>
        <v xml:space="preserve">, </v>
      </c>
      <c r="B274" s="37" t="str">
        <f>CONCATENATE(UniqueID!D358,", ",UniqueID!E358)</f>
        <v xml:space="preserve">, </v>
      </c>
    </row>
    <row r="275" spans="1:2" x14ac:dyDescent="0.25">
      <c r="A275" s="37" t="str">
        <f>CONCATENATE(UniqueID!C359,", ",UniqueID!D359)</f>
        <v xml:space="preserve">, </v>
      </c>
      <c r="B275" s="37" t="str">
        <f>CONCATENATE(UniqueID!D359,", ",UniqueID!E359)</f>
        <v xml:space="preserve">, </v>
      </c>
    </row>
    <row r="276" spans="1:2" x14ac:dyDescent="0.25">
      <c r="A276" s="37" t="str">
        <f>CONCATENATE(UniqueID!C360,", ",UniqueID!D360)</f>
        <v xml:space="preserve">, </v>
      </c>
      <c r="B276" s="37" t="str">
        <f>CONCATENATE(UniqueID!D360,", ",UniqueID!E360)</f>
        <v xml:space="preserve">, </v>
      </c>
    </row>
    <row r="277" spans="1:2" x14ac:dyDescent="0.25">
      <c r="A277" s="37" t="str">
        <f>CONCATENATE(UniqueID!C361,", ",UniqueID!D361)</f>
        <v xml:space="preserve">, </v>
      </c>
      <c r="B277" s="37" t="str">
        <f>CONCATENATE(UniqueID!D361,", ",UniqueID!E361)</f>
        <v xml:space="preserve">, </v>
      </c>
    </row>
    <row r="278" spans="1:2" x14ac:dyDescent="0.25">
      <c r="A278" s="37" t="str">
        <f>CONCATENATE(UniqueID!C362,", ",UniqueID!D362)</f>
        <v xml:space="preserve">, </v>
      </c>
      <c r="B278" s="37" t="str">
        <f>CONCATENATE(UniqueID!D362,", ",UniqueID!E362)</f>
        <v xml:space="preserve">, </v>
      </c>
    </row>
  </sheetData>
  <sortState xmlns:xlrd2="http://schemas.microsoft.com/office/spreadsheetml/2017/richdata2" ref="A3:A38">
    <sortCondition ref="A3:A38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F7C0-4A22-4248-B3E8-2AB054D0AF38}">
  <dimension ref="A1:K242"/>
  <sheetViews>
    <sheetView workbookViewId="0">
      <selection activeCell="I7" sqref="I7"/>
    </sheetView>
  </sheetViews>
  <sheetFormatPr defaultRowHeight="15" x14ac:dyDescent="0.25"/>
  <cols>
    <col min="1" max="1" width="55.7109375" style="37" bestFit="1" customWidth="1"/>
    <col min="2" max="2" width="3.7109375" style="37" bestFit="1" customWidth="1"/>
    <col min="4" max="5" width="9.140625" style="37"/>
    <col min="6" max="6" width="9.7109375" bestFit="1" customWidth="1"/>
    <col min="7" max="7" width="19.7109375" style="37" bestFit="1" customWidth="1"/>
    <col min="8" max="8" width="29.85546875" style="37" bestFit="1" customWidth="1"/>
    <col min="9" max="9" width="20.28515625" bestFit="1" customWidth="1"/>
    <col min="10" max="10" width="20.28515625" style="37" customWidth="1"/>
    <col min="11" max="11" width="3.7109375" style="37" customWidth="1"/>
  </cols>
  <sheetData>
    <row r="1" spans="1:11" s="37" customFormat="1" x14ac:dyDescent="0.25"/>
    <row r="2" spans="1:11" x14ac:dyDescent="0.25">
      <c r="B2" s="37" t="s">
        <v>959</v>
      </c>
      <c r="D2" s="37" t="s">
        <v>1118</v>
      </c>
      <c r="E2" s="37" t="s">
        <v>1117</v>
      </c>
      <c r="K2" s="37" t="s">
        <v>191</v>
      </c>
    </row>
    <row r="3" spans="1:11" x14ac:dyDescent="0.25">
      <c r="A3" s="37" t="s">
        <v>1043</v>
      </c>
      <c r="B3" s="37">
        <f>COUNTIF(UniqueID!G:G,'Sub Region'!A3)</f>
        <v>1</v>
      </c>
      <c r="D3" s="37">
        <f>AVERAGEIF(UniqueID!G:G,'Sub Region'!A3,UniqueID!L:L)</f>
        <v>16</v>
      </c>
      <c r="E3" s="37">
        <v>0.9</v>
      </c>
      <c r="F3" t="s">
        <v>731</v>
      </c>
      <c r="G3" s="37" t="s">
        <v>732</v>
      </c>
      <c r="J3" s="37" t="str">
        <f>CONCATENATE(H3,", ",I3)</f>
        <v xml:space="preserve">, </v>
      </c>
      <c r="K3" s="37">
        <f>COUNTIF(Wine1!H:H,J3)</f>
        <v>0</v>
      </c>
    </row>
    <row r="4" spans="1:11" x14ac:dyDescent="0.25">
      <c r="A4" s="37" t="s">
        <v>1025</v>
      </c>
      <c r="B4" s="37">
        <f>COUNTIF(UniqueID!G:G,'Sub Region'!A4)</f>
        <v>1</v>
      </c>
      <c r="D4" s="37">
        <f>AVERAGEIF(UniqueID!G:G,'Sub Region'!A4,UniqueID!L:L)</f>
        <v>37.130000000000003</v>
      </c>
      <c r="E4" s="37">
        <v>0.9</v>
      </c>
      <c r="F4" t="s">
        <v>731</v>
      </c>
      <c r="G4" s="37" t="s">
        <v>732</v>
      </c>
      <c r="H4" s="37" t="s">
        <v>849</v>
      </c>
      <c r="J4" s="37" t="str">
        <f t="shared" ref="J4:J67" si="0">CONCATENATE(H4,", ",I4)</f>
        <v xml:space="preserve">Lujan de Cuyo, </v>
      </c>
      <c r="K4" s="37">
        <f>COUNTIF(Wine1!H:H,J4)</f>
        <v>0</v>
      </c>
    </row>
    <row r="5" spans="1:11" x14ac:dyDescent="0.25">
      <c r="A5" s="37" t="s">
        <v>1078</v>
      </c>
      <c r="B5" s="37">
        <f>COUNTIF(UniqueID!G:G,'Sub Region'!A5)</f>
        <v>1</v>
      </c>
      <c r="D5" s="37">
        <f>AVERAGEIF(UniqueID!G:G,'Sub Region'!A5,UniqueID!L:L)</f>
        <v>11</v>
      </c>
      <c r="E5" s="37">
        <v>0.9</v>
      </c>
      <c r="F5" t="s">
        <v>731</v>
      </c>
      <c r="G5" s="37" t="s">
        <v>732</v>
      </c>
      <c r="H5" s="37" t="s">
        <v>735</v>
      </c>
      <c r="J5" s="37" t="str">
        <f t="shared" si="0"/>
        <v xml:space="preserve">Valle de Uco, </v>
      </c>
      <c r="K5" s="37">
        <f>COUNTIF(Wine1!H:H,J5)</f>
        <v>0</v>
      </c>
    </row>
    <row r="6" spans="1:11" x14ac:dyDescent="0.25">
      <c r="A6" s="37" t="s">
        <v>1072</v>
      </c>
      <c r="B6" s="37">
        <f>COUNTIF(UniqueID!G:G,'Sub Region'!A6)</f>
        <v>1</v>
      </c>
      <c r="D6" s="37">
        <f>AVERAGEIF(UniqueID!G:G,'Sub Region'!A6,UniqueID!L:L)</f>
        <v>26.99</v>
      </c>
      <c r="E6" s="37">
        <v>0.9</v>
      </c>
      <c r="F6" t="s">
        <v>731</v>
      </c>
      <c r="G6" s="37" t="s">
        <v>732</v>
      </c>
      <c r="H6" s="37" t="s">
        <v>735</v>
      </c>
      <c r="I6" t="s">
        <v>1090</v>
      </c>
      <c r="J6" s="37" t="str">
        <f t="shared" si="0"/>
        <v>Valle de Uco, Tunuyan</v>
      </c>
      <c r="K6" s="37">
        <f>COUNTIF(Wine1!H:H,J6)</f>
        <v>0</v>
      </c>
    </row>
    <row r="7" spans="1:11" x14ac:dyDescent="0.25">
      <c r="A7" s="37" t="s">
        <v>1049</v>
      </c>
      <c r="B7" s="37">
        <f>COUNTIF(UniqueID!G:G,'Sub Region'!A7)</f>
        <v>2</v>
      </c>
      <c r="D7" s="37">
        <f>AVERAGEIF(UniqueID!G:G,'Sub Region'!A7,UniqueID!L:L)</f>
        <v>28.090000000000003</v>
      </c>
      <c r="E7" s="37">
        <v>0.9</v>
      </c>
      <c r="F7" t="s">
        <v>731</v>
      </c>
      <c r="G7" s="37" t="s">
        <v>732</v>
      </c>
      <c r="H7" s="37" t="s">
        <v>735</v>
      </c>
      <c r="I7" t="s">
        <v>1091</v>
      </c>
      <c r="J7" s="37" t="str">
        <f t="shared" si="0"/>
        <v>Valle de Uco, Tupungato</v>
      </c>
      <c r="K7" s="37">
        <f>COUNTIF(Wine1!H:H,J7)</f>
        <v>4</v>
      </c>
    </row>
    <row r="8" spans="1:11" x14ac:dyDescent="0.25">
      <c r="A8" s="37" t="s">
        <v>1060</v>
      </c>
      <c r="B8" s="37">
        <f>COUNTIF(UniqueID!G:G,'Sub Region'!A8)</f>
        <v>1</v>
      </c>
      <c r="D8" s="37">
        <f>AVERAGEIF(UniqueID!G:G,'Sub Region'!A8,UniqueID!L:L)</f>
        <v>59</v>
      </c>
      <c r="E8" s="37">
        <v>0.9</v>
      </c>
      <c r="F8" t="s">
        <v>736</v>
      </c>
      <c r="G8" s="37" t="s">
        <v>737</v>
      </c>
      <c r="H8" s="37" t="s">
        <v>1098</v>
      </c>
      <c r="I8" t="s">
        <v>1105</v>
      </c>
      <c r="J8" s="37" t="str">
        <f t="shared" si="0"/>
        <v>Fleurie, McLaren Vale</v>
      </c>
      <c r="K8" s="37">
        <f>COUNTIF(Wine1!H:H,J8)</f>
        <v>3</v>
      </c>
    </row>
    <row r="9" spans="1:11" x14ac:dyDescent="0.25">
      <c r="A9" s="37" t="s">
        <v>1075</v>
      </c>
      <c r="B9" s="37">
        <f>COUNTIF(UniqueID!G:G,'Sub Region'!A9)</f>
        <v>1</v>
      </c>
      <c r="D9" s="37">
        <f>AVERAGEIF(UniqueID!G:G,'Sub Region'!A9,UniqueID!L:L)</f>
        <v>13.490000000000002</v>
      </c>
      <c r="E9" s="37">
        <v>0.9</v>
      </c>
      <c r="F9" t="s">
        <v>736</v>
      </c>
      <c r="G9" s="37" t="s">
        <v>737</v>
      </c>
      <c r="H9" s="37" t="s">
        <v>1099</v>
      </c>
      <c r="I9" t="s">
        <v>1105</v>
      </c>
      <c r="J9" s="37" t="str">
        <f t="shared" si="0"/>
        <v>Fleurieu, McLaren Vale</v>
      </c>
      <c r="K9" s="37">
        <f>COUNTIF(Wine1!H:H,J9)</f>
        <v>0</v>
      </c>
    </row>
    <row r="10" spans="1:11" x14ac:dyDescent="0.25">
      <c r="A10" s="37" t="s">
        <v>1041</v>
      </c>
      <c r="B10" s="37">
        <f>COUNTIF(UniqueID!G:G,'Sub Region'!A10)</f>
        <v>1</v>
      </c>
      <c r="D10" s="37">
        <f>AVERAGEIF(UniqueID!G:G,'Sub Region'!A10,UniqueID!L:L)</f>
        <v>65</v>
      </c>
      <c r="E10" s="37">
        <v>0.9</v>
      </c>
      <c r="F10" t="s">
        <v>736</v>
      </c>
      <c r="G10" s="37" t="s">
        <v>740</v>
      </c>
      <c r="H10" s="37" t="s">
        <v>1101</v>
      </c>
      <c r="I10" t="s">
        <v>1092</v>
      </c>
      <c r="J10" s="37" t="str">
        <f t="shared" si="0"/>
        <v>South West Australia, Margaret</v>
      </c>
      <c r="K10" s="37">
        <f>COUNTIF(Wine1!H:H,J10)</f>
        <v>2</v>
      </c>
    </row>
    <row r="11" spans="1:11" x14ac:dyDescent="0.25">
      <c r="A11" s="37" t="s">
        <v>1073</v>
      </c>
      <c r="B11" s="37">
        <f>COUNTIF(UniqueID!G:G,'Sub Region'!A11)</f>
        <v>1</v>
      </c>
      <c r="D11" s="37">
        <f>AVERAGEIF(UniqueID!G:G,'Sub Region'!A11,UniqueID!L:L)</f>
        <v>13.490000000000002</v>
      </c>
      <c r="E11" s="37">
        <v>0.8</v>
      </c>
      <c r="F11" t="s">
        <v>952</v>
      </c>
      <c r="G11" s="37" t="s">
        <v>953</v>
      </c>
      <c r="H11" s="37" t="s">
        <v>954</v>
      </c>
      <c r="J11" s="37" t="str">
        <f t="shared" si="0"/>
        <v xml:space="preserve">Pirque, </v>
      </c>
      <c r="K11" s="37">
        <f>COUNTIF(Wine1!H:H,J11)</f>
        <v>0</v>
      </c>
    </row>
    <row r="12" spans="1:11" x14ac:dyDescent="0.25">
      <c r="A12" s="37" t="s">
        <v>1053</v>
      </c>
      <c r="B12" s="37">
        <f>COUNTIF(UniqueID!G:G,'Sub Region'!A12)</f>
        <v>1</v>
      </c>
      <c r="D12" s="37">
        <f>AVERAGEIF(UniqueID!G:G,'Sub Region'!A12,UniqueID!L:L)</f>
        <v>22</v>
      </c>
      <c r="E12" s="37">
        <v>1.1000000000000001</v>
      </c>
      <c r="F12" t="s">
        <v>742</v>
      </c>
      <c r="G12" s="37" t="s">
        <v>743</v>
      </c>
      <c r="H12" s="37" t="s">
        <v>1100</v>
      </c>
      <c r="I12" t="s">
        <v>1093</v>
      </c>
      <c r="J12" s="37" t="str">
        <f t="shared" si="0"/>
        <v>Haut-Rhin, Ribeauville</v>
      </c>
      <c r="K12" s="37">
        <f>COUNTIF(Wine1!H:H,J12)</f>
        <v>1</v>
      </c>
    </row>
    <row r="13" spans="1:11" x14ac:dyDescent="0.25">
      <c r="A13" s="37" t="s">
        <v>1035</v>
      </c>
      <c r="B13" s="37">
        <f>COUNTIF(UniqueID!G:G,'Sub Region'!A13)</f>
        <v>1</v>
      </c>
      <c r="D13" s="37">
        <f>AVERAGEIF(UniqueID!G:G,'Sub Region'!A13,UniqueID!L:L)</f>
        <v>14.99</v>
      </c>
      <c r="E13" s="37">
        <v>1.1000000000000001</v>
      </c>
      <c r="F13" t="s">
        <v>742</v>
      </c>
      <c r="G13" s="37" t="s">
        <v>745</v>
      </c>
      <c r="H13" s="37" t="s">
        <v>746</v>
      </c>
      <c r="J13" s="37" t="str">
        <f t="shared" si="0"/>
        <v xml:space="preserve">Moulin-a-Vent, </v>
      </c>
      <c r="K13" s="37">
        <f>COUNTIF(Wine1!H:H,J13)</f>
        <v>0</v>
      </c>
    </row>
    <row r="14" spans="1:11" x14ac:dyDescent="0.25">
      <c r="A14" s="37" t="s">
        <v>1023</v>
      </c>
      <c r="B14" s="37">
        <f>COUNTIF(UniqueID!G:G,'Sub Region'!A14)</f>
        <v>1</v>
      </c>
      <c r="D14" s="37">
        <f>AVERAGEIF(UniqueID!G:G,'Sub Region'!A14,UniqueID!L:L)</f>
        <v>17.989999999999998</v>
      </c>
      <c r="E14" s="37">
        <v>1.1000000000000001</v>
      </c>
      <c r="F14" t="s">
        <v>742</v>
      </c>
      <c r="G14" s="37" t="s">
        <v>745</v>
      </c>
      <c r="H14" s="37" t="s">
        <v>747</v>
      </c>
      <c r="J14" s="37" t="str">
        <f t="shared" si="0"/>
        <v xml:space="preserve">Saint-Amour, </v>
      </c>
      <c r="K14" s="37">
        <f>COUNTIF(Wine1!H:H,J14)</f>
        <v>0</v>
      </c>
    </row>
    <row r="15" spans="1:11" x14ac:dyDescent="0.25">
      <c r="A15" s="37" t="s">
        <v>1022</v>
      </c>
      <c r="B15" s="37">
        <f>COUNTIF(UniqueID!G:G,'Sub Region'!A15)</f>
        <v>1</v>
      </c>
      <c r="D15" s="37">
        <f>AVERAGEIF(UniqueID!G:G,'Sub Region'!A15,UniqueID!L:L)</f>
        <v>12.989999999999998</v>
      </c>
      <c r="E15" s="37">
        <v>1</v>
      </c>
      <c r="F15" t="s">
        <v>742</v>
      </c>
      <c r="G15" s="37" t="s">
        <v>748</v>
      </c>
      <c r="J15" s="37" t="str">
        <f t="shared" si="0"/>
        <v xml:space="preserve">, </v>
      </c>
      <c r="K15" s="37">
        <f>COUNTIF(Wine1!H:H,J15)</f>
        <v>0</v>
      </c>
    </row>
    <row r="16" spans="1:11" x14ac:dyDescent="0.25">
      <c r="A16" s="37" t="s">
        <v>1038</v>
      </c>
      <c r="B16" s="37">
        <f>COUNTIF(UniqueID!G:G,'Sub Region'!A16)</f>
        <v>1</v>
      </c>
      <c r="D16" s="37">
        <f>AVERAGEIF(UniqueID!G:G,'Sub Region'!A16,UniqueID!L:L)</f>
        <v>16.989999999999998</v>
      </c>
      <c r="E16" s="37">
        <v>1.1000000000000001</v>
      </c>
      <c r="F16" t="s">
        <v>742</v>
      </c>
      <c r="G16" s="37" t="s">
        <v>748</v>
      </c>
      <c r="H16" s="37" t="s">
        <v>856</v>
      </c>
      <c r="J16" s="37" t="str">
        <f t="shared" si="0"/>
        <v xml:space="preserve">Fronsac, </v>
      </c>
      <c r="K16" s="37">
        <f>COUNTIF(Wine1!H:H,J16)</f>
        <v>0</v>
      </c>
    </row>
    <row r="17" spans="1:11" x14ac:dyDescent="0.25">
      <c r="A17" s="37" t="s">
        <v>1051</v>
      </c>
      <c r="B17" s="37">
        <f>COUNTIF(UniqueID!G:G,'Sub Region'!A17)</f>
        <v>3</v>
      </c>
      <c r="D17" s="37">
        <f>AVERAGEIF(UniqueID!G:G,'Sub Region'!A17,UniqueID!L:L)</f>
        <v>57.666666666666664</v>
      </c>
      <c r="E17" s="37">
        <v>1.4</v>
      </c>
      <c r="F17" t="s">
        <v>742</v>
      </c>
      <c r="G17" s="37" t="s">
        <v>748</v>
      </c>
      <c r="H17" s="37" t="s">
        <v>750</v>
      </c>
      <c r="J17" s="37" t="str">
        <f t="shared" si="0"/>
        <v xml:space="preserve">Margaux, </v>
      </c>
      <c r="K17" s="37">
        <f>COUNTIF(Wine1!H:H,J17)</f>
        <v>0</v>
      </c>
    </row>
    <row r="18" spans="1:11" x14ac:dyDescent="0.25">
      <c r="A18" s="37" t="s">
        <v>1058</v>
      </c>
      <c r="B18" s="37">
        <f>COUNTIF(UniqueID!G:G,'Sub Region'!A18)</f>
        <v>3</v>
      </c>
      <c r="D18" s="37">
        <f>AVERAGEIF(UniqueID!G:G,'Sub Region'!A18,UniqueID!L:L)</f>
        <v>44.99666666666667</v>
      </c>
      <c r="E18" s="37">
        <v>1.5</v>
      </c>
      <c r="F18" t="s">
        <v>742</v>
      </c>
      <c r="G18" s="37" t="s">
        <v>748</v>
      </c>
      <c r="H18" s="37" t="s">
        <v>751</v>
      </c>
      <c r="J18" s="37" t="str">
        <f t="shared" si="0"/>
        <v xml:space="preserve">Saint-Emilion, </v>
      </c>
      <c r="K18" s="37">
        <f>COUNTIF(Wine1!H:H,J18)</f>
        <v>0</v>
      </c>
    </row>
    <row r="19" spans="1:11" x14ac:dyDescent="0.25">
      <c r="A19" s="37" t="s">
        <v>1056</v>
      </c>
      <c r="B19" s="37">
        <f>COUNTIF(UniqueID!G:G,'Sub Region'!A19)</f>
        <v>1</v>
      </c>
      <c r="D19" s="37">
        <f>AVERAGEIF(UniqueID!G:G,'Sub Region'!A19,UniqueID!L:L)</f>
        <v>31.989999999999995</v>
      </c>
      <c r="E19" s="37">
        <v>1.5</v>
      </c>
      <c r="F19" t="s">
        <v>742</v>
      </c>
      <c r="G19" s="37" t="s">
        <v>748</v>
      </c>
      <c r="H19" s="37" t="s">
        <v>752</v>
      </c>
      <c r="J19" s="37" t="str">
        <f t="shared" si="0"/>
        <v xml:space="preserve">Saint-Julien, </v>
      </c>
      <c r="K19" s="37">
        <f>COUNTIF(Wine1!H:H,J19)</f>
        <v>0</v>
      </c>
    </row>
    <row r="20" spans="1:11" x14ac:dyDescent="0.25">
      <c r="A20" s="37" t="s">
        <v>1029</v>
      </c>
      <c r="B20" s="37">
        <f>COUNTIF(UniqueID!G:G,'Sub Region'!A20)</f>
        <v>9</v>
      </c>
      <c r="D20" s="37">
        <f>AVERAGEIF(UniqueID!G:G,'Sub Region'!A20,UniqueID!L:L)</f>
        <v>48.095555555555556</v>
      </c>
      <c r="E20" s="37">
        <v>1.5</v>
      </c>
      <c r="F20" t="s">
        <v>742</v>
      </c>
      <c r="G20" s="37" t="s">
        <v>748</v>
      </c>
      <c r="H20" s="37" t="s">
        <v>260</v>
      </c>
      <c r="J20" s="37" t="str">
        <f t="shared" si="0"/>
        <v xml:space="preserve">Sauternes, </v>
      </c>
      <c r="K20" s="37">
        <f>COUNTIF(Wine1!H:H,J20)</f>
        <v>0</v>
      </c>
    </row>
    <row r="21" spans="1:11" x14ac:dyDescent="0.25">
      <c r="A21" s="37" t="s">
        <v>1050</v>
      </c>
      <c r="B21" s="37">
        <f>COUNTIF(UniqueID!G:G,'Sub Region'!A21)</f>
        <v>3</v>
      </c>
      <c r="D21" s="37">
        <f>AVERAGEIF(UniqueID!G:G,'Sub Region'!A21,UniqueID!L:L)</f>
        <v>44.116666666666667</v>
      </c>
      <c r="E21" s="37">
        <v>1.5</v>
      </c>
      <c r="F21" t="s">
        <v>742</v>
      </c>
      <c r="G21" s="37" t="s">
        <v>748</v>
      </c>
      <c r="H21" s="37" t="s">
        <v>260</v>
      </c>
      <c r="I21" t="s">
        <v>749</v>
      </c>
      <c r="J21" s="37" t="str">
        <f t="shared" si="0"/>
        <v>Sauternes, Barsac</v>
      </c>
      <c r="K21" s="37">
        <f>COUNTIF(Wine1!H:H,J21)</f>
        <v>9</v>
      </c>
    </row>
    <row r="22" spans="1:11" x14ac:dyDescent="0.25">
      <c r="A22" s="37" t="s">
        <v>1083</v>
      </c>
      <c r="B22" s="37">
        <f>COUNTIF(UniqueID!G:G,'Sub Region'!A22)</f>
        <v>1</v>
      </c>
      <c r="D22" s="37">
        <f>AVERAGEIF(UniqueID!G:G,'Sub Region'!A22,UniqueID!L:L)</f>
        <v>25</v>
      </c>
      <c r="E22" s="37">
        <v>1.2</v>
      </c>
      <c r="F22" t="s">
        <v>742</v>
      </c>
      <c r="G22" s="37" t="s">
        <v>754</v>
      </c>
      <c r="J22" s="37" t="str">
        <f t="shared" si="0"/>
        <v xml:space="preserve">, </v>
      </c>
      <c r="K22" s="37">
        <f>COUNTIF(Wine1!H:H,J22)</f>
        <v>0</v>
      </c>
    </row>
    <row r="23" spans="1:11" x14ac:dyDescent="0.25">
      <c r="A23" s="37" t="s">
        <v>1071</v>
      </c>
      <c r="B23" s="37">
        <f>COUNTIF(UniqueID!G:G,'Sub Region'!A23)</f>
        <v>1</v>
      </c>
      <c r="D23" s="37">
        <f>AVERAGEIF(UniqueID!G:G,'Sub Region'!A23,UniqueID!L:L)</f>
        <v>22</v>
      </c>
      <c r="E23" s="37">
        <v>1.3</v>
      </c>
      <c r="F23" t="s">
        <v>742</v>
      </c>
      <c r="G23" s="37" t="s">
        <v>754</v>
      </c>
      <c r="H23" s="37" t="s">
        <v>955</v>
      </c>
      <c r="J23" s="37" t="str">
        <f t="shared" si="0"/>
        <v xml:space="preserve">Bourgogne Rouge, </v>
      </c>
      <c r="K23" s="37">
        <f>COUNTIF(Wine1!H:H,J23)</f>
        <v>0</v>
      </c>
    </row>
    <row r="24" spans="1:11" x14ac:dyDescent="0.25">
      <c r="A24" s="37" t="s">
        <v>1057</v>
      </c>
      <c r="B24" s="37">
        <f>COUNTIF(UniqueID!G:G,'Sub Region'!A24)</f>
        <v>1</v>
      </c>
      <c r="D24" s="37">
        <f>AVERAGEIF(UniqueID!G:G,'Sub Region'!A24,UniqueID!L:L)</f>
        <v>65</v>
      </c>
      <c r="E24" s="37">
        <v>1.5</v>
      </c>
      <c r="F24" t="s">
        <v>742</v>
      </c>
      <c r="G24" s="37" t="s">
        <v>754</v>
      </c>
      <c r="H24" s="37" t="s">
        <v>1102</v>
      </c>
      <c r="I24" t="s">
        <v>1094</v>
      </c>
      <c r="J24" s="37" t="str">
        <f t="shared" si="0"/>
        <v>North Burgundy, Chablis</v>
      </c>
      <c r="K24" s="37">
        <f>COUNTIF(Wine1!H:H,J24)</f>
        <v>1</v>
      </c>
    </row>
    <row r="25" spans="1:11" x14ac:dyDescent="0.25">
      <c r="A25" s="37" t="s">
        <v>1037</v>
      </c>
      <c r="B25" s="37">
        <f>COUNTIF(UniqueID!G:G,'Sub Region'!A25)</f>
        <v>1</v>
      </c>
      <c r="D25" s="37">
        <f>AVERAGEIF(UniqueID!G:G,'Sub Region'!A25,UniqueID!L:L)</f>
        <v>60</v>
      </c>
      <c r="E25" s="37">
        <v>1.6</v>
      </c>
      <c r="F25" t="s">
        <v>742</v>
      </c>
      <c r="G25" s="37" t="s">
        <v>416</v>
      </c>
      <c r="J25" s="37" t="str">
        <f t="shared" si="0"/>
        <v xml:space="preserve">, </v>
      </c>
      <c r="K25" s="37">
        <f>COUNTIF(Wine1!H:H,J25)</f>
        <v>0</v>
      </c>
    </row>
    <row r="26" spans="1:11" x14ac:dyDescent="0.25">
      <c r="A26" s="37" t="s">
        <v>1008</v>
      </c>
      <c r="B26" s="37">
        <f>COUNTIF(UniqueID!G:G,'Sub Region'!A26)</f>
        <v>1</v>
      </c>
      <c r="D26" s="37">
        <f>AVERAGEIF(UniqueID!G:G,'Sub Region'!A26,UniqueID!L:L)</f>
        <v>12.989999999999998</v>
      </c>
      <c r="E26" s="37">
        <v>1</v>
      </c>
      <c r="F26" t="s">
        <v>742</v>
      </c>
      <c r="G26" s="37" t="s">
        <v>756</v>
      </c>
      <c r="H26" s="37" t="s">
        <v>757</v>
      </c>
      <c r="J26" s="37" t="str">
        <f t="shared" si="0"/>
        <v xml:space="preserve">La Clape, </v>
      </c>
      <c r="K26" s="37">
        <f>COUNTIF(Wine1!H:H,J26)</f>
        <v>0</v>
      </c>
    </row>
    <row r="27" spans="1:11" x14ac:dyDescent="0.25">
      <c r="A27" s="37" t="s">
        <v>998</v>
      </c>
      <c r="B27" s="37">
        <f>COUNTIF(UniqueID!G:G,'Sub Region'!A27)</f>
        <v>1</v>
      </c>
      <c r="D27" s="37">
        <f>AVERAGEIF(UniqueID!G:G,'Sub Region'!A27,UniqueID!L:L)</f>
        <v>15.97</v>
      </c>
      <c r="E27" s="37">
        <v>1</v>
      </c>
      <c r="F27" t="s">
        <v>742</v>
      </c>
      <c r="G27" s="37" t="s">
        <v>758</v>
      </c>
      <c r="J27" s="37" t="str">
        <f t="shared" si="0"/>
        <v xml:space="preserve">, </v>
      </c>
      <c r="K27" s="37">
        <f>COUNTIF(Wine1!H:H,J27)</f>
        <v>0</v>
      </c>
    </row>
    <row r="28" spans="1:11" x14ac:dyDescent="0.25">
      <c r="A28" s="37" t="s">
        <v>1026</v>
      </c>
      <c r="B28" s="37">
        <f>COUNTIF(UniqueID!G:G,'Sub Region'!A28)</f>
        <v>1</v>
      </c>
      <c r="D28" s="37">
        <f>AVERAGEIF(UniqueID!G:G,'Sub Region'!A28,UniqueID!L:L)</f>
        <v>16.28</v>
      </c>
      <c r="E28" s="37">
        <v>1.2</v>
      </c>
      <c r="F28" t="s">
        <v>742</v>
      </c>
      <c r="G28" s="37" t="s">
        <v>759</v>
      </c>
      <c r="H28" s="37" t="s">
        <v>760</v>
      </c>
      <c r="J28" s="37" t="str">
        <f t="shared" si="0"/>
        <v xml:space="preserve">Cotes du Rhone Villages, </v>
      </c>
      <c r="K28" s="37">
        <f>COUNTIF(Wine1!H:H,J28)</f>
        <v>0</v>
      </c>
    </row>
    <row r="29" spans="1:11" x14ac:dyDescent="0.25">
      <c r="A29" s="37" t="s">
        <v>1080</v>
      </c>
      <c r="B29" s="37">
        <f>COUNTIF(UniqueID!G:G,'Sub Region'!A29)</f>
        <v>1</v>
      </c>
      <c r="D29" s="37">
        <f>AVERAGEIF(UniqueID!G:G,'Sub Region'!A29,UniqueID!L:L)</f>
        <v>13</v>
      </c>
      <c r="E29" s="37">
        <v>1.1000000000000001</v>
      </c>
      <c r="F29" t="s">
        <v>742</v>
      </c>
      <c r="G29" s="37" t="s">
        <v>759</v>
      </c>
      <c r="H29" s="37" t="s">
        <v>761</v>
      </c>
      <c r="J29" s="37" t="str">
        <f t="shared" si="0"/>
        <v xml:space="preserve">Southern Rhone, </v>
      </c>
      <c r="K29" s="37">
        <f>COUNTIF(Wine1!H:H,J29)</f>
        <v>0</v>
      </c>
    </row>
    <row r="30" spans="1:11" x14ac:dyDescent="0.25">
      <c r="A30" s="37" t="s">
        <v>1036</v>
      </c>
      <c r="B30" s="37">
        <f>COUNTIF(UniqueID!G:G,'Sub Region'!A30)</f>
        <v>7</v>
      </c>
      <c r="D30" s="37">
        <f>AVERAGEIF(UniqueID!G:G,'Sub Region'!A30,UniqueID!L:L)</f>
        <v>44.972857142857144</v>
      </c>
      <c r="E30" s="37">
        <v>1.4</v>
      </c>
      <c r="F30" t="s">
        <v>742</v>
      </c>
      <c r="G30" s="37" t="s">
        <v>759</v>
      </c>
      <c r="H30" s="37" t="s">
        <v>761</v>
      </c>
      <c r="I30" t="s">
        <v>1106</v>
      </c>
      <c r="J30" s="37" t="str">
        <f t="shared" si="0"/>
        <v>Southern Rhone, Chateauneuf du Pape</v>
      </c>
      <c r="K30" s="37">
        <f>COUNTIF(Wine1!H:H,J30)</f>
        <v>49</v>
      </c>
    </row>
    <row r="31" spans="1:11" x14ac:dyDescent="0.25">
      <c r="A31" s="37" t="s">
        <v>1019</v>
      </c>
      <c r="B31" s="37">
        <f>COUNTIF(UniqueID!G:G,'Sub Region'!A31)</f>
        <v>1</v>
      </c>
      <c r="D31" s="37">
        <f>AVERAGEIF(UniqueID!G:G,'Sub Region'!A31,UniqueID!L:L)</f>
        <v>9.99</v>
      </c>
      <c r="E31" s="37">
        <v>1.1000000000000001</v>
      </c>
      <c r="F31" t="s">
        <v>742</v>
      </c>
      <c r="G31" s="37" t="s">
        <v>759</v>
      </c>
      <c r="H31" s="37" t="s">
        <v>761</v>
      </c>
      <c r="I31" t="s">
        <v>1107</v>
      </c>
      <c r="J31" s="37" t="str">
        <f t="shared" si="0"/>
        <v>Southern Rhone, Cotes du Ventoux</v>
      </c>
      <c r="K31" s="37">
        <f>COUNTIF(Wine1!H:H,J31)</f>
        <v>4</v>
      </c>
    </row>
    <row r="32" spans="1:11" x14ac:dyDescent="0.25">
      <c r="A32" s="37" t="s">
        <v>1031</v>
      </c>
      <c r="B32" s="37">
        <f>COUNTIF(UniqueID!G:G,'Sub Region'!A32)</f>
        <v>5</v>
      </c>
      <c r="D32" s="37">
        <f>AVERAGEIF(UniqueID!G:G,'Sub Region'!A32,UniqueID!L:L)</f>
        <v>22.595999999999997</v>
      </c>
      <c r="E32" s="37">
        <v>1.3</v>
      </c>
      <c r="F32" t="s">
        <v>742</v>
      </c>
      <c r="G32" s="37" t="s">
        <v>759</v>
      </c>
      <c r="H32" s="37" t="s">
        <v>761</v>
      </c>
      <c r="I32" t="s">
        <v>227</v>
      </c>
      <c r="J32" s="37" t="str">
        <f t="shared" si="0"/>
        <v>Southern Rhone, Gigondas</v>
      </c>
      <c r="K32" s="37">
        <f>COUNTIF(Wine1!H:H,J32)</f>
        <v>46</v>
      </c>
    </row>
    <row r="33" spans="1:11" x14ac:dyDescent="0.25">
      <c r="A33" s="37" t="s">
        <v>1028</v>
      </c>
      <c r="B33" s="37">
        <f>COUNTIF(UniqueID!G:G,'Sub Region'!A33)</f>
        <v>1</v>
      </c>
      <c r="D33" s="37">
        <f>AVERAGEIF(UniqueID!G:G,'Sub Region'!A33,UniqueID!L:L)</f>
        <v>13.99</v>
      </c>
      <c r="E33" s="37">
        <v>1.2</v>
      </c>
      <c r="F33" t="s">
        <v>742</v>
      </c>
      <c r="G33" s="37" t="s">
        <v>759</v>
      </c>
      <c r="H33" s="37" t="s">
        <v>761</v>
      </c>
      <c r="I33" t="s">
        <v>408</v>
      </c>
      <c r="J33" s="37" t="str">
        <f t="shared" si="0"/>
        <v>Southern Rhone, Rasteau</v>
      </c>
      <c r="K33" s="37">
        <f>COUNTIF(Wine1!H:H,J33)</f>
        <v>15</v>
      </c>
    </row>
    <row r="34" spans="1:11" x14ac:dyDescent="0.25">
      <c r="A34" s="37" t="s">
        <v>1021</v>
      </c>
      <c r="B34" s="37">
        <f>COUNTIF(UniqueID!G:G,'Sub Region'!A34)</f>
        <v>1</v>
      </c>
      <c r="D34" s="37">
        <f>AVERAGEIF(UniqueID!G:G,'Sub Region'!A34,UniqueID!L:L)</f>
        <v>14.99</v>
      </c>
      <c r="E34" s="37">
        <v>1.1000000000000001</v>
      </c>
      <c r="F34" t="s">
        <v>742</v>
      </c>
      <c r="G34" s="37" t="s">
        <v>766</v>
      </c>
      <c r="H34" s="37" t="s">
        <v>767</v>
      </c>
      <c r="J34" s="37" t="str">
        <f t="shared" si="0"/>
        <v xml:space="preserve">Cotes Catalanes, </v>
      </c>
      <c r="K34" s="37">
        <f>COUNTIF(Wine1!H:H,J34)</f>
        <v>0</v>
      </c>
    </row>
    <row r="35" spans="1:11" x14ac:dyDescent="0.25">
      <c r="A35" s="37" t="s">
        <v>1068</v>
      </c>
      <c r="B35" s="37">
        <f>COUNTIF(UniqueID!G:G,'Sub Region'!A35)</f>
        <v>1</v>
      </c>
      <c r="D35" s="37">
        <f>AVERAGEIF(UniqueID!G:G,'Sub Region'!A35,UniqueID!L:L)</f>
        <v>29.984999999999996</v>
      </c>
      <c r="E35" s="37">
        <v>1</v>
      </c>
      <c r="F35" t="s">
        <v>865</v>
      </c>
      <c r="J35" s="37" t="str">
        <f t="shared" si="0"/>
        <v xml:space="preserve">, </v>
      </c>
      <c r="K35" s="37">
        <f>COUNTIF(Wine1!H:H,J35)</f>
        <v>0</v>
      </c>
    </row>
    <row r="36" spans="1:11" x14ac:dyDescent="0.25">
      <c r="A36" s="37" t="s">
        <v>1076</v>
      </c>
      <c r="B36" s="37">
        <f>COUNTIF(UniqueID!G:G,'Sub Region'!A36)</f>
        <v>1</v>
      </c>
      <c r="D36" s="37">
        <f>AVERAGEIF(UniqueID!G:G,'Sub Region'!A36,UniqueID!L:L)</f>
        <v>14.000000000000002</v>
      </c>
      <c r="E36" s="37">
        <v>0.9</v>
      </c>
      <c r="F36" t="s">
        <v>728</v>
      </c>
      <c r="G36" s="37" t="s">
        <v>768</v>
      </c>
      <c r="H36" s="37" t="s">
        <v>1103</v>
      </c>
      <c r="I36" t="s">
        <v>1095</v>
      </c>
      <c r="J36" s="37" t="str">
        <f t="shared" si="0"/>
        <v>Montepulciano d'Abruzzo, Abruzzi</v>
      </c>
      <c r="K36" s="37">
        <f>COUNTIF(Wine1!H:H,J36)</f>
        <v>0</v>
      </c>
    </row>
    <row r="37" spans="1:11" x14ac:dyDescent="0.25">
      <c r="A37" s="37" t="s">
        <v>1063</v>
      </c>
      <c r="B37" s="37">
        <f>COUNTIF(UniqueID!G:G,'Sub Region'!A37)</f>
        <v>1</v>
      </c>
      <c r="D37" s="37">
        <f>AVERAGEIF(UniqueID!G:G,'Sub Region'!A37,UniqueID!L:L)</f>
        <v>40</v>
      </c>
      <c r="E37" s="37">
        <v>1.3</v>
      </c>
      <c r="F37" t="s">
        <v>728</v>
      </c>
      <c r="G37" s="37" t="s">
        <v>771</v>
      </c>
      <c r="H37" s="37" t="s">
        <v>772</v>
      </c>
      <c r="J37" s="37" t="str">
        <f t="shared" si="0"/>
        <v xml:space="preserve">Taurasi, </v>
      </c>
      <c r="K37" s="37">
        <f>COUNTIF(Wine1!H:H,J37)</f>
        <v>0</v>
      </c>
    </row>
    <row r="38" spans="1:11" x14ac:dyDescent="0.25">
      <c r="A38" s="37" t="s">
        <v>1085</v>
      </c>
      <c r="B38" s="37">
        <f>COUNTIF(UniqueID!G:G,'Sub Region'!A38)</f>
        <v>2</v>
      </c>
      <c r="D38" s="37">
        <f>AVERAGEIF(UniqueID!G:G,'Sub Region'!A38,UniqueID!L:L)</f>
        <v>27.5</v>
      </c>
      <c r="F38" t="s">
        <v>728</v>
      </c>
      <c r="G38" s="37" t="s">
        <v>774</v>
      </c>
      <c r="H38" s="37" t="s">
        <v>775</v>
      </c>
      <c r="J38" s="37" t="str">
        <f t="shared" si="0"/>
        <v xml:space="preserve">Romagna, </v>
      </c>
      <c r="K38" s="37">
        <f>COUNTIF(Wine1!H:H,J38)</f>
        <v>0</v>
      </c>
    </row>
    <row r="39" spans="1:11" x14ac:dyDescent="0.25">
      <c r="A39" s="37" t="s">
        <v>1074</v>
      </c>
      <c r="B39" s="37">
        <f>COUNTIF(UniqueID!G:G,'Sub Region'!A39)</f>
        <v>1</v>
      </c>
      <c r="D39" s="37">
        <f>AVERAGEIF(UniqueID!G:G,'Sub Region'!A39,UniqueID!L:L)</f>
        <v>40</v>
      </c>
      <c r="E39" s="37">
        <v>1.3</v>
      </c>
      <c r="F39" t="s">
        <v>728</v>
      </c>
      <c r="G39" s="37" t="s">
        <v>776</v>
      </c>
      <c r="H39" s="37" t="s">
        <v>777</v>
      </c>
      <c r="J39" s="37" t="str">
        <f t="shared" si="0"/>
        <v xml:space="preserve">Sforzato di Valtellina, </v>
      </c>
      <c r="K39" s="37">
        <f>COUNTIF(Wine1!H:H,J39)</f>
        <v>0</v>
      </c>
    </row>
    <row r="40" spans="1:11" x14ac:dyDescent="0.25">
      <c r="A40" s="37" t="s">
        <v>1054</v>
      </c>
      <c r="B40" s="37">
        <f>COUNTIF(UniqueID!G:G,'Sub Region'!A40)</f>
        <v>8</v>
      </c>
      <c r="D40" s="37">
        <f>AVERAGEIF(UniqueID!G:G,'Sub Region'!A40,UniqueID!L:L)</f>
        <v>46.176250000000003</v>
      </c>
      <c r="E40" s="37">
        <v>1.4</v>
      </c>
      <c r="F40" t="s">
        <v>728</v>
      </c>
      <c r="G40" s="37" t="s">
        <v>778</v>
      </c>
      <c r="H40" s="37" t="s">
        <v>249</v>
      </c>
      <c r="J40" s="37" t="str">
        <f t="shared" si="0"/>
        <v xml:space="preserve">Barbaresco, </v>
      </c>
      <c r="K40" s="37">
        <f>COUNTIF(Wine1!H:H,J40)</f>
        <v>0</v>
      </c>
    </row>
    <row r="41" spans="1:11" x14ac:dyDescent="0.25">
      <c r="A41" s="37" t="s">
        <v>1082</v>
      </c>
      <c r="B41" s="37">
        <f>COUNTIF(UniqueID!G:G,'Sub Region'!A41)</f>
        <v>1</v>
      </c>
      <c r="D41" s="37">
        <f>AVERAGEIF(UniqueID!G:G,'Sub Region'!A41,UniqueID!L:L)</f>
        <v>13</v>
      </c>
      <c r="E41" s="37">
        <v>1</v>
      </c>
      <c r="F41" t="s">
        <v>728</v>
      </c>
      <c r="G41" s="37" t="s">
        <v>778</v>
      </c>
      <c r="H41" s="37" t="s">
        <v>779</v>
      </c>
      <c r="J41" s="37" t="str">
        <f t="shared" si="0"/>
        <v xml:space="preserve">Barbera d'Asti, </v>
      </c>
      <c r="K41" s="37">
        <f>COUNTIF(Wine1!H:H,J41)</f>
        <v>0</v>
      </c>
    </row>
    <row r="42" spans="1:11" x14ac:dyDescent="0.25">
      <c r="A42" s="37" t="s">
        <v>1047</v>
      </c>
      <c r="B42" s="37">
        <f>COUNTIF(UniqueID!G:G,'Sub Region'!A42)</f>
        <v>8</v>
      </c>
      <c r="D42" s="37">
        <f>AVERAGEIF(UniqueID!G:G,'Sub Region'!A42,UniqueID!L:L)</f>
        <v>46.74</v>
      </c>
      <c r="E42" s="37">
        <v>1.4</v>
      </c>
      <c r="F42" t="s">
        <v>728</v>
      </c>
      <c r="G42" s="37" t="s">
        <v>778</v>
      </c>
      <c r="H42" s="37" t="s">
        <v>268</v>
      </c>
      <c r="J42" s="37" t="str">
        <f t="shared" si="0"/>
        <v xml:space="preserve">Barolo, </v>
      </c>
      <c r="K42" s="37">
        <f>COUNTIF(Wine1!H:H,J42)</f>
        <v>0</v>
      </c>
    </row>
    <row r="43" spans="1:11" x14ac:dyDescent="0.25">
      <c r="A43" s="37" t="s">
        <v>1088</v>
      </c>
      <c r="B43" s="37">
        <f>COUNTIF(UniqueID!G:G,'Sub Region'!A43)</f>
        <v>1</v>
      </c>
      <c r="D43" s="37">
        <f>AVERAGEIF(UniqueID!G:G,'Sub Region'!A43,UniqueID!L:L)</f>
        <v>35</v>
      </c>
      <c r="E43" s="37">
        <v>1.5</v>
      </c>
      <c r="F43" t="s">
        <v>728</v>
      </c>
      <c r="G43" s="37" t="s">
        <v>778</v>
      </c>
      <c r="H43" s="37" t="s">
        <v>268</v>
      </c>
      <c r="I43" t="s">
        <v>1108</v>
      </c>
      <c r="J43" s="37" t="str">
        <f t="shared" si="0"/>
        <v>Barolo, La Morra</v>
      </c>
      <c r="K43" s="37">
        <f>COUNTIF(Wine1!H:H,J43)</f>
        <v>0</v>
      </c>
    </row>
    <row r="44" spans="1:11" x14ac:dyDescent="0.25">
      <c r="A44" s="37" t="s">
        <v>1064</v>
      </c>
      <c r="B44" s="37">
        <f>COUNTIF(UniqueID!G:G,'Sub Region'!A44)</f>
        <v>1</v>
      </c>
      <c r="D44" s="37">
        <f>AVERAGEIF(UniqueID!G:G,'Sub Region'!A44,UniqueID!L:L)</f>
        <v>74</v>
      </c>
      <c r="E44" s="37">
        <v>1.6</v>
      </c>
      <c r="F44" t="s">
        <v>728</v>
      </c>
      <c r="G44" s="37" t="s">
        <v>778</v>
      </c>
      <c r="H44" s="37" t="s">
        <v>268</v>
      </c>
      <c r="I44" t="s">
        <v>1109</v>
      </c>
      <c r="J44" s="37" t="str">
        <f t="shared" si="0"/>
        <v>Barolo, Monforte Bussia</v>
      </c>
      <c r="K44" s="37">
        <f>COUNTIF(Wine1!H:H,J44)</f>
        <v>1</v>
      </c>
    </row>
    <row r="45" spans="1:11" x14ac:dyDescent="0.25">
      <c r="A45" s="37" t="s">
        <v>1059</v>
      </c>
      <c r="B45" s="37">
        <f>COUNTIF(UniqueID!G:G,'Sub Region'!A45)</f>
        <v>1</v>
      </c>
      <c r="D45" s="37">
        <f>AVERAGEIF(UniqueID!G:G,'Sub Region'!A45,UniqueID!L:L)</f>
        <v>45</v>
      </c>
      <c r="E45" s="37">
        <v>1.5</v>
      </c>
      <c r="F45" t="s">
        <v>728</v>
      </c>
      <c r="G45" s="37" t="s">
        <v>778</v>
      </c>
      <c r="H45" s="37" t="s">
        <v>268</v>
      </c>
      <c r="I45" t="s">
        <v>1110</v>
      </c>
      <c r="J45" s="37" t="str">
        <f t="shared" si="0"/>
        <v>Barolo, Monforte d'Alba</v>
      </c>
      <c r="K45" s="37">
        <f>COUNTIF(Wine1!H:H,J45)</f>
        <v>3</v>
      </c>
    </row>
    <row r="46" spans="1:11" x14ac:dyDescent="0.25">
      <c r="A46" s="37" t="s">
        <v>1065</v>
      </c>
      <c r="B46" s="37">
        <f>COUNTIF(UniqueID!G:G,'Sub Region'!A46)</f>
        <v>0</v>
      </c>
      <c r="D46" s="37" t="e">
        <f>AVERAGEIF(UniqueID!G:G,'Sub Region'!A46,UniqueID!L:L)</f>
        <v>#DIV/0!</v>
      </c>
      <c r="E46" s="37">
        <v>1.5</v>
      </c>
      <c r="F46" t="s">
        <v>728</v>
      </c>
      <c r="G46" s="37" t="s">
        <v>778</v>
      </c>
      <c r="H46" s="37" t="s">
        <v>268</v>
      </c>
      <c r="I46" t="s">
        <v>1111</v>
      </c>
      <c r="J46" s="37" t="str">
        <f t="shared" si="0"/>
        <v>Barolo, Piedmont Barolo</v>
      </c>
      <c r="K46" s="37">
        <f>COUNTIF(Wine1!H:H,J46)</f>
        <v>0</v>
      </c>
    </row>
    <row r="47" spans="1:11" x14ac:dyDescent="0.25">
      <c r="A47" s="37" t="s">
        <v>1001</v>
      </c>
      <c r="B47" s="37">
        <f>COUNTIF(UniqueID!G:G,'Sub Region'!A47)</f>
        <v>2</v>
      </c>
      <c r="D47" s="37">
        <f>AVERAGEIF(UniqueID!G:G,'Sub Region'!A47,UniqueID!L:L)</f>
        <v>28.868749999999999</v>
      </c>
      <c r="E47" s="37">
        <v>1.4</v>
      </c>
      <c r="F47" t="s">
        <v>728</v>
      </c>
      <c r="G47" s="37" t="s">
        <v>778</v>
      </c>
      <c r="H47" s="37" t="s">
        <v>268</v>
      </c>
      <c r="I47" t="s">
        <v>1112</v>
      </c>
      <c r="J47" s="37" t="str">
        <f t="shared" si="0"/>
        <v>Barolo, Serralunga d'Alba</v>
      </c>
      <c r="K47" s="37">
        <f>COUNTIF(Wine1!H:H,J47)</f>
        <v>9</v>
      </c>
    </row>
    <row r="48" spans="1:11" x14ac:dyDescent="0.25">
      <c r="A48" s="37" t="s">
        <v>1066</v>
      </c>
      <c r="B48" s="37">
        <f>COUNTIF(UniqueID!G:G,'Sub Region'!A48)</f>
        <v>1</v>
      </c>
      <c r="D48" s="37">
        <f>AVERAGEIF(UniqueID!G:G,'Sub Region'!A48,UniqueID!L:L)</f>
        <v>110</v>
      </c>
      <c r="E48" s="37">
        <v>1.6</v>
      </c>
      <c r="F48" t="s">
        <v>728</v>
      </c>
      <c r="G48" s="37" t="s">
        <v>778</v>
      </c>
      <c r="H48" s="37" t="s">
        <v>782</v>
      </c>
      <c r="J48" s="37" t="str">
        <f t="shared" si="0"/>
        <v xml:space="preserve">Barolo. Castiglione Falletto, </v>
      </c>
      <c r="K48" s="37">
        <f>COUNTIF(Wine1!H:H,J48)</f>
        <v>0</v>
      </c>
    </row>
    <row r="49" spans="1:11" x14ac:dyDescent="0.25">
      <c r="A49" s="37" t="s">
        <v>1089</v>
      </c>
      <c r="B49" s="37">
        <f>COUNTIF(UniqueID!G:G,'Sub Region'!A49)</f>
        <v>1</v>
      </c>
      <c r="D49" s="37">
        <f>AVERAGEIF(UniqueID!G:G,'Sub Region'!A49,UniqueID!L:L)</f>
        <v>17</v>
      </c>
      <c r="E49" s="37">
        <v>1</v>
      </c>
      <c r="F49" t="s">
        <v>728</v>
      </c>
      <c r="G49" s="37" t="s">
        <v>778</v>
      </c>
      <c r="H49" s="37" t="s">
        <v>166</v>
      </c>
      <c r="J49" s="37" t="str">
        <f t="shared" si="0"/>
        <v xml:space="preserve">Dolcetto d'Alba, </v>
      </c>
      <c r="K49" s="37">
        <f>COUNTIF(Wine1!H:H,J49)</f>
        <v>0</v>
      </c>
    </row>
    <row r="50" spans="1:11" x14ac:dyDescent="0.25">
      <c r="A50" s="37" t="s">
        <v>1034</v>
      </c>
      <c r="B50" s="37">
        <f>COUNTIF(UniqueID!G:G,'Sub Region'!A50)</f>
        <v>1</v>
      </c>
      <c r="D50" s="37">
        <f>AVERAGEIF(UniqueID!G:G,'Sub Region'!A50,UniqueID!L:L)</f>
        <v>26</v>
      </c>
      <c r="E50" s="37">
        <v>1.2</v>
      </c>
      <c r="F50" t="s">
        <v>728</v>
      </c>
      <c r="G50" s="37" t="s">
        <v>778</v>
      </c>
      <c r="H50" s="37" t="s">
        <v>773</v>
      </c>
      <c r="J50" s="37" t="str">
        <f t="shared" si="0"/>
        <v xml:space="preserve">Roero, </v>
      </c>
      <c r="K50" s="37">
        <f>COUNTIF(Wine1!H:H,J50)</f>
        <v>0</v>
      </c>
    </row>
    <row r="51" spans="1:11" x14ac:dyDescent="0.25">
      <c r="A51" s="37" t="s">
        <v>1046</v>
      </c>
      <c r="B51" s="37">
        <f>COUNTIF(UniqueID!G:G,'Sub Region'!A51)</f>
        <v>1</v>
      </c>
      <c r="D51" s="37">
        <f>AVERAGEIF(UniqueID!G:G,'Sub Region'!A51,UniqueID!L:L)</f>
        <v>28.59</v>
      </c>
      <c r="E51" s="37">
        <v>0.9</v>
      </c>
      <c r="F51" t="s">
        <v>728</v>
      </c>
      <c r="G51" s="37" t="s">
        <v>785</v>
      </c>
      <c r="J51" s="37" t="str">
        <f t="shared" si="0"/>
        <v xml:space="preserve">, </v>
      </c>
      <c r="K51" s="37">
        <f>COUNTIF(Wine1!H:H,J51)</f>
        <v>0</v>
      </c>
    </row>
    <row r="52" spans="1:11" x14ac:dyDescent="0.25">
      <c r="A52" s="37" t="s">
        <v>1020</v>
      </c>
      <c r="B52" s="37">
        <f>COUNTIF(UniqueID!G:G,'Sub Region'!A52)</f>
        <v>2</v>
      </c>
      <c r="D52" s="37">
        <f>AVERAGEIF(UniqueID!G:G,'Sub Region'!A52,UniqueID!L:L)</f>
        <v>12.324999999999999</v>
      </c>
      <c r="E52" s="37">
        <v>0.9</v>
      </c>
      <c r="F52" t="s">
        <v>728</v>
      </c>
      <c r="G52" s="37" t="s">
        <v>785</v>
      </c>
      <c r="H52" s="37" t="s">
        <v>786</v>
      </c>
      <c r="J52" s="37" t="str">
        <f t="shared" si="0"/>
        <v xml:space="preserve">Salento, </v>
      </c>
      <c r="K52" s="37">
        <f>COUNTIF(Wine1!H:H,J52)</f>
        <v>0</v>
      </c>
    </row>
    <row r="53" spans="1:11" x14ac:dyDescent="0.25">
      <c r="A53" s="37" t="s">
        <v>1014</v>
      </c>
      <c r="B53" s="37">
        <f>COUNTIF(UniqueID!G:G,'Sub Region'!A53)</f>
        <v>1</v>
      </c>
      <c r="D53" s="37">
        <f>AVERAGEIF(UniqueID!G:G,'Sub Region'!A53,UniqueID!L:L)</f>
        <v>14.66</v>
      </c>
      <c r="E53" s="37">
        <v>1</v>
      </c>
      <c r="F53" t="s">
        <v>728</v>
      </c>
      <c r="G53" s="37" t="s">
        <v>785</v>
      </c>
      <c r="H53" s="37" t="s">
        <v>769</v>
      </c>
      <c r="J53" s="37" t="str">
        <f t="shared" si="0"/>
        <v xml:space="preserve">Salice Salentino, </v>
      </c>
      <c r="K53" s="37">
        <f>COUNTIF(Wine1!H:H,J53)</f>
        <v>0</v>
      </c>
    </row>
    <row r="54" spans="1:11" x14ac:dyDescent="0.25">
      <c r="A54" s="37" t="s">
        <v>1062</v>
      </c>
      <c r="B54" s="37">
        <f>COUNTIF(UniqueID!G:G,'Sub Region'!A54)</f>
        <v>1</v>
      </c>
      <c r="D54" s="37">
        <f>AVERAGEIF(UniqueID!G:G,'Sub Region'!A54,UniqueID!L:L)</f>
        <v>44</v>
      </c>
      <c r="E54" s="37">
        <v>0.9</v>
      </c>
      <c r="F54" t="s">
        <v>728</v>
      </c>
      <c r="G54" s="37" t="s">
        <v>787</v>
      </c>
      <c r="J54" s="37" t="str">
        <f t="shared" si="0"/>
        <v xml:space="preserve">, </v>
      </c>
      <c r="K54" s="37">
        <f>COUNTIF(Wine1!H:H,J54)</f>
        <v>0</v>
      </c>
    </row>
    <row r="55" spans="1:11" x14ac:dyDescent="0.25">
      <c r="A55" s="37" t="s">
        <v>1086</v>
      </c>
      <c r="B55" s="37">
        <f>COUNTIF(UniqueID!G:G,'Sub Region'!A55)</f>
        <v>1</v>
      </c>
      <c r="D55" s="37">
        <f>AVERAGEIF(UniqueID!G:G,'Sub Region'!A55,UniqueID!L:L)</f>
        <v>16.190000000000001</v>
      </c>
      <c r="E55" s="37">
        <v>0.9</v>
      </c>
      <c r="F55" t="s">
        <v>728</v>
      </c>
      <c r="G55" s="37" t="s">
        <v>788</v>
      </c>
      <c r="H55" s="37" t="s">
        <v>789</v>
      </c>
      <c r="J55" s="37" t="str">
        <f t="shared" si="0"/>
        <v xml:space="preserve">Etna, </v>
      </c>
      <c r="K55" s="37">
        <f>COUNTIF(Wine1!H:H,J55)</f>
        <v>0</v>
      </c>
    </row>
    <row r="56" spans="1:11" x14ac:dyDescent="0.25">
      <c r="A56" s="37" t="s">
        <v>1084</v>
      </c>
      <c r="B56" s="37">
        <f>COUNTIF(UniqueID!G:G,'Sub Region'!A56)</f>
        <v>1</v>
      </c>
      <c r="D56" s="37">
        <f>AVERAGEIF(UniqueID!G:G,'Sub Region'!A56,UniqueID!L:L)</f>
        <v>14.000000000000002</v>
      </c>
      <c r="F56" t="s">
        <v>728</v>
      </c>
      <c r="G56" s="37" t="s">
        <v>790</v>
      </c>
      <c r="J56" s="37" t="str">
        <f t="shared" si="0"/>
        <v xml:space="preserve">, </v>
      </c>
      <c r="K56" s="37">
        <f>COUNTIF(Wine1!H:H,J56)</f>
        <v>0</v>
      </c>
    </row>
    <row r="57" spans="1:11" x14ac:dyDescent="0.25">
      <c r="A57" s="37" t="s">
        <v>1061</v>
      </c>
      <c r="B57" s="37">
        <f>COUNTIF(UniqueID!G:G,'Sub Region'!A57)</f>
        <v>2</v>
      </c>
      <c r="D57" s="37">
        <f>AVERAGEIF(UniqueID!G:G,'Sub Region'!A57,UniqueID!L:L)</f>
        <v>214.66000000000003</v>
      </c>
      <c r="E57" s="37">
        <v>1.8</v>
      </c>
      <c r="F57" t="s">
        <v>728</v>
      </c>
      <c r="G57" s="37" t="s">
        <v>790</v>
      </c>
      <c r="H57" s="37" t="s">
        <v>791</v>
      </c>
      <c r="J57" s="37" t="str">
        <f t="shared" si="0"/>
        <v xml:space="preserve">Bolgheri, </v>
      </c>
      <c r="K57" s="37">
        <f>COUNTIF(Wine1!H:H,J57)</f>
        <v>0</v>
      </c>
    </row>
    <row r="58" spans="1:11" x14ac:dyDescent="0.25">
      <c r="A58" s="37" t="s">
        <v>1033</v>
      </c>
      <c r="B58" s="37">
        <f>COUNTIF(UniqueID!G:G,'Sub Region'!A58)</f>
        <v>27</v>
      </c>
      <c r="D58" s="37">
        <f>AVERAGEIF(UniqueID!G:G,'Sub Region'!A58,UniqueID!L:L)</f>
        <v>47.390740740740746</v>
      </c>
      <c r="E58" s="37">
        <v>1.5</v>
      </c>
      <c r="F58" t="s">
        <v>728</v>
      </c>
      <c r="G58" s="37" t="s">
        <v>790</v>
      </c>
      <c r="H58" s="37" t="s">
        <v>19</v>
      </c>
      <c r="J58" s="37" t="str">
        <f t="shared" si="0"/>
        <v xml:space="preserve">Brunello di Montalcino, </v>
      </c>
      <c r="K58" s="37">
        <f>COUNTIF(Wine1!H:H,J58)</f>
        <v>0</v>
      </c>
    </row>
    <row r="59" spans="1:11" x14ac:dyDescent="0.25">
      <c r="A59" s="37" t="s">
        <v>1030</v>
      </c>
      <c r="B59" s="37">
        <f>COUNTIF(UniqueID!G:G,'Sub Region'!A59)</f>
        <v>6</v>
      </c>
      <c r="D59" s="37">
        <f>AVERAGEIF(UniqueID!G:G,'Sub Region'!A59,UniqueID!L:L)</f>
        <v>24.126666666666665</v>
      </c>
      <c r="E59" s="37">
        <v>1.2</v>
      </c>
      <c r="F59" t="s">
        <v>728</v>
      </c>
      <c r="G59" s="37" t="s">
        <v>790</v>
      </c>
      <c r="H59" s="37" t="s">
        <v>792</v>
      </c>
      <c r="J59" s="37" t="str">
        <f t="shared" si="0"/>
        <v xml:space="preserve">Chianti Classico, </v>
      </c>
      <c r="K59" s="37">
        <f>COUNTIF(Wine1!H:H,J59)</f>
        <v>0</v>
      </c>
    </row>
    <row r="60" spans="1:11" x14ac:dyDescent="0.25">
      <c r="A60" s="37" t="s">
        <v>1067</v>
      </c>
      <c r="B60" s="37">
        <f>COUNTIF(UniqueID!G:G,'Sub Region'!A60)</f>
        <v>1</v>
      </c>
      <c r="D60" s="37">
        <f>AVERAGEIF(UniqueID!G:G,'Sub Region'!A60,UniqueID!L:L)</f>
        <v>165</v>
      </c>
      <c r="F60" t="s">
        <v>728</v>
      </c>
      <c r="G60" s="37" t="s">
        <v>790</v>
      </c>
      <c r="H60" s="37" t="s">
        <v>836</v>
      </c>
      <c r="J60" s="37" t="str">
        <f t="shared" si="0"/>
        <v xml:space="preserve">Colli della Toscana Centrale, </v>
      </c>
      <c r="K60" s="37">
        <f>COUNTIF(Wine1!H:H,J60)</f>
        <v>0</v>
      </c>
    </row>
    <row r="61" spans="1:11" x14ac:dyDescent="0.25">
      <c r="A61" s="37" t="s">
        <v>1077</v>
      </c>
      <c r="B61" s="37">
        <f>COUNTIF(UniqueID!G:G,'Sub Region'!A61)</f>
        <v>2</v>
      </c>
      <c r="D61" s="37">
        <f>AVERAGEIF(UniqueID!G:G,'Sub Region'!A61,UniqueID!L:L)</f>
        <v>27.495000000000001</v>
      </c>
      <c r="E61" s="37">
        <v>1.1000000000000001</v>
      </c>
      <c r="F61" t="s">
        <v>728</v>
      </c>
      <c r="G61" s="37" t="s">
        <v>790</v>
      </c>
      <c r="H61" s="37" t="s">
        <v>793</v>
      </c>
      <c r="J61" s="37" t="str">
        <f t="shared" si="0"/>
        <v xml:space="preserve">Maremma Toscana, </v>
      </c>
      <c r="K61" s="37">
        <f>COUNTIF(Wine1!H:H,J61)</f>
        <v>0</v>
      </c>
    </row>
    <row r="62" spans="1:11" x14ac:dyDescent="0.25">
      <c r="A62" s="37" t="s">
        <v>999</v>
      </c>
      <c r="B62" s="37">
        <f>COUNTIF(UniqueID!G:G,'Sub Region'!A62)</f>
        <v>1</v>
      </c>
      <c r="D62" s="37">
        <f>AVERAGEIF(UniqueID!G:G,'Sub Region'!A62,UniqueID!L:L)</f>
        <v>11.69</v>
      </c>
      <c r="E62" s="37">
        <v>1</v>
      </c>
      <c r="F62" t="s">
        <v>728</v>
      </c>
      <c r="G62" s="37" t="s">
        <v>790</v>
      </c>
      <c r="H62" s="37" t="s">
        <v>808</v>
      </c>
      <c r="J62" s="37" t="str">
        <f t="shared" si="0"/>
        <v xml:space="preserve">San Gimignano, </v>
      </c>
      <c r="K62" s="37">
        <f>COUNTIF(Wine1!H:H,J62)</f>
        <v>0</v>
      </c>
    </row>
    <row r="63" spans="1:11" x14ac:dyDescent="0.25">
      <c r="A63" s="37" t="s">
        <v>1024</v>
      </c>
      <c r="B63" s="37">
        <f>COUNTIF(UniqueID!G:G,'Sub Region'!A63)</f>
        <v>7</v>
      </c>
      <c r="D63" s="37">
        <f>AVERAGEIF(UniqueID!G:G,'Sub Region'!A63,UniqueID!L:L)</f>
        <v>42.309999999999995</v>
      </c>
      <c r="E63" s="37">
        <v>1.3</v>
      </c>
      <c r="F63" t="s">
        <v>728</v>
      </c>
      <c r="G63" s="37" t="s">
        <v>790</v>
      </c>
      <c r="H63" s="37" t="s">
        <v>796</v>
      </c>
      <c r="J63" s="37" t="str">
        <f t="shared" si="0"/>
        <v xml:space="preserve">Toscana, </v>
      </c>
      <c r="K63" s="37">
        <f>COUNTIF(Wine1!H:H,J63)</f>
        <v>0</v>
      </c>
    </row>
    <row r="64" spans="1:11" x14ac:dyDescent="0.25">
      <c r="A64" s="37" t="s">
        <v>1052</v>
      </c>
      <c r="B64" s="37">
        <f>COUNTIF(UniqueID!G:G,'Sub Region'!A64)</f>
        <v>3</v>
      </c>
      <c r="D64" s="37">
        <f>AVERAGEIF(UniqueID!G:G,'Sub Region'!A64,UniqueID!L:L)</f>
        <v>36.229999999999997</v>
      </c>
      <c r="E64" s="37">
        <v>1.4</v>
      </c>
      <c r="F64" t="s">
        <v>728</v>
      </c>
      <c r="G64" s="37" t="s">
        <v>790</v>
      </c>
      <c r="H64" s="37" t="s">
        <v>794</v>
      </c>
      <c r="J64" s="37" t="str">
        <f t="shared" si="0"/>
        <v xml:space="preserve">Toscana IGT, </v>
      </c>
      <c r="K64" s="37">
        <f>COUNTIF(Wine1!H:H,J64)</f>
        <v>0</v>
      </c>
    </row>
    <row r="65" spans="1:11" x14ac:dyDescent="0.25">
      <c r="A65" s="37" t="s">
        <v>1048</v>
      </c>
      <c r="B65" s="37">
        <f>COUNTIF(UniqueID!G:G,'Sub Region'!A65)</f>
        <v>1</v>
      </c>
      <c r="D65" s="37">
        <f>AVERAGEIF(UniqueID!G:G,'Sub Region'!A65,UniqueID!L:L)</f>
        <v>24.989999999999995</v>
      </c>
      <c r="E65" s="37">
        <v>1</v>
      </c>
      <c r="F65" t="s">
        <v>728</v>
      </c>
      <c r="G65" s="37" t="s">
        <v>797</v>
      </c>
      <c r="H65" s="37" t="s">
        <v>798</v>
      </c>
      <c r="J65" s="37" t="str">
        <f t="shared" si="0"/>
        <v xml:space="preserve">Montefalco Sagrantino, </v>
      </c>
      <c r="K65" s="37">
        <f>COUNTIF(Wine1!H:H,J65)</f>
        <v>0</v>
      </c>
    </row>
    <row r="66" spans="1:11" x14ac:dyDescent="0.25">
      <c r="A66" s="37" t="s">
        <v>997</v>
      </c>
      <c r="B66" s="37">
        <f>COUNTIF(UniqueID!G:G,'Sub Region'!A66)</f>
        <v>1</v>
      </c>
      <c r="D66" s="37">
        <f>AVERAGEIF(UniqueID!G:G,'Sub Region'!A66,UniqueID!L:L)</f>
        <v>9.9700000000000006</v>
      </c>
      <c r="E66" s="37">
        <v>1</v>
      </c>
      <c r="F66" t="s">
        <v>728</v>
      </c>
      <c r="G66" s="37" t="s">
        <v>799</v>
      </c>
      <c r="J66" s="37" t="str">
        <f t="shared" si="0"/>
        <v xml:space="preserve">, </v>
      </c>
      <c r="K66" s="37">
        <f>COUNTIF(Wine1!H:H,J66)</f>
        <v>0</v>
      </c>
    </row>
    <row r="67" spans="1:11" x14ac:dyDescent="0.25">
      <c r="A67" s="37" t="s">
        <v>1012</v>
      </c>
      <c r="B67" s="37">
        <f>COUNTIF(UniqueID!G:G,'Sub Region'!A67)</f>
        <v>0</v>
      </c>
      <c r="D67" s="37" t="e">
        <f>AVERAGEIF(UniqueID!G:G,'Sub Region'!A67,UniqueID!L:L)</f>
        <v>#DIV/0!</v>
      </c>
      <c r="E67" s="37">
        <v>1.2</v>
      </c>
      <c r="F67" t="s">
        <v>728</v>
      </c>
      <c r="G67" s="37" t="s">
        <v>799</v>
      </c>
      <c r="H67" s="37" t="s">
        <v>802</v>
      </c>
      <c r="J67" s="37" t="str">
        <f t="shared" si="0"/>
        <v xml:space="preserve">Classico, </v>
      </c>
      <c r="K67" s="37">
        <f>COUNTIF(Wine1!H:H,J67)</f>
        <v>0</v>
      </c>
    </row>
    <row r="68" spans="1:11" x14ac:dyDescent="0.25">
      <c r="A68" s="37" t="s">
        <v>1004</v>
      </c>
      <c r="B68" s="37">
        <f>COUNTIF(UniqueID!G:G,'Sub Region'!A68)</f>
        <v>6</v>
      </c>
      <c r="D68" s="37">
        <f>AVERAGEIF(UniqueID!G:G,'Sub Region'!A68,UniqueID!L:L)</f>
        <v>47.391666666666659</v>
      </c>
      <c r="E68" s="37">
        <v>1.4</v>
      </c>
      <c r="F68" t="s">
        <v>728</v>
      </c>
      <c r="G68" s="37" t="s">
        <v>799</v>
      </c>
      <c r="H68" s="37" t="s">
        <v>803</v>
      </c>
      <c r="J68" s="37" t="str">
        <f t="shared" ref="J68:J95" si="1">CONCATENATE(H68,", ",I68)</f>
        <v xml:space="preserve">Valpolicella, </v>
      </c>
      <c r="K68" s="37">
        <f>COUNTIF(Wine1!H:H,J68)</f>
        <v>0</v>
      </c>
    </row>
    <row r="69" spans="1:11" x14ac:dyDescent="0.25">
      <c r="A69" s="37" t="s">
        <v>1003</v>
      </c>
      <c r="B69" s="37">
        <f>COUNTIF(UniqueID!G:G,'Sub Region'!A69)</f>
        <v>18</v>
      </c>
      <c r="D69" s="37">
        <f>AVERAGEIF(UniqueID!G:G,'Sub Region'!A69,UniqueID!L:L)</f>
        <v>51.318888888888893</v>
      </c>
      <c r="E69" s="37">
        <v>1.5</v>
      </c>
      <c r="F69" t="s">
        <v>728</v>
      </c>
      <c r="G69" s="37" t="s">
        <v>799</v>
      </c>
      <c r="H69" s="37" t="s">
        <v>800</v>
      </c>
      <c r="J69" s="37" t="str">
        <f t="shared" si="1"/>
        <v xml:space="preserve">Valpolicella Classico, </v>
      </c>
      <c r="K69" s="37">
        <f>COUNTIF(Wine1!H:H,J69)</f>
        <v>0</v>
      </c>
    </row>
    <row r="70" spans="1:11" x14ac:dyDescent="0.25">
      <c r="A70" s="37" t="s">
        <v>1009</v>
      </c>
      <c r="B70" s="37">
        <f>COUNTIF(UniqueID!G:G,'Sub Region'!A70)</f>
        <v>2</v>
      </c>
      <c r="D70" s="37">
        <f>AVERAGEIF(UniqueID!G:G,'Sub Region'!A70,UniqueID!L:L)</f>
        <v>14.39</v>
      </c>
      <c r="E70" s="37">
        <v>1.2</v>
      </c>
      <c r="F70" t="s">
        <v>728</v>
      </c>
      <c r="G70" s="37" t="s">
        <v>799</v>
      </c>
      <c r="H70" s="37" t="s">
        <v>801</v>
      </c>
      <c r="J70" s="37" t="str">
        <f t="shared" si="1"/>
        <v xml:space="preserve">Veneto IGT, </v>
      </c>
      <c r="K70" s="37">
        <f>COUNTIF(Wine1!H:H,J70)</f>
        <v>0</v>
      </c>
    </row>
    <row r="71" spans="1:11" x14ac:dyDescent="0.25">
      <c r="A71" s="37" t="s">
        <v>1000</v>
      </c>
      <c r="B71" s="37">
        <f>COUNTIF(UniqueID!G:G,'Sub Region'!A71)</f>
        <v>3</v>
      </c>
      <c r="D71" s="37">
        <f>AVERAGEIF(UniqueID!G:G,'Sub Region'!A71,UniqueID!L:L)</f>
        <v>9.7299999999999986</v>
      </c>
      <c r="E71" s="37">
        <v>0.9</v>
      </c>
      <c r="F71" t="s">
        <v>804</v>
      </c>
      <c r="G71" s="37" t="s">
        <v>837</v>
      </c>
      <c r="J71" s="37" t="str">
        <f t="shared" si="1"/>
        <v xml:space="preserve">, </v>
      </c>
      <c r="K71" s="37">
        <f>COUNTIF(Wine1!H:H,J71)</f>
        <v>0</v>
      </c>
    </row>
    <row r="72" spans="1:11" x14ac:dyDescent="0.25">
      <c r="A72" s="37" t="s">
        <v>1027</v>
      </c>
      <c r="B72" s="37">
        <f>COUNTIF(UniqueID!G:G,'Sub Region'!A72)</f>
        <v>9</v>
      </c>
      <c r="D72" s="37">
        <f>AVERAGEIF(UniqueID!G:G,'Sub Region'!A72,UniqueID!L:L)</f>
        <v>54.774444444444441</v>
      </c>
      <c r="E72" s="37">
        <v>1.3</v>
      </c>
      <c r="F72" t="s">
        <v>804</v>
      </c>
      <c r="G72" s="37" t="s">
        <v>805</v>
      </c>
      <c r="J72" s="37" t="str">
        <f t="shared" si="1"/>
        <v xml:space="preserve">, </v>
      </c>
      <c r="K72" s="37">
        <f>COUNTIF(Wine1!H:H,J72)</f>
        <v>0</v>
      </c>
    </row>
    <row r="73" spans="1:11" x14ac:dyDescent="0.25">
      <c r="A73" s="37" t="s">
        <v>1002</v>
      </c>
      <c r="B73" s="37">
        <f>COUNTIF(UniqueID!G:G,'Sub Region'!A73)</f>
        <v>1</v>
      </c>
      <c r="D73" s="37">
        <f>AVERAGEIF(UniqueID!G:G,'Sub Region'!A73,UniqueID!L:L)</f>
        <v>150</v>
      </c>
      <c r="F73" t="s">
        <v>729</v>
      </c>
      <c r="G73" s="37" t="s">
        <v>809</v>
      </c>
      <c r="H73" s="37" t="s">
        <v>810</v>
      </c>
      <c r="J73" s="37" t="str">
        <f t="shared" si="1"/>
        <v xml:space="preserve">Montilla-Moriles, </v>
      </c>
      <c r="K73" s="37">
        <f>COUNTIF(Wine1!H:H,J73)</f>
        <v>0</v>
      </c>
    </row>
    <row r="74" spans="1:11" x14ac:dyDescent="0.25">
      <c r="A74" s="37" t="s">
        <v>1017</v>
      </c>
      <c r="B74" s="37">
        <f>COUNTIF(UniqueID!G:G,'Sub Region'!A74)</f>
        <v>1</v>
      </c>
      <c r="D74" s="37">
        <f>AVERAGEIF(UniqueID!G:G,'Sub Region'!A74,UniqueID!L:L)</f>
        <v>8.99</v>
      </c>
      <c r="E74" s="37">
        <v>0.9</v>
      </c>
      <c r="F74" t="s">
        <v>729</v>
      </c>
      <c r="G74" s="37" t="s">
        <v>811</v>
      </c>
      <c r="H74" s="37" t="s">
        <v>812</v>
      </c>
      <c r="J74" s="37" t="str">
        <f t="shared" si="1"/>
        <v xml:space="preserve">Calatayud, </v>
      </c>
      <c r="K74" s="37">
        <f>COUNTIF(Wine1!H:H,J74)</f>
        <v>0</v>
      </c>
    </row>
    <row r="75" spans="1:11" x14ac:dyDescent="0.25">
      <c r="A75" s="37" t="s">
        <v>1007</v>
      </c>
      <c r="B75" s="37">
        <f>COUNTIF(UniqueID!G:G,'Sub Region'!A75)</f>
        <v>1</v>
      </c>
      <c r="D75" s="37">
        <f>AVERAGEIF(UniqueID!G:G,'Sub Region'!A75,UniqueID!L:L)</f>
        <v>11.69</v>
      </c>
      <c r="E75" s="37">
        <v>0.9</v>
      </c>
      <c r="F75" t="s">
        <v>729</v>
      </c>
      <c r="G75" s="37" t="s">
        <v>811</v>
      </c>
      <c r="H75" s="37" t="s">
        <v>838</v>
      </c>
      <c r="J75" s="37" t="str">
        <f t="shared" si="1"/>
        <v xml:space="preserve">Campo de Borja, </v>
      </c>
      <c r="K75" s="37">
        <f>COUNTIF(Wine1!H:H,J75)</f>
        <v>0</v>
      </c>
    </row>
    <row r="76" spans="1:11" x14ac:dyDescent="0.25">
      <c r="A76" s="37" t="s">
        <v>1032</v>
      </c>
      <c r="B76" s="37">
        <f>COUNTIF(UniqueID!G:G,'Sub Region'!A76)</f>
        <v>3</v>
      </c>
      <c r="D76" s="37">
        <f>AVERAGEIF(UniqueID!G:G,'Sub Region'!A76,UniqueID!L:L)</f>
        <v>21.326666666666668</v>
      </c>
      <c r="E76" s="37">
        <v>1</v>
      </c>
      <c r="F76" t="s">
        <v>729</v>
      </c>
      <c r="G76" s="37" t="s">
        <v>811</v>
      </c>
      <c r="H76" s="37" t="s">
        <v>813</v>
      </c>
      <c r="J76" s="37" t="str">
        <f t="shared" si="1"/>
        <v xml:space="preserve">Carinena, </v>
      </c>
      <c r="K76" s="37">
        <f>COUNTIF(Wine1!H:H,J76)</f>
        <v>0</v>
      </c>
    </row>
    <row r="77" spans="1:11" x14ac:dyDescent="0.25">
      <c r="A77" s="37" t="s">
        <v>1013</v>
      </c>
      <c r="B77" s="37">
        <f>COUNTIF(UniqueID!G:G,'Sub Region'!A77)</f>
        <v>0</v>
      </c>
      <c r="D77" s="37" t="e">
        <f>AVERAGEIF(UniqueID!G:G,'Sub Region'!A77,UniqueID!L:L)</f>
        <v>#DIV/0!</v>
      </c>
      <c r="E77" s="37">
        <v>1.1000000000000001</v>
      </c>
      <c r="F77" t="s">
        <v>729</v>
      </c>
      <c r="G77" s="37" t="s">
        <v>814</v>
      </c>
      <c r="H77" s="37" t="s">
        <v>815</v>
      </c>
      <c r="J77" s="37" t="str">
        <f t="shared" si="1"/>
        <v xml:space="preserve">Bierzo, </v>
      </c>
      <c r="K77" s="37">
        <f>COUNTIF(Wine1!H:H,J77)</f>
        <v>0</v>
      </c>
    </row>
    <row r="78" spans="1:11" x14ac:dyDescent="0.25">
      <c r="A78" s="37" t="s">
        <v>1044</v>
      </c>
      <c r="B78" s="37">
        <f>COUNTIF(UniqueID!G:G,'Sub Region'!A78)</f>
        <v>0</v>
      </c>
      <c r="D78" s="37" t="e">
        <f>AVERAGEIF(UniqueID!G:G,'Sub Region'!A78,UniqueID!L:L)</f>
        <v>#DIV/0!</v>
      </c>
      <c r="E78" s="37">
        <v>1.1000000000000001</v>
      </c>
      <c r="F78" t="s">
        <v>729</v>
      </c>
      <c r="G78" s="37" t="s">
        <v>814</v>
      </c>
      <c r="H78" s="37" t="s">
        <v>817</v>
      </c>
      <c r="J78" s="37" t="str">
        <f t="shared" si="1"/>
        <v xml:space="preserve">Gredos, </v>
      </c>
      <c r="K78" s="37">
        <f>COUNTIF(Wine1!H:H,J78)</f>
        <v>0</v>
      </c>
    </row>
    <row r="79" spans="1:11" x14ac:dyDescent="0.25">
      <c r="A79" s="37" t="s">
        <v>1016</v>
      </c>
      <c r="B79" s="37">
        <f>COUNTIF(UniqueID!G:G,'Sub Region'!A79)</f>
        <v>1</v>
      </c>
      <c r="D79" s="37">
        <f>AVERAGEIF(UniqueID!G:G,'Sub Region'!A79,UniqueID!L:L)</f>
        <v>38</v>
      </c>
      <c r="E79" s="37">
        <v>1.1000000000000001</v>
      </c>
      <c r="F79" t="s">
        <v>729</v>
      </c>
      <c r="G79" s="37" t="s">
        <v>814</v>
      </c>
      <c r="H79" s="37" t="s">
        <v>818</v>
      </c>
      <c r="J79" s="37" t="str">
        <f t="shared" si="1"/>
        <v xml:space="preserve">Ribera Del Duero, </v>
      </c>
      <c r="K79" s="37">
        <f>COUNTIF(Wine1!H:H,J79)</f>
        <v>0</v>
      </c>
    </row>
    <row r="80" spans="1:11" x14ac:dyDescent="0.25">
      <c r="A80" s="37" t="s">
        <v>1087</v>
      </c>
      <c r="B80" s="37">
        <f>COUNTIF(UniqueID!G:G,'Sub Region'!A80)</f>
        <v>1</v>
      </c>
      <c r="D80" s="37">
        <f>AVERAGEIF(UniqueID!G:G,'Sub Region'!A80,UniqueID!L:L)</f>
        <v>39.99</v>
      </c>
      <c r="E80" s="37">
        <v>1.2</v>
      </c>
      <c r="F80" t="s">
        <v>729</v>
      </c>
      <c r="G80" s="37" t="s">
        <v>819</v>
      </c>
      <c r="H80" s="37" t="s">
        <v>820</v>
      </c>
      <c r="J80" s="37" t="str">
        <f t="shared" si="1"/>
        <v xml:space="preserve">Monterrei, </v>
      </c>
      <c r="K80" s="37">
        <f>COUNTIF(Wine1!H:H,J80)</f>
        <v>0</v>
      </c>
    </row>
    <row r="81" spans="1:11" x14ac:dyDescent="0.25">
      <c r="A81" s="37" t="s">
        <v>1070</v>
      </c>
      <c r="B81" s="37">
        <f>COUNTIF(UniqueID!G:G,'Sub Region'!A81)</f>
        <v>1</v>
      </c>
      <c r="D81" s="37">
        <f>AVERAGEIF(UniqueID!G:G,'Sub Region'!A81,UniqueID!L:L)</f>
        <v>39</v>
      </c>
      <c r="F81" t="s">
        <v>729</v>
      </c>
      <c r="G81" s="37" t="s">
        <v>821</v>
      </c>
      <c r="H81" s="37" t="s">
        <v>822</v>
      </c>
      <c r="J81" s="37" t="str">
        <f t="shared" si="1"/>
        <v xml:space="preserve">Jumilla, </v>
      </c>
      <c r="K81" s="37">
        <f>COUNTIF(Wine1!H:H,J81)</f>
        <v>0</v>
      </c>
    </row>
    <row r="82" spans="1:11" x14ac:dyDescent="0.25">
      <c r="A82" s="37" t="s">
        <v>1005</v>
      </c>
      <c r="B82" s="37">
        <f>COUNTIF(UniqueID!G:G,'Sub Region'!A82)</f>
        <v>9</v>
      </c>
      <c r="D82" s="37">
        <f>AVERAGEIF(UniqueID!G:G,'Sub Region'!A82,UniqueID!L:L)</f>
        <v>23.32555555555556</v>
      </c>
      <c r="F82" t="s">
        <v>729</v>
      </c>
      <c r="G82" s="37" t="s">
        <v>823</v>
      </c>
      <c r="J82" s="37" t="str">
        <f t="shared" si="1"/>
        <v xml:space="preserve">, </v>
      </c>
      <c r="K82" s="37">
        <f>COUNTIF(Wine1!H:H,J82)</f>
        <v>0</v>
      </c>
    </row>
    <row r="83" spans="1:11" x14ac:dyDescent="0.25">
      <c r="A83" s="37" t="s">
        <v>1040</v>
      </c>
      <c r="B83" s="37">
        <f>COUNTIF(UniqueID!G:G,'Sub Region'!A83)</f>
        <v>1</v>
      </c>
      <c r="D83" s="37">
        <f>AVERAGEIF(UniqueID!G:G,'Sub Region'!A83,UniqueID!L:L)</f>
        <v>39.99</v>
      </c>
      <c r="F83" t="s">
        <v>729</v>
      </c>
      <c r="G83" s="37" t="s">
        <v>823</v>
      </c>
      <c r="H83" s="37" t="s">
        <v>825</v>
      </c>
      <c r="J83" s="37" t="str">
        <f t="shared" si="1"/>
        <v xml:space="preserve">Alavesa, </v>
      </c>
      <c r="K83" s="37">
        <f>COUNTIF(Wine1!H:H,J83)</f>
        <v>0</v>
      </c>
    </row>
    <row r="84" spans="1:11" x14ac:dyDescent="0.25">
      <c r="A84" s="37" t="s">
        <v>1006</v>
      </c>
      <c r="B84" s="37">
        <f>COUNTIF(UniqueID!G:G,'Sub Region'!A84)</f>
        <v>3</v>
      </c>
      <c r="D84" s="37">
        <f>AVERAGEIF(UniqueID!G:G,'Sub Region'!A84,UniqueID!L:L)</f>
        <v>93.661666666666676</v>
      </c>
      <c r="F84" t="s">
        <v>729</v>
      </c>
      <c r="G84" s="37" t="s">
        <v>823</v>
      </c>
      <c r="H84" s="37" t="s">
        <v>824</v>
      </c>
      <c r="J84" s="37" t="str">
        <f t="shared" si="1"/>
        <v xml:space="preserve">Alta, </v>
      </c>
      <c r="K84" s="37">
        <f>COUNTIF(Wine1!H:H,J84)</f>
        <v>0</v>
      </c>
    </row>
    <row r="85" spans="1:11" x14ac:dyDescent="0.25">
      <c r="A85" s="37" t="s">
        <v>1018</v>
      </c>
      <c r="B85" s="37">
        <f>COUNTIF(UniqueID!G:G,'Sub Region'!A85)</f>
        <v>1</v>
      </c>
      <c r="D85" s="37">
        <f>AVERAGEIF(UniqueID!G:G,'Sub Region'!A85,UniqueID!L:L)</f>
        <v>19.5</v>
      </c>
      <c r="F85" t="s">
        <v>729</v>
      </c>
      <c r="G85" s="37" t="s">
        <v>826</v>
      </c>
      <c r="J85" s="37" t="str">
        <f t="shared" si="1"/>
        <v xml:space="preserve">, </v>
      </c>
      <c r="K85" s="37">
        <f>COUNTIF(Wine1!H:H,J85)</f>
        <v>0</v>
      </c>
    </row>
    <row r="86" spans="1:11" x14ac:dyDescent="0.25">
      <c r="A86" s="37" t="s">
        <v>1039</v>
      </c>
      <c r="B86" s="37">
        <f>COUNTIF(UniqueID!G:G,'Sub Region'!A86)</f>
        <v>2</v>
      </c>
      <c r="D86" s="37">
        <f>AVERAGEIF(UniqueID!G:G,'Sub Region'!A86,UniqueID!L:L)</f>
        <v>23.994999999999997</v>
      </c>
      <c r="F86" t="s">
        <v>729</v>
      </c>
      <c r="G86" s="37" t="s">
        <v>826</v>
      </c>
      <c r="H86" s="37" t="s">
        <v>827</v>
      </c>
      <c r="J86" s="37" t="str">
        <f t="shared" si="1"/>
        <v xml:space="preserve">Alicante, </v>
      </c>
      <c r="K86" s="37">
        <f>COUNTIF(Wine1!H:H,J86)</f>
        <v>0</v>
      </c>
    </row>
    <row r="87" spans="1:11" x14ac:dyDescent="0.25">
      <c r="A87" s="37" t="s">
        <v>1055</v>
      </c>
      <c r="B87" s="37">
        <f>COUNTIF(UniqueID!G:G,'Sub Region'!A87)</f>
        <v>2</v>
      </c>
      <c r="D87" s="37">
        <f>AVERAGEIF(UniqueID!G:G,'Sub Region'!A87,UniqueID!L:L)</f>
        <v>42.494999999999997</v>
      </c>
      <c r="F87" t="s">
        <v>727</v>
      </c>
      <c r="G87" s="37" t="s">
        <v>806</v>
      </c>
      <c r="J87" s="37" t="str">
        <f t="shared" si="1"/>
        <v xml:space="preserve">, </v>
      </c>
      <c r="K87" s="37">
        <f>COUNTIF(Wine1!H:H,J87)</f>
        <v>0</v>
      </c>
    </row>
    <row r="88" spans="1:11" x14ac:dyDescent="0.25">
      <c r="A88" s="37" t="s">
        <v>1010</v>
      </c>
      <c r="B88" s="37">
        <f>COUNTIF(UniqueID!G:G,'Sub Region'!A88)</f>
        <v>0</v>
      </c>
      <c r="D88" s="37" t="e">
        <f>AVERAGEIF(UniqueID!G:G,'Sub Region'!A88,UniqueID!L:L)</f>
        <v>#DIV/0!</v>
      </c>
      <c r="F88" t="s">
        <v>727</v>
      </c>
      <c r="G88" s="37" t="s">
        <v>806</v>
      </c>
      <c r="H88" s="37" t="s">
        <v>925</v>
      </c>
      <c r="J88" s="37" t="str">
        <f t="shared" si="1"/>
        <v xml:space="preserve">Bodegas Luna Beberide Art 2015, </v>
      </c>
      <c r="K88" s="37">
        <f>COUNTIF(Wine1!H:H,J88)</f>
        <v>0</v>
      </c>
    </row>
    <row r="89" spans="1:11" x14ac:dyDescent="0.25">
      <c r="A89" s="37" t="s">
        <v>1069</v>
      </c>
      <c r="B89" s="37">
        <f>COUNTIF(UniqueID!G:G,'Sub Region'!A89)</f>
        <v>2</v>
      </c>
      <c r="D89" s="37">
        <f>AVERAGEIF(UniqueID!G:G,'Sub Region'!A89,UniqueID!L:L)</f>
        <v>16.995000000000001</v>
      </c>
      <c r="F89" t="s">
        <v>727</v>
      </c>
      <c r="G89" s="37" t="s">
        <v>806</v>
      </c>
      <c r="H89" s="37" t="s">
        <v>828</v>
      </c>
      <c r="I89" t="s">
        <v>1096</v>
      </c>
      <c r="J89" s="37" t="str">
        <f t="shared" si="1"/>
        <v>Central Coast, Monterey</v>
      </c>
      <c r="K89" s="37">
        <f>COUNTIF(Wine1!H:H,J89)</f>
        <v>0</v>
      </c>
    </row>
    <row r="90" spans="1:11" x14ac:dyDescent="0.25">
      <c r="A90" s="37" t="s">
        <v>1079</v>
      </c>
      <c r="B90" s="37">
        <f>COUNTIF(UniqueID!G:G,'Sub Region'!A90)</f>
        <v>1</v>
      </c>
      <c r="D90" s="37">
        <f>AVERAGEIF(UniqueID!G:G,'Sub Region'!A90,UniqueID!L:L)</f>
        <v>15</v>
      </c>
      <c r="F90" t="s">
        <v>727</v>
      </c>
      <c r="G90" s="37" t="s">
        <v>806</v>
      </c>
      <c r="H90" s="37" t="s">
        <v>828</v>
      </c>
      <c r="I90" t="s">
        <v>1113</v>
      </c>
      <c r="J90" s="37" t="str">
        <f t="shared" si="1"/>
        <v>Central Coast, Monterey County</v>
      </c>
      <c r="K90" s="37">
        <f>COUNTIF(Wine1!H:H,J90)</f>
        <v>0</v>
      </c>
    </row>
    <row r="91" spans="1:11" x14ac:dyDescent="0.25">
      <c r="A91" s="37" t="s">
        <v>1011</v>
      </c>
      <c r="B91" s="37">
        <f>COUNTIF(UniqueID!G:G,'Sub Region'!A91)</f>
        <v>2</v>
      </c>
      <c r="D91" s="37">
        <f>AVERAGEIF(UniqueID!G:G,'Sub Region'!A91,UniqueID!L:L)</f>
        <v>34.5</v>
      </c>
      <c r="E91" s="37">
        <v>1.2</v>
      </c>
      <c r="F91" t="s">
        <v>727</v>
      </c>
      <c r="G91" s="37" t="s">
        <v>806</v>
      </c>
      <c r="H91" s="37" t="s">
        <v>828</v>
      </c>
      <c r="I91" t="s">
        <v>1114</v>
      </c>
      <c r="J91" s="37" t="str">
        <f t="shared" si="1"/>
        <v>Central Coast, Santa Barbara</v>
      </c>
      <c r="K91" s="37">
        <f>COUNTIF(Wine1!H:H,J91)</f>
        <v>3</v>
      </c>
    </row>
    <row r="92" spans="1:11" x14ac:dyDescent="0.25">
      <c r="A92" s="37" t="s">
        <v>1015</v>
      </c>
      <c r="B92" s="37">
        <f>COUNTIF(UniqueID!G:G,'Sub Region'!A92)</f>
        <v>23</v>
      </c>
      <c r="D92" s="37">
        <f>AVERAGEIF(UniqueID!G:G,'Sub Region'!A92,UniqueID!L:L)</f>
        <v>51.923043478260873</v>
      </c>
      <c r="E92" s="37">
        <v>1.4</v>
      </c>
      <c r="F92" t="s">
        <v>727</v>
      </c>
      <c r="G92" s="37" t="s">
        <v>806</v>
      </c>
      <c r="H92" s="37" t="s">
        <v>1104</v>
      </c>
      <c r="I92" t="s">
        <v>1115</v>
      </c>
      <c r="J92" s="37" t="str">
        <f t="shared" si="1"/>
        <v>North Coast, Napa Valley</v>
      </c>
      <c r="K92" s="37">
        <f>COUNTIF(Wine1!H:H,J92)</f>
        <v>30</v>
      </c>
    </row>
    <row r="93" spans="1:11" x14ac:dyDescent="0.25">
      <c r="A93" s="37" t="s">
        <v>1045</v>
      </c>
      <c r="B93" s="37">
        <f>COUNTIF(UniqueID!G:G,'Sub Region'!A93)</f>
        <v>7</v>
      </c>
      <c r="D93" s="37">
        <f>AVERAGEIF(UniqueID!G:G,'Sub Region'!A93,UniqueID!L:L)</f>
        <v>40</v>
      </c>
      <c r="F93" t="s">
        <v>727</v>
      </c>
      <c r="G93" s="37" t="s">
        <v>806</v>
      </c>
      <c r="H93" s="37" t="s">
        <v>1104</v>
      </c>
      <c r="I93" t="s">
        <v>1097</v>
      </c>
      <c r="J93" s="37" t="str">
        <f t="shared" si="1"/>
        <v>North Coast, Sonoma</v>
      </c>
      <c r="K93" s="37">
        <f>COUNTIF(Wine1!H:H,J93)</f>
        <v>2</v>
      </c>
    </row>
    <row r="94" spans="1:11" x14ac:dyDescent="0.25">
      <c r="A94" s="37" t="s">
        <v>1081</v>
      </c>
      <c r="B94" s="37">
        <f>COUNTIF(UniqueID!G:G,'Sub Region'!A94)</f>
        <v>1</v>
      </c>
      <c r="D94" s="37">
        <f>AVERAGEIF(UniqueID!G:G,'Sub Region'!A94,UniqueID!L:L)</f>
        <v>23</v>
      </c>
      <c r="F94" t="s">
        <v>727</v>
      </c>
      <c r="G94" s="37" t="s">
        <v>833</v>
      </c>
      <c r="H94" s="37" t="s">
        <v>834</v>
      </c>
      <c r="J94" s="37" t="str">
        <f t="shared" si="1"/>
        <v xml:space="preserve">Columbia Valley, </v>
      </c>
      <c r="K94" s="37">
        <f>COUNTIF(Wine1!H:H,J94)</f>
        <v>0</v>
      </c>
    </row>
    <row r="95" spans="1:11" x14ac:dyDescent="0.25">
      <c r="A95" s="37" t="s">
        <v>1042</v>
      </c>
      <c r="B95" s="37">
        <f>COUNTIF(UniqueID!G:G,'Sub Region'!A95)</f>
        <v>1</v>
      </c>
      <c r="D95" s="37">
        <f>AVERAGEIF(UniqueID!G:G,'Sub Region'!A95,UniqueID!L:L)</f>
        <v>22.99</v>
      </c>
      <c r="F95" t="s">
        <v>727</v>
      </c>
      <c r="G95" s="37" t="s">
        <v>833</v>
      </c>
      <c r="H95" s="37" t="s">
        <v>834</v>
      </c>
      <c r="I95" t="s">
        <v>1116</v>
      </c>
      <c r="J95" s="37" t="str">
        <f t="shared" si="1"/>
        <v>Columbia Valley, Walla Walla Valley</v>
      </c>
      <c r="K95" s="37">
        <f>COUNTIF(Wine1!H:H,J95)</f>
        <v>3</v>
      </c>
    </row>
    <row r="96" spans="1:1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</sheetData>
  <autoFilter ref="A2:K95" xr:uid="{C077E3CF-99DC-448F-9AA3-27CE899C09B9}"/>
  <sortState xmlns:xlrd2="http://schemas.microsoft.com/office/spreadsheetml/2017/richdata2" ref="A3:A242">
    <sortCondition ref="A3:A2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Wine1</vt:lpstr>
      <vt:lpstr>Drank</vt:lpstr>
      <vt:lpstr>Sheet1</vt:lpstr>
      <vt:lpstr>Move</vt:lpstr>
      <vt:lpstr>Snapshot</vt:lpstr>
      <vt:lpstr>Sheet2</vt:lpstr>
      <vt:lpstr>Identifier</vt:lpstr>
      <vt:lpstr>Agibility</vt:lpstr>
      <vt:lpstr>Expenses</vt:lpstr>
      <vt:lpstr>Purchases</vt:lpstr>
      <vt:lpstr>BS</vt:lpstr>
      <vt:lpstr>UniqueID</vt:lpstr>
      <vt:lpstr>Tier Agibility</vt:lpstr>
      <vt:lpstr>Drink Dates 2</vt:lpstr>
      <vt:lpstr>Shortage</vt:lpstr>
      <vt:lpstr>Location</vt:lpstr>
      <vt:lpstr>Key</vt:lpstr>
      <vt:lpstr>Buy</vt:lpstr>
      <vt:lpstr>Buy2</vt:lpstr>
      <vt:lpstr>Country</vt:lpstr>
      <vt:lpstr>Region</vt:lpstr>
      <vt:lpstr>Sub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Grassa</dc:creator>
  <cp:lastModifiedBy>Joseph Grassa</cp:lastModifiedBy>
  <dcterms:created xsi:type="dcterms:W3CDTF">2019-02-17T14:38:19Z</dcterms:created>
  <dcterms:modified xsi:type="dcterms:W3CDTF">2020-09-20T11:59:38Z</dcterms:modified>
</cp:coreProperties>
</file>